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0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3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24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5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6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27.xml" ContentType="application/vnd.openxmlformats-officedocument.drawing+xml"/>
  <Override PartName="/xl/charts/chart65.xml" ContentType="application/vnd.openxmlformats-officedocument.drawingml.chart+xml"/>
  <Override PartName="/xl/drawings/drawing28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1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32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3.xml" ContentType="application/vnd.openxmlformats-officedocument.drawing+xml"/>
  <Override PartName="/xl/charts/chart8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4.xml" ContentType="application/vnd.openxmlformats-officedocument.drawing+xml"/>
  <Override PartName="/xl/charts/chart90.xml" ContentType="application/vnd.openxmlformats-officedocument.drawingml.chart+xml"/>
  <Override PartName="/xl/drawings/drawing35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36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37.xml" ContentType="application/vnd.openxmlformats-officedocument.drawing+xml"/>
  <Override PartName="/xl/charts/chart95.xml" ContentType="application/vnd.openxmlformats-officedocument.drawingml.chart+xml"/>
  <Override PartName="/xl/drawings/drawing38.xml" ContentType="application/vnd.openxmlformats-officedocument.drawing+xml"/>
  <Override PartName="/xl/charts/chart96.xml" ContentType="application/vnd.openxmlformats-officedocument.drawingml.chart+xml"/>
  <Override PartName="/xl/drawings/drawing39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40.xml" ContentType="application/vnd.openxmlformats-officedocument.drawing+xml"/>
  <Override PartName="/xl/charts/chart101.xml" ContentType="application/vnd.openxmlformats-officedocument.drawingml.chart+xml"/>
  <Override PartName="/xl/drawings/drawing41.xml" ContentType="application/vnd.openxmlformats-officedocument.drawing+xml"/>
  <Override PartName="/xl/charts/chart10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2.xml" ContentType="application/vnd.openxmlformats-officedocument.drawing+xml"/>
  <Override PartName="/xl/charts/chart104.xml" ContentType="application/vnd.openxmlformats-officedocument.drawingml.chart+xml"/>
  <Override PartName="/xl/drawings/drawing43.xml" ContentType="application/vnd.openxmlformats-officedocument.drawing+xml"/>
  <Override PartName="/xl/charts/chart105.xml" ContentType="application/vnd.openxmlformats-officedocument.drawingml.chart+xml"/>
  <Override PartName="/xl/drawings/drawing44.xml" ContentType="application/vnd.openxmlformats-officedocument.drawing+xml"/>
  <Override PartName="/xl/charts/chart106.xml" ContentType="application/vnd.openxmlformats-officedocument.drawingml.chart+xml"/>
  <Override PartName="/xl/drawings/drawing45.xml" ContentType="application/vnd.openxmlformats-officedocument.drawing+xml"/>
  <Override PartName="/xl/charts/chart10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6.xml" ContentType="application/vnd.openxmlformats-officedocument.drawing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drawings/drawing47.xml" ContentType="application/vnd.openxmlformats-officedocument.drawing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48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9.xml" ContentType="application/vnd.openxmlformats-officedocument.drawing+xml"/>
  <Override PartName="/xl/charts/chart11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arles\Documents\A Real Statistics Website 2016\"/>
    </mc:Choice>
  </mc:AlternateContent>
  <bookViews>
    <workbookView xWindow="0" yWindow="0" windowWidth="20760" windowHeight="11190" tabRatio="805"/>
  </bookViews>
  <sheets>
    <sheet name="TOC0" sheetId="405" r:id="rId1"/>
    <sheet name="TOC" sheetId="1" r:id="rId2"/>
    <sheet name="ANOVA 1" sheetId="186" r:id="rId3"/>
    <sheet name="ANOVA 2" sheetId="187" r:id="rId4"/>
    <sheet name="ANOVA 3" sheetId="188" r:id="rId5"/>
    <sheet name="ANOVA 4" sheetId="189" r:id="rId6"/>
    <sheet name="ANOVA 5" sheetId="190" r:id="rId7"/>
    <sheet name="ANOVA 6" sheetId="451" r:id="rId8"/>
    <sheet name="Contrast 1" sheetId="196" r:id="rId9"/>
    <sheet name="Contrast 2" sheetId="197" r:id="rId10"/>
    <sheet name="Contrast 3" sheetId="198" r:id="rId11"/>
    <sheet name="Tukey 1" sheetId="203" r:id="rId12"/>
    <sheet name="Tukey 2" sheetId="404" r:id="rId13"/>
    <sheet name="Tuk-Kra" sheetId="423" r:id="rId14"/>
    <sheet name="Gam-How" sheetId="424" r:id="rId15"/>
    <sheet name="REGWQ" sheetId="200" r:id="rId16"/>
    <sheet name="Dunnett" sheetId="685" r:id="rId17"/>
    <sheet name="Scheffe" sheetId="206" r:id="rId18"/>
    <sheet name="Levene 1" sheetId="192" r:id="rId19"/>
    <sheet name="Levene 2" sheetId="193" r:id="rId20"/>
    <sheet name="Bartlett" sheetId="194" r:id="rId21"/>
    <sheet name="Fligner" sheetId="675" r:id="rId22"/>
    <sheet name="Log Transform" sheetId="214" r:id="rId23"/>
    <sheet name="Outliers" sheetId="195" r:id="rId24"/>
    <sheet name="Kruskal" sheetId="387" r:id="rId25"/>
    <sheet name="Nemenyi" sheetId="686" r:id="rId26"/>
    <sheet name="Dunn" sheetId="688" r:id="rId27"/>
    <sheet name="Dunnett KW" sheetId="692" r:id="rId28"/>
    <sheet name="Contrast KW" sheetId="693" r:id="rId29"/>
    <sheet name="Brown F 1" sheetId="210" r:id="rId30"/>
    <sheet name="Brown F 2" sheetId="211" r:id="rId31"/>
    <sheet name="Welch 1" sheetId="584" r:id="rId32"/>
    <sheet name="Welch 1a" sheetId="586" r:id="rId33"/>
    <sheet name="Welch 2" sheetId="585" r:id="rId34"/>
    <sheet name="Power Anova" sheetId="550" r:id="rId35"/>
    <sheet name="Anova Resamp" sheetId="632" r:id="rId36"/>
    <sheet name="Anova Resamp 1" sheetId="633" r:id="rId37"/>
    <sheet name="Moods 2" sheetId="576" r:id="rId38"/>
    <sheet name="ANOVA 2.1" sheetId="215" r:id="rId39"/>
    <sheet name="ANOVA 2.2" sheetId="216" r:id="rId40"/>
    <sheet name="ANOVA 2.2A" sheetId="449" r:id="rId41"/>
    <sheet name="ANOVA 2.3" sheetId="217" r:id="rId42"/>
    <sheet name="ANOVA 2.4" sheetId="450" r:id="rId43"/>
    <sheet name="ANOVA 2.5" sheetId="694" r:id="rId44"/>
    <sheet name="ANOVA 2.6" sheetId="695" r:id="rId45"/>
    <sheet name="Simple Effect" sheetId="691" r:id="rId46"/>
    <sheet name="Contrasts 2.1" sheetId="220" r:id="rId47"/>
    <sheet name="Contrasts 2.2" sheetId="689" r:id="rId48"/>
    <sheet name="Tukey 2.1" sheetId="690" r:id="rId49"/>
    <sheet name="ANOVA 3.1" sheetId="218" r:id="rId50"/>
    <sheet name="ANOVA 3.2" sheetId="454" r:id="rId51"/>
    <sheet name="ANOVA 3.2a" sheetId="455" r:id="rId52"/>
    <sheet name="ANOVA 3.3" sheetId="456" r:id="rId53"/>
    <sheet name="Gage" sheetId="714" r:id="rId54"/>
    <sheet name="Gage 1" sheetId="716" r:id="rId55"/>
    <sheet name="Scheirer" sheetId="729" r:id="rId56"/>
    <sheet name="Reg 1" sheetId="81" r:id="rId57"/>
    <sheet name="Reg 2" sheetId="83" r:id="rId58"/>
    <sheet name="Reg 3" sheetId="84" r:id="rId59"/>
    <sheet name="Reg 4" sheetId="85" r:id="rId60"/>
    <sheet name="Reg 5" sheetId="86" r:id="rId61"/>
    <sheet name="Reg 6" sheetId="88" r:id="rId62"/>
    <sheet name="Exp Reg" sheetId="89" r:id="rId63"/>
    <sheet name="Exp Reg1" sheetId="654" r:id="rId64"/>
    <sheet name="Exp Reg2" sheetId="655" r:id="rId65"/>
    <sheet name="Exp Reg3" sheetId="658" r:id="rId66"/>
    <sheet name="Exp Reg4" sheetId="659" r:id="rId67"/>
    <sheet name="Exp Reg5" sheetId="667" r:id="rId68"/>
    <sheet name="Pow Reg" sheetId="426" r:id="rId69"/>
    <sheet name="Reg T 1" sheetId="91" r:id="rId70"/>
    <sheet name="Reg T 1A" sheetId="92" r:id="rId71"/>
    <sheet name="Reg T 2" sheetId="94" r:id="rId72"/>
    <sheet name="Reg T 2A" sheetId="95" r:id="rId73"/>
    <sheet name="Mult Reg 1" sheetId="98" r:id="rId74"/>
    <sheet name="Mult Reg 2" sheetId="99" r:id="rId75"/>
    <sheet name="Mult Reg 2A" sheetId="341" r:id="rId76"/>
    <sheet name="Mult Reg 2B" sheetId="395" r:id="rId77"/>
    <sheet name="Mult Reg 3" sheetId="100" r:id="rId78"/>
    <sheet name="Mult Reg 4" sheetId="101" r:id="rId79"/>
    <sheet name="Mult Reg 4A" sheetId="102" r:id="rId80"/>
    <sheet name="Mult Reg 5" sheetId="105" r:id="rId81"/>
    <sheet name="Mult Reg 5A" sheetId="103" r:id="rId82"/>
    <sheet name="Mult Reg 5B" sheetId="104" r:id="rId83"/>
    <sheet name="Mult Reg 5C" sheetId="106" r:id="rId84"/>
    <sheet name="Mult Reg 6" sheetId="107" r:id="rId85"/>
    <sheet name="Mult Reg 6A" sheetId="342" r:id="rId86"/>
    <sheet name="Mult Reg 6B" sheetId="427" r:id="rId87"/>
    <sheet name="Mult Reg 6C" sheetId="650" r:id="rId88"/>
    <sheet name="Mult Reg 7" sheetId="108" r:id="rId89"/>
    <sheet name="Mult Reg 8" sheetId="606" r:id="rId90"/>
    <sheet name="Mult Reg 8a" sheetId="607" r:id="rId91"/>
    <sheet name="MCorr" sheetId="727" r:id="rId92"/>
    <sheet name="Mult Reg Pow" sheetId="617" r:id="rId93"/>
    <sheet name="Mult Reg Pow 1" sheetId="616" r:id="rId94"/>
    <sheet name="Mult Reg Pow 2" sheetId="618" r:id="rId95"/>
    <sheet name="Poly Reg" sheetId="109" r:id="rId96"/>
    <sheet name="Poly Reg 1" sheetId="118" r:id="rId97"/>
    <sheet name="Poly Reg 2" sheetId="120" r:id="rId98"/>
    <sheet name="Log Reg" sheetId="431" r:id="rId99"/>
    <sheet name="Interaction Reg" sheetId="156" r:id="rId100"/>
    <sheet name="Reg Anova 1" sheetId="208" r:id="rId101"/>
    <sheet name="Reg Anova 2" sheetId="209" r:id="rId102"/>
    <sheet name="Reg Anova 3" sheetId="219" r:id="rId103"/>
    <sheet name="Reg Anova 4" sheetId="221" r:id="rId104"/>
    <sheet name="Reg Anova 5" sheetId="448" r:id="rId105"/>
    <sheet name="Reg An3.1" sheetId="458" r:id="rId106"/>
    <sheet name="Reg An3.2" sheetId="459" r:id="rId107"/>
    <sheet name="Res 1" sheetId="223" r:id="rId108"/>
    <sheet name="Res 2" sheetId="224" r:id="rId109"/>
    <sheet name="Res 3" sheetId="225" r:id="rId110"/>
    <sheet name="Cooks 1" sheetId="252" r:id="rId111"/>
    <sheet name="Cooks 2" sheetId="251" r:id="rId112"/>
    <sheet name="Cooks 3" sheetId="713" r:id="rId113"/>
    <sheet name="Reg No Const" sheetId="717" r:id="rId114"/>
    <sheet name="Reg No Const 1" sheetId="722" r:id="rId115"/>
    <sheet name="WReg" sheetId="719" r:id="rId116"/>
    <sheet name="Robust" sheetId="721" r:id="rId117"/>
    <sheet name="Autocorr" sheetId="724" r:id="rId118"/>
    <sheet name="Durbin" sheetId="473" r:id="rId119"/>
    <sheet name="Collinearity" sheetId="179" r:id="rId120"/>
    <sheet name="VIF" sheetId="392" r:id="rId121"/>
    <sheet name="Logit 1" sheetId="385" r:id="rId122"/>
    <sheet name="Logit 2" sheetId="384" r:id="rId123"/>
    <sheet name="Logit 3" sheetId="400" r:id="rId124"/>
    <sheet name="Logit 3a" sheetId="460" r:id="rId125"/>
    <sheet name="Logit 4" sheetId="401" r:id="rId126"/>
    <sheet name="Logit 4a" sheetId="461" r:id="rId127"/>
    <sheet name="Logit 5" sheetId="462" r:id="rId128"/>
    <sheet name="Logit 5a" sheetId="534" r:id="rId129"/>
    <sheet name="Logit 6" sheetId="463" r:id="rId130"/>
    <sheet name="Logit 6a" sheetId="472" r:id="rId131"/>
    <sheet name="Logit 7a" sheetId="651" r:id="rId132"/>
    <sheet name="Logit 7b" sheetId="652" r:id="rId133"/>
    <sheet name="Hosmer" sheetId="442" r:id="rId134"/>
    <sheet name="MLogit 1" sheetId="465" r:id="rId135"/>
    <sheet name="MLogit 2" sheetId="466" r:id="rId136"/>
    <sheet name="MLogit 3" sheetId="468" r:id="rId137"/>
    <sheet name="MLogit 3a" sheetId="471" r:id="rId138"/>
    <sheet name="MLogit 4" sheetId="467" r:id="rId139"/>
    <sheet name="MLogit 4a" sheetId="668" r:id="rId140"/>
    <sheet name="MLogit 5" sheetId="470" r:id="rId141"/>
    <sheet name="MLogit 5a" sheetId="669" r:id="rId142"/>
    <sheet name="MLogit 6" sheetId="474" r:id="rId143"/>
    <sheet name="OLogit 1" sheetId="477" r:id="rId144"/>
    <sheet name="OLogit 2" sheetId="476" r:id="rId145"/>
    <sheet name="OLogit 3" sheetId="475" r:id="rId146"/>
    <sheet name="Log Lin 1.1" sheetId="269" r:id="rId147"/>
    <sheet name="Log Lin 1.2" sheetId="253" r:id="rId148"/>
    <sheet name="Log Lin 1.3" sheetId="270" r:id="rId149"/>
    <sheet name="Log Lin 1.4" sheetId="256" r:id="rId150"/>
    <sheet name="Log Lin 2.1" sheetId="272" r:id="rId151"/>
    <sheet name="Log Lin 2.2" sheetId="273" r:id="rId152"/>
    <sheet name="Log Lin 2.3" sheetId="276" r:id="rId153"/>
    <sheet name="Log Lin 2.4" sheetId="275" r:id="rId154"/>
    <sheet name="Log Lin 2.5" sheetId="277" r:id="rId155"/>
    <sheet name="Kaplan" sheetId="696" r:id="rId156"/>
    <sheet name="Kaplan 1" sheetId="699" r:id="rId157"/>
    <sheet name="Kaplan 2" sheetId="709" r:id="rId158"/>
    <sheet name="Kaplan 3" sheetId="710" r:id="rId159"/>
    <sheet name="Kaplan 4" sheetId="711" r:id="rId160"/>
    <sheet name="Log-Rank" sheetId="697" r:id="rId161"/>
    <sheet name="Log-Rank 1" sheetId="700" r:id="rId162"/>
    <sheet name="Cox Reg 1" sheetId="708" r:id="rId163"/>
    <sheet name="Cox Reg 2" sheetId="702" r:id="rId164"/>
    <sheet name="Cox Reg 3" sheetId="703" r:id="rId165"/>
    <sheet name="Cox Reg 4" sheetId="704" r:id="rId166"/>
    <sheet name="Cox Reg 5" sheetId="705" r:id="rId167"/>
    <sheet name="Cox Reg 6" sheetId="706" r:id="rId168"/>
    <sheet name="Cox Reg 7" sheetId="707" r:id="rId169"/>
    <sheet name="Cox Reg 8" sheetId="712" r:id="rId170"/>
    <sheet name="Rand Anova" sheetId="595" r:id="rId171"/>
    <sheet name="Mixed" sheetId="592" r:id="rId172"/>
    <sheet name="Mixed 2" sheetId="600" r:id="rId173"/>
    <sheet name="Nested" sheetId="591" r:id="rId174"/>
    <sheet name="Nested 1 " sheetId="601" r:id="rId175"/>
    <sheet name="Nested 1a" sheetId="599" r:id="rId176"/>
    <sheet name="Nested 2" sheetId="597" r:id="rId177"/>
    <sheet name="ANOVA Match 1.1" sheetId="294" r:id="rId178"/>
    <sheet name="ANOVA Match 1.2" sheetId="296" r:id="rId179"/>
    <sheet name="ANOVA Match 1.3" sheetId="297" r:id="rId180"/>
    <sheet name="ANOVA Match 1.3a" sheetId="589" r:id="rId181"/>
    <sheet name="ANOVA Match 1.4" sheetId="298" r:id="rId182"/>
    <sheet name="ANOVA Match 1.5" sheetId="299" r:id="rId183"/>
    <sheet name="ANOVAMatch 1.6" sheetId="723" r:id="rId184"/>
    <sheet name="ANOVA Match 2.1" sheetId="300" r:id="rId185"/>
    <sheet name="ANOVA Match 2.2" sheetId="301" r:id="rId186"/>
    <sheet name="ANOVA Match 2.3" sheetId="302" r:id="rId187"/>
    <sheet name="ANOVA Match 2.3A" sheetId="304" r:id="rId188"/>
    <sheet name="ANOVA Match 2.3B" sheetId="590" r:id="rId189"/>
    <sheet name="ANOVA Match 2.4" sheetId="303" r:id="rId190"/>
    <sheet name="Friedman" sheetId="388" r:id="rId191"/>
    <sheet name="Cochran 1" sheetId="620" r:id="rId192"/>
    <sheet name="Cochran 2" sheetId="619" r:id="rId193"/>
    <sheet name="ANCOVA 1" sheetId="309" r:id="rId194"/>
    <sheet name="ANCOVA 2" sheetId="308" r:id="rId195"/>
    <sheet name="ANCOVA 3" sheetId="313" r:id="rId196"/>
    <sheet name="ANCOVA 4" sheetId="594" r:id="rId197"/>
    <sheet name="ANCOVA Contrasts" sheetId="312" r:id="rId198"/>
    <sheet name="Split-half" sheetId="286" r:id="rId199"/>
    <sheet name="Spli-half 1" sheetId="578" r:id="rId200"/>
    <sheet name="KRF20" sheetId="287" r:id="rId201"/>
    <sheet name="Cronbach" sheetId="288" r:id="rId202"/>
    <sheet name="Cronbach 1" sheetId="418" r:id="rId203"/>
    <sheet name="Cronbach 2" sheetId="577" r:id="rId204"/>
    <sheet name="Cronbach 3" sheetId="635" r:id="rId205"/>
    <sheet name="Cronbach 4" sheetId="636" r:id="rId206"/>
    <sheet name="Cronbach 5" sheetId="637" r:id="rId207"/>
    <sheet name="Kappa" sheetId="289" r:id="rId208"/>
    <sheet name="Kappa 0" sheetId="452" r:id="rId209"/>
    <sheet name="Kappa 1" sheetId="653" r:id="rId210"/>
    <sheet name="FKappa" sheetId="440" r:id="rId211"/>
    <sheet name="ICC1" sheetId="478" r:id="rId212"/>
    <sheet name="ICC1a" sheetId="680" r:id="rId213"/>
    <sheet name="ICC2" sheetId="290" r:id="rId214"/>
    <sheet name="ICC3" sheetId="479" r:id="rId215"/>
    <sheet name="Kendall W" sheetId="496" r:id="rId216"/>
    <sheet name="Kendall W 1" sheetId="495" r:id="rId217"/>
    <sheet name="Bland" sheetId="728" r:id="rId218"/>
    <sheet name="Item" sheetId="447" r:id="rId219"/>
    <sheet name="IPFP 2.1" sheetId="278" r:id="rId220"/>
    <sheet name="IPFP 2.1a" sheetId="670" r:id="rId221"/>
    <sheet name="IPFP 2.2 " sheetId="281" r:id="rId222"/>
    <sheet name="IPFP 3.1" sheetId="279" r:id="rId223"/>
    <sheet name="IPFP 3.2" sheetId="282" r:id="rId224"/>
    <sheet name="IPFP 3.2a" sheetId="671" r:id="rId225"/>
    <sheet name="Stud. Q Table" sheetId="41" r:id="rId226"/>
    <sheet name="Stud. Q Table 2" sheetId="204" r:id="rId227"/>
    <sheet name=" Dunnett Table" sheetId="687" r:id="rId228"/>
    <sheet name="DW Table 1" sheetId="615" r:id="rId229"/>
    <sheet name="DW Table 2" sheetId="614" r:id="rId230"/>
    <sheet name="Miss 1" sheetId="499" r:id="rId231"/>
    <sheet name="Miss 2" sheetId="500" r:id="rId232"/>
    <sheet name="Miss 3" sheetId="501" r:id="rId233"/>
    <sheet name="Miss 4" sheetId="502" r:id="rId234"/>
    <sheet name="MI 1" sheetId="504" r:id="rId235"/>
    <sheet name="MI 2" sheetId="505" r:id="rId236"/>
    <sheet name="MI 3a" sheetId="514" r:id="rId237"/>
    <sheet name="MI 3" sheetId="506" r:id="rId238"/>
    <sheet name="MI 4" sheetId="507" r:id="rId239"/>
    <sheet name="MI 5" sheetId="509" r:id="rId240"/>
    <sheet name="MI 6" sheetId="510" r:id="rId241"/>
    <sheet name="MI 7" sheetId="508" r:id="rId242"/>
    <sheet name="MI 8" sheetId="511" r:id="rId243"/>
    <sheet name="MI 8a" sheetId="523" r:id="rId244"/>
    <sheet name="MI 9" sheetId="530" r:id="rId245"/>
    <sheet name="MI 9a" sheetId="531" r:id="rId246"/>
    <sheet name="FIML 1" sheetId="515" r:id="rId247"/>
    <sheet name="FIML 2" sheetId="516" r:id="rId248"/>
    <sheet name="FIML 2a" sheetId="517" r:id="rId249"/>
    <sheet name="FIML 2b" sheetId="527" r:id="rId250"/>
    <sheet name="FIML 2c" sheetId="529" r:id="rId251"/>
    <sheet name="FIML 3" sheetId="518" r:id="rId252"/>
    <sheet name="FIML 3a" sheetId="522" r:id="rId253"/>
    <sheet name="FIML 3b" sheetId="528" r:id="rId254"/>
  </sheets>
  <externalReferences>
    <externalReference r:id="rId255"/>
  </externalReferences>
  <definedNames>
    <definedName name="solver_adj" localSheetId="165" hidden="1">'Cox Reg 4'!$O$4</definedName>
    <definedName name="solver_adj" localSheetId="166" hidden="1">'Cox Reg 5'!$O$4</definedName>
    <definedName name="solver_adj" localSheetId="63" hidden="1">'Exp Reg1'!$B$16:$B$17</definedName>
    <definedName name="solver_adj" localSheetId="64" hidden="1">'Exp Reg2'!$B$16:$B$17</definedName>
    <definedName name="solver_adj" localSheetId="248" hidden="1">'FIML 2a'!$L$4:$L$17</definedName>
    <definedName name="solver_adj" localSheetId="250" hidden="1">'FIML 2c'!$W$4:$W$17</definedName>
    <definedName name="solver_adj" localSheetId="252" hidden="1">'FIML 3a'!$L$4:$L$17</definedName>
    <definedName name="solver_adj" localSheetId="253" hidden="1">'FIML 3b'!$W$4:$W$17</definedName>
    <definedName name="solver_adj" localSheetId="123" hidden="1">'Logit 3'!$O$5:$O$6</definedName>
    <definedName name="solver_adj" localSheetId="124" hidden="1">'Logit 3a'!$Q$34:$Q$35</definedName>
    <definedName name="solver_adj" localSheetId="135" hidden="1">'MLogit 2'!$X$6:$Y$8</definedName>
    <definedName name="solver_adj" localSheetId="138" hidden="1">'MLogit 4'!#REF!</definedName>
    <definedName name="solver_adj" localSheetId="76" hidden="1">'Mult Reg 2B'!$F$4:$F$6</definedName>
    <definedName name="solver_adj" localSheetId="144" hidden="1">'OLogit 2'!$AG$5:$AI$7</definedName>
    <definedName name="solver_adj" localSheetId="145" hidden="1">'OLogit 3'!$AG$9:$AG$13</definedName>
    <definedName name="solver_cvg" localSheetId="165" hidden="1">0.0001</definedName>
    <definedName name="solver_cvg" localSheetId="166" hidden="1">0.0001</definedName>
    <definedName name="solver_cvg" localSheetId="63" hidden="1">0.0001</definedName>
    <definedName name="solver_cvg" localSheetId="64" hidden="1">0.0001</definedName>
    <definedName name="solver_cvg" localSheetId="248" hidden="1">0.0001</definedName>
    <definedName name="solver_cvg" localSheetId="250" hidden="1">0.0001</definedName>
    <definedName name="solver_cvg" localSheetId="252" hidden="1">0.0001</definedName>
    <definedName name="solver_cvg" localSheetId="253" hidden="1">0.0001</definedName>
    <definedName name="solver_cvg" localSheetId="123" hidden="1">0.0001</definedName>
    <definedName name="solver_cvg" localSheetId="124" hidden="1">0.0001</definedName>
    <definedName name="solver_cvg" localSheetId="135" hidden="1">0.0001</definedName>
    <definedName name="solver_cvg" localSheetId="138" hidden="1">0.0001</definedName>
    <definedName name="solver_cvg" localSheetId="76" hidden="1">0.0001</definedName>
    <definedName name="solver_cvg" localSheetId="144" hidden="1">0.0001</definedName>
    <definedName name="solver_cvg" localSheetId="145" hidden="1">0.0001</definedName>
    <definedName name="solver_drv" localSheetId="165" hidden="1">1</definedName>
    <definedName name="solver_drv" localSheetId="166" hidden="1">1</definedName>
    <definedName name="solver_drv" localSheetId="63" hidden="1">1</definedName>
    <definedName name="solver_drv" localSheetId="64" hidden="1">1</definedName>
    <definedName name="solver_drv" localSheetId="248" hidden="1">1</definedName>
    <definedName name="solver_drv" localSheetId="250" hidden="1">1</definedName>
    <definedName name="solver_drv" localSheetId="252" hidden="1">1</definedName>
    <definedName name="solver_drv" localSheetId="253" hidden="1">1</definedName>
    <definedName name="solver_drv" localSheetId="123" hidden="1">1</definedName>
    <definedName name="solver_drv" localSheetId="124" hidden="1">1</definedName>
    <definedName name="solver_drv" localSheetId="135" hidden="1">1</definedName>
    <definedName name="solver_drv" localSheetId="138" hidden="1">1</definedName>
    <definedName name="solver_drv" localSheetId="76" hidden="1">1</definedName>
    <definedName name="solver_drv" localSheetId="144" hidden="1">1</definedName>
    <definedName name="solver_drv" localSheetId="145" hidden="1">1</definedName>
    <definedName name="solver_eng" localSheetId="165" hidden="1">1</definedName>
    <definedName name="solver_eng" localSheetId="166" hidden="1">1</definedName>
    <definedName name="solver_eng" localSheetId="63" hidden="1">1</definedName>
    <definedName name="solver_eng" localSheetId="64" hidden="1">1</definedName>
    <definedName name="solver_eng" localSheetId="248" hidden="1">1</definedName>
    <definedName name="solver_eng" localSheetId="250" hidden="1">1</definedName>
    <definedName name="solver_eng" localSheetId="252" hidden="1">1</definedName>
    <definedName name="solver_eng" localSheetId="253" hidden="1">1</definedName>
    <definedName name="solver_eng" localSheetId="123" hidden="1">1</definedName>
    <definedName name="solver_eng" localSheetId="124" hidden="1">1</definedName>
    <definedName name="solver_eng" localSheetId="135" hidden="1">1</definedName>
    <definedName name="solver_eng" localSheetId="138" hidden="1">1</definedName>
    <definedName name="solver_eng" localSheetId="76" hidden="1">1</definedName>
    <definedName name="solver_eng" localSheetId="144" hidden="1">1</definedName>
    <definedName name="solver_eng" localSheetId="145" hidden="1">1</definedName>
    <definedName name="solver_est" localSheetId="165" hidden="1">1</definedName>
    <definedName name="solver_est" localSheetId="166" hidden="1">1</definedName>
    <definedName name="solver_est" localSheetId="63" hidden="1">1</definedName>
    <definedName name="solver_est" localSheetId="64" hidden="1">1</definedName>
    <definedName name="solver_est" localSheetId="248" hidden="1">1</definedName>
    <definedName name="solver_est" localSheetId="250" hidden="1">1</definedName>
    <definedName name="solver_est" localSheetId="252" hidden="1">1</definedName>
    <definedName name="solver_est" localSheetId="253" hidden="1">1</definedName>
    <definedName name="solver_est" localSheetId="123" hidden="1">1</definedName>
    <definedName name="solver_est" localSheetId="124" hidden="1">1</definedName>
    <definedName name="solver_est" localSheetId="135" hidden="1">1</definedName>
    <definedName name="solver_est" localSheetId="138" hidden="1">1</definedName>
    <definedName name="solver_est" localSheetId="76" hidden="1">1</definedName>
    <definedName name="solver_est" localSheetId="144" hidden="1">1</definedName>
    <definedName name="solver_est" localSheetId="145" hidden="1">1</definedName>
    <definedName name="solver_itr" localSheetId="165" hidden="1">2147483647</definedName>
    <definedName name="solver_itr" localSheetId="166" hidden="1">2147483647</definedName>
    <definedName name="solver_itr" localSheetId="63" hidden="1">2147483647</definedName>
    <definedName name="solver_itr" localSheetId="64" hidden="1">2147483647</definedName>
    <definedName name="solver_itr" localSheetId="248" hidden="1">2147483647</definedName>
    <definedName name="solver_itr" localSheetId="250" hidden="1">2147483647</definedName>
    <definedName name="solver_itr" localSheetId="252" hidden="1">2147483647</definedName>
    <definedName name="solver_itr" localSheetId="253" hidden="1">2147483647</definedName>
    <definedName name="solver_itr" localSheetId="123" hidden="1">2147483647</definedName>
    <definedName name="solver_itr" localSheetId="124" hidden="1">2147483647</definedName>
    <definedName name="solver_itr" localSheetId="135" hidden="1">2147483647</definedName>
    <definedName name="solver_itr" localSheetId="138" hidden="1">2147483647</definedName>
    <definedName name="solver_itr" localSheetId="76" hidden="1">2147483647</definedName>
    <definedName name="solver_itr" localSheetId="144" hidden="1">2147483647</definedName>
    <definedName name="solver_itr" localSheetId="145" hidden="1">2147483647</definedName>
    <definedName name="solver_lhs1" localSheetId="248" hidden="1">'FIML 2a'!$M$10</definedName>
    <definedName name="solver_lhs1" localSheetId="123" hidden="1">'Logit 3'!$K$10</definedName>
    <definedName name="solver_lhs1" localSheetId="145" hidden="1">'OLogit 3'!$AG$15</definedName>
    <definedName name="solver_lhs10" localSheetId="248" hidden="1">'FIML 2a'!$M$9</definedName>
    <definedName name="solver_lhs10" localSheetId="123" hidden="1">'Logit 3'!$K$4</definedName>
    <definedName name="solver_lhs11" localSheetId="123" hidden="1">'Logit 3'!$K$5</definedName>
    <definedName name="solver_lhs12" localSheetId="123" hidden="1">'Logit 3'!$K$5</definedName>
    <definedName name="solver_lhs13" localSheetId="123" hidden="1">'Logit 3'!$K$6</definedName>
    <definedName name="solver_lhs14" localSheetId="123" hidden="1">'Logit 3'!$K$6</definedName>
    <definedName name="solver_lhs15" localSheetId="123" hidden="1">'Logit 3'!$K$7</definedName>
    <definedName name="solver_lhs16" localSheetId="123" hidden="1">'Logit 3'!$K$7</definedName>
    <definedName name="solver_lhs17" localSheetId="123" hidden="1">'Logit 3'!$K$8</definedName>
    <definedName name="solver_lhs18" localSheetId="123" hidden="1">'Logit 3'!$K$8</definedName>
    <definedName name="solver_lhs19" localSheetId="123" hidden="1">'Logit 3'!$K$9</definedName>
    <definedName name="solver_lhs2" localSheetId="248" hidden="1">'FIML 2a'!$M$11</definedName>
    <definedName name="solver_lhs2" localSheetId="123" hidden="1">'Logit 3'!$K$10</definedName>
    <definedName name="solver_lhs20" localSheetId="123" hidden="1">'Logit 3'!$K$9</definedName>
    <definedName name="solver_lhs3" localSheetId="248" hidden="1">'FIML 2a'!$M$12</definedName>
    <definedName name="solver_lhs3" localSheetId="123" hidden="1">'Logit 3'!$K$11</definedName>
    <definedName name="solver_lhs4" localSheetId="248" hidden="1">'FIML 2a'!$M$13</definedName>
    <definedName name="solver_lhs4" localSheetId="123" hidden="1">'Logit 3'!$K$11</definedName>
    <definedName name="solver_lhs5" localSheetId="248" hidden="1">'FIML 2a'!$M$4</definedName>
    <definedName name="solver_lhs5" localSheetId="123" hidden="1">'Logit 3'!$K$12</definedName>
    <definedName name="solver_lhs6" localSheetId="248" hidden="1">'FIML 2a'!$M$5</definedName>
    <definedName name="solver_lhs6" localSheetId="123" hidden="1">'Logit 3'!$K$12</definedName>
    <definedName name="solver_lhs7" localSheetId="248" hidden="1">'FIML 2a'!$M$6</definedName>
    <definedName name="solver_lhs7" localSheetId="123" hidden="1">'Logit 3'!$K$13</definedName>
    <definedName name="solver_lhs8" localSheetId="248" hidden="1">'FIML 2a'!$M$7</definedName>
    <definedName name="solver_lhs8" localSheetId="123" hidden="1">'Logit 3'!$K$13</definedName>
    <definedName name="solver_lhs9" localSheetId="248" hidden="1">'FIML 2a'!$M$8</definedName>
    <definedName name="solver_lhs9" localSheetId="123" hidden="1">'Logit 3'!$K$4</definedName>
    <definedName name="solver_mip" localSheetId="165" hidden="1">2147483647</definedName>
    <definedName name="solver_mip" localSheetId="166" hidden="1">2147483647</definedName>
    <definedName name="solver_mip" localSheetId="63" hidden="1">2147483647</definedName>
    <definedName name="solver_mip" localSheetId="64" hidden="1">2147483647</definedName>
    <definedName name="solver_mip" localSheetId="248" hidden="1">2147483647</definedName>
    <definedName name="solver_mip" localSheetId="250" hidden="1">2147483647</definedName>
    <definedName name="solver_mip" localSheetId="252" hidden="1">2147483647</definedName>
    <definedName name="solver_mip" localSheetId="253" hidden="1">2147483647</definedName>
    <definedName name="solver_mip" localSheetId="123" hidden="1">2147483647</definedName>
    <definedName name="solver_mip" localSheetId="124" hidden="1">2147483647</definedName>
    <definedName name="solver_mip" localSheetId="135" hidden="1">2147483647</definedName>
    <definedName name="solver_mip" localSheetId="138" hidden="1">2147483647</definedName>
    <definedName name="solver_mip" localSheetId="76" hidden="1">2147483647</definedName>
    <definedName name="solver_mip" localSheetId="144" hidden="1">2147483647</definedName>
    <definedName name="solver_mip" localSheetId="145" hidden="1">2147483647</definedName>
    <definedName name="solver_mni" localSheetId="165" hidden="1">30</definedName>
    <definedName name="solver_mni" localSheetId="166" hidden="1">30</definedName>
    <definedName name="solver_mni" localSheetId="63" hidden="1">30</definedName>
    <definedName name="solver_mni" localSheetId="64" hidden="1">30</definedName>
    <definedName name="solver_mni" localSheetId="248" hidden="1">30</definedName>
    <definedName name="solver_mni" localSheetId="250" hidden="1">30</definedName>
    <definedName name="solver_mni" localSheetId="252" hidden="1">30</definedName>
    <definedName name="solver_mni" localSheetId="253" hidden="1">30</definedName>
    <definedName name="solver_mni" localSheetId="123" hidden="1">30</definedName>
    <definedName name="solver_mni" localSheetId="124" hidden="1">30</definedName>
    <definedName name="solver_mni" localSheetId="135" hidden="1">30</definedName>
    <definedName name="solver_mni" localSheetId="138" hidden="1">30</definedName>
    <definedName name="solver_mni" localSheetId="76" hidden="1">30</definedName>
    <definedName name="solver_mni" localSheetId="144" hidden="1">30</definedName>
    <definedName name="solver_mni" localSheetId="145" hidden="1">30</definedName>
    <definedName name="solver_mrt" localSheetId="165" hidden="1">0.075</definedName>
    <definedName name="solver_mrt" localSheetId="166" hidden="1">0.075</definedName>
    <definedName name="solver_mrt" localSheetId="63" hidden="1">0.075</definedName>
    <definedName name="solver_mrt" localSheetId="64" hidden="1">0.075</definedName>
    <definedName name="solver_mrt" localSheetId="248" hidden="1">0.075</definedName>
    <definedName name="solver_mrt" localSheetId="250" hidden="1">0.075</definedName>
    <definedName name="solver_mrt" localSheetId="252" hidden="1">0.075</definedName>
    <definedName name="solver_mrt" localSheetId="253" hidden="1">0.075</definedName>
    <definedName name="solver_mrt" localSheetId="123" hidden="1">0.075</definedName>
    <definedName name="solver_mrt" localSheetId="124" hidden="1">0.075</definedName>
    <definedName name="solver_mrt" localSheetId="135" hidden="1">0.075</definedName>
    <definedName name="solver_mrt" localSheetId="138" hidden="1">0.075</definedName>
    <definedName name="solver_mrt" localSheetId="76" hidden="1">0.075</definedName>
    <definedName name="solver_mrt" localSheetId="144" hidden="1">0.075</definedName>
    <definedName name="solver_mrt" localSheetId="145" hidden="1">0.075</definedName>
    <definedName name="solver_msl" localSheetId="165" hidden="1">2</definedName>
    <definedName name="solver_msl" localSheetId="166" hidden="1">2</definedName>
    <definedName name="solver_msl" localSheetId="63" hidden="1">2</definedName>
    <definedName name="solver_msl" localSheetId="64" hidden="1">2</definedName>
    <definedName name="solver_msl" localSheetId="248" hidden="1">2</definedName>
    <definedName name="solver_msl" localSheetId="250" hidden="1">2</definedName>
    <definedName name="solver_msl" localSheetId="252" hidden="1">2</definedName>
    <definedName name="solver_msl" localSheetId="253" hidden="1">2</definedName>
    <definedName name="solver_msl" localSheetId="123" hidden="1">2</definedName>
    <definedName name="solver_msl" localSheetId="124" hidden="1">2</definedName>
    <definedName name="solver_msl" localSheetId="135" hidden="1">2</definedName>
    <definedName name="solver_msl" localSheetId="138" hidden="1">2</definedName>
    <definedName name="solver_msl" localSheetId="76" hidden="1">2</definedName>
    <definedName name="solver_msl" localSheetId="144" hidden="1">2</definedName>
    <definedName name="solver_msl" localSheetId="145" hidden="1">2</definedName>
    <definedName name="solver_neg" localSheetId="165" hidden="1">2</definedName>
    <definedName name="solver_neg" localSheetId="166" hidden="1">2</definedName>
    <definedName name="solver_neg" localSheetId="63" hidden="1">2</definedName>
    <definedName name="solver_neg" localSheetId="64" hidden="1">2</definedName>
    <definedName name="solver_neg" localSheetId="248" hidden="1">2</definedName>
    <definedName name="solver_neg" localSheetId="250" hidden="1">2</definedName>
    <definedName name="solver_neg" localSheetId="252" hidden="1">2</definedName>
    <definedName name="solver_neg" localSheetId="253" hidden="1">2</definedName>
    <definedName name="solver_neg" localSheetId="123" hidden="1">2</definedName>
    <definedName name="solver_neg" localSheetId="124" hidden="1">2</definedName>
    <definedName name="solver_neg" localSheetId="135" hidden="1">2</definedName>
    <definedName name="solver_neg" localSheetId="138" hidden="1">2</definedName>
    <definedName name="solver_neg" localSheetId="76" hidden="1">1</definedName>
    <definedName name="solver_neg" localSheetId="144" hidden="1">2</definedName>
    <definedName name="solver_neg" localSheetId="145" hidden="1">2</definedName>
    <definedName name="solver_nod" localSheetId="165" hidden="1">2147483647</definedName>
    <definedName name="solver_nod" localSheetId="166" hidden="1">2147483647</definedName>
    <definedName name="solver_nod" localSheetId="63" hidden="1">2147483647</definedName>
    <definedName name="solver_nod" localSheetId="64" hidden="1">2147483647</definedName>
    <definedName name="solver_nod" localSheetId="248" hidden="1">2147483647</definedName>
    <definedName name="solver_nod" localSheetId="250" hidden="1">2147483647</definedName>
    <definedName name="solver_nod" localSheetId="252" hidden="1">2147483647</definedName>
    <definedName name="solver_nod" localSheetId="253" hidden="1">2147483647</definedName>
    <definedName name="solver_nod" localSheetId="123" hidden="1">2147483647</definedName>
    <definedName name="solver_nod" localSheetId="124" hidden="1">2147483647</definedName>
    <definedName name="solver_nod" localSheetId="135" hidden="1">2147483647</definedName>
    <definedName name="solver_nod" localSheetId="138" hidden="1">2147483647</definedName>
    <definedName name="solver_nod" localSheetId="76" hidden="1">2147483647</definedName>
    <definedName name="solver_nod" localSheetId="144" hidden="1">2147483647</definedName>
    <definedName name="solver_nod" localSheetId="145" hidden="1">2147483647</definedName>
    <definedName name="solver_num" localSheetId="165" hidden="1">0</definedName>
    <definedName name="solver_num" localSheetId="166" hidden="1">0</definedName>
    <definedName name="solver_num" localSheetId="63" hidden="1">0</definedName>
    <definedName name="solver_num" localSheetId="64" hidden="1">0</definedName>
    <definedName name="solver_num" localSheetId="248" hidden="1">10</definedName>
    <definedName name="solver_num" localSheetId="250" hidden="1">0</definedName>
    <definedName name="solver_num" localSheetId="252" hidden="1">0</definedName>
    <definedName name="solver_num" localSheetId="253" hidden="1">0</definedName>
    <definedName name="solver_num" localSheetId="123" hidden="1">0</definedName>
    <definedName name="solver_num" localSheetId="124" hidden="1">0</definedName>
    <definedName name="solver_num" localSheetId="135" hidden="1">0</definedName>
    <definedName name="solver_num" localSheetId="138" hidden="1">0</definedName>
    <definedName name="solver_num" localSheetId="76" hidden="1">0</definedName>
    <definedName name="solver_num" localSheetId="144" hidden="1">0</definedName>
    <definedName name="solver_num" localSheetId="145" hidden="1">0</definedName>
    <definedName name="solver_nwt" localSheetId="165" hidden="1">1</definedName>
    <definedName name="solver_nwt" localSheetId="166" hidden="1">1</definedName>
    <definedName name="solver_nwt" localSheetId="63" hidden="1">1</definedName>
    <definedName name="solver_nwt" localSheetId="64" hidden="1">1</definedName>
    <definedName name="solver_nwt" localSheetId="248" hidden="1">1</definedName>
    <definedName name="solver_nwt" localSheetId="250" hidden="1">1</definedName>
    <definedName name="solver_nwt" localSheetId="252" hidden="1">1</definedName>
    <definedName name="solver_nwt" localSheetId="253" hidden="1">1</definedName>
    <definedName name="solver_nwt" localSheetId="123" hidden="1">1</definedName>
    <definedName name="solver_nwt" localSheetId="124" hidden="1">1</definedName>
    <definedName name="solver_nwt" localSheetId="135" hidden="1">1</definedName>
    <definedName name="solver_nwt" localSheetId="138" hidden="1">1</definedName>
    <definedName name="solver_nwt" localSheetId="76" hidden="1">1</definedName>
    <definedName name="solver_nwt" localSheetId="144" hidden="1">1</definedName>
    <definedName name="solver_nwt" localSheetId="145" hidden="1">1</definedName>
    <definedName name="solver_opt" localSheetId="165" hidden="1">'Cox Reg 4'!$M$22</definedName>
    <definedName name="solver_opt" localSheetId="166" hidden="1">'Cox Reg 5'!$M$22</definedName>
    <definedName name="solver_opt" localSheetId="63" hidden="1">'Exp Reg1'!$E$15</definedName>
    <definedName name="solver_opt" localSheetId="64" hidden="1">'Exp Reg2'!$E$15</definedName>
    <definedName name="solver_opt" localSheetId="248" hidden="1">'FIML 2a'!$E$24</definedName>
    <definedName name="solver_opt" localSheetId="250" hidden="1">'FIML 2c'!$P$24</definedName>
    <definedName name="solver_opt" localSheetId="252" hidden="1">'FIML 3a'!$E$24</definedName>
    <definedName name="solver_opt" localSheetId="253" hidden="1">'FIML 3b'!$P$24</definedName>
    <definedName name="solver_opt" localSheetId="123" hidden="1">'Logit 3'!$L$14</definedName>
    <definedName name="solver_opt" localSheetId="124" hidden="1">'Logit 3a'!$M$43</definedName>
    <definedName name="solver_opt" localSheetId="135" hidden="1">'MLogit 2'!$U$17</definedName>
    <definedName name="solver_opt" localSheetId="138" hidden="1">'MLogit 4'!#REF!</definedName>
    <definedName name="solver_opt" localSheetId="76" hidden="1">'Mult Reg 2B'!$F$8</definedName>
    <definedName name="solver_opt" localSheetId="144" hidden="1">'OLogit 2'!$AD$13</definedName>
    <definedName name="solver_opt" localSheetId="145" hidden="1">'OLogit 3'!$AD$13</definedName>
    <definedName name="solver_pre" localSheetId="165" hidden="1">0.000001</definedName>
    <definedName name="solver_pre" localSheetId="166" hidden="1">0.000001</definedName>
    <definedName name="solver_pre" localSheetId="63" hidden="1">0.000001</definedName>
    <definedName name="solver_pre" localSheetId="64" hidden="1">0.000001</definedName>
    <definedName name="solver_pre" localSheetId="248" hidden="1">0.000001</definedName>
    <definedName name="solver_pre" localSheetId="250" hidden="1">0.000001</definedName>
    <definedName name="solver_pre" localSheetId="252" hidden="1">0.000001</definedName>
    <definedName name="solver_pre" localSheetId="253" hidden="1">0.000001</definedName>
    <definedName name="solver_pre" localSheetId="123" hidden="1">0.000001</definedName>
    <definedName name="solver_pre" localSheetId="124" hidden="1">0.000001</definedName>
    <definedName name="solver_pre" localSheetId="135" hidden="1">0.000001</definedName>
    <definedName name="solver_pre" localSheetId="138" hidden="1">0.000001</definedName>
    <definedName name="solver_pre" localSheetId="76" hidden="1">0.000001</definedName>
    <definedName name="solver_pre" localSheetId="144" hidden="1">0.000001</definedName>
    <definedName name="solver_pre" localSheetId="145" hidden="1">0.000001</definedName>
    <definedName name="solver_rbv" localSheetId="165" hidden="1">1</definedName>
    <definedName name="solver_rbv" localSheetId="166" hidden="1">1</definedName>
    <definedName name="solver_rbv" localSheetId="63" hidden="1">1</definedName>
    <definedName name="solver_rbv" localSheetId="64" hidden="1">1</definedName>
    <definedName name="solver_rbv" localSheetId="248" hidden="1">1</definedName>
    <definedName name="solver_rbv" localSheetId="250" hidden="1">1</definedName>
    <definedName name="solver_rbv" localSheetId="252" hidden="1">1</definedName>
    <definedName name="solver_rbv" localSheetId="253" hidden="1">1</definedName>
    <definedName name="solver_rbv" localSheetId="123" hidden="1">1</definedName>
    <definedName name="solver_rbv" localSheetId="124" hidden="1">1</definedName>
    <definedName name="solver_rbv" localSheetId="135" hidden="1">1</definedName>
    <definedName name="solver_rbv" localSheetId="138" hidden="1">1</definedName>
    <definedName name="solver_rbv" localSheetId="76" hidden="1">1</definedName>
    <definedName name="solver_rbv" localSheetId="144" hidden="1">1</definedName>
    <definedName name="solver_rbv" localSheetId="145" hidden="1">1</definedName>
    <definedName name="solver_rel1" localSheetId="248" hidden="1">3</definedName>
    <definedName name="solver_rel1" localSheetId="123" hidden="1">1</definedName>
    <definedName name="solver_rel1" localSheetId="145" hidden="1">3</definedName>
    <definedName name="solver_rel10" localSheetId="248" hidden="1">3</definedName>
    <definedName name="solver_rel10" localSheetId="123" hidden="1">3</definedName>
    <definedName name="solver_rel11" localSheetId="123" hidden="1">1</definedName>
    <definedName name="solver_rel12" localSheetId="123" hidden="1">3</definedName>
    <definedName name="solver_rel13" localSheetId="123" hidden="1">1</definedName>
    <definedName name="solver_rel14" localSheetId="123" hidden="1">3</definedName>
    <definedName name="solver_rel15" localSheetId="123" hidden="1">1</definedName>
    <definedName name="solver_rel16" localSheetId="123" hidden="1">3</definedName>
    <definedName name="solver_rel17" localSheetId="123" hidden="1">1</definedName>
    <definedName name="solver_rel18" localSheetId="123" hidden="1">3</definedName>
    <definedName name="solver_rel19" localSheetId="123" hidden="1">1</definedName>
    <definedName name="solver_rel2" localSheetId="248" hidden="1">3</definedName>
    <definedName name="solver_rel2" localSheetId="123" hidden="1">3</definedName>
    <definedName name="solver_rel20" localSheetId="123" hidden="1">3</definedName>
    <definedName name="solver_rel3" localSheetId="248" hidden="1">3</definedName>
    <definedName name="solver_rel3" localSheetId="123" hidden="1">1</definedName>
    <definedName name="solver_rel4" localSheetId="248" hidden="1">3</definedName>
    <definedName name="solver_rel4" localSheetId="123" hidden="1">3</definedName>
    <definedName name="solver_rel5" localSheetId="248" hidden="1">3</definedName>
    <definedName name="solver_rel5" localSheetId="123" hidden="1">1</definedName>
    <definedName name="solver_rel6" localSheetId="248" hidden="1">3</definedName>
    <definedName name="solver_rel6" localSheetId="123" hidden="1">3</definedName>
    <definedName name="solver_rel7" localSheetId="248" hidden="1">3</definedName>
    <definedName name="solver_rel7" localSheetId="123" hidden="1">1</definedName>
    <definedName name="solver_rel8" localSheetId="248" hidden="1">3</definedName>
    <definedName name="solver_rel8" localSheetId="123" hidden="1">3</definedName>
    <definedName name="solver_rel9" localSheetId="248" hidden="1">3</definedName>
    <definedName name="solver_rel9" localSheetId="123" hidden="1">1</definedName>
    <definedName name="solver_rhs1" localSheetId="248" hidden="1">0</definedName>
    <definedName name="solver_rhs1" localSheetId="123" hidden="1">1</definedName>
    <definedName name="solver_rhs1" localSheetId="145" hidden="1">0.0000001</definedName>
    <definedName name="solver_rhs10" localSheetId="248" hidden="1">0</definedName>
    <definedName name="solver_rhs10" localSheetId="123" hidden="1">0</definedName>
    <definedName name="solver_rhs11" localSheetId="123" hidden="1">1</definedName>
    <definedName name="solver_rhs12" localSheetId="123" hidden="1">0</definedName>
    <definedName name="solver_rhs13" localSheetId="123" hidden="1">1</definedName>
    <definedName name="solver_rhs14" localSheetId="123" hidden="1">0</definedName>
    <definedName name="solver_rhs15" localSheetId="123" hidden="1">1</definedName>
    <definedName name="solver_rhs16" localSheetId="123" hidden="1">0</definedName>
    <definedName name="solver_rhs17" localSheetId="123" hidden="1">1</definedName>
    <definedName name="solver_rhs18" localSheetId="123" hidden="1">0</definedName>
    <definedName name="solver_rhs19" localSheetId="123" hidden="1">1</definedName>
    <definedName name="solver_rhs2" localSheetId="248" hidden="1">0</definedName>
    <definedName name="solver_rhs2" localSheetId="123" hidden="1">0</definedName>
    <definedName name="solver_rhs20" localSheetId="123" hidden="1">0</definedName>
    <definedName name="solver_rhs3" localSheetId="248" hidden="1">0</definedName>
    <definedName name="solver_rhs3" localSheetId="123" hidden="1">1</definedName>
    <definedName name="solver_rhs4" localSheetId="248" hidden="1">0</definedName>
    <definedName name="solver_rhs4" localSheetId="123" hidden="1">0</definedName>
    <definedName name="solver_rhs5" localSheetId="248" hidden="1">0</definedName>
    <definedName name="solver_rhs5" localSheetId="123" hidden="1">1</definedName>
    <definedName name="solver_rhs6" localSheetId="248" hidden="1">0</definedName>
    <definedName name="solver_rhs6" localSheetId="123" hidden="1">0</definedName>
    <definedName name="solver_rhs7" localSheetId="248" hidden="1">0</definedName>
    <definedName name="solver_rhs7" localSheetId="123" hidden="1">1</definedName>
    <definedName name="solver_rhs8" localSheetId="248" hidden="1">0</definedName>
    <definedName name="solver_rhs8" localSheetId="123" hidden="1">0</definedName>
    <definedName name="solver_rhs9" localSheetId="248" hidden="1">0</definedName>
    <definedName name="solver_rhs9" localSheetId="123" hidden="1">1</definedName>
    <definedName name="solver_rlx" localSheetId="165" hidden="1">2</definedName>
    <definedName name="solver_rlx" localSheetId="166" hidden="1">2</definedName>
    <definedName name="solver_rlx" localSheetId="63" hidden="1">2</definedName>
    <definedName name="solver_rlx" localSheetId="64" hidden="1">2</definedName>
    <definedName name="solver_rlx" localSheetId="248" hidden="1">2</definedName>
    <definedName name="solver_rlx" localSheetId="250" hidden="1">2</definedName>
    <definedName name="solver_rlx" localSheetId="252" hidden="1">2</definedName>
    <definedName name="solver_rlx" localSheetId="253" hidden="1">2</definedName>
    <definedName name="solver_rlx" localSheetId="123" hidden="1">2</definedName>
    <definedName name="solver_rlx" localSheetId="124" hidden="1">2</definedName>
    <definedName name="solver_rlx" localSheetId="135" hidden="1">2</definedName>
    <definedName name="solver_rlx" localSheetId="138" hidden="1">2</definedName>
    <definedName name="solver_rlx" localSheetId="76" hidden="1">2</definedName>
    <definedName name="solver_rlx" localSheetId="144" hidden="1">2</definedName>
    <definedName name="solver_rlx" localSheetId="145" hidden="1">2</definedName>
    <definedName name="solver_rsd" localSheetId="165" hidden="1">0</definedName>
    <definedName name="solver_rsd" localSheetId="166" hidden="1">0</definedName>
    <definedName name="solver_rsd" localSheetId="63" hidden="1">0</definedName>
    <definedName name="solver_rsd" localSheetId="64" hidden="1">0</definedName>
    <definedName name="solver_rsd" localSheetId="248" hidden="1">0</definedName>
    <definedName name="solver_rsd" localSheetId="250" hidden="1">0</definedName>
    <definedName name="solver_rsd" localSheetId="252" hidden="1">0</definedName>
    <definedName name="solver_rsd" localSheetId="253" hidden="1">0</definedName>
    <definedName name="solver_rsd" localSheetId="123" hidden="1">0</definedName>
    <definedName name="solver_rsd" localSheetId="124" hidden="1">0</definedName>
    <definedName name="solver_rsd" localSheetId="135" hidden="1">0</definedName>
    <definedName name="solver_rsd" localSheetId="138" hidden="1">0</definedName>
    <definedName name="solver_rsd" localSheetId="76" hidden="1">0</definedName>
    <definedName name="solver_rsd" localSheetId="144" hidden="1">0</definedName>
    <definedName name="solver_rsd" localSheetId="145" hidden="1">0</definedName>
    <definedName name="solver_scl" localSheetId="165" hidden="1">1</definedName>
    <definedName name="solver_scl" localSheetId="166" hidden="1">1</definedName>
    <definedName name="solver_scl" localSheetId="63" hidden="1">1</definedName>
    <definedName name="solver_scl" localSheetId="64" hidden="1">1</definedName>
    <definedName name="solver_scl" localSheetId="248" hidden="1">1</definedName>
    <definedName name="solver_scl" localSheetId="250" hidden="1">1</definedName>
    <definedName name="solver_scl" localSheetId="252" hidden="1">1</definedName>
    <definedName name="solver_scl" localSheetId="253" hidden="1">1</definedName>
    <definedName name="solver_scl" localSheetId="123" hidden="1">1</definedName>
    <definedName name="solver_scl" localSheetId="124" hidden="1">1</definedName>
    <definedName name="solver_scl" localSheetId="135" hidden="1">1</definedName>
    <definedName name="solver_scl" localSheetId="138" hidden="1">1</definedName>
    <definedName name="solver_scl" localSheetId="76" hidden="1">1</definedName>
    <definedName name="solver_scl" localSheetId="144" hidden="1">1</definedName>
    <definedName name="solver_scl" localSheetId="145" hidden="1">1</definedName>
    <definedName name="solver_sho" localSheetId="165" hidden="1">2</definedName>
    <definedName name="solver_sho" localSheetId="166" hidden="1">2</definedName>
    <definedName name="solver_sho" localSheetId="63" hidden="1">2</definedName>
    <definedName name="solver_sho" localSheetId="64" hidden="1">2</definedName>
    <definedName name="solver_sho" localSheetId="248" hidden="1">2</definedName>
    <definedName name="solver_sho" localSheetId="250" hidden="1">2</definedName>
    <definedName name="solver_sho" localSheetId="252" hidden="1">2</definedName>
    <definedName name="solver_sho" localSheetId="253" hidden="1">2</definedName>
    <definedName name="solver_sho" localSheetId="123" hidden="1">2</definedName>
    <definedName name="solver_sho" localSheetId="124" hidden="1">2</definedName>
    <definedName name="solver_sho" localSheetId="135" hidden="1">2</definedName>
    <definedName name="solver_sho" localSheetId="138" hidden="1">2</definedName>
    <definedName name="solver_sho" localSheetId="76" hidden="1">2</definedName>
    <definedName name="solver_sho" localSheetId="144" hidden="1">2</definedName>
    <definedName name="solver_sho" localSheetId="145" hidden="1">2</definedName>
    <definedName name="solver_ssz" localSheetId="165" hidden="1">100</definedName>
    <definedName name="solver_ssz" localSheetId="166" hidden="1">100</definedName>
    <definedName name="solver_ssz" localSheetId="63" hidden="1">100</definedName>
    <definedName name="solver_ssz" localSheetId="64" hidden="1">100</definedName>
    <definedName name="solver_ssz" localSheetId="248" hidden="1">100</definedName>
    <definedName name="solver_ssz" localSheetId="250" hidden="1">100</definedName>
    <definedName name="solver_ssz" localSheetId="252" hidden="1">100</definedName>
    <definedName name="solver_ssz" localSheetId="253" hidden="1">100</definedName>
    <definedName name="solver_ssz" localSheetId="123" hidden="1">100</definedName>
    <definedName name="solver_ssz" localSheetId="124" hidden="1">100</definedName>
    <definedName name="solver_ssz" localSheetId="135" hidden="1">100</definedName>
    <definedName name="solver_ssz" localSheetId="138" hidden="1">100</definedName>
    <definedName name="solver_ssz" localSheetId="76" hidden="1">100</definedName>
    <definedName name="solver_ssz" localSheetId="144" hidden="1">100</definedName>
    <definedName name="solver_ssz" localSheetId="145" hidden="1">100</definedName>
    <definedName name="solver_tim" localSheetId="165" hidden="1">2147483647</definedName>
    <definedName name="solver_tim" localSheetId="166" hidden="1">2147483647</definedName>
    <definedName name="solver_tim" localSheetId="63" hidden="1">2147483647</definedName>
    <definedName name="solver_tim" localSheetId="64" hidden="1">2147483647</definedName>
    <definedName name="solver_tim" localSheetId="248" hidden="1">2147483647</definedName>
    <definedName name="solver_tim" localSheetId="250" hidden="1">2147483647</definedName>
    <definedName name="solver_tim" localSheetId="252" hidden="1">2147483647</definedName>
    <definedName name="solver_tim" localSheetId="253" hidden="1">2147483647</definedName>
    <definedName name="solver_tim" localSheetId="123" hidden="1">2147483647</definedName>
    <definedName name="solver_tim" localSheetId="124" hidden="1">2147483647</definedName>
    <definedName name="solver_tim" localSheetId="135" hidden="1">2147483647</definedName>
    <definedName name="solver_tim" localSheetId="138" hidden="1">2147483647</definedName>
    <definedName name="solver_tim" localSheetId="76" hidden="1">2147483647</definedName>
    <definedName name="solver_tim" localSheetId="144" hidden="1">2147483647</definedName>
    <definedName name="solver_tim" localSheetId="145" hidden="1">2147483647</definedName>
    <definedName name="solver_tol" localSheetId="165" hidden="1">0.01</definedName>
    <definedName name="solver_tol" localSheetId="166" hidden="1">0.01</definedName>
    <definedName name="solver_tol" localSheetId="63" hidden="1">0.01</definedName>
    <definedName name="solver_tol" localSheetId="64" hidden="1">0.01</definedName>
    <definedName name="solver_tol" localSheetId="248" hidden="1">0.01</definedName>
    <definedName name="solver_tol" localSheetId="250" hidden="1">0.01</definedName>
    <definedName name="solver_tol" localSheetId="252" hidden="1">0.01</definedName>
    <definedName name="solver_tol" localSheetId="253" hidden="1">0.01</definedName>
    <definedName name="solver_tol" localSheetId="123" hidden="1">0.01</definedName>
    <definedName name="solver_tol" localSheetId="124" hidden="1">0.01</definedName>
    <definedName name="solver_tol" localSheetId="135" hidden="1">0.01</definedName>
    <definedName name="solver_tol" localSheetId="138" hidden="1">0.01</definedName>
    <definedName name="solver_tol" localSheetId="76" hidden="1">0.01</definedName>
    <definedName name="solver_tol" localSheetId="144" hidden="1">0.01</definedName>
    <definedName name="solver_tol" localSheetId="145" hidden="1">0.01</definedName>
    <definedName name="solver_typ" localSheetId="165" hidden="1">1</definedName>
    <definedName name="solver_typ" localSheetId="166" hidden="1">1</definedName>
    <definedName name="solver_typ" localSheetId="63" hidden="1">2</definedName>
    <definedName name="solver_typ" localSheetId="64" hidden="1">2</definedName>
    <definedName name="solver_typ" localSheetId="248" hidden="1">2</definedName>
    <definedName name="solver_typ" localSheetId="250" hidden="1">2</definedName>
    <definedName name="solver_typ" localSheetId="252" hidden="1">2</definedName>
    <definedName name="solver_typ" localSheetId="253" hidden="1">2</definedName>
    <definedName name="solver_typ" localSheetId="123" hidden="1">1</definedName>
    <definedName name="solver_typ" localSheetId="124" hidden="1">1</definedName>
    <definedName name="solver_typ" localSheetId="135" hidden="1">1</definedName>
    <definedName name="solver_typ" localSheetId="138" hidden="1">1</definedName>
    <definedName name="solver_typ" localSheetId="76" hidden="1">2</definedName>
    <definedName name="solver_typ" localSheetId="144" hidden="1">1</definedName>
    <definedName name="solver_typ" localSheetId="145" hidden="1">1</definedName>
    <definedName name="solver_val" localSheetId="165" hidden="1">0</definedName>
    <definedName name="solver_val" localSheetId="166" hidden="1">0</definedName>
    <definedName name="solver_val" localSheetId="63" hidden="1">0</definedName>
    <definedName name="solver_val" localSheetId="64" hidden="1">0</definedName>
    <definedName name="solver_val" localSheetId="248" hidden="1">0</definedName>
    <definedName name="solver_val" localSheetId="250" hidden="1">0</definedName>
    <definedName name="solver_val" localSheetId="252" hidden="1">0</definedName>
    <definedName name="solver_val" localSheetId="253" hidden="1">0</definedName>
    <definedName name="solver_val" localSheetId="123" hidden="1">0</definedName>
    <definedName name="solver_val" localSheetId="124" hidden="1">0</definedName>
    <definedName name="solver_val" localSheetId="135" hidden="1">0</definedName>
    <definedName name="solver_val" localSheetId="138" hidden="1">0</definedName>
    <definedName name="solver_val" localSheetId="76" hidden="1">0</definedName>
    <definedName name="solver_val" localSheetId="144" hidden="1">0</definedName>
    <definedName name="solver_val" localSheetId="145" hidden="1">0</definedName>
    <definedName name="solver_ver" localSheetId="165" hidden="1">3</definedName>
    <definedName name="solver_ver" localSheetId="166" hidden="1">3</definedName>
    <definedName name="solver_ver" localSheetId="63" hidden="1">3</definedName>
    <definedName name="solver_ver" localSheetId="64" hidden="1">3</definedName>
    <definedName name="solver_ver" localSheetId="248" hidden="1">3</definedName>
    <definedName name="solver_ver" localSheetId="250" hidden="1">3</definedName>
    <definedName name="solver_ver" localSheetId="252" hidden="1">3</definedName>
    <definedName name="solver_ver" localSheetId="253" hidden="1">3</definedName>
    <definedName name="solver_ver" localSheetId="123" hidden="1">3</definedName>
    <definedName name="solver_ver" localSheetId="124" hidden="1">3</definedName>
    <definedName name="solver_ver" localSheetId="135" hidden="1">3</definedName>
    <definedName name="solver_ver" localSheetId="138" hidden="1">3</definedName>
    <definedName name="solver_ver" localSheetId="76" hidden="1">3</definedName>
    <definedName name="solver_ver" localSheetId="144" hidden="1">3</definedName>
    <definedName name="solver_ver" localSheetId="145" hidden="1">3</definedName>
  </definedNames>
  <calcPr calcId="152511"/>
</workbook>
</file>

<file path=xl/calcChain.xml><?xml version="1.0" encoding="utf-8"?>
<calcChain xmlns="http://schemas.openxmlformats.org/spreadsheetml/2006/main">
  <c r="BB9" i="729" l="1"/>
  <c r="BA9" i="729"/>
  <c r="AZ9" i="729"/>
  <c r="AY9" i="729"/>
  <c r="AX9" i="729"/>
  <c r="AW9" i="729"/>
  <c r="AV9" i="729"/>
  <c r="AU9" i="729"/>
  <c r="AT9" i="729"/>
  <c r="AS9" i="729"/>
  <c r="AR9" i="729"/>
  <c r="AQ9" i="729"/>
  <c r="BB8" i="729"/>
  <c r="BA8" i="729"/>
  <c r="AZ8" i="729"/>
  <c r="AY8" i="729"/>
  <c r="AX8" i="729"/>
  <c r="AW8" i="729"/>
  <c r="AV8" i="729"/>
  <c r="AU8" i="729"/>
  <c r="AT8" i="729"/>
  <c r="AS8" i="729"/>
  <c r="AR8" i="729"/>
  <c r="AQ8" i="729"/>
  <c r="BB7" i="729"/>
  <c r="BA7" i="729"/>
  <c r="AZ7" i="729"/>
  <c r="AY7" i="729"/>
  <c r="AX7" i="729"/>
  <c r="AW7" i="729"/>
  <c r="AV7" i="729"/>
  <c r="AU7" i="729"/>
  <c r="AT7" i="729"/>
  <c r="AS7" i="729"/>
  <c r="AR7" i="729"/>
  <c r="AQ7" i="729"/>
  <c r="BB6" i="729"/>
  <c r="BA6" i="729"/>
  <c r="AZ6" i="729"/>
  <c r="AY6" i="729"/>
  <c r="AX6" i="729"/>
  <c r="AW6" i="729"/>
  <c r="AV6" i="729"/>
  <c r="AU6" i="729"/>
  <c r="AT6" i="729"/>
  <c r="AS6" i="729"/>
  <c r="AR6" i="729"/>
  <c r="AQ6" i="729"/>
  <c r="BB5" i="729"/>
  <c r="BA5" i="729"/>
  <c r="AZ5" i="729"/>
  <c r="AY5" i="729"/>
  <c r="AX5" i="729"/>
  <c r="AW5" i="729"/>
  <c r="AV5" i="729"/>
  <c r="AU5" i="729"/>
  <c r="AT5" i="729"/>
  <c r="AS5" i="729"/>
  <c r="AR5" i="729"/>
  <c r="AQ5" i="729"/>
  <c r="BB4" i="729"/>
  <c r="BC13" i="729" s="1"/>
  <c r="BA4" i="729"/>
  <c r="BB13" i="729" s="1"/>
  <c r="AZ4" i="729"/>
  <c r="BA13" i="729" s="1"/>
  <c r="AY4" i="729"/>
  <c r="AZ13" i="729" s="1"/>
  <c r="AX4" i="729"/>
  <c r="AY13" i="729" s="1"/>
  <c r="AW4" i="729"/>
  <c r="AX13" i="729" s="1"/>
  <c r="AV4" i="729"/>
  <c r="AW13" i="729" s="1"/>
  <c r="AU4" i="729"/>
  <c r="AV13" i="729" s="1"/>
  <c r="AT4" i="729"/>
  <c r="AU13" i="729" s="1"/>
  <c r="AS4" i="729"/>
  <c r="AT13" i="729" s="1"/>
  <c r="AR4" i="729"/>
  <c r="AS13" i="729" s="1"/>
  <c r="AQ4" i="729"/>
  <c r="AR13" i="729" s="1"/>
  <c r="G6" i="729"/>
  <c r="G7" i="729"/>
  <c r="G8" i="729"/>
  <c r="G9" i="729"/>
  <c r="G10" i="729"/>
  <c r="M21" i="729" s="1"/>
  <c r="G11" i="729"/>
  <c r="G12" i="729"/>
  <c r="G13" i="729"/>
  <c r="G14" i="729"/>
  <c r="G15" i="729"/>
  <c r="M15" i="729" s="1"/>
  <c r="G16" i="729"/>
  <c r="G17" i="729"/>
  <c r="G18" i="729"/>
  <c r="G19" i="729"/>
  <c r="G5" i="729"/>
  <c r="M13" i="729" s="1"/>
  <c r="H4" i="729"/>
  <c r="N12" i="729" s="1"/>
  <c r="I4" i="729"/>
  <c r="O12" i="729" s="1"/>
  <c r="J4" i="729"/>
  <c r="P19" i="729" s="1"/>
  <c r="K4" i="729"/>
  <c r="Q12" i="729" s="1"/>
  <c r="G4" i="729"/>
  <c r="AD49" i="290"/>
  <c r="AT14" i="729"/>
  <c r="H11" i="729"/>
  <c r="I16" i="729"/>
  <c r="AD56" i="290"/>
  <c r="BB14" i="729"/>
  <c r="I18" i="729"/>
  <c r="BA15" i="729"/>
  <c r="J14" i="729"/>
  <c r="AZ14" i="729"/>
  <c r="H10" i="729"/>
  <c r="N33" i="290"/>
  <c r="N18" i="186"/>
  <c r="K7" i="729"/>
  <c r="H7" i="729"/>
  <c r="N34" i="290"/>
  <c r="AR14" i="729"/>
  <c r="AD53" i="290"/>
  <c r="K11" i="729"/>
  <c r="N39" i="290"/>
  <c r="K5" i="729"/>
  <c r="N32" i="290"/>
  <c r="H17" i="729"/>
  <c r="AS14" i="729"/>
  <c r="BC15" i="729"/>
  <c r="J9" i="729"/>
  <c r="K9" i="729"/>
  <c r="K14" i="729"/>
  <c r="H9" i="729"/>
  <c r="H8" i="729"/>
  <c r="AD60" i="290"/>
  <c r="AZ15" i="729"/>
  <c r="H19" i="729"/>
  <c r="H6" i="729"/>
  <c r="AD59" i="290"/>
  <c r="K19" i="729"/>
  <c r="AR15" i="729"/>
  <c r="H16" i="729"/>
  <c r="AY15" i="729"/>
  <c r="AU14" i="729"/>
  <c r="H14" i="729"/>
  <c r="AD57" i="290"/>
  <c r="AS15" i="729"/>
  <c r="N42" i="290"/>
  <c r="AD55" i="290"/>
  <c r="N37" i="290"/>
  <c r="I5" i="729"/>
  <c r="I15" i="729"/>
  <c r="H12" i="729"/>
  <c r="H5" i="729"/>
  <c r="AX15" i="729"/>
  <c r="J17" i="729"/>
  <c r="I7" i="729"/>
  <c r="BC14" i="729"/>
  <c r="N36" i="290"/>
  <c r="AW14" i="729"/>
  <c r="I12" i="729"/>
  <c r="AV14" i="729"/>
  <c r="AT15" i="729"/>
  <c r="AX14" i="729"/>
  <c r="I14" i="729"/>
  <c r="K8" i="729"/>
  <c r="K13" i="729"/>
  <c r="J5" i="729"/>
  <c r="I17" i="729"/>
  <c r="H18" i="729"/>
  <c r="J15" i="729"/>
  <c r="K12" i="729"/>
  <c r="J18" i="729"/>
  <c r="I9" i="729"/>
  <c r="AY14" i="729"/>
  <c r="J6" i="729"/>
  <c r="J8" i="729"/>
  <c r="I11" i="692"/>
  <c r="N35" i="290"/>
  <c r="I8" i="729"/>
  <c r="K18" i="729"/>
  <c r="Q17" i="719" a="1"/>
  <c r="N17" i="186"/>
  <c r="N43" i="290"/>
  <c r="J19" i="729"/>
  <c r="BA14" i="729"/>
  <c r="K17" i="729"/>
  <c r="H13" i="729"/>
  <c r="I6" i="729"/>
  <c r="K16" i="729"/>
  <c r="K10" i="729"/>
  <c r="AV15" i="729"/>
  <c r="J13" i="729"/>
  <c r="G25" i="189"/>
  <c r="AD52" i="290"/>
  <c r="J12" i="729"/>
  <c r="AD54" i="290"/>
  <c r="K6" i="729"/>
  <c r="N38" i="290"/>
  <c r="AW15" i="729"/>
  <c r="AD51" i="290"/>
  <c r="AD50" i="290"/>
  <c r="I11" i="729"/>
  <c r="Q18" i="719" a="1"/>
  <c r="N41" i="290"/>
  <c r="J11" i="729"/>
  <c r="J7" i="729"/>
  <c r="I10" i="729"/>
  <c r="N40" i="290"/>
  <c r="J16" i="729"/>
  <c r="K15" i="729"/>
  <c r="H15" i="729"/>
  <c r="BB15" i="729"/>
  <c r="AU15" i="729"/>
  <c r="I19" i="729"/>
  <c r="I13" i="729"/>
  <c r="J10" i="729"/>
  <c r="Q18" i="719" l="1"/>
  <c r="Q17" i="719"/>
  <c r="AC12" i="729"/>
  <c r="AB13" i="729"/>
  <c r="O19" i="729"/>
  <c r="AB14" i="729"/>
  <c r="AF5" i="729"/>
  <c r="AC5" i="729"/>
  <c r="AB6" i="729"/>
  <c r="AD12" i="729"/>
  <c r="AB15" i="729"/>
  <c r="AF19" i="729"/>
  <c r="AE19" i="729"/>
  <c r="AB22" i="729"/>
  <c r="M7" i="729"/>
  <c r="AD5" i="729"/>
  <c r="AB7" i="729"/>
  <c r="AE12" i="729"/>
  <c r="AC19" i="729"/>
  <c r="AB20" i="729"/>
  <c r="M14" i="729"/>
  <c r="AE5" i="729"/>
  <c r="AB8" i="729"/>
  <c r="AF12" i="729"/>
  <c r="AD19" i="729"/>
  <c r="AB21" i="729"/>
  <c r="AE16" i="729"/>
  <c r="AE13" i="729"/>
  <c r="AE9" i="729"/>
  <c r="AE20" i="729"/>
  <c r="AE23" i="729"/>
  <c r="AE6" i="729"/>
  <c r="AF15" i="729"/>
  <c r="AF8" i="729"/>
  <c r="AF22" i="729"/>
  <c r="AG15" i="729"/>
  <c r="AC15" i="729"/>
  <c r="AG8" i="729"/>
  <c r="AC8" i="729"/>
  <c r="AG22" i="729"/>
  <c r="AC22" i="729"/>
  <c r="AE14" i="729"/>
  <c r="AE7" i="729"/>
  <c r="AE21" i="729"/>
  <c r="AD20" i="729"/>
  <c r="AD6" i="729"/>
  <c r="AD16" i="729"/>
  <c r="AD13" i="729"/>
  <c r="AD9" i="729"/>
  <c r="AD23" i="729"/>
  <c r="AD22" i="729"/>
  <c r="AD15" i="729"/>
  <c r="AD8" i="729"/>
  <c r="AG21" i="729"/>
  <c r="AG14" i="729"/>
  <c r="AC14" i="729"/>
  <c r="AG7" i="729"/>
  <c r="AC7" i="729"/>
  <c r="AC21" i="729"/>
  <c r="AF16" i="729"/>
  <c r="AF13" i="729"/>
  <c r="AF9" i="729"/>
  <c r="AF23" i="729"/>
  <c r="AF6" i="729"/>
  <c r="AF20" i="729"/>
  <c r="AF21" i="729"/>
  <c r="AF14" i="729"/>
  <c r="AF7" i="729"/>
  <c r="AG23" i="729"/>
  <c r="AL10" i="729" s="1"/>
  <c r="AC23" i="729"/>
  <c r="AG6" i="729"/>
  <c r="AC6" i="729"/>
  <c r="AC9" i="729"/>
  <c r="AG20" i="729"/>
  <c r="AC20" i="729"/>
  <c r="AG16" i="729"/>
  <c r="AG13" i="729"/>
  <c r="AG9" i="729"/>
  <c r="AK10" i="729" s="1"/>
  <c r="AC16" i="729"/>
  <c r="AC13" i="729"/>
  <c r="AE22" i="729"/>
  <c r="AE15" i="729"/>
  <c r="AE8" i="729"/>
  <c r="AD14" i="729"/>
  <c r="AD7" i="729"/>
  <c r="AD21" i="729"/>
  <c r="AR17" i="729"/>
  <c r="AW17" i="729"/>
  <c r="AT17" i="729"/>
  <c r="AX17" i="729"/>
  <c r="BB17" i="729"/>
  <c r="AV17" i="729"/>
  <c r="AZ17" i="729"/>
  <c r="AS17" i="729"/>
  <c r="BA17" i="729"/>
  <c r="AU17" i="729"/>
  <c r="AY17" i="729"/>
  <c r="BC17" i="729"/>
  <c r="R23" i="729"/>
  <c r="W10" i="729" s="1"/>
  <c r="N23" i="729"/>
  <c r="R13" i="729"/>
  <c r="N13" i="729"/>
  <c r="R6" i="729"/>
  <c r="N6" i="729"/>
  <c r="N9" i="729"/>
  <c r="R20" i="729"/>
  <c r="N20" i="729"/>
  <c r="N16" i="729"/>
  <c r="R9" i="729"/>
  <c r="V10" i="729" s="1"/>
  <c r="R16" i="729"/>
  <c r="Q20" i="729"/>
  <c r="Q13" i="729"/>
  <c r="Q16" i="729"/>
  <c r="Q9" i="729"/>
  <c r="Q23" i="729"/>
  <c r="Q6" i="729"/>
  <c r="P16" i="729"/>
  <c r="P9" i="729"/>
  <c r="P23" i="729"/>
  <c r="P13" i="729"/>
  <c r="P6" i="729"/>
  <c r="P20" i="729"/>
  <c r="O16" i="729"/>
  <c r="O9" i="729"/>
  <c r="O23" i="729"/>
  <c r="O13" i="729"/>
  <c r="O6" i="729"/>
  <c r="O20" i="729"/>
  <c r="P22" i="729"/>
  <c r="P15" i="729"/>
  <c r="P8" i="729"/>
  <c r="P14" i="729"/>
  <c r="P7" i="729"/>
  <c r="P21" i="729"/>
  <c r="Q14" i="729"/>
  <c r="Q7" i="729"/>
  <c r="Q21" i="729"/>
  <c r="O15" i="729"/>
  <c r="O8" i="729"/>
  <c r="O22" i="729"/>
  <c r="O21" i="729"/>
  <c r="O14" i="729"/>
  <c r="O7" i="729"/>
  <c r="Q22" i="729"/>
  <c r="Q15" i="729"/>
  <c r="Q8" i="729"/>
  <c r="R15" i="729"/>
  <c r="N15" i="729"/>
  <c r="R8" i="729"/>
  <c r="N8" i="729"/>
  <c r="R22" i="729"/>
  <c r="N22" i="729"/>
  <c r="N21" i="729"/>
  <c r="R14" i="729"/>
  <c r="N14" i="729"/>
  <c r="R7" i="729"/>
  <c r="N7" i="729"/>
  <c r="R21" i="729"/>
  <c r="O5" i="729"/>
  <c r="N19" i="729"/>
  <c r="M20" i="729"/>
  <c r="M22" i="729"/>
  <c r="P5" i="729"/>
  <c r="N5" i="729"/>
  <c r="M6" i="729"/>
  <c r="M8" i="729"/>
  <c r="Q19" i="729"/>
  <c r="P12" i="729"/>
  <c r="Q5" i="729"/>
  <c r="AV3" i="728"/>
  <c r="AP11" i="728"/>
  <c r="AN3" i="728"/>
  <c r="AK3" i="728"/>
  <c r="E5" i="728"/>
  <c r="F5" i="728"/>
  <c r="E6" i="728"/>
  <c r="F6" i="728"/>
  <c r="E7" i="728"/>
  <c r="F7" i="728"/>
  <c r="E8" i="728"/>
  <c r="F8" i="728"/>
  <c r="E9" i="728"/>
  <c r="F9" i="728"/>
  <c r="E10" i="728"/>
  <c r="F10" i="728"/>
  <c r="E11" i="728"/>
  <c r="F11" i="728"/>
  <c r="E12" i="728"/>
  <c r="F12" i="728"/>
  <c r="E13" i="728"/>
  <c r="F13" i="728"/>
  <c r="E14" i="728"/>
  <c r="F14" i="728"/>
  <c r="E15" i="728"/>
  <c r="F15" i="728"/>
  <c r="E16" i="728"/>
  <c r="F16" i="728"/>
  <c r="E17" i="728"/>
  <c r="F17" i="728"/>
  <c r="E18" i="728"/>
  <c r="F18" i="728"/>
  <c r="E19" i="728"/>
  <c r="F19" i="728"/>
  <c r="E20" i="728"/>
  <c r="F20" i="728"/>
  <c r="E21" i="728"/>
  <c r="F21" i="728"/>
  <c r="E22" i="728"/>
  <c r="F22" i="728"/>
  <c r="E23" i="728"/>
  <c r="F23" i="728"/>
  <c r="S3" i="728"/>
  <c r="S2" i="728"/>
  <c r="S4" i="728"/>
  <c r="AP12" i="728" l="1"/>
  <c r="U10" i="729"/>
  <c r="AC4" i="729"/>
  <c r="AK7" i="729"/>
  <c r="AJ9" i="729"/>
  <c r="AJ10" i="729"/>
  <c r="AJ7" i="729"/>
  <c r="AJ6" i="729"/>
  <c r="AK6" i="729"/>
  <c r="U6" i="729"/>
  <c r="X6" i="729" s="1"/>
  <c r="V6" i="729"/>
  <c r="V7" i="729"/>
  <c r="U7" i="729"/>
  <c r="X7" i="729" s="1"/>
  <c r="N4" i="729"/>
  <c r="U9" i="729"/>
  <c r="AK8" i="729" l="1"/>
  <c r="AK9" i="729" s="1"/>
  <c r="AL9" i="729" s="1"/>
  <c r="AP13" i="728"/>
  <c r="AL7" i="729"/>
  <c r="Y7" i="729"/>
  <c r="Z7" i="729" s="1"/>
  <c r="AJ8" i="729"/>
  <c r="AL8" i="729" s="1"/>
  <c r="AM8" i="729" s="1"/>
  <c r="AN8" i="729" s="1"/>
  <c r="AO8" i="729" s="1"/>
  <c r="AL6" i="729"/>
  <c r="Y6" i="729"/>
  <c r="Z6" i="729" s="1"/>
  <c r="V8" i="729"/>
  <c r="V9" i="729" s="1"/>
  <c r="U8" i="729"/>
  <c r="X8" i="729" s="1"/>
  <c r="AA19" i="728" a="1"/>
  <c r="AA19" i="728" s="1"/>
  <c r="Q2" i="728"/>
  <c r="F4" i="728"/>
  <c r="E4" i="728"/>
  <c r="AB13" i="728" s="1"/>
  <c r="AK20" i="728"/>
  <c r="AQ10" i="728" a="1"/>
  <c r="AV4" i="728"/>
  <c r="AH19" i="728"/>
  <c r="AK21" i="728"/>
  <c r="AV5" i="728"/>
  <c r="AB18" i="728" a="1"/>
  <c r="AM7" i="729" l="1"/>
  <c r="AN7" i="729" s="1"/>
  <c r="AO7" i="729" s="1"/>
  <c r="AM6" i="729"/>
  <c r="AN6" i="729" s="1"/>
  <c r="AO6" i="729" s="1"/>
  <c r="AQ22" i="728"/>
  <c r="AQ17" i="728"/>
  <c r="AQ15" i="728"/>
  <c r="AQ12" i="728"/>
  <c r="AQ25" i="728"/>
  <c r="AQ10" i="728"/>
  <c r="AQ26" i="728"/>
  <c r="AQ21" i="728"/>
  <c r="AQ19" i="728"/>
  <c r="AQ20" i="728"/>
  <c r="AQ14" i="728"/>
  <c r="AQ16" i="728"/>
  <c r="AQ29" i="728"/>
  <c r="AQ23" i="728"/>
  <c r="AQ28" i="728"/>
  <c r="AQ18" i="728"/>
  <c r="AQ24" i="728"/>
  <c r="AQ11" i="728"/>
  <c r="AQ27" i="728"/>
  <c r="AQ13" i="728"/>
  <c r="AV7" i="728"/>
  <c r="AN6" i="728"/>
  <c r="AK16" i="728"/>
  <c r="AK11" i="728"/>
  <c r="AK7" i="728"/>
  <c r="AN10" i="728"/>
  <c r="AN4" i="728" s="1"/>
  <c r="AN5" i="728" s="1"/>
  <c r="AK8" i="728"/>
  <c r="AQ5" i="728"/>
  <c r="AR5" i="728" s="1"/>
  <c r="AK19" i="728"/>
  <c r="AK15" i="728"/>
  <c r="AK10" i="728"/>
  <c r="AK6" i="728"/>
  <c r="AK17" i="728"/>
  <c r="AK4" i="728"/>
  <c r="AQ7" i="728"/>
  <c r="AN8" i="728"/>
  <c r="AK18" i="728"/>
  <c r="AK14" i="728"/>
  <c r="AK9" i="728"/>
  <c r="AK5" i="728"/>
  <c r="AQ6" i="728"/>
  <c r="AK13" i="728"/>
  <c r="AK12" i="728" s="1"/>
  <c r="AN7" i="728"/>
  <c r="AP14" i="728"/>
  <c r="Y8" i="729"/>
  <c r="Z8" i="729" s="1"/>
  <c r="Q5" i="728"/>
  <c r="Q4" i="728"/>
  <c r="V6" i="728"/>
  <c r="AC15" i="728"/>
  <c r="AB18" i="728"/>
  <c r="AC19" i="728"/>
  <c r="AB19" i="728"/>
  <c r="AC18" i="728"/>
  <c r="Q3" i="728"/>
  <c r="AB9" i="728"/>
  <c r="AR10" i="728" l="1"/>
  <c r="AR11" i="728"/>
  <c r="AR12" i="728"/>
  <c r="AS13" i="728"/>
  <c r="AS18" i="728"/>
  <c r="AS16" i="728"/>
  <c r="AS21" i="728"/>
  <c r="AS12" i="728"/>
  <c r="AS27" i="728"/>
  <c r="AS28" i="728"/>
  <c r="AS14" i="728"/>
  <c r="AS26" i="728"/>
  <c r="AS15" i="728"/>
  <c r="AP15" i="728"/>
  <c r="AR14" i="728"/>
  <c r="AS11" i="728"/>
  <c r="AS23" i="728"/>
  <c r="AS20" i="728"/>
  <c r="AS10" i="728"/>
  <c r="AS17" i="728"/>
  <c r="AR13" i="728"/>
  <c r="AS24" i="728"/>
  <c r="AS29" i="728"/>
  <c r="AS19" i="728"/>
  <c r="AS25" i="728"/>
  <c r="AS22" i="728"/>
  <c r="W6" i="728"/>
  <c r="Y6" i="728" s="1"/>
  <c r="V7" i="728"/>
  <c r="Q6" i="728"/>
  <c r="Q7" i="728"/>
  <c r="V8" i="728"/>
  <c r="AB15" i="728"/>
  <c r="AB14" i="728" s="1"/>
  <c r="AF18" i="728" s="1"/>
  <c r="W7" i="728"/>
  <c r="W8" i="728" s="1"/>
  <c r="AD19" i="728"/>
  <c r="X6" i="728"/>
  <c r="W2" i="728"/>
  <c r="W3" i="728" s="1"/>
  <c r="AD18" i="728"/>
  <c r="AC13" i="728"/>
  <c r="AG18" i="728" l="1"/>
  <c r="AP16" i="728"/>
  <c r="AR15" i="728"/>
  <c r="AE18" i="728"/>
  <c r="AF19" i="728"/>
  <c r="AG19" i="728"/>
  <c r="AD13" i="728"/>
  <c r="AB6" i="728"/>
  <c r="AC14" i="728"/>
  <c r="X8" i="728"/>
  <c r="Y2" i="728"/>
  <c r="Y3" i="728" s="1"/>
  <c r="Y8" i="728"/>
  <c r="Y7" i="728"/>
  <c r="X7" i="728"/>
  <c r="X2" i="728"/>
  <c r="X3" i="728" s="1"/>
  <c r="AE19" i="728"/>
  <c r="AP17" i="728" l="1"/>
  <c r="AR16" i="728"/>
  <c r="AD14" i="728"/>
  <c r="AB8" i="728" s="1"/>
  <c r="AE7" i="728"/>
  <c r="AE5" i="728"/>
  <c r="AE6" i="728" s="1"/>
  <c r="AB5" i="728"/>
  <c r="AB7" i="728"/>
  <c r="AP18" i="728" l="1"/>
  <c r="AR17" i="728"/>
  <c r="AE13" i="728"/>
  <c r="AF13" i="728" s="1"/>
  <c r="AG13" i="728" s="1"/>
  <c r="G19" i="727" a="1"/>
  <c r="G22" i="727" s="1"/>
  <c r="Q18" i="727" a="1"/>
  <c r="Q20" i="727" s="1"/>
  <c r="S14" i="727"/>
  <c r="R12" i="727"/>
  <c r="G12" i="727"/>
  <c r="G13" i="727" s="1"/>
  <c r="G14" i="727" s="1"/>
  <c r="R8" i="727"/>
  <c r="R14" i="727" s="1"/>
  <c r="G4" i="727" a="1"/>
  <c r="G5" i="727" s="1"/>
  <c r="H35" i="727" a="1"/>
  <c r="B23" i="727" a="1"/>
  <c r="S24" i="727"/>
  <c r="R17" i="727" a="1"/>
  <c r="H4" i="727" a="1"/>
  <c r="S25" i="727"/>
  <c r="S17" i="727" a="1"/>
  <c r="Q19" i="727" l="1"/>
  <c r="AP19" i="728"/>
  <c r="AR18" i="728"/>
  <c r="G6" i="727"/>
  <c r="G19" i="727"/>
  <c r="R13" i="727"/>
  <c r="Q18" i="727"/>
  <c r="G20" i="727"/>
  <c r="R18" i="727"/>
  <c r="R17" i="727"/>
  <c r="R20" i="727"/>
  <c r="R19" i="727"/>
  <c r="J38" i="727"/>
  <c r="J37" i="727"/>
  <c r="J36" i="727"/>
  <c r="J35" i="727"/>
  <c r="I38" i="727"/>
  <c r="I37" i="727"/>
  <c r="I36" i="727"/>
  <c r="I35" i="727"/>
  <c r="H38" i="727"/>
  <c r="H37" i="727"/>
  <c r="H36" i="727"/>
  <c r="H35" i="727"/>
  <c r="K38" i="727"/>
  <c r="K37" i="727"/>
  <c r="K36" i="727"/>
  <c r="K35" i="727"/>
  <c r="I7" i="727"/>
  <c r="I6" i="727"/>
  <c r="I5" i="727"/>
  <c r="I4" i="727"/>
  <c r="H7" i="727"/>
  <c r="H6" i="727"/>
  <c r="H5" i="727"/>
  <c r="H4" i="727"/>
  <c r="K7" i="727"/>
  <c r="K6" i="727"/>
  <c r="K5" i="727"/>
  <c r="K4" i="727"/>
  <c r="J7" i="727"/>
  <c r="J6" i="727"/>
  <c r="J5" i="727"/>
  <c r="J4" i="727"/>
  <c r="S17" i="727"/>
  <c r="S20" i="727"/>
  <c r="S19" i="727"/>
  <c r="S18" i="727"/>
  <c r="B23" i="727"/>
  <c r="G7" i="727"/>
  <c r="G4" i="727"/>
  <c r="G21" i="727"/>
  <c r="AP20" i="728" l="1"/>
  <c r="AR19" i="728"/>
  <c r="H11" i="727" a="1"/>
  <c r="J14" i="727" s="1"/>
  <c r="V19" i="727"/>
  <c r="T19" i="727"/>
  <c r="U19" i="727" s="1"/>
  <c r="W19" i="727"/>
  <c r="W20" i="727"/>
  <c r="V20" i="727"/>
  <c r="T20" i="727"/>
  <c r="U20" i="727" s="1"/>
  <c r="T17" i="727"/>
  <c r="U17" i="727" s="1"/>
  <c r="W17" i="727"/>
  <c r="V17" i="727"/>
  <c r="T18" i="727"/>
  <c r="U18" i="727" s="1"/>
  <c r="W18" i="727"/>
  <c r="V18" i="727"/>
  <c r="S12" i="727"/>
  <c r="AP21" i="728" l="1"/>
  <c r="AR20" i="728"/>
  <c r="H13" i="727"/>
  <c r="K14" i="727"/>
  <c r="I13" i="727"/>
  <c r="J11" i="727"/>
  <c r="I14" i="727"/>
  <c r="J12" i="727"/>
  <c r="H11" i="727"/>
  <c r="K13" i="727"/>
  <c r="I11" i="727"/>
  <c r="K11" i="727"/>
  <c r="H12" i="727"/>
  <c r="J13" i="727"/>
  <c r="I12" i="727"/>
  <c r="K12" i="727"/>
  <c r="H14" i="727"/>
  <c r="R5" i="727"/>
  <c r="T12" i="727"/>
  <c r="S13" i="727"/>
  <c r="T13" i="727" s="1"/>
  <c r="R7" i="727" s="1"/>
  <c r="S26" i="727"/>
  <c r="M11" i="727" a="1"/>
  <c r="AP22" i="728" l="1"/>
  <c r="AR21" i="728"/>
  <c r="O11" i="727" a="1"/>
  <c r="O11" i="727" s="1"/>
  <c r="M11" i="727"/>
  <c r="M14" i="727"/>
  <c r="M12" i="727"/>
  <c r="M13" i="727"/>
  <c r="U12" i="727"/>
  <c r="V12" i="727" s="1"/>
  <c r="W12" i="727" s="1"/>
  <c r="R4" i="727"/>
  <c r="R6" i="727"/>
  <c r="B22" i="727" l="1" a="1"/>
  <c r="B22" i="727" s="1"/>
  <c r="AP23" i="728"/>
  <c r="AR22" i="728"/>
  <c r="O13" i="727"/>
  <c r="O14" i="727"/>
  <c r="O12" i="727"/>
  <c r="H19" i="727" a="1"/>
  <c r="K21" i="727" s="1"/>
  <c r="H27" i="727" a="1"/>
  <c r="H29" i="727" s="1"/>
  <c r="A5" i="724"/>
  <c r="A6" i="724" s="1"/>
  <c r="A7" i="724" s="1"/>
  <c r="A8" i="724" s="1"/>
  <c r="A9" i="724" s="1"/>
  <c r="A10" i="724" s="1"/>
  <c r="A11" i="724" s="1"/>
  <c r="A12" i="724" s="1"/>
  <c r="A13" i="724" s="1"/>
  <c r="A14" i="724" s="1"/>
  <c r="F4" i="724" a="1"/>
  <c r="F11" i="724" s="1"/>
  <c r="G11" i="724" s="1"/>
  <c r="Q11" i="724" s="1"/>
  <c r="R12" i="724" s="1"/>
  <c r="AB4" i="724" a="1"/>
  <c r="AP24" i="728" l="1"/>
  <c r="AR23" i="728"/>
  <c r="I20" i="727"/>
  <c r="I22" i="727"/>
  <c r="K19" i="727"/>
  <c r="I21" i="727"/>
  <c r="I19" i="727"/>
  <c r="H20" i="727"/>
  <c r="K22" i="727"/>
  <c r="H21" i="727"/>
  <c r="H19" i="727"/>
  <c r="K20" i="727"/>
  <c r="H22" i="727"/>
  <c r="J19" i="727"/>
  <c r="J20" i="727"/>
  <c r="J21" i="727"/>
  <c r="J22" i="727"/>
  <c r="J30" i="727"/>
  <c r="J29" i="727"/>
  <c r="I30" i="727"/>
  <c r="I29" i="727"/>
  <c r="K29" i="727"/>
  <c r="H30" i="727"/>
  <c r="K30" i="727"/>
  <c r="K28" i="727"/>
  <c r="I28" i="727"/>
  <c r="K27" i="727"/>
  <c r="I27" i="727"/>
  <c r="J28" i="727"/>
  <c r="H28" i="727"/>
  <c r="J27" i="727"/>
  <c r="H27" i="727"/>
  <c r="AB4" i="724"/>
  <c r="AB6" i="724"/>
  <c r="AB8" i="724"/>
  <c r="AB10" i="724"/>
  <c r="AB12" i="724"/>
  <c r="AB7" i="724"/>
  <c r="AB11" i="724"/>
  <c r="AC5" i="724"/>
  <c r="AC9" i="724"/>
  <c r="AC4" i="724"/>
  <c r="AC6" i="724"/>
  <c r="AC8" i="724"/>
  <c r="AC10" i="724"/>
  <c r="AC12" i="724"/>
  <c r="AB5" i="724"/>
  <c r="AB9" i="724"/>
  <c r="AC7" i="724"/>
  <c r="AC11" i="724"/>
  <c r="F5" i="724"/>
  <c r="G5" i="724" s="1"/>
  <c r="Q5" i="724" s="1"/>
  <c r="F9" i="724"/>
  <c r="G9" i="724" s="1"/>
  <c r="Q9" i="724" s="1"/>
  <c r="R10" i="724" s="1"/>
  <c r="F13" i="724"/>
  <c r="G13" i="724" s="1"/>
  <c r="Q13" i="724" s="1"/>
  <c r="R14" i="724" s="1"/>
  <c r="F4" i="724"/>
  <c r="G4" i="724" s="1"/>
  <c r="F8" i="724"/>
  <c r="G8" i="724" s="1"/>
  <c r="Q8" i="724" s="1"/>
  <c r="R9" i="724" s="1"/>
  <c r="F12" i="724"/>
  <c r="G12" i="724" s="1"/>
  <c r="Q12" i="724" s="1"/>
  <c r="R13" i="724" s="1"/>
  <c r="F6" i="724"/>
  <c r="G6" i="724" s="1"/>
  <c r="Q6" i="724" s="1"/>
  <c r="R7" i="724" s="1"/>
  <c r="F10" i="724"/>
  <c r="G10" i="724" s="1"/>
  <c r="Q10" i="724" s="1"/>
  <c r="R11" i="724" s="1"/>
  <c r="F14" i="724"/>
  <c r="G14" i="724" s="1"/>
  <c r="Q14" i="724" s="1"/>
  <c r="F7" i="724"/>
  <c r="G7" i="724" s="1"/>
  <c r="Q7" i="724" s="1"/>
  <c r="R8" i="724" s="1"/>
  <c r="N20" i="723" a="1"/>
  <c r="N20" i="723" s="1"/>
  <c r="L50" i="723"/>
  <c r="L51" i="723"/>
  <c r="L52" i="723"/>
  <c r="L53" i="723"/>
  <c r="L54" i="723"/>
  <c r="L55" i="723"/>
  <c r="L56" i="723"/>
  <c r="L57" i="723"/>
  <c r="L58" i="723"/>
  <c r="L59" i="723"/>
  <c r="L60" i="723"/>
  <c r="L61" i="723"/>
  <c r="L62" i="723"/>
  <c r="L63" i="723"/>
  <c r="L49" i="723"/>
  <c r="L35" i="723"/>
  <c r="L36" i="723"/>
  <c r="L37" i="723"/>
  <c r="L38" i="723"/>
  <c r="L39" i="723"/>
  <c r="L40" i="723"/>
  <c r="L41" i="723"/>
  <c r="L42" i="723"/>
  <c r="L43" i="723"/>
  <c r="L44" i="723"/>
  <c r="L45" i="723"/>
  <c r="L46" i="723"/>
  <c r="L47" i="723"/>
  <c r="L48" i="723"/>
  <c r="L34" i="723"/>
  <c r="L20" i="723"/>
  <c r="L21" i="723"/>
  <c r="L22" i="723"/>
  <c r="L23" i="723"/>
  <c r="L24" i="723"/>
  <c r="L25" i="723"/>
  <c r="L26" i="723"/>
  <c r="L27" i="723"/>
  <c r="L28" i="723"/>
  <c r="L29" i="723"/>
  <c r="L30" i="723"/>
  <c r="L31" i="723"/>
  <c r="L32" i="723"/>
  <c r="L33" i="723"/>
  <c r="L19" i="723"/>
  <c r="L5" i="723"/>
  <c r="L6" i="723"/>
  <c r="L7" i="723"/>
  <c r="L8" i="723"/>
  <c r="L9" i="723"/>
  <c r="L10" i="723"/>
  <c r="L11" i="723"/>
  <c r="L12" i="723"/>
  <c r="L13" i="723"/>
  <c r="L14" i="723"/>
  <c r="L15" i="723"/>
  <c r="L16" i="723"/>
  <c r="L17" i="723"/>
  <c r="L18" i="723"/>
  <c r="L4" i="723"/>
  <c r="F5" i="723"/>
  <c r="K35" i="723" s="1"/>
  <c r="F6" i="723"/>
  <c r="K51" i="723" s="1"/>
  <c r="F7" i="723"/>
  <c r="K37" i="723" s="1"/>
  <c r="F8" i="723"/>
  <c r="K53" i="723" s="1"/>
  <c r="F9" i="723"/>
  <c r="K39" i="723" s="1"/>
  <c r="F10" i="723"/>
  <c r="K55" i="723" s="1"/>
  <c r="F11" i="723"/>
  <c r="K41" i="723" s="1"/>
  <c r="F12" i="723"/>
  <c r="K57" i="723" s="1"/>
  <c r="F13" i="723"/>
  <c r="K43" i="723" s="1"/>
  <c r="F14" i="723"/>
  <c r="K59" i="723" s="1"/>
  <c r="F15" i="723"/>
  <c r="K45" i="723" s="1"/>
  <c r="F16" i="723"/>
  <c r="K61" i="723" s="1"/>
  <c r="F17" i="723"/>
  <c r="K47" i="723" s="1"/>
  <c r="F18" i="723"/>
  <c r="K63" i="723" s="1"/>
  <c r="F4" i="723"/>
  <c r="K4" i="723" s="1"/>
  <c r="O14" i="723" s="1"/>
  <c r="A5" i="723"/>
  <c r="A6" i="723" s="1"/>
  <c r="A7" i="723" s="1"/>
  <c r="A8" i="723" s="1"/>
  <c r="A9" i="723" s="1"/>
  <c r="A10" i="723" s="1"/>
  <c r="A11" i="723" s="1"/>
  <c r="A12" i="723" s="1"/>
  <c r="A13" i="723" s="1"/>
  <c r="A14" i="723" s="1"/>
  <c r="A15" i="723" s="1"/>
  <c r="A16" i="723" s="1"/>
  <c r="A17" i="723" s="1"/>
  <c r="A18" i="723" s="1"/>
  <c r="U20" i="723"/>
  <c r="K38" i="723" l="1"/>
  <c r="K42" i="723"/>
  <c r="AP25" i="728"/>
  <c r="AR24" i="728"/>
  <c r="K49" i="723"/>
  <c r="K15" i="723"/>
  <c r="K52" i="723"/>
  <c r="K22" i="723"/>
  <c r="K19" i="723"/>
  <c r="K56" i="723"/>
  <c r="P16" i="723"/>
  <c r="K11" i="723"/>
  <c r="K30" i="723"/>
  <c r="R6" i="724"/>
  <c r="K7" i="723"/>
  <c r="K26" i="723"/>
  <c r="K46" i="723"/>
  <c r="K60" i="723"/>
  <c r="G16" i="724"/>
  <c r="Q4" i="724"/>
  <c r="R5" i="724" s="1"/>
  <c r="K18" i="723"/>
  <c r="K10" i="723"/>
  <c r="K6" i="723"/>
  <c r="K32" i="723"/>
  <c r="K28" i="723"/>
  <c r="K24" i="723"/>
  <c r="K20" i="723"/>
  <c r="K17" i="723"/>
  <c r="K13" i="723"/>
  <c r="K9" i="723"/>
  <c r="K5" i="723"/>
  <c r="K34" i="723"/>
  <c r="O10" i="723"/>
  <c r="O16" i="723" s="1"/>
  <c r="O15" i="723" s="1"/>
  <c r="K14" i="723"/>
  <c r="K48" i="723"/>
  <c r="K44" i="723"/>
  <c r="K40" i="723"/>
  <c r="K36" i="723"/>
  <c r="K62" i="723"/>
  <c r="K58" i="723"/>
  <c r="K54" i="723"/>
  <c r="K50" i="723"/>
  <c r="K16" i="723"/>
  <c r="K12" i="723"/>
  <c r="K8" i="723"/>
  <c r="K33" i="723"/>
  <c r="K31" i="723"/>
  <c r="K29" i="723"/>
  <c r="K27" i="723"/>
  <c r="K25" i="723"/>
  <c r="K23" i="723"/>
  <c r="K21" i="723"/>
  <c r="N21" i="723"/>
  <c r="N23" i="723"/>
  <c r="N22" i="723"/>
  <c r="O19" i="723" a="1"/>
  <c r="U23" i="723"/>
  <c r="U21" i="723"/>
  <c r="U22" i="723"/>
  <c r="AP26" i="728" l="1"/>
  <c r="AR25" i="728"/>
  <c r="R16" i="724"/>
  <c r="P20" i="723"/>
  <c r="O23" i="723"/>
  <c r="O20" i="723"/>
  <c r="O19" i="723"/>
  <c r="P21" i="723"/>
  <c r="P22" i="723"/>
  <c r="P19" i="723"/>
  <c r="O22" i="723"/>
  <c r="O21" i="723"/>
  <c r="Q21" i="723" s="1"/>
  <c r="R21" i="723" s="1"/>
  <c r="P23" i="723"/>
  <c r="AP27" i="728" l="1"/>
  <c r="AR26" i="728"/>
  <c r="S23" i="723"/>
  <c r="Q23" i="723"/>
  <c r="R23" i="723" s="1"/>
  <c r="S21" i="723"/>
  <c r="T21" i="723"/>
  <c r="T23" i="723"/>
  <c r="Q20" i="723"/>
  <c r="R20" i="723" s="1"/>
  <c r="T22" i="723"/>
  <c r="T19" i="723"/>
  <c r="T20" i="723"/>
  <c r="S20" i="723"/>
  <c r="Q19" i="723"/>
  <c r="R19" i="723" s="1"/>
  <c r="Q22" i="723"/>
  <c r="R22" i="723" s="1"/>
  <c r="S22" i="723"/>
  <c r="S19" i="723"/>
  <c r="L42" i="650" a="1"/>
  <c r="L43" i="650" s="1"/>
  <c r="N38" i="650"/>
  <c r="M36" i="650"/>
  <c r="M32" i="650"/>
  <c r="M38" i="650" s="1"/>
  <c r="L18" i="650" a="1"/>
  <c r="L18" i="650" s="1"/>
  <c r="N14" i="650"/>
  <c r="M14" i="650"/>
  <c r="M12" i="650"/>
  <c r="M8" i="650"/>
  <c r="E20" i="427" a="1"/>
  <c r="E20" i="427" s="1"/>
  <c r="G16" i="427"/>
  <c r="F14" i="427"/>
  <c r="F10" i="427"/>
  <c r="F16" i="427" s="1"/>
  <c r="AK19" i="101"/>
  <c r="S42" i="650"/>
  <c r="M17" i="650" a="1"/>
  <c r="L21" i="427"/>
  <c r="AK13" i="101"/>
  <c r="M41" i="650" a="1"/>
  <c r="AK20" i="101"/>
  <c r="AL21" i="101"/>
  <c r="S43" i="650"/>
  <c r="S44" i="650"/>
  <c r="AK15" i="101"/>
  <c r="L20" i="427"/>
  <c r="S45" i="650"/>
  <c r="AK21" i="101"/>
  <c r="AL13" i="101"/>
  <c r="F19" i="427" a="1"/>
  <c r="S19" i="650"/>
  <c r="S21" i="650"/>
  <c r="AL15" i="101"/>
  <c r="AL20" i="101"/>
  <c r="AL19" i="101"/>
  <c r="S18" i="650"/>
  <c r="S20" i="650"/>
  <c r="AP28" i="728" l="1"/>
  <c r="AR27" i="728"/>
  <c r="M13" i="650"/>
  <c r="F15" i="427"/>
  <c r="M37" i="650"/>
  <c r="M41" i="650"/>
  <c r="M43" i="650"/>
  <c r="M45" i="650"/>
  <c r="N41" i="650"/>
  <c r="N43" i="650"/>
  <c r="N45" i="650"/>
  <c r="N42" i="650"/>
  <c r="N44" i="650"/>
  <c r="M42" i="650"/>
  <c r="M44" i="650"/>
  <c r="L42" i="650"/>
  <c r="L45" i="650"/>
  <c r="L44" i="650"/>
  <c r="M17" i="650"/>
  <c r="M19" i="650"/>
  <c r="M21" i="650"/>
  <c r="N17" i="650"/>
  <c r="N19" i="650"/>
  <c r="N21" i="650"/>
  <c r="N18" i="650"/>
  <c r="N20" i="650"/>
  <c r="M18" i="650"/>
  <c r="M20" i="650"/>
  <c r="L21" i="650"/>
  <c r="L20" i="650"/>
  <c r="L19" i="650"/>
  <c r="F19" i="427"/>
  <c r="F21" i="427"/>
  <c r="G21" i="427"/>
  <c r="F20" i="427"/>
  <c r="G20" i="427"/>
  <c r="G19" i="427"/>
  <c r="E21" i="427"/>
  <c r="D5" i="719"/>
  <c r="F24" i="719"/>
  <c r="E25" i="719"/>
  <c r="E26" i="719" s="1"/>
  <c r="E27" i="719" s="1"/>
  <c r="E28" i="719" s="1"/>
  <c r="E29" i="719" s="1"/>
  <c r="E30" i="719" s="1"/>
  <c r="E31" i="719" s="1"/>
  <c r="AP29" i="728" l="1"/>
  <c r="AR29" i="728" s="1"/>
  <c r="AR28" i="728"/>
  <c r="R21" i="650"/>
  <c r="Q21" i="650"/>
  <c r="O21" i="650"/>
  <c r="P21" i="650" s="1"/>
  <c r="Q20" i="650"/>
  <c r="O20" i="650"/>
  <c r="P20" i="650" s="1"/>
  <c r="R20" i="650"/>
  <c r="O45" i="650"/>
  <c r="P45" i="650" s="1"/>
  <c r="R45" i="650"/>
  <c r="Q45" i="650"/>
  <c r="O19" i="650"/>
  <c r="P19" i="650" s="1"/>
  <c r="R19" i="650"/>
  <c r="Q19" i="650"/>
  <c r="R18" i="650"/>
  <c r="O18" i="650"/>
  <c r="P18" i="650" s="1"/>
  <c r="Q18" i="650"/>
  <c r="O17" i="650"/>
  <c r="P17" i="650" s="1"/>
  <c r="Q17" i="650"/>
  <c r="R17" i="650"/>
  <c r="R44" i="650"/>
  <c r="O44" i="650"/>
  <c r="P44" i="650" s="1"/>
  <c r="Q44" i="650"/>
  <c r="Q43" i="650"/>
  <c r="R43" i="650"/>
  <c r="O43" i="650"/>
  <c r="P43" i="650" s="1"/>
  <c r="O42" i="650"/>
  <c r="P42" i="650" s="1"/>
  <c r="Q42" i="650"/>
  <c r="R42" i="650"/>
  <c r="R41" i="650"/>
  <c r="Q41" i="650"/>
  <c r="O41" i="650"/>
  <c r="P41" i="650" s="1"/>
  <c r="H20" i="427"/>
  <c r="I20" i="427" s="1"/>
  <c r="J20" i="427"/>
  <c r="K20" i="427"/>
  <c r="J21" i="427"/>
  <c r="H21" i="427"/>
  <c r="I21" i="427" s="1"/>
  <c r="K21" i="427"/>
  <c r="J19" i="427"/>
  <c r="H19" i="427"/>
  <c r="I19" i="427" s="1"/>
  <c r="K19" i="427"/>
  <c r="AG4" i="722" a="1"/>
  <c r="AG4" i="722" s="1"/>
  <c r="AF4" i="722" a="1"/>
  <c r="AF4" i="722" s="1"/>
  <c r="Z4" i="722" a="1"/>
  <c r="Z4" i="722" s="1"/>
  <c r="Q5" i="722"/>
  <c r="Q6" i="722"/>
  <c r="Q7" i="722"/>
  <c r="Q8" i="722"/>
  <c r="Q9" i="722"/>
  <c r="Q10" i="722"/>
  <c r="Q11" i="722"/>
  <c r="Q12" i="722"/>
  <c r="Q13" i="722"/>
  <c r="Q14" i="722"/>
  <c r="Q4" i="722"/>
  <c r="N5" i="722"/>
  <c r="O5" i="722"/>
  <c r="N6" i="722"/>
  <c r="O6" i="722"/>
  <c r="N7" i="722"/>
  <c r="O7" i="722"/>
  <c r="N8" i="722"/>
  <c r="O8" i="722"/>
  <c r="N9" i="722"/>
  <c r="O9" i="722"/>
  <c r="N10" i="722"/>
  <c r="O10" i="722"/>
  <c r="N11" i="722"/>
  <c r="O11" i="722"/>
  <c r="N12" i="722"/>
  <c r="O12" i="722"/>
  <c r="N13" i="722"/>
  <c r="O13" i="722"/>
  <c r="N14" i="722"/>
  <c r="O14" i="722"/>
  <c r="O4" i="722"/>
  <c r="N4" i="722"/>
  <c r="E17" i="722" a="1"/>
  <c r="E18" i="722" s="1"/>
  <c r="F8" i="722"/>
  <c r="G13" i="722"/>
  <c r="H13" i="722"/>
  <c r="I12" i="722"/>
  <c r="F14" i="722"/>
  <c r="H12" i="722"/>
  <c r="F4" i="722"/>
  <c r="G12" i="722"/>
  <c r="F13" i="722"/>
  <c r="G14" i="722"/>
  <c r="J12" i="722"/>
  <c r="I4" i="722"/>
  <c r="L18" i="722"/>
  <c r="F5" i="722"/>
  <c r="F17" i="722" a="1"/>
  <c r="L17" i="722"/>
  <c r="I6" i="722"/>
  <c r="I5" i="722"/>
  <c r="F7" i="722"/>
  <c r="F12" i="722"/>
  <c r="F6" i="722"/>
  <c r="AG5" i="722" l="1"/>
  <c r="AG6" i="722"/>
  <c r="AF6" i="722"/>
  <c r="AF5" i="722"/>
  <c r="W18" i="722"/>
  <c r="AA7" i="722"/>
  <c r="AA5" i="722"/>
  <c r="Z7" i="722"/>
  <c r="Z5" i="722"/>
  <c r="AA8" i="722"/>
  <c r="AA6" i="722"/>
  <c r="AA4" i="722"/>
  <c r="Z8" i="722"/>
  <c r="Z6" i="722"/>
  <c r="N17" i="722" a="1"/>
  <c r="N17" i="722" s="1"/>
  <c r="E17" i="722"/>
  <c r="G18" i="722"/>
  <c r="F18" i="722"/>
  <c r="G17" i="722"/>
  <c r="F17" i="722"/>
  <c r="E17" i="717" a="1"/>
  <c r="E17" i="717" s="1"/>
  <c r="G14" i="717"/>
  <c r="F12" i="717"/>
  <c r="F8" i="717"/>
  <c r="F14" i="717" s="1"/>
  <c r="L17" i="717"/>
  <c r="H17" i="721" a="1"/>
  <c r="L18" i="717"/>
  <c r="F17" i="717" a="1"/>
  <c r="F13" i="717" l="1"/>
  <c r="O18" i="722"/>
  <c r="O17" i="722"/>
  <c r="N18" i="722"/>
  <c r="J18" i="722"/>
  <c r="K18" i="722"/>
  <c r="H18" i="722"/>
  <c r="I18" i="722" s="1"/>
  <c r="K17" i="722"/>
  <c r="J17" i="722"/>
  <c r="H17" i="722"/>
  <c r="I17" i="722" s="1"/>
  <c r="H17" i="721"/>
  <c r="H19" i="721"/>
  <c r="H20" i="721"/>
  <c r="I20" i="721"/>
  <c r="I17" i="721"/>
  <c r="I19" i="721"/>
  <c r="H18" i="721"/>
  <c r="I18" i="721"/>
  <c r="F17" i="717"/>
  <c r="G18" i="717"/>
  <c r="G17" i="717"/>
  <c r="F18" i="717"/>
  <c r="E18" i="717"/>
  <c r="G12" i="717" l="1"/>
  <c r="H12" i="717" s="1"/>
  <c r="S4" i="722" a="1"/>
  <c r="S4" i="722" s="1"/>
  <c r="J17" i="717"/>
  <c r="H17" i="717"/>
  <c r="I17" i="717" s="1"/>
  <c r="K17" i="717"/>
  <c r="J18" i="717"/>
  <c r="K18" i="717"/>
  <c r="H18" i="717"/>
  <c r="I18" i="717" s="1"/>
  <c r="F5" i="717"/>
  <c r="F4" i="717" s="1"/>
  <c r="G13" i="717"/>
  <c r="S5" i="722" l="1"/>
  <c r="U4" i="722" s="1" a="1"/>
  <c r="U12" i="722" s="1"/>
  <c r="W12" i="722" s="1"/>
  <c r="F6" i="717"/>
  <c r="I4" i="717"/>
  <c r="I5" i="717" s="1"/>
  <c r="H13" i="717"/>
  <c r="I6" i="717"/>
  <c r="U11" i="722" l="1"/>
  <c r="W11" i="722" s="1"/>
  <c r="U8" i="722"/>
  <c r="W8" i="722" s="1"/>
  <c r="U7" i="722"/>
  <c r="W7" i="722" s="1"/>
  <c r="U10" i="722"/>
  <c r="W10" i="722" s="1"/>
  <c r="U9" i="722"/>
  <c r="W9" i="722" s="1"/>
  <c r="U13" i="722"/>
  <c r="W13" i="722" s="1"/>
  <c r="U5" i="722"/>
  <c r="W5" i="722" s="1"/>
  <c r="U6" i="722"/>
  <c r="W6" i="722" s="1"/>
  <c r="U4" i="722"/>
  <c r="W4" i="722" s="1"/>
  <c r="U14" i="722"/>
  <c r="W14" i="722" s="1"/>
  <c r="K12" i="722"/>
  <c r="F7" i="717"/>
  <c r="I12" i="717"/>
  <c r="J12" i="717" s="1"/>
  <c r="K12" i="717" s="1"/>
  <c r="W17" i="722" l="1"/>
  <c r="W19" i="722" s="1"/>
  <c r="Q17" i="722" s="1" a="1"/>
  <c r="Q18" i="722" s="1"/>
  <c r="Q17" i="722" l="1"/>
  <c r="S9" i="722" s="1"/>
  <c r="R17" i="722"/>
  <c r="R18" i="722"/>
  <c r="S10" i="722" s="1"/>
  <c r="U19" i="714" l="1"/>
  <c r="G18" i="721" a="1"/>
  <c r="G18" i="721" s="1"/>
  <c r="I14" i="721"/>
  <c r="H12" i="721"/>
  <c r="H8" i="721"/>
  <c r="H14" i="721" s="1"/>
  <c r="J37" i="719" a="1"/>
  <c r="J37" i="719" s="1"/>
  <c r="F25" i="719"/>
  <c r="G25" i="719"/>
  <c r="F26" i="719"/>
  <c r="G26" i="719"/>
  <c r="F27" i="719"/>
  <c r="G27" i="719"/>
  <c r="F28" i="719"/>
  <c r="G28" i="719"/>
  <c r="F29" i="719"/>
  <c r="G29" i="719"/>
  <c r="F30" i="719"/>
  <c r="G30" i="719"/>
  <c r="F31" i="719"/>
  <c r="G31" i="719"/>
  <c r="G24" i="719"/>
  <c r="S18" i="719" a="1"/>
  <c r="S18" i="719" s="1"/>
  <c r="U14" i="719"/>
  <c r="T8" i="719"/>
  <c r="T14" i="719" s="1"/>
  <c r="J18" i="719" a="1"/>
  <c r="J18" i="719" s="1"/>
  <c r="J17" i="719"/>
  <c r="K8" i="719"/>
  <c r="K14" i="719" s="1"/>
  <c r="H6" i="719"/>
  <c r="H7" i="719"/>
  <c r="H8" i="719"/>
  <c r="H9" i="719"/>
  <c r="H10" i="719"/>
  <c r="H11" i="719"/>
  <c r="H12" i="719"/>
  <c r="H5" i="719"/>
  <c r="D6" i="719"/>
  <c r="H25" i="719" s="1"/>
  <c r="D7" i="719"/>
  <c r="H26" i="719" s="1"/>
  <c r="D8" i="719"/>
  <c r="H27" i="719" s="1"/>
  <c r="D9" i="719"/>
  <c r="H28" i="719" s="1"/>
  <c r="D10" i="719"/>
  <c r="H29" i="719" s="1"/>
  <c r="D11" i="719"/>
  <c r="H30" i="719" s="1"/>
  <c r="D12" i="719"/>
  <c r="H31" i="719" s="1"/>
  <c r="H24" i="719"/>
  <c r="A6" i="719"/>
  <c r="A7" i="719" s="1"/>
  <c r="A8" i="719" s="1"/>
  <c r="A9" i="719" s="1"/>
  <c r="A10" i="719" s="1"/>
  <c r="A11" i="719" s="1"/>
  <c r="A12" i="719" s="1"/>
  <c r="AC27" i="717"/>
  <c r="AC25" i="717" s="1"/>
  <c r="R24" i="717" a="1"/>
  <c r="R24" i="717" s="1"/>
  <c r="S24" i="717" s="1"/>
  <c r="Q23" i="717"/>
  <c r="Q24" i="717"/>
  <c r="Q25" i="717"/>
  <c r="Q26" i="717"/>
  <c r="Q27" i="717"/>
  <c r="Q28" i="717"/>
  <c r="Q29" i="717"/>
  <c r="Q30" i="717"/>
  <c r="Q31" i="717"/>
  <c r="Q32" i="717"/>
  <c r="Q33" i="717"/>
  <c r="Q34" i="717"/>
  <c r="O24" i="717"/>
  <c r="P24" i="717"/>
  <c r="O25" i="717"/>
  <c r="P25" i="717"/>
  <c r="O26" i="717"/>
  <c r="P26" i="717"/>
  <c r="O27" i="717"/>
  <c r="P27" i="717"/>
  <c r="O28" i="717"/>
  <c r="P28" i="717"/>
  <c r="O29" i="717"/>
  <c r="P29" i="717"/>
  <c r="O30" i="717"/>
  <c r="P30" i="717"/>
  <c r="O31" i="717"/>
  <c r="P31" i="717"/>
  <c r="O32" i="717"/>
  <c r="P32" i="717"/>
  <c r="O33" i="717"/>
  <c r="P33" i="717"/>
  <c r="O34" i="717"/>
  <c r="P34" i="717"/>
  <c r="P23" i="717"/>
  <c r="O23" i="717"/>
  <c r="N25" i="717"/>
  <c r="N26" i="717" s="1"/>
  <c r="N27" i="717" s="1"/>
  <c r="N28" i="717" s="1"/>
  <c r="N29" i="717" s="1"/>
  <c r="N30" i="717" s="1"/>
  <c r="N31" i="717" s="1"/>
  <c r="N32" i="717" s="1"/>
  <c r="N33" i="717" s="1"/>
  <c r="N34" i="717" s="1"/>
  <c r="E38" i="717" a="1"/>
  <c r="E38" i="717" s="1"/>
  <c r="G34" i="717"/>
  <c r="F32" i="717"/>
  <c r="F28" i="717"/>
  <c r="F34" i="717" s="1"/>
  <c r="AC7" i="717"/>
  <c r="AC5" i="717" s="1"/>
  <c r="R4" i="717" a="1"/>
  <c r="R7" i="717" s="1"/>
  <c r="Q3" i="717"/>
  <c r="Q4" i="717"/>
  <c r="Q5" i="717"/>
  <c r="Q6" i="717"/>
  <c r="Q7" i="717"/>
  <c r="Q8" i="717"/>
  <c r="Q9" i="717"/>
  <c r="Q10" i="717"/>
  <c r="Q11" i="717"/>
  <c r="Q12" i="717"/>
  <c r="Q13" i="717"/>
  <c r="Q14" i="717"/>
  <c r="O4" i="717"/>
  <c r="P4" i="717"/>
  <c r="O5" i="717"/>
  <c r="P5" i="717"/>
  <c r="O6" i="717"/>
  <c r="P6" i="717"/>
  <c r="O7" i="717"/>
  <c r="P7" i="717"/>
  <c r="O8" i="717"/>
  <c r="P8" i="717"/>
  <c r="O9" i="717"/>
  <c r="P9" i="717"/>
  <c r="O10" i="717"/>
  <c r="P10" i="717"/>
  <c r="O11" i="717"/>
  <c r="P11" i="717"/>
  <c r="O12" i="717"/>
  <c r="P12" i="717"/>
  <c r="O13" i="717"/>
  <c r="P13" i="717"/>
  <c r="O14" i="717"/>
  <c r="P14" i="717"/>
  <c r="P3" i="717"/>
  <c r="O3" i="717"/>
  <c r="N5" i="717"/>
  <c r="N6" i="717" s="1"/>
  <c r="N7" i="717" s="1"/>
  <c r="N8" i="717" s="1"/>
  <c r="N9" i="717" s="1"/>
  <c r="N10" i="717" s="1"/>
  <c r="N11" i="717" s="1"/>
  <c r="N12" i="717" s="1"/>
  <c r="N13" i="717" s="1"/>
  <c r="N14" i="717" s="1"/>
  <c r="K17" i="719" a="1"/>
  <c r="Z18" i="719"/>
  <c r="L38" i="717"/>
  <c r="K37" i="719" a="1"/>
  <c r="N20" i="721"/>
  <c r="N19" i="721"/>
  <c r="Q37" i="719"/>
  <c r="Q38" i="719"/>
  <c r="T17" i="719" a="1"/>
  <c r="L39" i="717"/>
  <c r="N18" i="721"/>
  <c r="T4" i="717" a="1"/>
  <c r="T24" i="717" a="1"/>
  <c r="F37" i="717" a="1"/>
  <c r="K32" i="719" l="1"/>
  <c r="L14" i="719"/>
  <c r="L34" i="719"/>
  <c r="F33" i="717"/>
  <c r="S7" i="717"/>
  <c r="H13" i="721"/>
  <c r="K18" i="719"/>
  <c r="L18" i="719"/>
  <c r="L17" i="719"/>
  <c r="K17" i="719"/>
  <c r="T18" i="719"/>
  <c r="U18" i="719"/>
  <c r="U17" i="719"/>
  <c r="T17" i="719"/>
  <c r="K12" i="719"/>
  <c r="K13" i="719" s="1"/>
  <c r="T12" i="719"/>
  <c r="T13" i="719" s="1"/>
  <c r="K28" i="719"/>
  <c r="K34" i="719" s="1"/>
  <c r="K33" i="719" s="1"/>
  <c r="G20" i="721"/>
  <c r="G19" i="721"/>
  <c r="L38" i="719"/>
  <c r="K37" i="719"/>
  <c r="L37" i="719"/>
  <c r="K38" i="719"/>
  <c r="J38" i="719"/>
  <c r="T27" i="717"/>
  <c r="T31" i="717"/>
  <c r="T30" i="717"/>
  <c r="T24" i="717"/>
  <c r="T28" i="717"/>
  <c r="T32" i="717"/>
  <c r="T34" i="717"/>
  <c r="T25" i="717"/>
  <c r="T29" i="717"/>
  <c r="T33" i="717"/>
  <c r="T26" i="717"/>
  <c r="R27" i="717"/>
  <c r="S27" i="717" s="1"/>
  <c r="R34" i="717"/>
  <c r="S34" i="717" s="1"/>
  <c r="R30" i="717"/>
  <c r="S30" i="717" s="1"/>
  <c r="R26" i="717"/>
  <c r="S26" i="717" s="1"/>
  <c r="R33" i="717"/>
  <c r="S33" i="717" s="1"/>
  <c r="R29" i="717"/>
  <c r="S29" i="717" s="1"/>
  <c r="R25" i="717"/>
  <c r="S25" i="717" s="1"/>
  <c r="R31" i="717"/>
  <c r="S31" i="717" s="1"/>
  <c r="R32" i="717"/>
  <c r="S32" i="717" s="1"/>
  <c r="R28" i="717"/>
  <c r="S28" i="717" s="1"/>
  <c r="G38" i="717"/>
  <c r="F37" i="717"/>
  <c r="F39" i="717"/>
  <c r="G37" i="717"/>
  <c r="G39" i="717"/>
  <c r="F38" i="717"/>
  <c r="E39" i="717"/>
  <c r="T5" i="717"/>
  <c r="T9" i="717"/>
  <c r="T13" i="717"/>
  <c r="T7" i="717"/>
  <c r="T11" i="717"/>
  <c r="T4" i="717"/>
  <c r="T8" i="717"/>
  <c r="T12" i="717"/>
  <c r="T6" i="717"/>
  <c r="T10" i="717"/>
  <c r="T14" i="717"/>
  <c r="R14" i="717"/>
  <c r="S14" i="717" s="1"/>
  <c r="R10" i="717"/>
  <c r="S10" i="717" s="1"/>
  <c r="R6" i="717"/>
  <c r="S6" i="717" s="1"/>
  <c r="R11" i="717"/>
  <c r="S11" i="717" s="1"/>
  <c r="R13" i="717"/>
  <c r="S13" i="717" s="1"/>
  <c r="R9" i="717"/>
  <c r="S9" i="717" s="1"/>
  <c r="R5" i="717"/>
  <c r="S5" i="717" s="1"/>
  <c r="R12" i="717"/>
  <c r="S12" i="717" s="1"/>
  <c r="R8" i="717"/>
  <c r="S8" i="717" s="1"/>
  <c r="R4" i="717"/>
  <c r="S4" i="717" s="1"/>
  <c r="AD4" i="719" l="1"/>
  <c r="AC4" i="719"/>
  <c r="AC4" i="717"/>
  <c r="AC6" i="717" s="1"/>
  <c r="U7" i="717" s="1"/>
  <c r="AC24" i="717"/>
  <c r="AC26" i="717" s="1"/>
  <c r="U24" i="717" s="1"/>
  <c r="P18" i="719"/>
  <c r="O18" i="719"/>
  <c r="M18" i="719"/>
  <c r="N18" i="719" s="1"/>
  <c r="L32" i="719"/>
  <c r="M32" i="719" s="1"/>
  <c r="P37" i="719"/>
  <c r="O37" i="719"/>
  <c r="M37" i="719"/>
  <c r="N37" i="719" s="1"/>
  <c r="Y12" i="717"/>
  <c r="J39" i="717"/>
  <c r="H39" i="717"/>
  <c r="I39" i="717" s="1"/>
  <c r="K39" i="717"/>
  <c r="Y18" i="719"/>
  <c r="V18" i="719"/>
  <c r="W18" i="719" s="1"/>
  <c r="X18" i="719"/>
  <c r="J20" i="721"/>
  <c r="K20" i="721" s="1"/>
  <c r="M20" i="721"/>
  <c r="L20" i="721"/>
  <c r="Y14" i="717"/>
  <c r="Y13" i="717"/>
  <c r="H38" i="717"/>
  <c r="I38" i="717" s="1"/>
  <c r="K38" i="717"/>
  <c r="J38" i="717"/>
  <c r="J37" i="717"/>
  <c r="H37" i="717"/>
  <c r="I37" i="717" s="1"/>
  <c r="K37" i="717"/>
  <c r="M17" i="719"/>
  <c r="N17" i="719" s="1"/>
  <c r="P17" i="719"/>
  <c r="O17" i="719"/>
  <c r="M38" i="719"/>
  <c r="N38" i="719" s="1"/>
  <c r="P38" i="719"/>
  <c r="O38" i="719"/>
  <c r="M19" i="721"/>
  <c r="L19" i="721"/>
  <c r="J19" i="721"/>
  <c r="K19" i="721" s="1"/>
  <c r="V11" i="717"/>
  <c r="W11" i="717" s="1"/>
  <c r="Y11" i="717"/>
  <c r="V5" i="717"/>
  <c r="W5" i="717" s="1"/>
  <c r="L18" i="721"/>
  <c r="M18" i="721"/>
  <c r="J18" i="721"/>
  <c r="K18" i="721" s="1"/>
  <c r="Y10" i="717"/>
  <c r="V10" i="717"/>
  <c r="W10" i="717" s="1"/>
  <c r="Y4" i="717"/>
  <c r="V4" i="717"/>
  <c r="W4" i="717" s="1"/>
  <c r="V9" i="717"/>
  <c r="W9" i="717" s="1"/>
  <c r="Y9" i="717"/>
  <c r="V17" i="719"/>
  <c r="W17" i="719" s="1"/>
  <c r="Y17" i="719"/>
  <c r="X17" i="719"/>
  <c r="M17" i="721"/>
  <c r="L17" i="721"/>
  <c r="J17" i="721"/>
  <c r="K17" i="721" s="1"/>
  <c r="Y32" i="717" l="1"/>
  <c r="U5" i="717"/>
  <c r="Y30" i="717"/>
  <c r="V26" i="717"/>
  <c r="W26" i="717" s="1"/>
  <c r="X26" i="717" s="1"/>
  <c r="Y27" i="717"/>
  <c r="V25" i="717"/>
  <c r="W25" i="717" s="1"/>
  <c r="Z25" i="717" s="1"/>
  <c r="Y28" i="717"/>
  <c r="V32" i="717"/>
  <c r="W32" i="717" s="1"/>
  <c r="Z32" i="717" s="1"/>
  <c r="V29" i="717"/>
  <c r="W29" i="717" s="1"/>
  <c r="X29" i="717" s="1"/>
  <c r="V34" i="717"/>
  <c r="W34" i="717" s="1"/>
  <c r="Z34" i="717" s="1"/>
  <c r="V27" i="717"/>
  <c r="W27" i="717" s="1"/>
  <c r="X27" i="717" s="1"/>
  <c r="Y24" i="717"/>
  <c r="V31" i="717"/>
  <c r="W31" i="717" s="1"/>
  <c r="X31" i="717" s="1"/>
  <c r="V33" i="717"/>
  <c r="W33" i="717" s="1"/>
  <c r="X33" i="717" s="1"/>
  <c r="Y29" i="717"/>
  <c r="Y34" i="717"/>
  <c r="V24" i="717"/>
  <c r="W24" i="717" s="1"/>
  <c r="Z24" i="717" s="1"/>
  <c r="U28" i="717"/>
  <c r="Y31" i="717"/>
  <c r="Y33" i="717"/>
  <c r="V30" i="717"/>
  <c r="W30" i="717" s="1"/>
  <c r="X30" i="717" s="1"/>
  <c r="Y26" i="717"/>
  <c r="Y25" i="717"/>
  <c r="U30" i="717"/>
  <c r="K25" i="719"/>
  <c r="K24" i="719" s="1"/>
  <c r="V8" i="717"/>
  <c r="W8" i="717" s="1"/>
  <c r="Z8" i="717" s="1"/>
  <c r="V12" i="717"/>
  <c r="W12" i="717" s="1"/>
  <c r="X12" i="717" s="1"/>
  <c r="U27" i="717"/>
  <c r="Y5" i="717"/>
  <c r="Y8" i="717"/>
  <c r="V6" i="717"/>
  <c r="W6" i="717" s="1"/>
  <c r="X6" i="717" s="1"/>
  <c r="Y7" i="717"/>
  <c r="U32" i="717"/>
  <c r="U9" i="717"/>
  <c r="U25" i="717"/>
  <c r="V13" i="717"/>
  <c r="W13" i="717" s="1"/>
  <c r="Z13" i="717" s="1"/>
  <c r="V14" i="717"/>
  <c r="W14" i="717" s="1"/>
  <c r="Z14" i="717" s="1"/>
  <c r="Y6" i="717"/>
  <c r="V7" i="717"/>
  <c r="W7" i="717" s="1"/>
  <c r="X7" i="717" s="1"/>
  <c r="U13" i="717"/>
  <c r="U12" i="717"/>
  <c r="U8" i="717"/>
  <c r="L33" i="719"/>
  <c r="M33" i="719" s="1"/>
  <c r="V28" i="717"/>
  <c r="W28" i="717" s="1"/>
  <c r="X28" i="717" s="1"/>
  <c r="U10" i="717"/>
  <c r="U26" i="717"/>
  <c r="U6" i="717"/>
  <c r="U34" i="717"/>
  <c r="U33" i="717"/>
  <c r="U31" i="717"/>
  <c r="U14" i="717"/>
  <c r="U11" i="717"/>
  <c r="U4" i="717"/>
  <c r="U29" i="717"/>
  <c r="Z10" i="717"/>
  <c r="X10" i="717"/>
  <c r="X5" i="717"/>
  <c r="Z5" i="717"/>
  <c r="Z9" i="717"/>
  <c r="X9" i="717"/>
  <c r="X4" i="717"/>
  <c r="Z4" i="717"/>
  <c r="Z11" i="717"/>
  <c r="X11" i="717"/>
  <c r="X32" i="717" l="1"/>
  <c r="Z26" i="717"/>
  <c r="Z31" i="717"/>
  <c r="Z29" i="717"/>
  <c r="X24" i="717"/>
  <c r="X14" i="717"/>
  <c r="K26" i="719"/>
  <c r="Z30" i="717"/>
  <c r="Z33" i="717"/>
  <c r="X25" i="717"/>
  <c r="X8" i="717"/>
  <c r="X34" i="717"/>
  <c r="Z27" i="717"/>
  <c r="Z7" i="717"/>
  <c r="Z6" i="717"/>
  <c r="N26" i="719"/>
  <c r="Z12" i="717"/>
  <c r="Z28" i="717"/>
  <c r="X13" i="717"/>
  <c r="N24" i="719"/>
  <c r="N25" i="719" s="1"/>
  <c r="K27" i="719"/>
  <c r="N32" i="719"/>
  <c r="O32" i="719" s="1"/>
  <c r="P32" i="719" s="1"/>
  <c r="K28" i="716" l="1"/>
  <c r="P9" i="716" s="1"/>
  <c r="I28" i="716"/>
  <c r="J28" i="716"/>
  <c r="H28" i="716"/>
  <c r="K27" i="716"/>
  <c r="I27" i="716"/>
  <c r="J27" i="716"/>
  <c r="H27" i="716"/>
  <c r="G27" i="716"/>
  <c r="K26" i="716"/>
  <c r="I26" i="716"/>
  <c r="J26" i="716"/>
  <c r="H26" i="716"/>
  <c r="G26" i="716"/>
  <c r="K25" i="716"/>
  <c r="I25" i="716"/>
  <c r="J25" i="716"/>
  <c r="H25" i="716"/>
  <c r="G25" i="716"/>
  <c r="K24" i="716"/>
  <c r="I24" i="716"/>
  <c r="J24" i="716"/>
  <c r="H24" i="716"/>
  <c r="G24" i="716"/>
  <c r="K23" i="716"/>
  <c r="I23" i="716"/>
  <c r="J23" i="716"/>
  <c r="H23" i="716"/>
  <c r="G23" i="716"/>
  <c r="I22" i="716"/>
  <c r="J22" i="716"/>
  <c r="H22" i="716"/>
  <c r="K19" i="716"/>
  <c r="I19" i="716"/>
  <c r="J19" i="716"/>
  <c r="H19" i="716"/>
  <c r="K18" i="716"/>
  <c r="I18" i="716"/>
  <c r="J18" i="716"/>
  <c r="H18" i="716"/>
  <c r="G18" i="716"/>
  <c r="K17" i="716"/>
  <c r="I17" i="716"/>
  <c r="J17" i="716"/>
  <c r="H17" i="716"/>
  <c r="G17" i="716"/>
  <c r="K16" i="716"/>
  <c r="I16" i="716"/>
  <c r="J16" i="716"/>
  <c r="H16" i="716"/>
  <c r="G16" i="716"/>
  <c r="K15" i="716"/>
  <c r="I15" i="716"/>
  <c r="J15" i="716"/>
  <c r="H15" i="716"/>
  <c r="G15" i="716"/>
  <c r="K14" i="716"/>
  <c r="I14" i="716"/>
  <c r="J14" i="716"/>
  <c r="H14" i="716"/>
  <c r="G14" i="716"/>
  <c r="I13" i="716"/>
  <c r="J13" i="716"/>
  <c r="H13" i="716"/>
  <c r="K10" i="716"/>
  <c r="O9" i="716" s="1"/>
  <c r="I10" i="716"/>
  <c r="J10" i="716"/>
  <c r="H10" i="716"/>
  <c r="K9" i="716"/>
  <c r="I9" i="716"/>
  <c r="J9" i="716"/>
  <c r="H9" i="716"/>
  <c r="G9" i="716"/>
  <c r="K8" i="716"/>
  <c r="I8" i="716"/>
  <c r="J8" i="716"/>
  <c r="H8" i="716"/>
  <c r="G8" i="716"/>
  <c r="K7" i="716"/>
  <c r="I7" i="716"/>
  <c r="J7" i="716"/>
  <c r="H7" i="716"/>
  <c r="G7" i="716"/>
  <c r="K6" i="716"/>
  <c r="I6" i="716"/>
  <c r="J6" i="716"/>
  <c r="H6" i="716"/>
  <c r="G6" i="716"/>
  <c r="K5" i="716"/>
  <c r="I5" i="716"/>
  <c r="J5" i="716"/>
  <c r="H5" i="716"/>
  <c r="G5" i="716"/>
  <c r="I4" i="716"/>
  <c r="J4" i="716"/>
  <c r="H4" i="716"/>
  <c r="H27" i="714"/>
  <c r="M11" i="714" s="1"/>
  <c r="U10" i="714" s="1"/>
  <c r="B11" i="714"/>
  <c r="B9" i="714"/>
  <c r="B7" i="714"/>
  <c r="B5" i="714"/>
  <c r="E15" i="714" a="1"/>
  <c r="F22" i="714" a="1"/>
  <c r="F6" i="714" a="1"/>
  <c r="F14" i="714" a="1"/>
  <c r="E7" i="714" a="1"/>
  <c r="E23" i="714" a="1"/>
  <c r="H3" i="716" l="1"/>
  <c r="N6" i="716"/>
  <c r="O6" i="716"/>
  <c r="N5" i="716"/>
  <c r="O5" i="716"/>
  <c r="N9" i="716"/>
  <c r="N8" i="716"/>
  <c r="E24" i="714"/>
  <c r="E23" i="714"/>
  <c r="E25" i="714"/>
  <c r="E26" i="714"/>
  <c r="G14" i="714"/>
  <c r="F14" i="714"/>
  <c r="F22" i="714"/>
  <c r="F27" i="714" s="1" a="1"/>
  <c r="F27" i="714" s="1"/>
  <c r="G22" i="714"/>
  <c r="G27" i="714" s="1" a="1"/>
  <c r="G27" i="714" s="1"/>
  <c r="F6" i="714"/>
  <c r="G6" i="714"/>
  <c r="E10" i="714"/>
  <c r="E9" i="714"/>
  <c r="E7" i="714"/>
  <c r="E8" i="714"/>
  <c r="E18" i="714"/>
  <c r="E17" i="714"/>
  <c r="E16" i="714"/>
  <c r="E15" i="714"/>
  <c r="P6" i="716" l="1"/>
  <c r="O7" i="716"/>
  <c r="P5" i="716"/>
  <c r="O8" i="716"/>
  <c r="P8" i="716" s="1"/>
  <c r="N7" i="716"/>
  <c r="G17" i="714" a="1"/>
  <c r="G17" i="714" s="1"/>
  <c r="F17" i="714" a="1"/>
  <c r="F17" i="714" s="1"/>
  <c r="G9" i="714" a="1"/>
  <c r="G9" i="714" s="1"/>
  <c r="F9" i="714" a="1"/>
  <c r="F9" i="714" s="1"/>
  <c r="G26" i="714" a="1"/>
  <c r="G26" i="714" s="1"/>
  <c r="H26" i="714" a="1"/>
  <c r="H26" i="714" s="1"/>
  <c r="F26" i="714" a="1"/>
  <c r="F26" i="714" s="1"/>
  <c r="F18" i="714" a="1"/>
  <c r="F18" i="714" s="1"/>
  <c r="G18" i="714" a="1"/>
  <c r="G18" i="714" s="1"/>
  <c r="G10" i="714" a="1"/>
  <c r="G10" i="714" s="1"/>
  <c r="F10" i="714" a="1"/>
  <c r="F10" i="714" s="1"/>
  <c r="H25" i="714" a="1"/>
  <c r="H25" i="714" s="1"/>
  <c r="F25" i="714" a="1"/>
  <c r="F25" i="714" s="1"/>
  <c r="G25" i="714" a="1"/>
  <c r="G25" i="714" s="1"/>
  <c r="G15" i="714" a="1"/>
  <c r="G15" i="714" s="1"/>
  <c r="F15" i="714" a="1"/>
  <c r="F15" i="714" s="1"/>
  <c r="G8" i="714" a="1"/>
  <c r="G8" i="714" s="1"/>
  <c r="F8" i="714" a="1"/>
  <c r="F8" i="714" s="1"/>
  <c r="H23" i="714" a="1"/>
  <c r="H23" i="714" s="1"/>
  <c r="F23" i="714" a="1"/>
  <c r="F23" i="714" s="1"/>
  <c r="G23" i="714" a="1"/>
  <c r="G23" i="714" s="1"/>
  <c r="F16" i="714" a="1"/>
  <c r="F16" i="714" s="1"/>
  <c r="G16" i="714" a="1"/>
  <c r="G16" i="714" s="1"/>
  <c r="G7" i="714" a="1"/>
  <c r="G7" i="714" s="1"/>
  <c r="F7" i="714" a="1"/>
  <c r="F7" i="714" s="1"/>
  <c r="G24" i="714" a="1"/>
  <c r="G24" i="714" s="1"/>
  <c r="H24" i="714" a="1"/>
  <c r="H24" i="714" s="1"/>
  <c r="F24" i="714" a="1"/>
  <c r="F24" i="714" s="1"/>
  <c r="H9" i="714" l="1" a="1"/>
  <c r="P7" i="716"/>
  <c r="H17" i="714" a="1"/>
  <c r="H17" i="714" s="1"/>
  <c r="Q6" i="716"/>
  <c r="R6" i="716" s="1"/>
  <c r="S6" i="716" s="1"/>
  <c r="Q5" i="716"/>
  <c r="R5" i="716" s="1"/>
  <c r="S5" i="716" s="1"/>
  <c r="Q7" i="716"/>
  <c r="R7" i="716" s="1"/>
  <c r="S7" i="716" s="1"/>
  <c r="N17" i="716" s="1"/>
  <c r="P17" i="716" s="1"/>
  <c r="H10" i="714" a="1"/>
  <c r="H10" i="714" s="1"/>
  <c r="H9" i="714"/>
  <c r="G11" i="714" a="1"/>
  <c r="G11" i="714" s="1"/>
  <c r="H18" i="714" a="1"/>
  <c r="H18" i="714" s="1"/>
  <c r="F19" i="714" a="1"/>
  <c r="F19" i="714" s="1"/>
  <c r="H15" i="714" a="1"/>
  <c r="H15" i="714" s="1"/>
  <c r="G19" i="714" a="1"/>
  <c r="G19" i="714" s="1"/>
  <c r="H16" i="714" a="1"/>
  <c r="H16" i="714" s="1"/>
  <c r="H8" i="714" a="1"/>
  <c r="H8" i="714" s="1"/>
  <c r="F11" i="714" a="1"/>
  <c r="F11" i="714" s="1"/>
  <c r="K10" i="714"/>
  <c r="F5" i="714"/>
  <c r="H7" i="714" a="1"/>
  <c r="H7" i="714" s="1"/>
  <c r="N18" i="716" l="1"/>
  <c r="P18" i="716" s="1"/>
  <c r="N14" i="716"/>
  <c r="P14" i="716" s="1"/>
  <c r="N16" i="716"/>
  <c r="P16" i="716" s="1"/>
  <c r="K8" i="714"/>
  <c r="S8" i="714" s="1"/>
  <c r="L7" i="714"/>
  <c r="T7" i="714" s="1"/>
  <c r="H19" i="714" a="1"/>
  <c r="H19" i="714" s="1"/>
  <c r="H11" i="714" a="1"/>
  <c r="H11" i="714" s="1"/>
  <c r="L11" i="714" s="1"/>
  <c r="T10" i="714" s="1"/>
  <c r="K7" i="714"/>
  <c r="S7" i="714" s="1"/>
  <c r="L8" i="714"/>
  <c r="N15" i="716" l="1"/>
  <c r="P15" i="716" s="1"/>
  <c r="L9" i="714"/>
  <c r="L10" i="714" s="1"/>
  <c r="M10" i="714" s="1"/>
  <c r="T8" i="714"/>
  <c r="M7" i="714"/>
  <c r="U7" i="714" s="1"/>
  <c r="K11" i="714"/>
  <c r="M8" i="714"/>
  <c r="U8" i="714" s="1"/>
  <c r="N13" i="716" l="1"/>
  <c r="N19" i="716" s="1"/>
  <c r="T9" i="714"/>
  <c r="K9" i="714"/>
  <c r="S10" i="714"/>
  <c r="N7" i="714"/>
  <c r="N8" i="714"/>
  <c r="P13" i="716" l="1"/>
  <c r="N21" i="716" s="1"/>
  <c r="O17" i="716"/>
  <c r="O14" i="716"/>
  <c r="O18" i="716"/>
  <c r="P19" i="716"/>
  <c r="O16" i="716"/>
  <c r="O19" i="716"/>
  <c r="O15" i="716"/>
  <c r="O13" i="716"/>
  <c r="O8" i="714"/>
  <c r="V8" i="714"/>
  <c r="M9" i="714"/>
  <c r="N9" i="714" s="1"/>
  <c r="O9" i="714" s="1"/>
  <c r="P9" i="714" s="1"/>
  <c r="K19" i="714" s="1"/>
  <c r="M19" i="714" s="1"/>
  <c r="S9" i="714"/>
  <c r="U9" i="714" s="1"/>
  <c r="S16" i="714" s="1"/>
  <c r="O7" i="714"/>
  <c r="V7" i="714"/>
  <c r="Q14" i="716" l="1"/>
  <c r="Q15" i="716"/>
  <c r="Q18" i="716"/>
  <c r="Q17" i="716"/>
  <c r="Q16" i="716"/>
  <c r="Q19" i="716"/>
  <c r="Q13" i="716"/>
  <c r="U16" i="714"/>
  <c r="S18" i="714"/>
  <c r="S20" i="714"/>
  <c r="K16" i="714"/>
  <c r="K18" i="714" s="1"/>
  <c r="K17" i="714" s="1"/>
  <c r="P7" i="714"/>
  <c r="X7" i="714" s="1"/>
  <c r="W7" i="714"/>
  <c r="P8" i="714"/>
  <c r="X8" i="714" s="1"/>
  <c r="W8" i="714"/>
  <c r="K20" i="714" l="1"/>
  <c r="M20" i="714" s="1"/>
  <c r="M16" i="714"/>
  <c r="U20" i="714"/>
  <c r="U18" i="714"/>
  <c r="S17" i="714"/>
  <c r="M18" i="714"/>
  <c r="M17" i="714"/>
  <c r="K15" i="714"/>
  <c r="M15" i="714" s="1"/>
  <c r="U17" i="714" l="1"/>
  <c r="S15" i="714"/>
  <c r="K21" i="714"/>
  <c r="L21" i="714" s="1"/>
  <c r="K23" i="714"/>
  <c r="L18" i="714" l="1"/>
  <c r="L16" i="714"/>
  <c r="L20" i="714"/>
  <c r="L15" i="714"/>
  <c r="M21" i="714"/>
  <c r="N16" i="714" s="1"/>
  <c r="L17" i="714"/>
  <c r="L19" i="714"/>
  <c r="S21" i="714"/>
  <c r="T15" i="714" s="1"/>
  <c r="U15" i="714"/>
  <c r="N20" i="714" l="1"/>
  <c r="N19" i="714"/>
  <c r="N21" i="714"/>
  <c r="N15" i="714"/>
  <c r="N18" i="714"/>
  <c r="N17" i="714"/>
  <c r="S23" i="714"/>
  <c r="T21" i="714"/>
  <c r="U21" i="714"/>
  <c r="T19" i="714"/>
  <c r="T16" i="714"/>
  <c r="T20" i="714"/>
  <c r="T18" i="714"/>
  <c r="T17" i="714"/>
  <c r="G7" i="711"/>
  <c r="N7" i="711" s="1"/>
  <c r="F5" i="709"/>
  <c r="E8" i="711" a="1"/>
  <c r="D6" i="709" a="1"/>
  <c r="V19" i="714" l="1"/>
  <c r="V21" i="714"/>
  <c r="V16" i="714"/>
  <c r="V20" i="714"/>
  <c r="V18" i="714"/>
  <c r="V17" i="714"/>
  <c r="V15" i="714"/>
  <c r="E8" i="711"/>
  <c r="E12" i="711"/>
  <c r="E16" i="711"/>
  <c r="E9" i="711"/>
  <c r="E13" i="711"/>
  <c r="E17" i="711"/>
  <c r="E10" i="711"/>
  <c r="E14" i="711"/>
  <c r="E18" i="711"/>
  <c r="E11" i="711"/>
  <c r="E15" i="711"/>
  <c r="E19" i="711"/>
  <c r="D6" i="709"/>
  <c r="D10" i="709"/>
  <c r="D7" i="709"/>
  <c r="D11" i="709"/>
  <c r="D9" i="709"/>
  <c r="D13" i="709"/>
  <c r="D8" i="709"/>
  <c r="D12" i="709"/>
  <c r="T7" i="713"/>
  <c r="T5" i="713" s="1"/>
  <c r="I4" i="713" a="1"/>
  <c r="I4" i="713" s="1"/>
  <c r="H3" i="713"/>
  <c r="H4" i="713"/>
  <c r="H5" i="713"/>
  <c r="H6" i="713"/>
  <c r="H7" i="713"/>
  <c r="H8" i="713"/>
  <c r="H9" i="713"/>
  <c r="H10" i="713"/>
  <c r="H11" i="713"/>
  <c r="H12" i="713"/>
  <c r="H13" i="713"/>
  <c r="H14" i="713"/>
  <c r="F4" i="713"/>
  <c r="G4" i="713"/>
  <c r="F5" i="713"/>
  <c r="G5" i="713"/>
  <c r="F6" i="713"/>
  <c r="G6" i="713"/>
  <c r="F7" i="713"/>
  <c r="G7" i="713"/>
  <c r="F8" i="713"/>
  <c r="G8" i="713"/>
  <c r="F9" i="713"/>
  <c r="G9" i="713"/>
  <c r="F10" i="713"/>
  <c r="G10" i="713"/>
  <c r="F11" i="713"/>
  <c r="G11" i="713"/>
  <c r="F12" i="713"/>
  <c r="G12" i="713"/>
  <c r="F13" i="713"/>
  <c r="G13" i="713"/>
  <c r="F14" i="713"/>
  <c r="G14" i="713"/>
  <c r="G3" i="713"/>
  <c r="F3" i="713"/>
  <c r="E5" i="713"/>
  <c r="E6" i="713" s="1"/>
  <c r="E7" i="713" s="1"/>
  <c r="E8" i="713" s="1"/>
  <c r="E9" i="713" s="1"/>
  <c r="E10" i="713" s="1"/>
  <c r="E11" i="713" s="1"/>
  <c r="E12" i="713" s="1"/>
  <c r="E13" i="713" s="1"/>
  <c r="E14" i="713" s="1"/>
  <c r="K4" i="713" a="1"/>
  <c r="J4" i="713" l="1"/>
  <c r="I11" i="713"/>
  <c r="J11" i="713" s="1"/>
  <c r="I7" i="713"/>
  <c r="J7" i="713" s="1"/>
  <c r="E8" i="709"/>
  <c r="F8" i="709"/>
  <c r="N10" i="711"/>
  <c r="F10" i="711"/>
  <c r="M10" i="711"/>
  <c r="G10" i="711"/>
  <c r="E13" i="709"/>
  <c r="F13" i="709"/>
  <c r="E10" i="709"/>
  <c r="F10" i="709"/>
  <c r="F11" i="711"/>
  <c r="M11" i="711"/>
  <c r="G11" i="711"/>
  <c r="N11" i="711"/>
  <c r="N17" i="711"/>
  <c r="F17" i="711"/>
  <c r="M17" i="711"/>
  <c r="G17" i="711"/>
  <c r="N12" i="711"/>
  <c r="F12" i="711"/>
  <c r="M12" i="711"/>
  <c r="G12" i="711"/>
  <c r="F9" i="709"/>
  <c r="E9" i="709"/>
  <c r="E6" i="709"/>
  <c r="F6" i="709"/>
  <c r="F18" i="711"/>
  <c r="M18" i="711"/>
  <c r="G18" i="711"/>
  <c r="N18" i="711"/>
  <c r="F13" i="711"/>
  <c r="M13" i="711"/>
  <c r="G13" i="711"/>
  <c r="N13" i="711"/>
  <c r="G8" i="711"/>
  <c r="N8" i="711"/>
  <c r="F8" i="711"/>
  <c r="M8" i="711"/>
  <c r="E12" i="709"/>
  <c r="F12" i="709"/>
  <c r="E11" i="709"/>
  <c r="F11" i="709"/>
  <c r="N19" i="711"/>
  <c r="F19" i="711"/>
  <c r="M19" i="711"/>
  <c r="G19" i="711"/>
  <c r="M14" i="711"/>
  <c r="G14" i="711"/>
  <c r="N14" i="711"/>
  <c r="F14" i="711"/>
  <c r="F9" i="711"/>
  <c r="M9" i="711"/>
  <c r="G9" i="711"/>
  <c r="N9" i="711"/>
  <c r="F7" i="709"/>
  <c r="E7" i="709"/>
  <c r="F15" i="711"/>
  <c r="M15" i="711"/>
  <c r="G15" i="711"/>
  <c r="N15" i="711"/>
  <c r="M16" i="711"/>
  <c r="G16" i="711"/>
  <c r="N16" i="711"/>
  <c r="F16" i="711"/>
  <c r="K7" i="713"/>
  <c r="K11" i="713"/>
  <c r="K4" i="713"/>
  <c r="K8" i="713"/>
  <c r="K12" i="713"/>
  <c r="K5" i="713"/>
  <c r="K9" i="713"/>
  <c r="K13" i="713"/>
  <c r="K6" i="713"/>
  <c r="K10" i="713"/>
  <c r="K14" i="713"/>
  <c r="I14" i="713"/>
  <c r="J14" i="713" s="1"/>
  <c r="I10" i="713"/>
  <c r="J10" i="713" s="1"/>
  <c r="I6" i="713"/>
  <c r="J6" i="713" s="1"/>
  <c r="I13" i="713"/>
  <c r="J13" i="713" s="1"/>
  <c r="I9" i="713"/>
  <c r="J9" i="713" s="1"/>
  <c r="I5" i="713"/>
  <c r="J5" i="713" s="1"/>
  <c r="I12" i="713"/>
  <c r="J12" i="713" s="1"/>
  <c r="I8" i="713"/>
  <c r="J8" i="713" s="1"/>
  <c r="U8" i="711" a="1"/>
  <c r="T4" i="713" l="1"/>
  <c r="T6" i="713" s="1"/>
  <c r="L4" i="713" s="1"/>
  <c r="O16" i="711"/>
  <c r="H15" i="711"/>
  <c r="O19" i="711"/>
  <c r="G12" i="709"/>
  <c r="H8" i="711"/>
  <c r="I8" i="711" s="1"/>
  <c r="J8" i="711" s="1"/>
  <c r="L8" i="711" s="1"/>
  <c r="G9" i="709"/>
  <c r="H12" i="711"/>
  <c r="H17" i="711"/>
  <c r="O11" i="711"/>
  <c r="H10" i="711"/>
  <c r="O9" i="711"/>
  <c r="H19" i="711"/>
  <c r="O13" i="711"/>
  <c r="O18" i="711"/>
  <c r="H11" i="711"/>
  <c r="V10" i="711"/>
  <c r="W11" i="711"/>
  <c r="U12" i="711"/>
  <c r="V12" i="711"/>
  <c r="W12" i="711"/>
  <c r="U8" i="711"/>
  <c r="V8" i="711"/>
  <c r="W8" i="711"/>
  <c r="U9" i="711"/>
  <c r="V9" i="711"/>
  <c r="W9" i="711"/>
  <c r="U10" i="711"/>
  <c r="W10" i="711"/>
  <c r="U11" i="711"/>
  <c r="V11" i="711"/>
  <c r="H16" i="711"/>
  <c r="H9" i="711"/>
  <c r="O14" i="711"/>
  <c r="G11" i="709"/>
  <c r="H13" i="711"/>
  <c r="H18" i="711"/>
  <c r="G6" i="709"/>
  <c r="H6" i="709" s="1"/>
  <c r="I6" i="709" s="1"/>
  <c r="G13" i="709"/>
  <c r="O15" i="711"/>
  <c r="G7" i="709"/>
  <c r="H14" i="711"/>
  <c r="O8" i="711"/>
  <c r="P8" i="711" s="1"/>
  <c r="Q8" i="711" s="1"/>
  <c r="O12" i="711"/>
  <c r="O17" i="711"/>
  <c r="O10" i="711"/>
  <c r="G10" i="709"/>
  <c r="G8" i="709"/>
  <c r="M10" i="713"/>
  <c r="N10" i="713" s="1"/>
  <c r="P10" i="713"/>
  <c r="M5" i="713"/>
  <c r="N5" i="713" s="1"/>
  <c r="P5" i="713"/>
  <c r="M11" i="713"/>
  <c r="N11" i="713" s="1"/>
  <c r="P11" i="713"/>
  <c r="M6" i="713"/>
  <c r="N6" i="713" s="1"/>
  <c r="P6" i="713"/>
  <c r="M12" i="713"/>
  <c r="N12" i="713" s="1"/>
  <c r="P12" i="713"/>
  <c r="M7" i="713"/>
  <c r="N7" i="713" s="1"/>
  <c r="P7" i="713"/>
  <c r="M13" i="713"/>
  <c r="N13" i="713" s="1"/>
  <c r="P13" i="713"/>
  <c r="M8" i="713"/>
  <c r="N8" i="713" s="1"/>
  <c r="P8" i="713"/>
  <c r="M14" i="713"/>
  <c r="N14" i="713" s="1"/>
  <c r="P14" i="713"/>
  <c r="M9" i="713"/>
  <c r="N9" i="713" s="1"/>
  <c r="P9" i="713"/>
  <c r="P4" i="713"/>
  <c r="M4" i="713"/>
  <c r="N4" i="713" s="1"/>
  <c r="I7" i="712"/>
  <c r="H11" i="712" a="1"/>
  <c r="H11" i="712" s="1"/>
  <c r="H17" i="712" s="1"/>
  <c r="F6" i="707"/>
  <c r="E10" i="707" a="1"/>
  <c r="E10" i="707" s="1"/>
  <c r="E13" i="707" s="1"/>
  <c r="P7" i="710"/>
  <c r="I7" i="710"/>
  <c r="S4" i="712" a="1"/>
  <c r="AN21" i="702" a="1"/>
  <c r="I11" i="712" a="1"/>
  <c r="F10" i="707" a="1"/>
  <c r="G8" i="710" a="1"/>
  <c r="L11" i="713" l="1"/>
  <c r="L8" i="713"/>
  <c r="L10" i="713"/>
  <c r="L6" i="713"/>
  <c r="L12" i="713"/>
  <c r="L7" i="713"/>
  <c r="L13" i="713"/>
  <c r="L5" i="713"/>
  <c r="L14" i="713"/>
  <c r="L9" i="713"/>
  <c r="I9" i="711"/>
  <c r="J9" i="711" s="1"/>
  <c r="K8" i="711"/>
  <c r="H7" i="709"/>
  <c r="H8" i="709" s="1"/>
  <c r="P9" i="711"/>
  <c r="S8" i="711"/>
  <c r="R8" i="711"/>
  <c r="K6" i="709"/>
  <c r="J6" i="709"/>
  <c r="I10" i="711"/>
  <c r="Q9" i="713"/>
  <c r="O9" i="713"/>
  <c r="O8" i="713"/>
  <c r="Q8" i="713"/>
  <c r="Q7" i="713"/>
  <c r="O7" i="713"/>
  <c r="O6" i="713"/>
  <c r="Q6" i="713"/>
  <c r="Q5" i="713"/>
  <c r="O5" i="713"/>
  <c r="O4" i="713"/>
  <c r="Q4" i="713"/>
  <c r="O14" i="713"/>
  <c r="Q14" i="713"/>
  <c r="Q13" i="713"/>
  <c r="O13" i="713"/>
  <c r="O12" i="713"/>
  <c r="Q12" i="713"/>
  <c r="Q11" i="713"/>
  <c r="O11" i="713"/>
  <c r="O10" i="713"/>
  <c r="Q10" i="713"/>
  <c r="AN21" i="702"/>
  <c r="AP22" i="702"/>
  <c r="AQ21" i="702"/>
  <c r="AO21" i="702"/>
  <c r="AQ22" i="702"/>
  <c r="AO22" i="702"/>
  <c r="AP21" i="702"/>
  <c r="AN22" i="702"/>
  <c r="H14" i="712"/>
  <c r="H20" i="712" s="1"/>
  <c r="V4" i="712"/>
  <c r="T5" i="712"/>
  <c r="X5" i="712"/>
  <c r="V6" i="712"/>
  <c r="T7" i="712"/>
  <c r="X7" i="712"/>
  <c r="V8" i="712"/>
  <c r="T9" i="712"/>
  <c r="X9" i="712"/>
  <c r="V10" i="712"/>
  <c r="T11" i="712"/>
  <c r="X11" i="712"/>
  <c r="V12" i="712"/>
  <c r="T13" i="712"/>
  <c r="X13" i="712"/>
  <c r="V14" i="712"/>
  <c r="T15" i="712"/>
  <c r="X15" i="712"/>
  <c r="V16" i="712"/>
  <c r="T17" i="712"/>
  <c r="X17" i="712"/>
  <c r="V18" i="712"/>
  <c r="T19" i="712"/>
  <c r="X19" i="712"/>
  <c r="V20" i="712"/>
  <c r="T21" i="712"/>
  <c r="X21" i="712"/>
  <c r="V22" i="712"/>
  <c r="T23" i="712"/>
  <c r="X23" i="712"/>
  <c r="V24" i="712"/>
  <c r="T25" i="712"/>
  <c r="X25" i="712"/>
  <c r="V26" i="712"/>
  <c r="T27" i="712"/>
  <c r="X27" i="712"/>
  <c r="V28" i="712"/>
  <c r="T29" i="712"/>
  <c r="X29" i="712"/>
  <c r="V30" i="712"/>
  <c r="T31" i="712"/>
  <c r="X31" i="712"/>
  <c r="V32" i="712"/>
  <c r="T33" i="712"/>
  <c r="X33" i="712"/>
  <c r="V34" i="712"/>
  <c r="T35" i="712"/>
  <c r="X35" i="712"/>
  <c r="V36" i="712"/>
  <c r="T37" i="712"/>
  <c r="X37" i="712"/>
  <c r="V38" i="712"/>
  <c r="T39" i="712"/>
  <c r="X39" i="712"/>
  <c r="V40" i="712"/>
  <c r="T41" i="712"/>
  <c r="X41" i="712"/>
  <c r="V42" i="712"/>
  <c r="T43" i="712"/>
  <c r="X43" i="712"/>
  <c r="U23" i="712"/>
  <c r="U29" i="712"/>
  <c r="W30" i="712"/>
  <c r="S32" i="712"/>
  <c r="U33" i="712"/>
  <c r="W34" i="712"/>
  <c r="U35" i="712"/>
  <c r="W36" i="712"/>
  <c r="S38" i="712"/>
  <c r="W38" i="712"/>
  <c r="S40" i="712"/>
  <c r="U41" i="712"/>
  <c r="S42" i="712"/>
  <c r="U43" i="712"/>
  <c r="S4" i="712"/>
  <c r="W4" i="712"/>
  <c r="U5" i="712"/>
  <c r="S6" i="712"/>
  <c r="W6" i="712"/>
  <c r="U7" i="712"/>
  <c r="S8" i="712"/>
  <c r="W8" i="712"/>
  <c r="U9" i="712"/>
  <c r="S10" i="712"/>
  <c r="W10" i="712"/>
  <c r="U11" i="712"/>
  <c r="S12" i="712"/>
  <c r="W12" i="712"/>
  <c r="U13" i="712"/>
  <c r="S14" i="712"/>
  <c r="W14" i="712"/>
  <c r="U15" i="712"/>
  <c r="S16" i="712"/>
  <c r="W16" i="712"/>
  <c r="U17" i="712"/>
  <c r="S18" i="712"/>
  <c r="W18" i="712"/>
  <c r="U19" i="712"/>
  <c r="S20" i="712"/>
  <c r="W20" i="712"/>
  <c r="U21" i="712"/>
  <c r="S22" i="712"/>
  <c r="W22" i="712"/>
  <c r="S24" i="712"/>
  <c r="W24" i="712"/>
  <c r="U25" i="712"/>
  <c r="S26" i="712"/>
  <c r="W26" i="712"/>
  <c r="U27" i="712"/>
  <c r="S28" i="712"/>
  <c r="W28" i="712"/>
  <c r="S30" i="712"/>
  <c r="U31" i="712"/>
  <c r="W32" i="712"/>
  <c r="S34" i="712"/>
  <c r="S36" i="712"/>
  <c r="U37" i="712"/>
  <c r="U39" i="712"/>
  <c r="W40" i="712"/>
  <c r="W42" i="712"/>
  <c r="T4" i="712"/>
  <c r="X4" i="712"/>
  <c r="V5" i="712"/>
  <c r="T6" i="712"/>
  <c r="X6" i="712"/>
  <c r="V7" i="712"/>
  <c r="T8" i="712"/>
  <c r="X8" i="712"/>
  <c r="V9" i="712"/>
  <c r="T10" i="712"/>
  <c r="X10" i="712"/>
  <c r="V11" i="712"/>
  <c r="T12" i="712"/>
  <c r="X12" i="712"/>
  <c r="V13" i="712"/>
  <c r="T14" i="712"/>
  <c r="X14" i="712"/>
  <c r="V15" i="712"/>
  <c r="T16" i="712"/>
  <c r="X16" i="712"/>
  <c r="V17" i="712"/>
  <c r="T18" i="712"/>
  <c r="X18" i="712"/>
  <c r="V19" i="712"/>
  <c r="T20" i="712"/>
  <c r="X20" i="712"/>
  <c r="V21" i="712"/>
  <c r="T22" i="712"/>
  <c r="X22" i="712"/>
  <c r="V23" i="712"/>
  <c r="T24" i="712"/>
  <c r="X24" i="712"/>
  <c r="V25" i="712"/>
  <c r="T26" i="712"/>
  <c r="X26" i="712"/>
  <c r="V27" i="712"/>
  <c r="T28" i="712"/>
  <c r="X28" i="712"/>
  <c r="V29" i="712"/>
  <c r="T30" i="712"/>
  <c r="X30" i="712"/>
  <c r="V31" i="712"/>
  <c r="T32" i="712"/>
  <c r="X32" i="712"/>
  <c r="V33" i="712"/>
  <c r="T34" i="712"/>
  <c r="X34" i="712"/>
  <c r="V35" i="712"/>
  <c r="T36" i="712"/>
  <c r="X36" i="712"/>
  <c r="V37" i="712"/>
  <c r="T38" i="712"/>
  <c r="X38" i="712"/>
  <c r="V39" i="712"/>
  <c r="T40" i="712"/>
  <c r="X40" i="712"/>
  <c r="V41" i="712"/>
  <c r="T42" i="712"/>
  <c r="X42" i="712"/>
  <c r="V43" i="712"/>
  <c r="U4" i="712"/>
  <c r="S5" i="712"/>
  <c r="W5" i="712"/>
  <c r="U6" i="712"/>
  <c r="S7" i="712"/>
  <c r="W7" i="712"/>
  <c r="U8" i="712"/>
  <c r="S9" i="712"/>
  <c r="W9" i="712"/>
  <c r="U10" i="712"/>
  <c r="S11" i="712"/>
  <c r="W11" i="712"/>
  <c r="U12" i="712"/>
  <c r="S13" i="712"/>
  <c r="W13" i="712"/>
  <c r="U14" i="712"/>
  <c r="S15" i="712"/>
  <c r="W15" i="712"/>
  <c r="U16" i="712"/>
  <c r="S17" i="712"/>
  <c r="W17" i="712"/>
  <c r="U18" i="712"/>
  <c r="S19" i="712"/>
  <c r="W19" i="712"/>
  <c r="U20" i="712"/>
  <c r="S21" i="712"/>
  <c r="W23" i="712"/>
  <c r="U26" i="712"/>
  <c r="S29" i="712"/>
  <c r="W31" i="712"/>
  <c r="U34" i="712"/>
  <c r="S37" i="712"/>
  <c r="W39" i="712"/>
  <c r="U42" i="712"/>
  <c r="W25" i="712"/>
  <c r="S31" i="712"/>
  <c r="W33" i="712"/>
  <c r="S39" i="712"/>
  <c r="W21" i="712"/>
  <c r="U24" i="712"/>
  <c r="S27" i="712"/>
  <c r="W29" i="712"/>
  <c r="U32" i="712"/>
  <c r="S35" i="712"/>
  <c r="W37" i="712"/>
  <c r="U40" i="712"/>
  <c r="S43" i="712"/>
  <c r="S23" i="712"/>
  <c r="U28" i="712"/>
  <c r="U36" i="712"/>
  <c r="W41" i="712"/>
  <c r="U22" i="712"/>
  <c r="S25" i="712"/>
  <c r="W27" i="712"/>
  <c r="U30" i="712"/>
  <c r="S33" i="712"/>
  <c r="W35" i="712"/>
  <c r="U38" i="712"/>
  <c r="S41" i="712"/>
  <c r="W43" i="712"/>
  <c r="H13" i="712"/>
  <c r="H19" i="712" s="1"/>
  <c r="L11" i="712"/>
  <c r="P11" i="712"/>
  <c r="K12" i="712"/>
  <c r="O12" i="712"/>
  <c r="J13" i="712"/>
  <c r="J19" i="712" s="1"/>
  <c r="N13" i="712"/>
  <c r="I14" i="712"/>
  <c r="I20" i="712" s="1"/>
  <c r="M14" i="712"/>
  <c r="Q14" i="712"/>
  <c r="I11" i="712"/>
  <c r="I17" i="712" s="1"/>
  <c r="M11" i="712"/>
  <c r="Q11" i="712"/>
  <c r="L12" i="712"/>
  <c r="P12" i="712"/>
  <c r="K13" i="712"/>
  <c r="O13" i="712"/>
  <c r="J14" i="712"/>
  <c r="J20" i="712" s="1"/>
  <c r="N14" i="712"/>
  <c r="J11" i="712"/>
  <c r="J17" i="712" s="1"/>
  <c r="N11" i="712"/>
  <c r="I12" i="712"/>
  <c r="I18" i="712" s="1"/>
  <c r="M12" i="712"/>
  <c r="Q12" i="712"/>
  <c r="L13" i="712"/>
  <c r="P13" i="712"/>
  <c r="K14" i="712"/>
  <c r="O14" i="712"/>
  <c r="K11" i="712"/>
  <c r="O11" i="712"/>
  <c r="J12" i="712"/>
  <c r="J18" i="712" s="1"/>
  <c r="N12" i="712"/>
  <c r="I13" i="712"/>
  <c r="I19" i="712" s="1"/>
  <c r="M13" i="712"/>
  <c r="Q13" i="712"/>
  <c r="L14" i="712"/>
  <c r="P14" i="712"/>
  <c r="H12" i="712"/>
  <c r="H18" i="712" s="1"/>
  <c r="I10" i="707"/>
  <c r="F10" i="707"/>
  <c r="F13" i="707" s="1"/>
  <c r="J10" i="707"/>
  <c r="G10" i="707"/>
  <c r="G13" i="707" s="1"/>
  <c r="K10" i="707"/>
  <c r="H10" i="707"/>
  <c r="G11" i="710"/>
  <c r="G15" i="710"/>
  <c r="G19" i="710"/>
  <c r="G8" i="710"/>
  <c r="G12" i="710"/>
  <c r="G16" i="710"/>
  <c r="G9" i="710"/>
  <c r="G13" i="710"/>
  <c r="G17" i="710"/>
  <c r="G10" i="710"/>
  <c r="G14" i="710"/>
  <c r="G18" i="710"/>
  <c r="I7" i="709" l="1"/>
  <c r="J7" i="709" s="1"/>
  <c r="H9" i="709"/>
  <c r="K9" i="711"/>
  <c r="L9" i="711"/>
  <c r="Q9" i="711"/>
  <c r="P10" i="711"/>
  <c r="I11" i="711"/>
  <c r="J10" i="711"/>
  <c r="F5" i="707"/>
  <c r="F7" i="707" s="1"/>
  <c r="K13" i="707"/>
  <c r="I13" i="707"/>
  <c r="L13" i="707" s="1"/>
  <c r="J13" i="707"/>
  <c r="M13" i="707" s="1"/>
  <c r="H13" i="707"/>
  <c r="M19" i="712"/>
  <c r="P19" i="712" s="1"/>
  <c r="K20" i="712"/>
  <c r="K19" i="712"/>
  <c r="I6" i="712"/>
  <c r="I8" i="712" s="1"/>
  <c r="L18" i="712"/>
  <c r="O18" i="712" s="1"/>
  <c r="N18" i="712"/>
  <c r="K18" i="712"/>
  <c r="N20" i="712"/>
  <c r="M20" i="712"/>
  <c r="P20" i="712" s="1"/>
  <c r="L19" i="712"/>
  <c r="O19" i="712" s="1"/>
  <c r="N19" i="712"/>
  <c r="M18" i="712"/>
  <c r="P18" i="712" s="1"/>
  <c r="K17" i="712"/>
  <c r="L17" i="712"/>
  <c r="O17" i="712" s="1"/>
  <c r="N17" i="712"/>
  <c r="M17" i="712"/>
  <c r="P17" i="712" s="1"/>
  <c r="L20" i="712"/>
  <c r="O20" i="712" s="1"/>
  <c r="H10" i="710"/>
  <c r="O10" i="710"/>
  <c r="I10" i="710"/>
  <c r="P10" i="710"/>
  <c r="P16" i="710"/>
  <c r="H16" i="710"/>
  <c r="O16" i="710"/>
  <c r="I16" i="710"/>
  <c r="H15" i="710"/>
  <c r="P15" i="710"/>
  <c r="O15" i="710"/>
  <c r="I15" i="710"/>
  <c r="H17" i="710"/>
  <c r="O17" i="710"/>
  <c r="I17" i="710"/>
  <c r="P17" i="710"/>
  <c r="O12" i="710"/>
  <c r="I12" i="710"/>
  <c r="H12" i="710"/>
  <c r="P12" i="710"/>
  <c r="O11" i="710"/>
  <c r="I11" i="710"/>
  <c r="P11" i="710"/>
  <c r="H11" i="710"/>
  <c r="O18" i="710"/>
  <c r="I18" i="710"/>
  <c r="H18" i="710"/>
  <c r="P18" i="710"/>
  <c r="H13" i="710"/>
  <c r="O13" i="710"/>
  <c r="I13" i="710"/>
  <c r="P13" i="710"/>
  <c r="I8" i="710"/>
  <c r="O8" i="710"/>
  <c r="P8" i="710"/>
  <c r="H8" i="710"/>
  <c r="P14" i="710"/>
  <c r="I14" i="710"/>
  <c r="H14" i="710"/>
  <c r="O14" i="710"/>
  <c r="O9" i="710"/>
  <c r="I9" i="710"/>
  <c r="P9" i="710"/>
  <c r="H9" i="710"/>
  <c r="O19" i="710"/>
  <c r="I19" i="710"/>
  <c r="H19" i="710"/>
  <c r="P19" i="710"/>
  <c r="AM8" i="702"/>
  <c r="AM4" i="702"/>
  <c r="AR4" i="702" s="1"/>
  <c r="AM3" i="702"/>
  <c r="AQ3" i="702" s="1"/>
  <c r="R28" i="708"/>
  <c r="X28" i="708" s="1"/>
  <c r="R27" i="708"/>
  <c r="X27" i="708" s="1"/>
  <c r="G4" i="708" a="1"/>
  <c r="AM13" i="702"/>
  <c r="AL18" i="702"/>
  <c r="AO16" i="702" a="1"/>
  <c r="W8" i="710" a="1"/>
  <c r="AH3" i="702"/>
  <c r="AK18" i="702"/>
  <c r="I8" i="709" l="1"/>
  <c r="K8" i="709" s="1"/>
  <c r="K7" i="709"/>
  <c r="Q10" i="711"/>
  <c r="P11" i="711"/>
  <c r="J8" i="709"/>
  <c r="R9" i="711"/>
  <c r="S9" i="711"/>
  <c r="I9" i="709"/>
  <c r="H10" i="709"/>
  <c r="L10" i="711"/>
  <c r="K10" i="711"/>
  <c r="I12" i="711"/>
  <c r="J11" i="711"/>
  <c r="Y12" i="710"/>
  <c r="W11" i="710"/>
  <c r="W12" i="710"/>
  <c r="Y11" i="710"/>
  <c r="W9" i="710"/>
  <c r="W8" i="710"/>
  <c r="X11" i="710"/>
  <c r="Y9" i="710"/>
  <c r="Y10" i="710"/>
  <c r="X10" i="710"/>
  <c r="W10" i="710"/>
  <c r="X12" i="710"/>
  <c r="X9" i="710"/>
  <c r="Y8" i="710"/>
  <c r="X8" i="710"/>
  <c r="Q19" i="710"/>
  <c r="Q18" i="710"/>
  <c r="Q12" i="710"/>
  <c r="J15" i="710"/>
  <c r="Q9" i="710"/>
  <c r="J13" i="710"/>
  <c r="Q11" i="710"/>
  <c r="Q17" i="710"/>
  <c r="J16" i="710"/>
  <c r="Q10" i="710"/>
  <c r="Q13" i="710"/>
  <c r="Q8" i="710"/>
  <c r="R8" i="710" s="1"/>
  <c r="S8" i="710" s="1"/>
  <c r="J17" i="710"/>
  <c r="J10" i="710"/>
  <c r="J19" i="710"/>
  <c r="J9" i="710"/>
  <c r="J14" i="710"/>
  <c r="J18" i="710"/>
  <c r="J11" i="710"/>
  <c r="J12" i="710"/>
  <c r="Q15" i="710"/>
  <c r="Q14" i="710"/>
  <c r="J8" i="710"/>
  <c r="K8" i="710" s="1"/>
  <c r="L8" i="710" s="1"/>
  <c r="Q16" i="710"/>
  <c r="AO16" i="702"/>
  <c r="AO17" i="702"/>
  <c r="AQ16" i="702"/>
  <c r="AQ17" i="702"/>
  <c r="AR16" i="702"/>
  <c r="AP16" i="702"/>
  <c r="AP17" i="702"/>
  <c r="AR17" i="702"/>
  <c r="AQ4" i="702"/>
  <c r="AR3" i="702" s="1"/>
  <c r="AM18" i="702"/>
  <c r="G21" i="708"/>
  <c r="G20" i="708"/>
  <c r="G19" i="708"/>
  <c r="G18" i="708"/>
  <c r="G17" i="708"/>
  <c r="G16" i="708"/>
  <c r="G15" i="708"/>
  <c r="G14" i="708"/>
  <c r="G13" i="708"/>
  <c r="G12" i="708"/>
  <c r="G11" i="708"/>
  <c r="G10" i="708"/>
  <c r="G9" i="708"/>
  <c r="J21" i="708"/>
  <c r="I20" i="708"/>
  <c r="H19" i="708"/>
  <c r="J17" i="708"/>
  <c r="I16" i="708"/>
  <c r="H15" i="708"/>
  <c r="J13" i="708"/>
  <c r="I12" i="708"/>
  <c r="H11" i="708"/>
  <c r="J9" i="708"/>
  <c r="I8" i="708"/>
  <c r="I7" i="708"/>
  <c r="I6" i="708"/>
  <c r="I5" i="708"/>
  <c r="I4" i="708"/>
  <c r="J16" i="708"/>
  <c r="J12" i="708"/>
  <c r="J7" i="708"/>
  <c r="J5" i="708"/>
  <c r="I21" i="708"/>
  <c r="H20" i="708"/>
  <c r="J18" i="708"/>
  <c r="I17" i="708"/>
  <c r="H16" i="708"/>
  <c r="J14" i="708"/>
  <c r="I13" i="708"/>
  <c r="H12" i="708"/>
  <c r="J10" i="708"/>
  <c r="I9" i="708"/>
  <c r="H8" i="708"/>
  <c r="H7" i="708"/>
  <c r="H6" i="708"/>
  <c r="H5" i="708"/>
  <c r="H4" i="708"/>
  <c r="J19" i="708"/>
  <c r="I18" i="708"/>
  <c r="J15" i="708"/>
  <c r="H13" i="708"/>
  <c r="J11" i="708"/>
  <c r="H9" i="708"/>
  <c r="G8" i="708"/>
  <c r="G7" i="708"/>
  <c r="G5" i="708"/>
  <c r="G4" i="708"/>
  <c r="H18" i="708"/>
  <c r="H14" i="708"/>
  <c r="H10" i="708"/>
  <c r="J6" i="708"/>
  <c r="H21" i="708"/>
  <c r="H17" i="708"/>
  <c r="I14" i="708"/>
  <c r="I10" i="708"/>
  <c r="K10" i="708" s="1"/>
  <c r="L10" i="708" s="1"/>
  <c r="G6" i="708"/>
  <c r="J20" i="708"/>
  <c r="I19" i="708"/>
  <c r="I15" i="708"/>
  <c r="I11" i="708"/>
  <c r="J8" i="708"/>
  <c r="J4" i="708"/>
  <c r="F25" i="699"/>
  <c r="E26" i="699"/>
  <c r="F26" i="699"/>
  <c r="E27" i="699"/>
  <c r="F27" i="699"/>
  <c r="G26" i="699" l="1"/>
  <c r="H26" i="699" s="1"/>
  <c r="G27" i="699"/>
  <c r="M8" i="710"/>
  <c r="N8" i="710"/>
  <c r="L11" i="711"/>
  <c r="K11" i="711"/>
  <c r="I10" i="709"/>
  <c r="H11" i="709"/>
  <c r="J12" i="711"/>
  <c r="I13" i="711"/>
  <c r="K9" i="709"/>
  <c r="J9" i="709"/>
  <c r="P12" i="711"/>
  <c r="Q11" i="711"/>
  <c r="T8" i="710"/>
  <c r="U8" i="710"/>
  <c r="R10" i="711"/>
  <c r="S10" i="711"/>
  <c r="I26" i="699"/>
  <c r="K26" i="699" s="1"/>
  <c r="R9" i="710"/>
  <c r="R10" i="710" s="1"/>
  <c r="K9" i="710"/>
  <c r="K10" i="710" s="1"/>
  <c r="K6" i="708"/>
  <c r="L6" i="708" s="1"/>
  <c r="K16" i="708"/>
  <c r="L16" i="708" s="1"/>
  <c r="K21" i="708"/>
  <c r="L21" i="708" s="1"/>
  <c r="Q21" i="708" s="1"/>
  <c r="K19" i="708"/>
  <c r="L19" i="708" s="1"/>
  <c r="K14" i="708"/>
  <c r="L14" i="708" s="1"/>
  <c r="K17" i="708"/>
  <c r="L17" i="708" s="1"/>
  <c r="K8" i="708"/>
  <c r="L8" i="708" s="1"/>
  <c r="AA12" i="708"/>
  <c r="Z12" i="708"/>
  <c r="Y12" i="708"/>
  <c r="U12" i="708"/>
  <c r="M12" i="708"/>
  <c r="T12" i="708"/>
  <c r="K13" i="708"/>
  <c r="L13" i="708" s="1"/>
  <c r="K20" i="708"/>
  <c r="L20" i="708" s="1"/>
  <c r="K11" i="708"/>
  <c r="L11" i="708" s="1"/>
  <c r="Y18" i="708"/>
  <c r="U18" i="708"/>
  <c r="T18" i="708"/>
  <c r="M18" i="708"/>
  <c r="AA18" i="708"/>
  <c r="Z18" i="708"/>
  <c r="K9" i="708"/>
  <c r="L9" i="708" s="1"/>
  <c r="Y20" i="708"/>
  <c r="U20" i="708"/>
  <c r="T20" i="708"/>
  <c r="M20" i="708"/>
  <c r="AA20" i="708"/>
  <c r="Z20" i="708"/>
  <c r="Y11" i="708"/>
  <c r="U11" i="708"/>
  <c r="T11" i="708"/>
  <c r="M11" i="708"/>
  <c r="AA11" i="708"/>
  <c r="Z11" i="708"/>
  <c r="K4" i="708"/>
  <c r="L4" i="708" s="1"/>
  <c r="AA19" i="708"/>
  <c r="Z19" i="708"/>
  <c r="Y19" i="708"/>
  <c r="U19" i="708"/>
  <c r="T19" i="708"/>
  <c r="M19" i="708"/>
  <c r="AA17" i="708"/>
  <c r="Z17" i="708"/>
  <c r="Y17" i="708"/>
  <c r="U17" i="708"/>
  <c r="T17" i="708"/>
  <c r="M17" i="708"/>
  <c r="Y14" i="708"/>
  <c r="U14" i="708"/>
  <c r="T14" i="708"/>
  <c r="M14" i="708"/>
  <c r="AA14" i="708"/>
  <c r="Z14" i="708"/>
  <c r="T13" i="708"/>
  <c r="M13" i="708"/>
  <c r="AA13" i="708"/>
  <c r="Z13" i="708"/>
  <c r="Y13" i="708"/>
  <c r="U13" i="708"/>
  <c r="T8" i="708"/>
  <c r="M8" i="708"/>
  <c r="AA8" i="708"/>
  <c r="Z8" i="708"/>
  <c r="Y8" i="708"/>
  <c r="U8" i="708"/>
  <c r="K5" i="708"/>
  <c r="L5" i="708" s="1"/>
  <c r="AA15" i="708"/>
  <c r="Z15" i="708"/>
  <c r="Y15" i="708"/>
  <c r="U15" i="708"/>
  <c r="M15" i="708"/>
  <c r="T15" i="708"/>
  <c r="K15" i="708"/>
  <c r="L15" i="708" s="1"/>
  <c r="K18" i="708"/>
  <c r="L18" i="708" s="1"/>
  <c r="T6" i="708"/>
  <c r="M6" i="708"/>
  <c r="AA6" i="708"/>
  <c r="Z6" i="708"/>
  <c r="U6" i="708"/>
  <c r="Y6" i="708"/>
  <c r="K7" i="708"/>
  <c r="L7" i="708" s="1"/>
  <c r="K12" i="708"/>
  <c r="L12" i="708" s="1"/>
  <c r="H27" i="699" l="1"/>
  <c r="I27" i="699"/>
  <c r="J27" i="699" s="1"/>
  <c r="R11" i="710"/>
  <c r="Q12" i="711"/>
  <c r="P13" i="711"/>
  <c r="L12" i="711"/>
  <c r="K12" i="711"/>
  <c r="I11" i="709"/>
  <c r="H12" i="709"/>
  <c r="S9" i="710"/>
  <c r="S10" i="710" s="1"/>
  <c r="J10" i="709"/>
  <c r="K10" i="709"/>
  <c r="K11" i="710"/>
  <c r="S11" i="711"/>
  <c r="R11" i="711"/>
  <c r="J13" i="711"/>
  <c r="I14" i="711"/>
  <c r="L9" i="710"/>
  <c r="J26" i="699"/>
  <c r="K27" i="699"/>
  <c r="Q20" i="708"/>
  <c r="Q19" i="708" s="1"/>
  <c r="Q18" i="708" s="1"/>
  <c r="Q17" i="708" s="1"/>
  <c r="Q16" i="708" s="1"/>
  <c r="Q15" i="708" s="1"/>
  <c r="Q14" i="708" s="1"/>
  <c r="Q13" i="708" s="1"/>
  <c r="Q12" i="708" s="1"/>
  <c r="Q11" i="708" s="1"/>
  <c r="Q10" i="708" s="1"/>
  <c r="Q9" i="708" s="1"/>
  <c r="Q8" i="708" s="1"/>
  <c r="Q7" i="708" s="1"/>
  <c r="Q6" i="708" s="1"/>
  <c r="Q5" i="708" s="1"/>
  <c r="Q4" i="708" s="1"/>
  <c r="X21" i="708"/>
  <c r="W21" i="708"/>
  <c r="W20" i="708" s="1"/>
  <c r="W19" i="708" s="1"/>
  <c r="W18" i="708" s="1"/>
  <c r="W17" i="708" s="1"/>
  <c r="W16" i="708" s="1"/>
  <c r="W15" i="708" s="1"/>
  <c r="W14" i="708" s="1"/>
  <c r="W13" i="708" s="1"/>
  <c r="W12" i="708" s="1"/>
  <c r="W11" i="708" s="1"/>
  <c r="W10" i="708" s="1"/>
  <c r="W9" i="708" s="1"/>
  <c r="W8" i="708" s="1"/>
  <c r="W7" i="708" s="1"/>
  <c r="W6" i="708" s="1"/>
  <c r="W5" i="708" s="1"/>
  <c r="W4" i="708" s="1"/>
  <c r="M21" i="708"/>
  <c r="S21" i="708"/>
  <c r="U21" i="708" s="1"/>
  <c r="V21" i="708"/>
  <c r="V20" i="708" s="1"/>
  <c r="V19" i="708" s="1"/>
  <c r="V18" i="708" s="1"/>
  <c r="V17" i="708" s="1"/>
  <c r="V16" i="708" s="1"/>
  <c r="V15" i="708" s="1"/>
  <c r="V14" i="708" s="1"/>
  <c r="V13" i="708" s="1"/>
  <c r="V12" i="708" s="1"/>
  <c r="V11" i="708" s="1"/>
  <c r="V10" i="708" s="1"/>
  <c r="V9" i="708" s="1"/>
  <c r="V8" i="708" s="1"/>
  <c r="V7" i="708" s="1"/>
  <c r="V6" i="708" s="1"/>
  <c r="V5" i="708" s="1"/>
  <c r="V4" i="708" s="1"/>
  <c r="R21" i="708"/>
  <c r="T21" i="708" s="1"/>
  <c r="M4" i="708"/>
  <c r="M10" i="708"/>
  <c r="M16" i="708"/>
  <c r="M5" i="708"/>
  <c r="M9" i="708"/>
  <c r="M7" i="708"/>
  <c r="R27" i="705"/>
  <c r="X27" i="705" s="1"/>
  <c r="R27" i="704"/>
  <c r="X27" i="704" s="1"/>
  <c r="R28" i="702"/>
  <c r="X28" i="702" s="1"/>
  <c r="R27" i="702"/>
  <c r="X27" i="702" s="1"/>
  <c r="AN3" i="702" s="1"/>
  <c r="AH19" i="697"/>
  <c r="B17" i="700" s="1"/>
  <c r="AI19" i="697"/>
  <c r="C17" i="700" s="1"/>
  <c r="T12" i="700"/>
  <c r="T14" i="700"/>
  <c r="T8" i="700"/>
  <c r="G4" i="705" a="1"/>
  <c r="T4" i="700"/>
  <c r="T6" i="700"/>
  <c r="T10" i="700"/>
  <c r="G4" i="704" a="1"/>
  <c r="G4" i="702" a="1"/>
  <c r="G11" i="706" l="1"/>
  <c r="M11" i="706" s="1"/>
  <c r="G6" i="706"/>
  <c r="M6" i="706" s="1"/>
  <c r="U10" i="710"/>
  <c r="T10" i="710"/>
  <c r="K13" i="711"/>
  <c r="L13" i="711"/>
  <c r="K12" i="710"/>
  <c r="I12" i="709"/>
  <c r="H13" i="709"/>
  <c r="Q13" i="711"/>
  <c r="P14" i="711"/>
  <c r="J11" i="709"/>
  <c r="K11" i="709"/>
  <c r="R12" i="711"/>
  <c r="S12" i="711"/>
  <c r="N9" i="710"/>
  <c r="M9" i="710"/>
  <c r="J14" i="711"/>
  <c r="I15" i="711"/>
  <c r="L10" i="710"/>
  <c r="U9" i="710"/>
  <c r="T9" i="710"/>
  <c r="R12" i="710"/>
  <c r="S11" i="710"/>
  <c r="AN4" i="702"/>
  <c r="AN5" i="702" s="1"/>
  <c r="AK8" i="702" s="1"/>
  <c r="AP8" i="702" s="1"/>
  <c r="AF3" i="702"/>
  <c r="AA21" i="708"/>
  <c r="X20" i="708"/>
  <c r="X19" i="708" s="1"/>
  <c r="X18" i="708" s="1"/>
  <c r="X17" i="708" s="1"/>
  <c r="X16" i="708" s="1"/>
  <c r="X15" i="708" s="1"/>
  <c r="X14" i="708" s="1"/>
  <c r="X13" i="708" s="1"/>
  <c r="X12" i="708" s="1"/>
  <c r="X11" i="708" s="1"/>
  <c r="X10" i="708" s="1"/>
  <c r="X9" i="708" s="1"/>
  <c r="X8" i="708" s="1"/>
  <c r="X7" i="708" s="1"/>
  <c r="X6" i="708" s="1"/>
  <c r="X5" i="708" s="1"/>
  <c r="S20" i="708"/>
  <c r="S19" i="708" s="1"/>
  <c r="S18" i="708" s="1"/>
  <c r="S17" i="708" s="1"/>
  <c r="S16" i="708" s="1"/>
  <c r="S15" i="708" s="1"/>
  <c r="S14" i="708" s="1"/>
  <c r="S13" i="708" s="1"/>
  <c r="S12" i="708" s="1"/>
  <c r="S11" i="708" s="1"/>
  <c r="S10" i="708" s="1"/>
  <c r="S9" i="708" s="1"/>
  <c r="S8" i="708" s="1"/>
  <c r="S7" i="708" s="1"/>
  <c r="S6" i="708" s="1"/>
  <c r="S5" i="708" s="1"/>
  <c r="S4" i="708" s="1"/>
  <c r="U4" i="708" s="1"/>
  <c r="R20" i="708"/>
  <c r="R19" i="708" s="1"/>
  <c r="R18" i="708" s="1"/>
  <c r="R17" i="708" s="1"/>
  <c r="R16" i="708" s="1"/>
  <c r="Y16" i="708" s="1"/>
  <c r="Z21" i="708"/>
  <c r="Y21" i="708"/>
  <c r="M22" i="708"/>
  <c r="H21" i="705"/>
  <c r="H20" i="705"/>
  <c r="H19" i="705"/>
  <c r="H18" i="705"/>
  <c r="H17" i="705"/>
  <c r="H16" i="705"/>
  <c r="H15" i="705"/>
  <c r="H14" i="705"/>
  <c r="H13" i="705"/>
  <c r="H12" i="705"/>
  <c r="H11" i="705"/>
  <c r="H10" i="705"/>
  <c r="H9" i="705"/>
  <c r="H8" i="705"/>
  <c r="H7" i="705"/>
  <c r="H6" i="705"/>
  <c r="H5" i="705"/>
  <c r="H4" i="705"/>
  <c r="I19" i="705"/>
  <c r="I16" i="705"/>
  <c r="I14" i="705"/>
  <c r="I10" i="705"/>
  <c r="I8" i="705"/>
  <c r="I4" i="705"/>
  <c r="G21" i="705"/>
  <c r="G20" i="705"/>
  <c r="G19" i="705"/>
  <c r="G18" i="705"/>
  <c r="G17" i="705"/>
  <c r="G16" i="705"/>
  <c r="G15" i="705"/>
  <c r="G14" i="705"/>
  <c r="G13" i="705"/>
  <c r="G12" i="705"/>
  <c r="G11" i="705"/>
  <c r="G10" i="705"/>
  <c r="G9" i="705"/>
  <c r="G8" i="705"/>
  <c r="G7" i="705"/>
  <c r="G6" i="705"/>
  <c r="G5" i="705"/>
  <c r="G4" i="705"/>
  <c r="I21" i="705"/>
  <c r="I18" i="705"/>
  <c r="I15" i="705"/>
  <c r="I12" i="705"/>
  <c r="I9" i="705"/>
  <c r="I6" i="705"/>
  <c r="J21" i="705"/>
  <c r="K21" i="705" s="1"/>
  <c r="J20" i="705"/>
  <c r="K20" i="705" s="1"/>
  <c r="J19" i="705"/>
  <c r="K19" i="705" s="1"/>
  <c r="J18" i="705"/>
  <c r="K18" i="705" s="1"/>
  <c r="J17" i="705"/>
  <c r="K17" i="705" s="1"/>
  <c r="J16" i="705"/>
  <c r="K16" i="705" s="1"/>
  <c r="J15" i="705"/>
  <c r="K15" i="705" s="1"/>
  <c r="J14" i="705"/>
  <c r="K14" i="705" s="1"/>
  <c r="J13" i="705"/>
  <c r="K13" i="705" s="1"/>
  <c r="J12" i="705"/>
  <c r="K12" i="705" s="1"/>
  <c r="J11" i="705"/>
  <c r="K11" i="705" s="1"/>
  <c r="J10" i="705"/>
  <c r="K10" i="705" s="1"/>
  <c r="J9" i="705"/>
  <c r="K9" i="705" s="1"/>
  <c r="J8" i="705"/>
  <c r="K8" i="705" s="1"/>
  <c r="J7" i="705"/>
  <c r="K7" i="705" s="1"/>
  <c r="J6" i="705"/>
  <c r="K6" i="705" s="1"/>
  <c r="J5" i="705"/>
  <c r="K5" i="705" s="1"/>
  <c r="J4" i="705"/>
  <c r="K4" i="705" s="1"/>
  <c r="I20" i="705"/>
  <c r="I17" i="705"/>
  <c r="I13" i="705"/>
  <c r="I11" i="705"/>
  <c r="I7" i="705"/>
  <c r="I5" i="705"/>
  <c r="G21" i="704"/>
  <c r="G20" i="704"/>
  <c r="G19" i="704"/>
  <c r="G18" i="704"/>
  <c r="G17" i="704"/>
  <c r="G16" i="704"/>
  <c r="G15" i="704"/>
  <c r="G14" i="704"/>
  <c r="G13" i="704"/>
  <c r="G12" i="704"/>
  <c r="G11" i="704"/>
  <c r="G10" i="704"/>
  <c r="G9" i="704"/>
  <c r="I21" i="704"/>
  <c r="K21" i="704" s="1"/>
  <c r="L21" i="704" s="1"/>
  <c r="I20" i="704"/>
  <c r="K20" i="704" s="1"/>
  <c r="L20" i="704" s="1"/>
  <c r="J21" i="704"/>
  <c r="J19" i="704"/>
  <c r="I18" i="704"/>
  <c r="K18" i="704" s="1"/>
  <c r="L18" i="704" s="1"/>
  <c r="H17" i="704"/>
  <c r="J15" i="704"/>
  <c r="I14" i="704"/>
  <c r="K14" i="704" s="1"/>
  <c r="L14" i="704" s="1"/>
  <c r="H13" i="704"/>
  <c r="J11" i="704"/>
  <c r="I10" i="704"/>
  <c r="K10" i="704" s="1"/>
  <c r="L10" i="704" s="1"/>
  <c r="H9" i="704"/>
  <c r="G8" i="704"/>
  <c r="G7" i="704"/>
  <c r="G6" i="704"/>
  <c r="G5" i="704"/>
  <c r="G4" i="704"/>
  <c r="H20" i="704"/>
  <c r="H16" i="704"/>
  <c r="I13" i="704"/>
  <c r="K13" i="704" s="1"/>
  <c r="L13" i="704" s="1"/>
  <c r="J10" i="704"/>
  <c r="H8" i="704"/>
  <c r="H6" i="704"/>
  <c r="H21" i="704"/>
  <c r="I19" i="704"/>
  <c r="K19" i="704" s="1"/>
  <c r="L19" i="704" s="1"/>
  <c r="H18" i="704"/>
  <c r="J16" i="704"/>
  <c r="I15" i="704"/>
  <c r="K15" i="704" s="1"/>
  <c r="L15" i="704" s="1"/>
  <c r="H14" i="704"/>
  <c r="J12" i="704"/>
  <c r="I11" i="704"/>
  <c r="K11" i="704" s="1"/>
  <c r="L11" i="704" s="1"/>
  <c r="H10" i="704"/>
  <c r="J8" i="704"/>
  <c r="J7" i="704"/>
  <c r="J6" i="704"/>
  <c r="J5" i="704"/>
  <c r="J4" i="704"/>
  <c r="H4" i="704"/>
  <c r="J20" i="704"/>
  <c r="H19" i="704"/>
  <c r="J17" i="704"/>
  <c r="I16" i="704"/>
  <c r="K16" i="704" s="1"/>
  <c r="L16" i="704" s="1"/>
  <c r="H15" i="704"/>
  <c r="J13" i="704"/>
  <c r="I12" i="704"/>
  <c r="K12" i="704" s="1"/>
  <c r="L12" i="704" s="1"/>
  <c r="H11" i="704"/>
  <c r="J9" i="704"/>
  <c r="I8" i="704"/>
  <c r="K8" i="704" s="1"/>
  <c r="L8" i="704" s="1"/>
  <c r="I7" i="704"/>
  <c r="K7" i="704" s="1"/>
  <c r="L7" i="704" s="1"/>
  <c r="I6" i="704"/>
  <c r="K6" i="704" s="1"/>
  <c r="L6" i="704" s="1"/>
  <c r="I5" i="704"/>
  <c r="K5" i="704" s="1"/>
  <c r="L5" i="704" s="1"/>
  <c r="I4" i="704"/>
  <c r="K4" i="704" s="1"/>
  <c r="J18" i="704"/>
  <c r="I17" i="704"/>
  <c r="K17" i="704" s="1"/>
  <c r="L17" i="704" s="1"/>
  <c r="J14" i="704"/>
  <c r="H12" i="704"/>
  <c r="I9" i="704"/>
  <c r="K9" i="704" s="1"/>
  <c r="L9" i="704" s="1"/>
  <c r="H7" i="704"/>
  <c r="H5" i="704"/>
  <c r="G21" i="702"/>
  <c r="G20" i="702"/>
  <c r="G19" i="702"/>
  <c r="G18" i="702"/>
  <c r="G17" i="702"/>
  <c r="G16" i="702"/>
  <c r="G15" i="702"/>
  <c r="G14" i="702"/>
  <c r="G13" i="702"/>
  <c r="J21" i="702"/>
  <c r="J20" i="702"/>
  <c r="J19" i="702"/>
  <c r="J18" i="702"/>
  <c r="J17" i="702"/>
  <c r="J16" i="702"/>
  <c r="J15" i="702"/>
  <c r="J14" i="702"/>
  <c r="J13" i="702"/>
  <c r="J12" i="702"/>
  <c r="J11" i="702"/>
  <c r="J10" i="702"/>
  <c r="J9" i="702"/>
  <c r="J8" i="702"/>
  <c r="I21" i="702"/>
  <c r="I20" i="702"/>
  <c r="I19" i="702"/>
  <c r="I18" i="702"/>
  <c r="I17" i="702"/>
  <c r="I16" i="702"/>
  <c r="I15" i="702"/>
  <c r="H20" i="702"/>
  <c r="H16" i="702"/>
  <c r="I13" i="702"/>
  <c r="G12" i="702"/>
  <c r="I10" i="702"/>
  <c r="H9" i="702"/>
  <c r="G8" i="702"/>
  <c r="G7" i="702"/>
  <c r="G6" i="702"/>
  <c r="G5" i="702"/>
  <c r="G4" i="702"/>
  <c r="H12" i="702"/>
  <c r="H8" i="702"/>
  <c r="H5" i="702"/>
  <c r="H19" i="702"/>
  <c r="H15" i="702"/>
  <c r="H13" i="702"/>
  <c r="I11" i="702"/>
  <c r="K11" i="702" s="1"/>
  <c r="L11" i="702" s="1"/>
  <c r="H10" i="702"/>
  <c r="G9" i="702"/>
  <c r="J7" i="702"/>
  <c r="J6" i="702"/>
  <c r="J5" i="702"/>
  <c r="J4" i="702"/>
  <c r="H17" i="702"/>
  <c r="H14" i="702"/>
  <c r="G11" i="702"/>
  <c r="H7" i="702"/>
  <c r="H4" i="702"/>
  <c r="H18" i="702"/>
  <c r="I14" i="702"/>
  <c r="K14" i="702" s="1"/>
  <c r="L14" i="702" s="1"/>
  <c r="I12" i="702"/>
  <c r="H11" i="702"/>
  <c r="G10" i="702"/>
  <c r="I8" i="702"/>
  <c r="I7" i="702"/>
  <c r="I6" i="702"/>
  <c r="I5" i="702"/>
  <c r="I4" i="702"/>
  <c r="H21" i="702"/>
  <c r="I9" i="702"/>
  <c r="H6" i="702"/>
  <c r="F34" i="699"/>
  <c r="E34" i="699"/>
  <c r="F33" i="699"/>
  <c r="E33" i="699"/>
  <c r="F32" i="699"/>
  <c r="E32" i="699"/>
  <c r="F31" i="699"/>
  <c r="E31" i="699"/>
  <c r="F30" i="699"/>
  <c r="E30" i="699"/>
  <c r="F29" i="699"/>
  <c r="E29" i="699"/>
  <c r="F28" i="699"/>
  <c r="E28" i="699"/>
  <c r="F14" i="699"/>
  <c r="E14" i="699"/>
  <c r="F13" i="699"/>
  <c r="E13" i="699"/>
  <c r="F12" i="699"/>
  <c r="E12" i="699"/>
  <c r="F11" i="699"/>
  <c r="E11" i="699"/>
  <c r="F10" i="699"/>
  <c r="E10" i="699"/>
  <c r="F9" i="699"/>
  <c r="E9" i="699"/>
  <c r="F8" i="699"/>
  <c r="E8" i="699"/>
  <c r="F7" i="699"/>
  <c r="E7" i="699"/>
  <c r="F6" i="699"/>
  <c r="AJ28" i="697"/>
  <c r="AL19" i="697"/>
  <c r="AO19" i="697" s="1"/>
  <c r="AK19" i="697"/>
  <c r="AN19" i="697" s="1"/>
  <c r="E17" i="700" s="1"/>
  <c r="AL18" i="697"/>
  <c r="AK18" i="697"/>
  <c r="AI18" i="697"/>
  <c r="C16" i="700" s="1"/>
  <c r="AH18" i="697"/>
  <c r="L18" i="697"/>
  <c r="K18" i="697"/>
  <c r="AL17" i="697"/>
  <c r="AK17" i="697"/>
  <c r="AI17" i="697"/>
  <c r="C15" i="700" s="1"/>
  <c r="AH17" i="697"/>
  <c r="L17" i="697"/>
  <c r="K17" i="697"/>
  <c r="H17" i="697"/>
  <c r="G17" i="697"/>
  <c r="AL16" i="697"/>
  <c r="AK16" i="697"/>
  <c r="AI16" i="697"/>
  <c r="C14" i="700" s="1"/>
  <c r="AH16" i="697"/>
  <c r="L16" i="697"/>
  <c r="K16" i="697"/>
  <c r="H16" i="697"/>
  <c r="G16" i="697"/>
  <c r="AL15" i="697"/>
  <c r="AK15" i="697"/>
  <c r="AI15" i="697"/>
  <c r="C13" i="700" s="1"/>
  <c r="AH15" i="697"/>
  <c r="L15" i="697"/>
  <c r="K15" i="697"/>
  <c r="H15" i="697"/>
  <c r="G15" i="697"/>
  <c r="AL14" i="697"/>
  <c r="AK14" i="697"/>
  <c r="AI14" i="697"/>
  <c r="AH14" i="697"/>
  <c r="L14" i="697"/>
  <c r="K14" i="697"/>
  <c r="H14" i="697"/>
  <c r="G14" i="697"/>
  <c r="AL13" i="697"/>
  <c r="AK13" i="697"/>
  <c r="AI13" i="697"/>
  <c r="C11" i="700" s="1"/>
  <c r="AH13" i="697"/>
  <c r="L13" i="697"/>
  <c r="K13" i="697"/>
  <c r="H13" i="697"/>
  <c r="G13" i="697"/>
  <c r="AL12" i="697"/>
  <c r="AK12" i="697"/>
  <c r="AI12" i="697"/>
  <c r="C10" i="700" s="1"/>
  <c r="AH12" i="697"/>
  <c r="L12" i="697"/>
  <c r="K12" i="697"/>
  <c r="H12" i="697"/>
  <c r="G12" i="697"/>
  <c r="AL11" i="697"/>
  <c r="AK11" i="697"/>
  <c r="AI11" i="697"/>
  <c r="C9" i="700" s="1"/>
  <c r="AH11" i="697"/>
  <c r="L11" i="697"/>
  <c r="K11" i="697"/>
  <c r="H11" i="697"/>
  <c r="G11" i="697"/>
  <c r="AL10" i="697"/>
  <c r="AK10" i="697"/>
  <c r="AI10" i="697"/>
  <c r="AH10" i="697"/>
  <c r="L10" i="697"/>
  <c r="K10" i="697"/>
  <c r="H10" i="697"/>
  <c r="G10" i="697"/>
  <c r="AL9" i="697"/>
  <c r="AK9" i="697"/>
  <c r="AI9" i="697"/>
  <c r="AH9" i="697"/>
  <c r="L9" i="697"/>
  <c r="K9" i="697"/>
  <c r="H9" i="697"/>
  <c r="G9" i="697"/>
  <c r="AL8" i="697"/>
  <c r="AK8" i="697"/>
  <c r="AI8" i="697"/>
  <c r="C6" i="700" s="1"/>
  <c r="AH8" i="697"/>
  <c r="L8" i="697"/>
  <c r="K8" i="697"/>
  <c r="H8" i="697"/>
  <c r="G8" i="697"/>
  <c r="AN7" i="697"/>
  <c r="E5" i="700" s="1"/>
  <c r="AL7" i="697"/>
  <c r="AI7" i="697"/>
  <c r="L7" i="697"/>
  <c r="K7" i="697"/>
  <c r="M7" i="697" s="1"/>
  <c r="N7" i="697" s="1"/>
  <c r="H7" i="697"/>
  <c r="G7" i="697"/>
  <c r="L6" i="697"/>
  <c r="H6" i="697"/>
  <c r="F34" i="696"/>
  <c r="E34" i="696"/>
  <c r="F33" i="696"/>
  <c r="E33" i="696"/>
  <c r="G33" i="696" s="1"/>
  <c r="F32" i="696"/>
  <c r="E32" i="696"/>
  <c r="F31" i="696"/>
  <c r="E31" i="696"/>
  <c r="G31" i="696" s="1"/>
  <c r="F30" i="696"/>
  <c r="E30" i="696"/>
  <c r="F29" i="696"/>
  <c r="E29" i="696"/>
  <c r="G29" i="696" s="1"/>
  <c r="F28" i="696"/>
  <c r="E28" i="696"/>
  <c r="F27" i="696"/>
  <c r="E27" i="696"/>
  <c r="G27" i="696" s="1"/>
  <c r="F26" i="696"/>
  <c r="E26" i="696"/>
  <c r="F25" i="696"/>
  <c r="F12" i="696"/>
  <c r="E12" i="696"/>
  <c r="F11" i="696"/>
  <c r="E11" i="696"/>
  <c r="F10" i="696"/>
  <c r="E10" i="696"/>
  <c r="F9" i="696"/>
  <c r="E9" i="696"/>
  <c r="F8" i="696"/>
  <c r="E8" i="696"/>
  <c r="F7" i="696"/>
  <c r="E7" i="696"/>
  <c r="F6" i="696"/>
  <c r="E6" i="696"/>
  <c r="F5" i="696"/>
  <c r="E5" i="696"/>
  <c r="F4" i="696"/>
  <c r="AL28" i="697"/>
  <c r="AL30" i="697"/>
  <c r="AL27" i="697"/>
  <c r="AT7" i="697"/>
  <c r="AT8" i="697"/>
  <c r="AL31" i="697"/>
  <c r="AL26" i="697"/>
  <c r="AL34" i="697"/>
  <c r="AL33" i="697"/>
  <c r="AT6" i="697"/>
  <c r="I8" i="697" l="1"/>
  <c r="C7" i="700"/>
  <c r="M12" i="697"/>
  <c r="M13" i="697"/>
  <c r="M17" i="697"/>
  <c r="G5" i="696"/>
  <c r="H5" i="696" s="1"/>
  <c r="G7" i="696"/>
  <c r="G9" i="696"/>
  <c r="I10" i="697"/>
  <c r="AO10" i="697"/>
  <c r="F8" i="700" s="1"/>
  <c r="AO14" i="697"/>
  <c r="F12" i="700" s="1"/>
  <c r="G8" i="699"/>
  <c r="G31" i="699"/>
  <c r="G33" i="699"/>
  <c r="AO11" i="697"/>
  <c r="F9" i="700" s="1"/>
  <c r="M16" i="697"/>
  <c r="I11" i="697"/>
  <c r="I14" i="697"/>
  <c r="AO15" i="697"/>
  <c r="F13" i="700" s="1"/>
  <c r="G9" i="699"/>
  <c r="G30" i="699"/>
  <c r="G32" i="699"/>
  <c r="G6" i="696"/>
  <c r="G8" i="696"/>
  <c r="M9" i="697"/>
  <c r="I15" i="697"/>
  <c r="M18" i="697"/>
  <c r="I13" i="709"/>
  <c r="T11" i="710"/>
  <c r="U11" i="710"/>
  <c r="M10" i="710"/>
  <c r="N10" i="710"/>
  <c r="J12" i="709"/>
  <c r="K12" i="709"/>
  <c r="R13" i="710"/>
  <c r="S12" i="710"/>
  <c r="I16" i="711"/>
  <c r="J15" i="711"/>
  <c r="P15" i="711"/>
  <c r="Q14" i="711"/>
  <c r="L11" i="710"/>
  <c r="L12" i="710" s="1"/>
  <c r="K14" i="711"/>
  <c r="L14" i="711"/>
  <c r="R13" i="711"/>
  <c r="S13" i="711"/>
  <c r="K13" i="710"/>
  <c r="AN10" i="697"/>
  <c r="E8" i="700" s="1"/>
  <c r="B8" i="700"/>
  <c r="G10" i="696"/>
  <c r="G12" i="696"/>
  <c r="M8" i="697"/>
  <c r="N8" i="697" s="1"/>
  <c r="AK20" i="697"/>
  <c r="C8" i="700"/>
  <c r="AN11" i="697"/>
  <c r="E9" i="700" s="1"/>
  <c r="I9" i="700" s="1"/>
  <c r="B9" i="700"/>
  <c r="C12" i="700"/>
  <c r="AN15" i="697"/>
  <c r="E13" i="700" s="1"/>
  <c r="D13" i="700" s="1"/>
  <c r="B13" i="700"/>
  <c r="AN14" i="697"/>
  <c r="E12" i="700" s="1"/>
  <c r="B12" i="700"/>
  <c r="G7" i="699"/>
  <c r="H7" i="699" s="1"/>
  <c r="G28" i="699"/>
  <c r="G34" i="699"/>
  <c r="H6" i="696"/>
  <c r="H7" i="696" s="1"/>
  <c r="AH20" i="697"/>
  <c r="B6" i="700"/>
  <c r="AN8" i="697"/>
  <c r="E6" i="700" s="1"/>
  <c r="M10" i="697"/>
  <c r="I12" i="697"/>
  <c r="AN12" i="697"/>
  <c r="E10" i="700" s="1"/>
  <c r="B10" i="700"/>
  <c r="AO12" i="697"/>
  <c r="F10" i="700" s="1"/>
  <c r="M14" i="697"/>
  <c r="L13" i="700"/>
  <c r="O13" i="700"/>
  <c r="I16" i="697"/>
  <c r="AN16" i="697"/>
  <c r="E14" i="700" s="1"/>
  <c r="B14" i="700"/>
  <c r="AO16" i="697"/>
  <c r="F14" i="700" s="1"/>
  <c r="AN18" i="697"/>
  <c r="E16" i="700" s="1"/>
  <c r="B16" i="700"/>
  <c r="AO18" i="697"/>
  <c r="F16" i="700" s="1"/>
  <c r="G29" i="699"/>
  <c r="I13" i="700"/>
  <c r="G11" i="696"/>
  <c r="G26" i="696"/>
  <c r="H26" i="696" s="1"/>
  <c r="G28" i="696"/>
  <c r="G30" i="696"/>
  <c r="G32" i="696"/>
  <c r="G34" i="696"/>
  <c r="I7" i="697"/>
  <c r="J7" i="697" s="1"/>
  <c r="J8" i="697" s="1"/>
  <c r="AO7" i="697"/>
  <c r="F5" i="700" s="1"/>
  <c r="C5" i="700"/>
  <c r="I9" i="697"/>
  <c r="AN9" i="697"/>
  <c r="E7" i="700" s="1"/>
  <c r="B7" i="700"/>
  <c r="AO9" i="697"/>
  <c r="F7" i="700" s="1"/>
  <c r="M11" i="697"/>
  <c r="I13" i="697"/>
  <c r="AN13" i="697"/>
  <c r="E11" i="700" s="1"/>
  <c r="B11" i="700"/>
  <c r="AO13" i="697"/>
  <c r="F11" i="700" s="1"/>
  <c r="M15" i="697"/>
  <c r="I17" i="697"/>
  <c r="AN17" i="697"/>
  <c r="E15" i="700" s="1"/>
  <c r="B15" i="700"/>
  <c r="AO17" i="697"/>
  <c r="F15" i="700" s="1"/>
  <c r="U7" i="708"/>
  <c r="U5" i="708"/>
  <c r="U10" i="708"/>
  <c r="U9" i="708"/>
  <c r="AA16" i="708"/>
  <c r="U16" i="708"/>
  <c r="L13" i="705"/>
  <c r="R15" i="708"/>
  <c r="R14" i="708" s="1"/>
  <c r="R13" i="708" s="1"/>
  <c r="R12" i="708" s="1"/>
  <c r="R11" i="708" s="1"/>
  <c r="R10" i="708" s="1"/>
  <c r="R9" i="708" s="1"/>
  <c r="R8" i="708" s="1"/>
  <c r="R7" i="708" s="1"/>
  <c r="R6" i="708" s="1"/>
  <c r="R5" i="708" s="1"/>
  <c r="Y5" i="708" s="1"/>
  <c r="AA10" i="708"/>
  <c r="Z16" i="708"/>
  <c r="T16" i="708"/>
  <c r="AA7" i="708"/>
  <c r="AA9" i="708"/>
  <c r="AA11" i="702"/>
  <c r="T11" i="702"/>
  <c r="U11" i="702"/>
  <c r="Z11" i="702"/>
  <c r="Y11" i="702"/>
  <c r="Y13" i="702"/>
  <c r="Z13" i="702"/>
  <c r="U13" i="702"/>
  <c r="AA13" i="702"/>
  <c r="T13" i="702"/>
  <c r="T20" i="702"/>
  <c r="AA20" i="702"/>
  <c r="Z20" i="702"/>
  <c r="U20" i="702"/>
  <c r="Y20" i="702"/>
  <c r="AA15" i="702"/>
  <c r="T15" i="702"/>
  <c r="Z15" i="702"/>
  <c r="U15" i="702"/>
  <c r="Y15" i="702"/>
  <c r="Y19" i="702"/>
  <c r="T19" i="702"/>
  <c r="AA19" i="702"/>
  <c r="U19" i="702"/>
  <c r="Z19" i="702"/>
  <c r="Z17" i="702"/>
  <c r="T17" i="702"/>
  <c r="Y17" i="702"/>
  <c r="U17" i="702"/>
  <c r="AA17" i="702"/>
  <c r="U8" i="702"/>
  <c r="AA8" i="702"/>
  <c r="T8" i="702"/>
  <c r="Y8" i="702"/>
  <c r="Z8" i="702"/>
  <c r="Z12" i="702"/>
  <c r="Y12" i="702"/>
  <c r="AA12" i="702"/>
  <c r="U12" i="702"/>
  <c r="T12" i="702"/>
  <c r="Y6" i="702"/>
  <c r="Z6" i="702"/>
  <c r="U6" i="702"/>
  <c r="AA6" i="702"/>
  <c r="T6" i="702"/>
  <c r="Y18" i="702"/>
  <c r="AA18" i="702"/>
  <c r="U18" i="702"/>
  <c r="Z18" i="702"/>
  <c r="T18" i="702"/>
  <c r="U14" i="702"/>
  <c r="AA14" i="702"/>
  <c r="T14" i="702"/>
  <c r="Z14" i="702"/>
  <c r="Y14" i="702"/>
  <c r="B5" i="706"/>
  <c r="B3" i="703"/>
  <c r="AA5" i="708"/>
  <c r="X4" i="708"/>
  <c r="AA4" i="708" s="1"/>
  <c r="L7" i="705"/>
  <c r="K9" i="702"/>
  <c r="L9" i="702" s="1"/>
  <c r="L20" i="705"/>
  <c r="L5" i="705"/>
  <c r="L17" i="705"/>
  <c r="L4" i="705"/>
  <c r="L16" i="705"/>
  <c r="K10" i="702"/>
  <c r="L10" i="702" s="1"/>
  <c r="K18" i="702"/>
  <c r="L18" i="702" s="1"/>
  <c r="L9" i="705"/>
  <c r="L21" i="705"/>
  <c r="T21" i="705" s="1"/>
  <c r="L8" i="705"/>
  <c r="G10" i="699"/>
  <c r="G12" i="699"/>
  <c r="G14" i="699"/>
  <c r="G11" i="699"/>
  <c r="G13" i="699"/>
  <c r="L6" i="705"/>
  <c r="L18" i="705"/>
  <c r="T6" i="705"/>
  <c r="R6" i="705"/>
  <c r="S6" i="705"/>
  <c r="S14" i="705"/>
  <c r="T14" i="705"/>
  <c r="R14" i="705"/>
  <c r="T18" i="705"/>
  <c r="R18" i="705"/>
  <c r="S18" i="705"/>
  <c r="L19" i="705"/>
  <c r="R11" i="705"/>
  <c r="S11" i="705"/>
  <c r="T11" i="705"/>
  <c r="R15" i="705"/>
  <c r="S15" i="705"/>
  <c r="T15" i="705"/>
  <c r="S19" i="705"/>
  <c r="T19" i="705"/>
  <c r="R19" i="705"/>
  <c r="K4" i="702"/>
  <c r="L4" i="702" s="1"/>
  <c r="K13" i="702"/>
  <c r="L13" i="702" s="1"/>
  <c r="L11" i="705"/>
  <c r="L12" i="705"/>
  <c r="L10" i="705"/>
  <c r="S8" i="705"/>
  <c r="T8" i="705"/>
  <c r="R8" i="705"/>
  <c r="R12" i="705"/>
  <c r="S12" i="705"/>
  <c r="T12" i="705"/>
  <c r="R20" i="705"/>
  <c r="S20" i="705"/>
  <c r="T20" i="705"/>
  <c r="K5" i="702"/>
  <c r="L5" i="702" s="1"/>
  <c r="K17" i="702"/>
  <c r="L17" i="702" s="1"/>
  <c r="K21" i="702"/>
  <c r="L21" i="702" s="1"/>
  <c r="Q21" i="702" s="1"/>
  <c r="L15" i="705"/>
  <c r="L14" i="705"/>
  <c r="T13" i="705"/>
  <c r="R13" i="705"/>
  <c r="S13" i="705"/>
  <c r="R17" i="705"/>
  <c r="S17" i="705"/>
  <c r="T17" i="705"/>
  <c r="U6" i="705"/>
  <c r="Q6" i="705"/>
  <c r="M6" i="705"/>
  <c r="M14" i="705"/>
  <c r="Q14" i="705"/>
  <c r="U14" i="705"/>
  <c r="M19" i="705"/>
  <c r="Q19" i="705"/>
  <c r="U19" i="705"/>
  <c r="U8" i="705"/>
  <c r="Q8" i="705"/>
  <c r="M8" i="705"/>
  <c r="M12" i="705"/>
  <c r="U12" i="705"/>
  <c r="Q12" i="705"/>
  <c r="M20" i="705"/>
  <c r="U20" i="705"/>
  <c r="Q20" i="705"/>
  <c r="M18" i="705"/>
  <c r="Q18" i="705"/>
  <c r="U18" i="705"/>
  <c r="M11" i="705"/>
  <c r="U11" i="705"/>
  <c r="Q11" i="705"/>
  <c r="M15" i="705"/>
  <c r="Q15" i="705"/>
  <c r="U15" i="705"/>
  <c r="M13" i="705"/>
  <c r="Q13" i="705"/>
  <c r="U13" i="705"/>
  <c r="M17" i="705"/>
  <c r="Q17" i="705"/>
  <c r="U17" i="705"/>
  <c r="T6" i="704"/>
  <c r="R6" i="704"/>
  <c r="S6" i="704"/>
  <c r="M6" i="704"/>
  <c r="U6" i="704"/>
  <c r="Q6" i="704"/>
  <c r="T11" i="704"/>
  <c r="R11" i="704"/>
  <c r="U11" i="704"/>
  <c r="Q11" i="704"/>
  <c r="S11" i="704"/>
  <c r="M11" i="704"/>
  <c r="T14" i="704"/>
  <c r="R14" i="704"/>
  <c r="U14" i="704"/>
  <c r="Q14" i="704"/>
  <c r="M14" i="704"/>
  <c r="S14" i="704"/>
  <c r="T13" i="704"/>
  <c r="R13" i="704"/>
  <c r="U13" i="704"/>
  <c r="Q13" i="704"/>
  <c r="S13" i="704"/>
  <c r="M13" i="704"/>
  <c r="Q21" i="704"/>
  <c r="U15" i="704"/>
  <c r="Q15" i="704"/>
  <c r="S15" i="704"/>
  <c r="M15" i="704"/>
  <c r="R15" i="704"/>
  <c r="T15" i="704"/>
  <c r="T18" i="704"/>
  <c r="R18" i="704"/>
  <c r="U18" i="704"/>
  <c r="Q18" i="704"/>
  <c r="S18" i="704"/>
  <c r="M18" i="704"/>
  <c r="T8" i="704"/>
  <c r="R8" i="704"/>
  <c r="U8" i="704"/>
  <c r="S8" i="704"/>
  <c r="M8" i="704"/>
  <c r="Q8" i="704"/>
  <c r="T20" i="704"/>
  <c r="R20" i="704"/>
  <c r="U20" i="704"/>
  <c r="Q20" i="704"/>
  <c r="S20" i="704"/>
  <c r="M20" i="704"/>
  <c r="U17" i="704"/>
  <c r="Q17" i="704"/>
  <c r="S17" i="704"/>
  <c r="M17" i="704"/>
  <c r="T17" i="704"/>
  <c r="R17" i="704"/>
  <c r="U12" i="704"/>
  <c r="Q12" i="704"/>
  <c r="S12" i="704"/>
  <c r="M12" i="704"/>
  <c r="T12" i="704"/>
  <c r="R12" i="704"/>
  <c r="L4" i="704"/>
  <c r="U19" i="704"/>
  <c r="Q19" i="704"/>
  <c r="S19" i="704"/>
  <c r="M19" i="704"/>
  <c r="T19" i="704"/>
  <c r="R19" i="704"/>
  <c r="M18" i="702"/>
  <c r="M14" i="702"/>
  <c r="M20" i="702"/>
  <c r="K7" i="702"/>
  <c r="L7" i="702" s="1"/>
  <c r="K12" i="702"/>
  <c r="L12" i="702" s="1"/>
  <c r="M15" i="702"/>
  <c r="M12" i="702"/>
  <c r="K15" i="702"/>
  <c r="L15" i="702" s="1"/>
  <c r="K19" i="702"/>
  <c r="L19" i="702" s="1"/>
  <c r="M6" i="702"/>
  <c r="K6" i="702"/>
  <c r="L6" i="702" s="1"/>
  <c r="M11" i="702"/>
  <c r="M17" i="702"/>
  <c r="M13" i="702"/>
  <c r="M8" i="702"/>
  <c r="K8" i="702"/>
  <c r="L8" i="702" s="1"/>
  <c r="M19" i="702"/>
  <c r="K16" i="702"/>
  <c r="L16" i="702" s="1"/>
  <c r="K20" i="702"/>
  <c r="L20" i="702" s="1"/>
  <c r="Q20" i="702" s="1"/>
  <c r="AJ19" i="697"/>
  <c r="F17" i="700"/>
  <c r="D17" i="700" s="1"/>
  <c r="AJ11" i="697"/>
  <c r="AM11" i="697" s="1"/>
  <c r="AJ15" i="697"/>
  <c r="AM15" i="697" s="1"/>
  <c r="AJ18" i="697"/>
  <c r="AM18" i="697" s="1"/>
  <c r="AJ13" i="697"/>
  <c r="AM13" i="697" s="1"/>
  <c r="AJ7" i="697"/>
  <c r="AM7" i="697" s="1"/>
  <c r="AO8" i="697"/>
  <c r="F6" i="700" s="1"/>
  <c r="H27" i="696"/>
  <c r="H28" i="696" s="1"/>
  <c r="H29" i="696" s="1"/>
  <c r="H30" i="696" s="1"/>
  <c r="H31" i="696" s="1"/>
  <c r="O10" i="700" l="1"/>
  <c r="O9" i="700"/>
  <c r="D14" i="700"/>
  <c r="AJ9" i="697"/>
  <c r="H8" i="696"/>
  <c r="H9" i="696" s="1"/>
  <c r="H10" i="696" s="1"/>
  <c r="AJ10" i="697"/>
  <c r="AM10" i="697" s="1"/>
  <c r="L9" i="700"/>
  <c r="O11" i="700"/>
  <c r="Q19" i="702"/>
  <c r="Q18" i="702" s="1"/>
  <c r="Q17" i="702" s="1"/>
  <c r="Q16" i="702" s="1"/>
  <c r="Q15" i="702" s="1"/>
  <c r="Q14" i="702" s="1"/>
  <c r="Q13" i="702" s="1"/>
  <c r="Q12" i="702" s="1"/>
  <c r="Q11" i="702" s="1"/>
  <c r="Q10" i="702" s="1"/>
  <c r="Q9" i="702" s="1"/>
  <c r="Q8" i="702" s="1"/>
  <c r="Q7" i="702" s="1"/>
  <c r="Q6" i="702" s="1"/>
  <c r="Q5" i="702" s="1"/>
  <c r="Q4" i="702" s="1"/>
  <c r="AJ8" i="697"/>
  <c r="AM8" i="697" s="1"/>
  <c r="H32" i="696"/>
  <c r="H33" i="696" s="1"/>
  <c r="H34" i="696" s="1"/>
  <c r="AJ16" i="697"/>
  <c r="AM16" i="697" s="1"/>
  <c r="I7" i="700"/>
  <c r="I14" i="700"/>
  <c r="L10" i="700"/>
  <c r="N9" i="697"/>
  <c r="N10" i="697" s="1"/>
  <c r="N11" i="697" s="1"/>
  <c r="N12" i="697" s="1"/>
  <c r="N13" i="697" s="1"/>
  <c r="N14" i="697" s="1"/>
  <c r="N15" i="697" s="1"/>
  <c r="N16" i="697" s="1"/>
  <c r="N17" i="697" s="1"/>
  <c r="N18" i="697" s="1"/>
  <c r="AJ12" i="697"/>
  <c r="AM12" i="697" s="1"/>
  <c r="O16" i="700"/>
  <c r="L14" i="700"/>
  <c r="D9" i="700"/>
  <c r="N9" i="700" s="1"/>
  <c r="I10" i="700"/>
  <c r="D11" i="700"/>
  <c r="H11" i="700" s="1"/>
  <c r="D10" i="700"/>
  <c r="H10" i="700" s="1"/>
  <c r="N12" i="710"/>
  <c r="M12" i="710"/>
  <c r="P16" i="711"/>
  <c r="Q15" i="711"/>
  <c r="R14" i="710"/>
  <c r="S13" i="710"/>
  <c r="K14" i="710"/>
  <c r="L13" i="710"/>
  <c r="L15" i="711"/>
  <c r="K15" i="711"/>
  <c r="N11" i="710"/>
  <c r="M11" i="710"/>
  <c r="J16" i="711"/>
  <c r="I17" i="711"/>
  <c r="R14" i="711"/>
  <c r="S14" i="711"/>
  <c r="T12" i="710"/>
  <c r="U12" i="710"/>
  <c r="K13" i="709"/>
  <c r="J13" i="709"/>
  <c r="O7" i="700"/>
  <c r="O15" i="700"/>
  <c r="D15" i="700"/>
  <c r="K15" i="700" s="1"/>
  <c r="L11" i="700"/>
  <c r="H13" i="700"/>
  <c r="H9" i="700"/>
  <c r="H14" i="700"/>
  <c r="AJ14" i="697"/>
  <c r="AM14" i="697" s="1"/>
  <c r="H11" i="696"/>
  <c r="H12" i="696" s="1"/>
  <c r="L6" i="700"/>
  <c r="I6" i="700"/>
  <c r="D16" i="700"/>
  <c r="H16" i="700" s="1"/>
  <c r="D6" i="700"/>
  <c r="H6" i="700" s="1"/>
  <c r="J9" i="697"/>
  <c r="J10" i="697" s="1"/>
  <c r="J11" i="697" s="1"/>
  <c r="J12" i="697" s="1"/>
  <c r="J13" i="697" s="1"/>
  <c r="J14" i="697" s="1"/>
  <c r="J15" i="697" s="1"/>
  <c r="J16" i="697" s="1"/>
  <c r="J17" i="697" s="1"/>
  <c r="L7" i="700"/>
  <c r="D7" i="700"/>
  <c r="N7" i="700" s="1"/>
  <c r="K13" i="700"/>
  <c r="I15" i="700"/>
  <c r="O5" i="700"/>
  <c r="D5" i="700"/>
  <c r="H5" i="700" s="1"/>
  <c r="L5" i="700"/>
  <c r="I5" i="700"/>
  <c r="K16" i="700"/>
  <c r="L15" i="700"/>
  <c r="AJ17" i="697"/>
  <c r="AM17" i="697" s="1"/>
  <c r="AM9" i="697"/>
  <c r="H8" i="699"/>
  <c r="H9" i="699" s="1"/>
  <c r="L16" i="700"/>
  <c r="N11" i="700"/>
  <c r="H7" i="700"/>
  <c r="O6" i="700"/>
  <c r="N14" i="700"/>
  <c r="K14" i="700"/>
  <c r="O14" i="700"/>
  <c r="N10" i="700"/>
  <c r="K10" i="700"/>
  <c r="I7" i="699"/>
  <c r="I11" i="700"/>
  <c r="L12" i="700"/>
  <c r="D12" i="700"/>
  <c r="O12" i="700"/>
  <c r="I12" i="700"/>
  <c r="L8" i="700"/>
  <c r="D8" i="700"/>
  <c r="H8" i="700" s="1"/>
  <c r="O8" i="700"/>
  <c r="I8" i="700"/>
  <c r="K9" i="700"/>
  <c r="N13" i="700"/>
  <c r="I16" i="700"/>
  <c r="U22" i="708"/>
  <c r="AC13" i="708" s="1"/>
  <c r="Z10" i="708"/>
  <c r="Y9" i="708"/>
  <c r="Z5" i="708"/>
  <c r="T9" i="708"/>
  <c r="T5" i="708"/>
  <c r="Y7" i="708"/>
  <c r="Z7" i="708"/>
  <c r="T7" i="708"/>
  <c r="R4" i="708"/>
  <c r="Y4" i="708" s="1"/>
  <c r="Z9" i="708"/>
  <c r="Y10" i="708"/>
  <c r="T10" i="708"/>
  <c r="W21" i="702"/>
  <c r="W20" i="702" s="1"/>
  <c r="W19" i="702" s="1"/>
  <c r="W18" i="702" s="1"/>
  <c r="W17" i="702" s="1"/>
  <c r="W16" i="702" s="1"/>
  <c r="W15" i="702" s="1"/>
  <c r="W14" i="702" s="1"/>
  <c r="W13" i="702" s="1"/>
  <c r="W12" i="702" s="1"/>
  <c r="W11" i="702" s="1"/>
  <c r="W10" i="702" s="1"/>
  <c r="W9" i="702" s="1"/>
  <c r="AA22" i="708"/>
  <c r="AD5" i="708" s="1"/>
  <c r="X21" i="702"/>
  <c r="X20" i="702" s="1"/>
  <c r="X19" i="702" s="1"/>
  <c r="X18" i="702" s="1"/>
  <c r="X17" i="702" s="1"/>
  <c r="X16" i="702" s="1"/>
  <c r="R21" i="702"/>
  <c r="S21" i="702"/>
  <c r="U21" i="702" s="1"/>
  <c r="V21" i="702"/>
  <c r="R21" i="705"/>
  <c r="M21" i="705"/>
  <c r="Q21" i="705"/>
  <c r="M10" i="705"/>
  <c r="M5" i="705"/>
  <c r="T16" i="705"/>
  <c r="T4" i="705"/>
  <c r="Q16" i="705"/>
  <c r="M21" i="702"/>
  <c r="Q4" i="705"/>
  <c r="R4" i="705"/>
  <c r="T7" i="705"/>
  <c r="M7" i="705"/>
  <c r="M7" i="702"/>
  <c r="Q5" i="705"/>
  <c r="Q7" i="705"/>
  <c r="M16" i="705"/>
  <c r="M4" i="705"/>
  <c r="Q10" i="705"/>
  <c r="R10" i="705"/>
  <c r="R9" i="705"/>
  <c r="R16" i="705"/>
  <c r="R5" i="705"/>
  <c r="S5" i="705" s="1"/>
  <c r="M5" i="702"/>
  <c r="M9" i="705"/>
  <c r="T10" i="705"/>
  <c r="T9" i="705"/>
  <c r="T5" i="705"/>
  <c r="M9" i="702"/>
  <c r="Q9" i="705"/>
  <c r="R7" i="705"/>
  <c r="T9" i="704"/>
  <c r="Q10" i="704"/>
  <c r="R21" i="704"/>
  <c r="S21" i="704" s="1"/>
  <c r="T16" i="704"/>
  <c r="M9" i="704"/>
  <c r="M10" i="704"/>
  <c r="R4" i="704"/>
  <c r="M7" i="704"/>
  <c r="Q5" i="704"/>
  <c r="R9" i="704"/>
  <c r="T21" i="704"/>
  <c r="U21" i="704" s="1"/>
  <c r="R10" i="704"/>
  <c r="M4" i="704"/>
  <c r="T4" i="704"/>
  <c r="R7" i="704"/>
  <c r="R16" i="704"/>
  <c r="M5" i="704"/>
  <c r="T5" i="704"/>
  <c r="Q7" i="704"/>
  <c r="M16" i="704"/>
  <c r="Q4" i="704"/>
  <c r="R5" i="704"/>
  <c r="Q9" i="704"/>
  <c r="M21" i="704"/>
  <c r="T10" i="704"/>
  <c r="T7" i="704"/>
  <c r="Q16" i="704"/>
  <c r="M16" i="702"/>
  <c r="M4" i="702"/>
  <c r="M10" i="702"/>
  <c r="O17" i="700"/>
  <c r="L17" i="700"/>
  <c r="I17" i="700"/>
  <c r="AM19" i="697"/>
  <c r="N17" i="700"/>
  <c r="K11" i="700" l="1"/>
  <c r="I18" i="700"/>
  <c r="I8" i="699"/>
  <c r="I9" i="699" s="1"/>
  <c r="N16" i="700"/>
  <c r="AM20" i="697"/>
  <c r="AM22" i="697" s="1"/>
  <c r="N13" i="710"/>
  <c r="M13" i="710"/>
  <c r="S15" i="711"/>
  <c r="R15" i="711"/>
  <c r="K15" i="710"/>
  <c r="L14" i="710"/>
  <c r="P17" i="711"/>
  <c r="Q16" i="711"/>
  <c r="I18" i="711"/>
  <c r="J17" i="711"/>
  <c r="U13" i="710"/>
  <c r="T13" i="710"/>
  <c r="K16" i="711"/>
  <c r="L16" i="711"/>
  <c r="R15" i="710"/>
  <c r="S14" i="710"/>
  <c r="N12" i="700"/>
  <c r="K12" i="700"/>
  <c r="N8" i="700"/>
  <c r="K7" i="700"/>
  <c r="K6" i="700"/>
  <c r="K7" i="699"/>
  <c r="H15" i="700"/>
  <c r="N5" i="700"/>
  <c r="AJ20" i="697"/>
  <c r="K8" i="700"/>
  <c r="N6" i="700"/>
  <c r="J7" i="699"/>
  <c r="N15" i="700"/>
  <c r="H12" i="700"/>
  <c r="K5" i="700"/>
  <c r="Y22" i="708"/>
  <c r="AC4" i="708" s="1"/>
  <c r="Z4" i="708"/>
  <c r="Z22" i="708" s="1"/>
  <c r="AC5" i="708" s="1"/>
  <c r="T4" i="708"/>
  <c r="T22" i="708" s="1"/>
  <c r="AC12" i="708" s="1"/>
  <c r="S20" i="702"/>
  <c r="S19" i="702" s="1"/>
  <c r="S18" i="702" s="1"/>
  <c r="S17" i="702" s="1"/>
  <c r="S16" i="702" s="1"/>
  <c r="U16" i="702" s="1"/>
  <c r="Z21" i="702"/>
  <c r="Y21" i="702"/>
  <c r="X15" i="702"/>
  <c r="X14" i="702" s="1"/>
  <c r="X13" i="702" s="1"/>
  <c r="X12" i="702" s="1"/>
  <c r="X11" i="702" s="1"/>
  <c r="X10" i="702" s="1"/>
  <c r="V20" i="702"/>
  <c r="V19" i="702" s="1"/>
  <c r="V18" i="702" s="1"/>
  <c r="V17" i="702" s="1"/>
  <c r="V16" i="702" s="1"/>
  <c r="T21" i="702"/>
  <c r="R20" i="702"/>
  <c r="R19" i="702" s="1"/>
  <c r="R18" i="702" s="1"/>
  <c r="R17" i="702" s="1"/>
  <c r="R16" i="702" s="1"/>
  <c r="AA21" i="702"/>
  <c r="W8" i="702"/>
  <c r="W7" i="702" s="1"/>
  <c r="S21" i="705"/>
  <c r="S10" i="705"/>
  <c r="U21" i="705"/>
  <c r="U10" i="705"/>
  <c r="U5" i="705"/>
  <c r="S7" i="705"/>
  <c r="S16" i="705"/>
  <c r="U4" i="705"/>
  <c r="U16" i="705"/>
  <c r="M22" i="705"/>
  <c r="E6" i="706" s="1"/>
  <c r="S4" i="705"/>
  <c r="U7" i="705"/>
  <c r="S5" i="704"/>
  <c r="S9" i="705"/>
  <c r="J9" i="699"/>
  <c r="K9" i="699"/>
  <c r="H10" i="699"/>
  <c r="U9" i="705"/>
  <c r="U10" i="704"/>
  <c r="S10" i="704"/>
  <c r="S9" i="704"/>
  <c r="U7" i="704"/>
  <c r="U4" i="704"/>
  <c r="S16" i="704"/>
  <c r="M22" i="704"/>
  <c r="B6" i="706" s="1"/>
  <c r="S4" i="704"/>
  <c r="U16" i="704"/>
  <c r="U5" i="704"/>
  <c r="S7" i="704"/>
  <c r="U9" i="704"/>
  <c r="M22" i="702"/>
  <c r="B4" i="703" s="1"/>
  <c r="K17" i="700"/>
  <c r="L18" i="700"/>
  <c r="H17" i="700"/>
  <c r="H18" i="700" l="1"/>
  <c r="R4" i="700" s="1"/>
  <c r="R6" i="700" s="1"/>
  <c r="AJ27" i="697"/>
  <c r="AR6" i="697"/>
  <c r="AR8" i="697" s="1"/>
  <c r="AJ22" i="697"/>
  <c r="AJ24" i="697" s="1"/>
  <c r="AJ26" i="697" s="1"/>
  <c r="AJ31" i="697" s="1"/>
  <c r="AJ34" i="697" s="1"/>
  <c r="K8" i="699"/>
  <c r="J8" i="699"/>
  <c r="T14" i="710"/>
  <c r="U14" i="710"/>
  <c r="R16" i="711"/>
  <c r="S16" i="711"/>
  <c r="R16" i="710"/>
  <c r="S15" i="710"/>
  <c r="Q17" i="711"/>
  <c r="P18" i="711"/>
  <c r="K17" i="711"/>
  <c r="L17" i="711"/>
  <c r="N14" i="710"/>
  <c r="M14" i="710"/>
  <c r="I19" i="711"/>
  <c r="J18" i="711"/>
  <c r="K16" i="710"/>
  <c r="L15" i="710"/>
  <c r="AD4" i="708"/>
  <c r="AC8" i="708" s="1" a="1"/>
  <c r="AC8" i="708" s="1"/>
  <c r="S27" i="708" s="1"/>
  <c r="V27" i="708" s="1"/>
  <c r="Y27" i="708" s="1"/>
  <c r="Z16" i="702"/>
  <c r="S15" i="702"/>
  <c r="S14" i="702" s="1"/>
  <c r="S13" i="702" s="1"/>
  <c r="S12" i="702" s="1"/>
  <c r="S11" i="702" s="1"/>
  <c r="S10" i="702" s="1"/>
  <c r="AA10" i="702" s="1"/>
  <c r="AA16" i="702"/>
  <c r="X9" i="702"/>
  <c r="X8" i="702" s="1"/>
  <c r="X7" i="702" s="1"/>
  <c r="W6" i="702"/>
  <c r="W5" i="702" s="1"/>
  <c r="Y16" i="702"/>
  <c r="V15" i="702"/>
  <c r="V14" i="702" s="1"/>
  <c r="V13" i="702" s="1"/>
  <c r="V12" i="702" s="1"/>
  <c r="V11" i="702" s="1"/>
  <c r="V10" i="702" s="1"/>
  <c r="T16" i="702"/>
  <c r="R15" i="702"/>
  <c r="R14" i="702" s="1"/>
  <c r="R13" i="702" s="1"/>
  <c r="R12" i="702" s="1"/>
  <c r="R11" i="702" s="1"/>
  <c r="R10" i="702" s="1"/>
  <c r="U22" i="705"/>
  <c r="W4" i="705" s="1"/>
  <c r="W7" i="705" s="1"/>
  <c r="S27" i="705" s="1"/>
  <c r="AB27" i="705" s="1"/>
  <c r="AC27" i="705" s="1"/>
  <c r="S22" i="705"/>
  <c r="W10" i="705" s="1"/>
  <c r="H11" i="699"/>
  <c r="I10" i="699"/>
  <c r="B5" i="703"/>
  <c r="B7" i="703" s="1"/>
  <c r="S22" i="704"/>
  <c r="W10" i="704" s="1"/>
  <c r="U22" i="704"/>
  <c r="W4" i="704" s="1"/>
  <c r="W7" i="704" s="1"/>
  <c r="S27" i="704" s="1"/>
  <c r="K18" i="700"/>
  <c r="R8" i="700" s="1"/>
  <c r="R10" i="700" s="1"/>
  <c r="N18" i="700"/>
  <c r="O18" i="700"/>
  <c r="AJ30" i="697"/>
  <c r="AJ33" i="697" s="1"/>
  <c r="I11" i="699" l="1"/>
  <c r="N15" i="710"/>
  <c r="M15" i="710"/>
  <c r="P19" i="711"/>
  <c r="Q18" i="711"/>
  <c r="K17" i="710"/>
  <c r="L16" i="710"/>
  <c r="R17" i="711"/>
  <c r="S17" i="711"/>
  <c r="L18" i="711"/>
  <c r="K18" i="711"/>
  <c r="U15" i="710"/>
  <c r="T15" i="710"/>
  <c r="J19" i="711"/>
  <c r="R17" i="710"/>
  <c r="S16" i="710"/>
  <c r="AB27" i="708"/>
  <c r="AC27" i="708" s="1"/>
  <c r="AC9" i="708"/>
  <c r="W27" i="708"/>
  <c r="Z27" i="708" s="1"/>
  <c r="T27" i="708"/>
  <c r="U27" i="708" s="1"/>
  <c r="AD8" i="708"/>
  <c r="AD9" i="708"/>
  <c r="S28" i="708" s="1"/>
  <c r="T28" i="708" s="1"/>
  <c r="U28" i="708" s="1"/>
  <c r="U10" i="702"/>
  <c r="S9" i="702"/>
  <c r="U9" i="702" s="1"/>
  <c r="T10" i="702"/>
  <c r="R9" i="702"/>
  <c r="Z10" i="702"/>
  <c r="W4" i="702"/>
  <c r="Y10" i="702"/>
  <c r="V9" i="702"/>
  <c r="X6" i="702"/>
  <c r="X5" i="702" s="1"/>
  <c r="W27" i="705"/>
  <c r="Z27" i="705" s="1"/>
  <c r="V27" i="705"/>
  <c r="Y27" i="705" s="1"/>
  <c r="T27" i="705"/>
  <c r="U27" i="705" s="1"/>
  <c r="J11" i="706" s="1"/>
  <c r="H11" i="706"/>
  <c r="H6" i="706"/>
  <c r="AB27" i="704"/>
  <c r="AC27" i="704" s="1"/>
  <c r="J10" i="699"/>
  <c r="K10" i="699"/>
  <c r="H12" i="699"/>
  <c r="K11" i="699"/>
  <c r="J11" i="699"/>
  <c r="E5" i="706"/>
  <c r="E7" i="706" s="1"/>
  <c r="E9" i="706" s="1"/>
  <c r="B7" i="706"/>
  <c r="B9" i="706" s="1"/>
  <c r="R12" i="700"/>
  <c r="R14" i="700" s="1"/>
  <c r="Q19" i="711" l="1"/>
  <c r="S19" i="711" s="1"/>
  <c r="R18" i="711"/>
  <c r="S18" i="711"/>
  <c r="T16" i="710"/>
  <c r="U16" i="710"/>
  <c r="R18" i="710"/>
  <c r="S17" i="710"/>
  <c r="M16" i="710"/>
  <c r="N16" i="710"/>
  <c r="L19" i="711"/>
  <c r="K19" i="711"/>
  <c r="K18" i="710"/>
  <c r="L17" i="710"/>
  <c r="AA9" i="702"/>
  <c r="V28" i="708"/>
  <c r="Y28" i="708" s="1"/>
  <c r="W28" i="708"/>
  <c r="Z28" i="708" s="1"/>
  <c r="AB28" i="708"/>
  <c r="AC28" i="708" s="1"/>
  <c r="S8" i="702"/>
  <c r="S7" i="702" s="1"/>
  <c r="AA7" i="702" s="1"/>
  <c r="Y9" i="702"/>
  <c r="V8" i="702"/>
  <c r="V7" i="702" s="1"/>
  <c r="T9" i="702"/>
  <c r="R8" i="702"/>
  <c r="R7" i="702" s="1"/>
  <c r="Z9" i="702"/>
  <c r="X4" i="702"/>
  <c r="K11" i="706"/>
  <c r="N11" i="706" s="1"/>
  <c r="L11" i="706"/>
  <c r="O11" i="706" s="1"/>
  <c r="I11" i="706"/>
  <c r="H13" i="699"/>
  <c r="I12" i="699"/>
  <c r="I13" i="699" l="1"/>
  <c r="R19" i="711"/>
  <c r="U17" i="710"/>
  <c r="T17" i="710"/>
  <c r="R19" i="710"/>
  <c r="S18" i="710"/>
  <c r="M17" i="710"/>
  <c r="N17" i="710"/>
  <c r="K19" i="710"/>
  <c r="L18" i="710"/>
  <c r="S6" i="702"/>
  <c r="S5" i="702" s="1"/>
  <c r="AA5" i="702" s="1"/>
  <c r="U7" i="702"/>
  <c r="Y7" i="702"/>
  <c r="V6" i="702"/>
  <c r="V5" i="702" s="1"/>
  <c r="T7" i="702"/>
  <c r="R6" i="702"/>
  <c r="R5" i="702" s="1"/>
  <c r="Z7" i="702"/>
  <c r="J12" i="699"/>
  <c r="K12" i="699"/>
  <c r="H14" i="699"/>
  <c r="J13" i="699"/>
  <c r="K13" i="699"/>
  <c r="T27" i="704"/>
  <c r="N18" i="710" l="1"/>
  <c r="M18" i="710"/>
  <c r="T18" i="710"/>
  <c r="U18" i="710"/>
  <c r="L19" i="710"/>
  <c r="S19" i="710"/>
  <c r="S4" i="702"/>
  <c r="U4" i="702" s="1"/>
  <c r="U5" i="702"/>
  <c r="T5" i="702"/>
  <c r="R4" i="702"/>
  <c r="Z5" i="702"/>
  <c r="Y5" i="702"/>
  <c r="V4" i="702"/>
  <c r="I14" i="699"/>
  <c r="K14" i="699" s="1"/>
  <c r="U27" i="704"/>
  <c r="J6" i="706" s="1"/>
  <c r="I6" i="706"/>
  <c r="V27" i="704"/>
  <c r="W27" i="704"/>
  <c r="N19" i="710" l="1"/>
  <c r="M19" i="710"/>
  <c r="T19" i="710"/>
  <c r="U19" i="710"/>
  <c r="U22" i="702"/>
  <c r="AC13" i="702" s="1"/>
  <c r="Y4" i="702"/>
  <c r="Y22" i="702" s="1"/>
  <c r="AC4" i="702" s="1"/>
  <c r="AA4" i="702"/>
  <c r="AA22" i="702" s="1"/>
  <c r="AD5" i="702" s="1"/>
  <c r="T4" i="702"/>
  <c r="T22" i="702" s="1"/>
  <c r="AC12" i="702" s="1"/>
  <c r="Z4" i="702"/>
  <c r="Z22" i="702" s="1"/>
  <c r="H28" i="699"/>
  <c r="K6" i="706"/>
  <c r="N6" i="706" s="1"/>
  <c r="Y27" i="704"/>
  <c r="L6" i="706"/>
  <c r="O6" i="706" s="1"/>
  <c r="Z27" i="704"/>
  <c r="J14" i="699"/>
  <c r="H29" i="699" l="1"/>
  <c r="I28" i="699"/>
  <c r="I29" i="699" s="1"/>
  <c r="AC5" i="702"/>
  <c r="AD4" i="702"/>
  <c r="H18" i="401"/>
  <c r="H20" i="401"/>
  <c r="J28" i="699" l="1"/>
  <c r="K28" i="699"/>
  <c r="H30" i="699"/>
  <c r="I30" i="699" s="1"/>
  <c r="K29" i="699"/>
  <c r="J29" i="699"/>
  <c r="AC8" i="702" a="1"/>
  <c r="AD9" i="702" s="1"/>
  <c r="N16" i="594"/>
  <c r="M16" i="594"/>
  <c r="M9" i="594"/>
  <c r="N4" i="594"/>
  <c r="O4" i="594"/>
  <c r="P4" i="594"/>
  <c r="N5" i="594"/>
  <c r="O5" i="594"/>
  <c r="P5" i="594"/>
  <c r="M5" i="594"/>
  <c r="M4" i="594"/>
  <c r="N3" i="594"/>
  <c r="O3" i="594"/>
  <c r="P3" i="594"/>
  <c r="M3" i="594"/>
  <c r="M8" i="594" l="1"/>
  <c r="H31" i="699"/>
  <c r="K30" i="699"/>
  <c r="J30" i="699"/>
  <c r="N14" i="594"/>
  <c r="N15" i="594" s="1"/>
  <c r="I31" i="699"/>
  <c r="AD8" i="702"/>
  <c r="AC9" i="702"/>
  <c r="AC8" i="702"/>
  <c r="S27" i="702" s="1"/>
  <c r="S28" i="702"/>
  <c r="BB6" i="694"/>
  <c r="BC6" i="694"/>
  <c r="BD6" i="694"/>
  <c r="BE6" i="694"/>
  <c r="BF6" i="694"/>
  <c r="BB7" i="694"/>
  <c r="BC7" i="694"/>
  <c r="BD7" i="694"/>
  <c r="BE7" i="694"/>
  <c r="BF7" i="694"/>
  <c r="BB8" i="694"/>
  <c r="BC8" i="694"/>
  <c r="BD8" i="694"/>
  <c r="BE8" i="694"/>
  <c r="BF8" i="694"/>
  <c r="BB9" i="694"/>
  <c r="BC9" i="694"/>
  <c r="BD9" i="694"/>
  <c r="BE9" i="694"/>
  <c r="BF9" i="694"/>
  <c r="BB10" i="694"/>
  <c r="BC10" i="694"/>
  <c r="BD10" i="694"/>
  <c r="BE10" i="694"/>
  <c r="BF10" i="694"/>
  <c r="BB11" i="694"/>
  <c r="BC11" i="694"/>
  <c r="BD11" i="694"/>
  <c r="BE11" i="694"/>
  <c r="BF11" i="694"/>
  <c r="BB12" i="694"/>
  <c r="BC12" i="694"/>
  <c r="BD12" i="694"/>
  <c r="BE12" i="694"/>
  <c r="BF12" i="694"/>
  <c r="BB13" i="694"/>
  <c r="BC13" i="694"/>
  <c r="BD13" i="694"/>
  <c r="BE13" i="694"/>
  <c r="BF13" i="694"/>
  <c r="BB15" i="694"/>
  <c r="BC15" i="694"/>
  <c r="BD15" i="694"/>
  <c r="BE15" i="694"/>
  <c r="BF15" i="694"/>
  <c r="BB16" i="694"/>
  <c r="BC16" i="694"/>
  <c r="BD16" i="694"/>
  <c r="BE16" i="694"/>
  <c r="BF16" i="694"/>
  <c r="BB17" i="694"/>
  <c r="BC17" i="694"/>
  <c r="BD17" i="694"/>
  <c r="BE17" i="694"/>
  <c r="BF17" i="694"/>
  <c r="BB18" i="694"/>
  <c r="BC18" i="694"/>
  <c r="BD18" i="694"/>
  <c r="BE18" i="694"/>
  <c r="BF18" i="694"/>
  <c r="BB19" i="694"/>
  <c r="BC19" i="694"/>
  <c r="BD19" i="694"/>
  <c r="BE19" i="694"/>
  <c r="BF19" i="694"/>
  <c r="BB20" i="694"/>
  <c r="BC20" i="694"/>
  <c r="BD20" i="694"/>
  <c r="BE20" i="694"/>
  <c r="BF20" i="694"/>
  <c r="BB21" i="694"/>
  <c r="BC21" i="694"/>
  <c r="BD21" i="694"/>
  <c r="BE21" i="694"/>
  <c r="BF21" i="694"/>
  <c r="BA21" i="694"/>
  <c r="BA20" i="694"/>
  <c r="BA19" i="694"/>
  <c r="BA18" i="694"/>
  <c r="BA17" i="694"/>
  <c r="BA16" i="694"/>
  <c r="BA15" i="694"/>
  <c r="BA13" i="694"/>
  <c r="BA12" i="694"/>
  <c r="BA11" i="694"/>
  <c r="BA10" i="694"/>
  <c r="BA9" i="694"/>
  <c r="BA8" i="694"/>
  <c r="BA7" i="694"/>
  <c r="BA6" i="694"/>
  <c r="BB5" i="694"/>
  <c r="BC5" i="694"/>
  <c r="BD5" i="694"/>
  <c r="BE5" i="694"/>
  <c r="BF5" i="694"/>
  <c r="BA5" i="694"/>
  <c r="AR12" i="694"/>
  <c r="AR13" i="694" s="1"/>
  <c r="AR14" i="694" s="1"/>
  <c r="AR15" i="694" s="1"/>
  <c r="AR16" i="694" s="1"/>
  <c r="AR17" i="694" s="1"/>
  <c r="AR18" i="694" s="1"/>
  <c r="AR19" i="694" s="1"/>
  <c r="AR20" i="694" s="1"/>
  <c r="AT6" i="694"/>
  <c r="AU6" i="694"/>
  <c r="AV6" i="694"/>
  <c r="AW6" i="694"/>
  <c r="AX6" i="694"/>
  <c r="AT7" i="694"/>
  <c r="AU7" i="694"/>
  <c r="AV7" i="694"/>
  <c r="AW7" i="694"/>
  <c r="AX7" i="694"/>
  <c r="AS7" i="694"/>
  <c r="AS6" i="694"/>
  <c r="AT5" i="694"/>
  <c r="AU5" i="694"/>
  <c r="AV5" i="694"/>
  <c r="AW5" i="694"/>
  <c r="AX5" i="694"/>
  <c r="AS5" i="694"/>
  <c r="AL5" i="694"/>
  <c r="AM5" i="694"/>
  <c r="AN5" i="694"/>
  <c r="AO5" i="694"/>
  <c r="AP5" i="694"/>
  <c r="AK5" i="694"/>
  <c r="AD6" i="694"/>
  <c r="AD7" i="694" s="1"/>
  <c r="AE6" i="694"/>
  <c r="AF6" i="694"/>
  <c r="AF7" i="694" s="1"/>
  <c r="AG6" i="694"/>
  <c r="AG7" i="694" s="1"/>
  <c r="AH6" i="694"/>
  <c r="AH7" i="694" s="1"/>
  <c r="AE7" i="694"/>
  <c r="AD8" i="694"/>
  <c r="AE8" i="694"/>
  <c r="AF8" i="694"/>
  <c r="AG8" i="694"/>
  <c r="AH8" i="694"/>
  <c r="AD9" i="694"/>
  <c r="AE9" i="694"/>
  <c r="AF9" i="694"/>
  <c r="AG9" i="694"/>
  <c r="AH9" i="694"/>
  <c r="AD10" i="694"/>
  <c r="AE10" i="694"/>
  <c r="AF10" i="694"/>
  <c r="AG10" i="694"/>
  <c r="AH10" i="694"/>
  <c r="AC10" i="694"/>
  <c r="AC9" i="694"/>
  <c r="AC8" i="694"/>
  <c r="AC6" i="694"/>
  <c r="AC7" i="694" s="1"/>
  <c r="AD5" i="694"/>
  <c r="AE5" i="694"/>
  <c r="AF5" i="694"/>
  <c r="AG5" i="694"/>
  <c r="AH5" i="694"/>
  <c r="AC5" i="694"/>
  <c r="K21" i="694"/>
  <c r="P11" i="694" s="1"/>
  <c r="I21" i="694"/>
  <c r="J21" i="694"/>
  <c r="H21" i="694"/>
  <c r="K20" i="694"/>
  <c r="I20" i="694"/>
  <c r="J20" i="694"/>
  <c r="H20" i="694"/>
  <c r="G20" i="694"/>
  <c r="K19" i="694"/>
  <c r="I19" i="694"/>
  <c r="J19" i="694"/>
  <c r="H19" i="694"/>
  <c r="G19" i="694"/>
  <c r="I18" i="694"/>
  <c r="J18" i="694"/>
  <c r="H18" i="694"/>
  <c r="K15" i="694"/>
  <c r="I15" i="694"/>
  <c r="J15" i="694"/>
  <c r="H15" i="694"/>
  <c r="K14" i="694"/>
  <c r="I14" i="694"/>
  <c r="J14" i="694"/>
  <c r="H14" i="694"/>
  <c r="G14" i="694"/>
  <c r="K13" i="694"/>
  <c r="I13" i="694"/>
  <c r="J13" i="694"/>
  <c r="H13" i="694"/>
  <c r="G13" i="694"/>
  <c r="I12" i="694"/>
  <c r="J12" i="694"/>
  <c r="H12" i="694"/>
  <c r="K9" i="694"/>
  <c r="O11" i="694" s="1"/>
  <c r="I9" i="694"/>
  <c r="J9" i="694"/>
  <c r="H9" i="694"/>
  <c r="K8" i="694"/>
  <c r="I8" i="694"/>
  <c r="J8" i="694"/>
  <c r="H8" i="694"/>
  <c r="G8" i="694"/>
  <c r="K7" i="694"/>
  <c r="I7" i="694"/>
  <c r="J7" i="694"/>
  <c r="H7" i="694"/>
  <c r="G7" i="694"/>
  <c r="I6" i="694"/>
  <c r="J6" i="694"/>
  <c r="H6" i="694"/>
  <c r="BB22" i="694"/>
  <c r="BI8" i="694"/>
  <c r="BC22" i="694"/>
  <c r="BB23" i="694"/>
  <c r="BE22" i="694"/>
  <c r="AL6" i="694"/>
  <c r="AO6" i="694"/>
  <c r="AK7" i="694"/>
  <c r="BA22" i="694"/>
  <c r="M15" i="594"/>
  <c r="AM7" i="694"/>
  <c r="BF22" i="694"/>
  <c r="AL7" i="694"/>
  <c r="BI7" i="694"/>
  <c r="F5" i="695" a="1"/>
  <c r="AN6" i="694"/>
  <c r="BD23" i="694"/>
  <c r="AK6" i="694"/>
  <c r="BA23" i="694"/>
  <c r="BC23" i="694"/>
  <c r="AM6" i="694"/>
  <c r="AP7" i="694"/>
  <c r="BD22" i="694"/>
  <c r="BE23" i="694"/>
  <c r="AO7" i="694"/>
  <c r="BI6" i="694"/>
  <c r="AP6" i="694"/>
  <c r="AN7" i="694"/>
  <c r="BF23" i="694"/>
  <c r="AU18" i="694" l="1"/>
  <c r="BD14" i="694"/>
  <c r="M13" i="594"/>
  <c r="O13" i="594" s="1"/>
  <c r="N6" i="594"/>
  <c r="P6" i="594"/>
  <c r="M6" i="594"/>
  <c r="O6" i="594"/>
  <c r="M14" i="594"/>
  <c r="O14" i="594" s="1"/>
  <c r="AX15" i="694"/>
  <c r="AT11" i="694"/>
  <c r="AW13" i="694"/>
  <c r="O15" i="594"/>
  <c r="P13" i="594" s="1"/>
  <c r="Q13" i="594" s="1"/>
  <c r="AS18" i="694"/>
  <c r="AV14" i="694"/>
  <c r="AW20" i="694"/>
  <c r="AX19" i="694"/>
  <c r="AT15" i="694"/>
  <c r="AW18" i="694"/>
  <c r="H32" i="699"/>
  <c r="I32" i="699" s="1"/>
  <c r="K31" i="699"/>
  <c r="J31" i="699"/>
  <c r="AU11" i="694"/>
  <c r="AX12" i="694"/>
  <c r="AT12" i="694"/>
  <c r="AT19" i="694"/>
  <c r="AW12" i="694"/>
  <c r="AS15" i="694"/>
  <c r="AW16" i="694"/>
  <c r="AX11" i="694"/>
  <c r="AU14" i="694"/>
  <c r="AS17" i="694"/>
  <c r="AS13" i="694"/>
  <c r="AV20" i="694"/>
  <c r="AW19" i="694"/>
  <c r="AX18" i="694"/>
  <c r="AT18" i="694"/>
  <c r="AU17" i="694"/>
  <c r="AV16" i="694"/>
  <c r="AW15" i="694"/>
  <c r="AX14" i="694"/>
  <c r="AT14" i="694"/>
  <c r="AU13" i="694"/>
  <c r="AV12" i="694"/>
  <c r="AW11" i="694"/>
  <c r="BE14" i="694"/>
  <c r="AS14" i="694"/>
  <c r="AV17" i="694"/>
  <c r="AV13" i="694"/>
  <c r="O7" i="694"/>
  <c r="AS20" i="694"/>
  <c r="AS16" i="694"/>
  <c r="AS12" i="694"/>
  <c r="AU20" i="694"/>
  <c r="AV19" i="694"/>
  <c r="AX17" i="694"/>
  <c r="AT17" i="694"/>
  <c r="AU16" i="694"/>
  <c r="AV15" i="694"/>
  <c r="AW14" i="694"/>
  <c r="AX13" i="694"/>
  <c r="AT13" i="694"/>
  <c r="AU12" i="694"/>
  <c r="AV11" i="694"/>
  <c r="AS11" i="694"/>
  <c r="AS19" i="694"/>
  <c r="AX20" i="694"/>
  <c r="AT20" i="694"/>
  <c r="AU19" i="694"/>
  <c r="AV18" i="694"/>
  <c r="AW17" i="694"/>
  <c r="AX16" i="694"/>
  <c r="AT16" i="694"/>
  <c r="AU15" i="694"/>
  <c r="BF14" i="694"/>
  <c r="BB14" i="694"/>
  <c r="BC14" i="694"/>
  <c r="N10" i="694"/>
  <c r="H5" i="694"/>
  <c r="N8" i="694"/>
  <c r="AO5" i="702"/>
  <c r="AL8" i="702" s="1"/>
  <c r="AN8" i="702" s="1"/>
  <c r="AQ8" i="702" s="1"/>
  <c r="W27" i="702"/>
  <c r="Z27" i="702" s="1"/>
  <c r="V27" i="702"/>
  <c r="Y27" i="702" s="1"/>
  <c r="AB27" i="702"/>
  <c r="AC27" i="702" s="1"/>
  <c r="T27" i="702"/>
  <c r="U27" i="702" s="1"/>
  <c r="V28" i="702"/>
  <c r="Y28" i="702" s="1"/>
  <c r="T28" i="702"/>
  <c r="U28" i="702" s="1"/>
  <c r="W28" i="702"/>
  <c r="Z28" i="702" s="1"/>
  <c r="AB28" i="702"/>
  <c r="AC28" i="702" s="1"/>
  <c r="H11" i="695"/>
  <c r="R7" i="695" s="1"/>
  <c r="H7" i="695"/>
  <c r="L7" i="695" s="1"/>
  <c r="F5" i="695"/>
  <c r="I7" i="695"/>
  <c r="M7" i="695" s="1"/>
  <c r="G9" i="695"/>
  <c r="N7" i="695" s="1"/>
  <c r="G5" i="695"/>
  <c r="F7" i="695"/>
  <c r="H10" i="695"/>
  <c r="R6" i="695" s="1"/>
  <c r="H6" i="695"/>
  <c r="L6" i="695" s="1"/>
  <c r="I11" i="695"/>
  <c r="S7" i="695" s="1"/>
  <c r="I5" i="695"/>
  <c r="G8" i="695"/>
  <c r="N6" i="695" s="1"/>
  <c r="F11" i="695"/>
  <c r="F6" i="695"/>
  <c r="H9" i="695"/>
  <c r="O7" i="695" s="1"/>
  <c r="H5" i="695"/>
  <c r="I10" i="695"/>
  <c r="S6" i="695" s="1"/>
  <c r="G11" i="695"/>
  <c r="Q7" i="695" s="1"/>
  <c r="G7" i="695"/>
  <c r="K7" i="695" s="1"/>
  <c r="F10" i="695"/>
  <c r="I8" i="695"/>
  <c r="P6" i="695" s="1"/>
  <c r="H8" i="695"/>
  <c r="O6" i="695" s="1"/>
  <c r="F8" i="695"/>
  <c r="I9" i="695"/>
  <c r="P7" i="695" s="1"/>
  <c r="G10" i="695"/>
  <c r="Q6" i="695" s="1"/>
  <c r="G6" i="695"/>
  <c r="K6" i="695" s="1"/>
  <c r="F9" i="695"/>
  <c r="I6" i="695"/>
  <c r="M6" i="695" s="1"/>
  <c r="AK9" i="694"/>
  <c r="BA14" i="694"/>
  <c r="AN9" i="694"/>
  <c r="AM9" i="694"/>
  <c r="AP9" i="694"/>
  <c r="AL9" i="694"/>
  <c r="AO9" i="694"/>
  <c r="N7" i="694"/>
  <c r="O8" i="694"/>
  <c r="P8" i="694" s="1"/>
  <c r="N11" i="694"/>
  <c r="AY12" i="694" l="1"/>
  <c r="N9" i="694"/>
  <c r="AY15" i="694"/>
  <c r="P14" i="594"/>
  <c r="Q14" i="594" s="1"/>
  <c r="AY19" i="694"/>
  <c r="AT9" i="694"/>
  <c r="H33" i="699"/>
  <c r="I33" i="699" s="1"/>
  <c r="K32" i="699"/>
  <c r="J32" i="699"/>
  <c r="AT8" i="694"/>
  <c r="AX9" i="694"/>
  <c r="AY18" i="694"/>
  <c r="AY16" i="694"/>
  <c r="AU10" i="694"/>
  <c r="AX8" i="694"/>
  <c r="AU8" i="694"/>
  <c r="AU9" i="694"/>
  <c r="AV9" i="694"/>
  <c r="AV8" i="694"/>
  <c r="AV10" i="694"/>
  <c r="AW8" i="694"/>
  <c r="AW10" i="694"/>
  <c r="AW9" i="694"/>
  <c r="AX10" i="694"/>
  <c r="AY11" i="694"/>
  <c r="AS10" i="694"/>
  <c r="AS9" i="694"/>
  <c r="AS8" i="694"/>
  <c r="AY20" i="694"/>
  <c r="AY17" i="694"/>
  <c r="AT10" i="694"/>
  <c r="AY13" i="694"/>
  <c r="AY14" i="694"/>
  <c r="AO8" i="702"/>
  <c r="AR8" i="702" s="1"/>
  <c r="R5" i="695"/>
  <c r="Q5" i="695"/>
  <c r="S5" i="695"/>
  <c r="P5" i="695"/>
  <c r="O5" i="695"/>
  <c r="N5" i="695"/>
  <c r="K5" i="695"/>
  <c r="L5" i="695"/>
  <c r="M5" i="695"/>
  <c r="O9" i="694"/>
  <c r="O10" i="694" s="1"/>
  <c r="P10" i="694" s="1"/>
  <c r="Q8" i="694" s="1"/>
  <c r="R8" i="694" s="1"/>
  <c r="S8" i="694" s="1"/>
  <c r="P7" i="694"/>
  <c r="H34" i="699" l="1"/>
  <c r="I34" i="699" s="1"/>
  <c r="K33" i="699"/>
  <c r="J33" i="699"/>
  <c r="Q7" i="694"/>
  <c r="R7" i="694" s="1"/>
  <c r="S7" i="694" s="1"/>
  <c r="P9" i="694"/>
  <c r="Q9" i="694" s="1"/>
  <c r="R9" i="694" s="1"/>
  <c r="S9" i="694" s="1"/>
  <c r="J34" i="699" l="1"/>
  <c r="K34" i="699"/>
  <c r="G8" i="693"/>
  <c r="I7" i="693"/>
  <c r="F7" i="693"/>
  <c r="I6" i="693"/>
  <c r="F6" i="693"/>
  <c r="I5" i="693"/>
  <c r="F5" i="693"/>
  <c r="I7" i="692"/>
  <c r="F7" i="692"/>
  <c r="I6" i="692"/>
  <c r="F6" i="692"/>
  <c r="I5" i="692"/>
  <c r="F5" i="692"/>
  <c r="H6" i="686"/>
  <c r="I6" i="686"/>
  <c r="G6" i="686"/>
  <c r="H4" i="686"/>
  <c r="I4" i="686"/>
  <c r="G4" i="686"/>
  <c r="H3" i="686"/>
  <c r="I3" i="686"/>
  <c r="G3" i="686"/>
  <c r="H7" i="693"/>
  <c r="H5" i="692"/>
  <c r="H7" i="692"/>
  <c r="H5" i="686"/>
  <c r="H6" i="692"/>
  <c r="I5" i="686"/>
  <c r="G5" i="686"/>
  <c r="H5" i="693"/>
  <c r="H6" i="693"/>
  <c r="G11" i="692" l="1"/>
  <c r="H11" i="693"/>
  <c r="J11" i="693" s="1"/>
  <c r="J6" i="686"/>
  <c r="I8" i="692"/>
  <c r="F11" i="692" s="1"/>
  <c r="J11" i="692" s="1"/>
  <c r="I8" i="693"/>
  <c r="J10" i="686"/>
  <c r="G7" i="686"/>
  <c r="H8" i="692"/>
  <c r="H8" i="693"/>
  <c r="H7" i="686"/>
  <c r="I7" i="686"/>
  <c r="F11" i="693"/>
  <c r="G11" i="693" l="1"/>
  <c r="I11" i="693" s="1"/>
  <c r="K11" i="693" s="1"/>
  <c r="H11" i="692"/>
  <c r="K11" i="692" s="1"/>
  <c r="J7" i="686"/>
  <c r="J8" i="686" s="1"/>
  <c r="L22" i="691"/>
  <c r="Q9" i="691" s="1"/>
  <c r="K22" i="691"/>
  <c r="J22" i="691"/>
  <c r="I22" i="691"/>
  <c r="H22" i="691"/>
  <c r="L21" i="691"/>
  <c r="K21" i="691"/>
  <c r="J21" i="691"/>
  <c r="I21" i="691"/>
  <c r="H21" i="691"/>
  <c r="G21" i="691"/>
  <c r="L20" i="691"/>
  <c r="K20" i="691"/>
  <c r="J20" i="691"/>
  <c r="I20" i="691"/>
  <c r="H20" i="691"/>
  <c r="G20" i="691"/>
  <c r="L19" i="691"/>
  <c r="K19" i="691"/>
  <c r="J19" i="691"/>
  <c r="I19" i="691"/>
  <c r="H19" i="691"/>
  <c r="G19" i="691"/>
  <c r="K18" i="691"/>
  <c r="J18" i="691"/>
  <c r="I18" i="691"/>
  <c r="H18" i="691"/>
  <c r="L15" i="691"/>
  <c r="K15" i="691"/>
  <c r="J15" i="691"/>
  <c r="I15" i="691"/>
  <c r="H15" i="691"/>
  <c r="L14" i="691"/>
  <c r="K14" i="691"/>
  <c r="J14" i="691"/>
  <c r="I14" i="691"/>
  <c r="H14" i="691"/>
  <c r="G14" i="691"/>
  <c r="V7" i="691" s="1"/>
  <c r="L13" i="691"/>
  <c r="K13" i="691"/>
  <c r="J13" i="691"/>
  <c r="I13" i="691"/>
  <c r="H13" i="691"/>
  <c r="G13" i="691"/>
  <c r="V6" i="691" s="1"/>
  <c r="L12" i="691"/>
  <c r="K12" i="691"/>
  <c r="J12" i="691"/>
  <c r="I12" i="691"/>
  <c r="H12" i="691"/>
  <c r="G12" i="691"/>
  <c r="V5" i="691" s="1"/>
  <c r="K11" i="691"/>
  <c r="V18" i="691" s="1"/>
  <c r="J11" i="691"/>
  <c r="V17" i="691" s="1"/>
  <c r="I11" i="691"/>
  <c r="V16" i="691" s="1"/>
  <c r="H11" i="691"/>
  <c r="V15" i="691" s="1"/>
  <c r="L8" i="691"/>
  <c r="P9" i="691" s="1"/>
  <c r="K8" i="691"/>
  <c r="J8" i="691"/>
  <c r="I8" i="691"/>
  <c r="H8" i="691"/>
  <c r="L7" i="691"/>
  <c r="K7" i="691"/>
  <c r="J7" i="691"/>
  <c r="I7" i="691"/>
  <c r="H7" i="691"/>
  <c r="G7" i="691"/>
  <c r="L6" i="691"/>
  <c r="K6" i="691"/>
  <c r="J6" i="691"/>
  <c r="I6" i="691"/>
  <c r="H6" i="691"/>
  <c r="G6" i="691"/>
  <c r="L5" i="691"/>
  <c r="K5" i="691"/>
  <c r="J5" i="691"/>
  <c r="I5" i="691"/>
  <c r="H5" i="691"/>
  <c r="G5" i="691"/>
  <c r="K4" i="691"/>
  <c r="J4" i="691"/>
  <c r="I4" i="691"/>
  <c r="H4" i="691"/>
  <c r="J9" i="686"/>
  <c r="P6" i="691" l="1"/>
  <c r="W18" i="691"/>
  <c r="W7" i="691"/>
  <c r="O8" i="691"/>
  <c r="O5" i="691"/>
  <c r="X17" i="691"/>
  <c r="W8" i="691"/>
  <c r="X18" i="691"/>
  <c r="X16" i="691"/>
  <c r="X6" i="691"/>
  <c r="P5" i="691"/>
  <c r="W16" i="691"/>
  <c r="Y16" i="691" s="1"/>
  <c r="W6" i="691"/>
  <c r="W17" i="691"/>
  <c r="X5" i="691"/>
  <c r="W19" i="691"/>
  <c r="W15" i="691"/>
  <c r="X19" i="691"/>
  <c r="W5" i="691"/>
  <c r="X7" i="691"/>
  <c r="H3" i="691"/>
  <c r="O6" i="691"/>
  <c r="X8" i="691"/>
  <c r="X15" i="691"/>
  <c r="J11" i="686"/>
  <c r="J13" i="686" s="1"/>
  <c r="O9" i="691"/>
  <c r="U19" i="690"/>
  <c r="U8" i="690"/>
  <c r="J24" i="690"/>
  <c r="I24" i="690"/>
  <c r="H24" i="690"/>
  <c r="G24" i="690"/>
  <c r="J23" i="690"/>
  <c r="I23" i="690"/>
  <c r="H23" i="690"/>
  <c r="G23" i="690"/>
  <c r="F23" i="690"/>
  <c r="J22" i="690"/>
  <c r="I22" i="690"/>
  <c r="H22" i="690"/>
  <c r="G22" i="690"/>
  <c r="F22" i="690"/>
  <c r="J21" i="690"/>
  <c r="I21" i="690"/>
  <c r="H21" i="690"/>
  <c r="G21" i="690"/>
  <c r="F21" i="690"/>
  <c r="I20" i="690"/>
  <c r="H20" i="690"/>
  <c r="G20" i="690"/>
  <c r="J17" i="690"/>
  <c r="I17" i="690"/>
  <c r="H17" i="690"/>
  <c r="G17" i="690"/>
  <c r="J16" i="690"/>
  <c r="V7" i="690" s="1"/>
  <c r="I16" i="690"/>
  <c r="H16" i="690"/>
  <c r="G16" i="690"/>
  <c r="F16" i="690"/>
  <c r="T7" i="690" s="1"/>
  <c r="J15" i="690"/>
  <c r="I15" i="690"/>
  <c r="H15" i="690"/>
  <c r="G15" i="690"/>
  <c r="F15" i="690"/>
  <c r="J14" i="690"/>
  <c r="V5" i="690" s="1"/>
  <c r="I14" i="690"/>
  <c r="H14" i="690"/>
  <c r="G14" i="690"/>
  <c r="F14" i="690"/>
  <c r="T5" i="690" s="1"/>
  <c r="I13" i="690"/>
  <c r="H13" i="690"/>
  <c r="G13" i="690"/>
  <c r="O11" i="690"/>
  <c r="J10" i="690"/>
  <c r="N11" i="690" s="1"/>
  <c r="I10" i="690"/>
  <c r="H10" i="690"/>
  <c r="G10" i="690"/>
  <c r="J9" i="690"/>
  <c r="W7" i="690" s="1"/>
  <c r="I9" i="690"/>
  <c r="H9" i="690"/>
  <c r="G9" i="690"/>
  <c r="F9" i="690"/>
  <c r="J8" i="690"/>
  <c r="W6" i="690" s="1"/>
  <c r="I8" i="690"/>
  <c r="H8" i="690"/>
  <c r="G8" i="690"/>
  <c r="F8" i="690"/>
  <c r="J7" i="690"/>
  <c r="I7" i="690"/>
  <c r="H7" i="690"/>
  <c r="G7" i="690"/>
  <c r="F7" i="690"/>
  <c r="I6" i="690"/>
  <c r="H6" i="690"/>
  <c r="G6" i="690"/>
  <c r="AG28" i="689" a="1"/>
  <c r="AG28" i="689" s="1"/>
  <c r="AG29" i="689" a="1"/>
  <c r="AG29" i="689" s="1"/>
  <c r="AC18" i="689"/>
  <c r="AC7" i="689"/>
  <c r="AD39" i="690"/>
  <c r="Y18" i="691" l="1"/>
  <c r="Y6" i="691"/>
  <c r="Y17" i="691"/>
  <c r="Q5" i="691"/>
  <c r="Y8" i="691"/>
  <c r="P7" i="691"/>
  <c r="P8" i="691" s="1"/>
  <c r="Q8" i="691" s="1"/>
  <c r="Q6" i="691"/>
  <c r="Y7" i="691"/>
  <c r="Z7" i="691" s="1"/>
  <c r="AA7" i="691" s="1"/>
  <c r="AB7" i="691" s="1"/>
  <c r="T16" i="690" a="1"/>
  <c r="T16" i="690" s="1"/>
  <c r="AA32" i="690"/>
  <c r="Y5" i="691"/>
  <c r="V16" i="690" a="1"/>
  <c r="V16" i="690" s="1"/>
  <c r="Y19" i="691"/>
  <c r="Z16" i="691" s="1"/>
  <c r="AA16" i="691" s="1"/>
  <c r="AB16" i="691" s="1"/>
  <c r="W5" i="690"/>
  <c r="M7" i="690"/>
  <c r="Z5" i="691"/>
  <c r="AA5" i="691" s="1"/>
  <c r="AB5" i="691" s="1"/>
  <c r="Z17" i="691"/>
  <c r="AA17" i="691" s="1"/>
  <c r="AB17" i="691" s="1"/>
  <c r="G5" i="690"/>
  <c r="V11" i="690"/>
  <c r="AA42" i="690"/>
  <c r="AC29" i="690"/>
  <c r="V22" i="690"/>
  <c r="U36" i="690" a="1"/>
  <c r="U26" i="690" a="1"/>
  <c r="T27" i="690" a="1"/>
  <c r="T37" i="690" a="1"/>
  <c r="V6" i="690"/>
  <c r="V8" i="690" s="1"/>
  <c r="N7" i="690"/>
  <c r="T6" i="690"/>
  <c r="N8" i="690"/>
  <c r="AC39" i="690"/>
  <c r="Z18" i="691"/>
  <c r="AA18" i="691" s="1"/>
  <c r="AB18" i="691" s="1"/>
  <c r="M8" i="690"/>
  <c r="O7" i="691"/>
  <c r="M11" i="690"/>
  <c r="W16" i="690" a="1"/>
  <c r="W17" i="690" s="1"/>
  <c r="Y15" i="691"/>
  <c r="Z6" i="691"/>
  <c r="AA6" i="691" s="1"/>
  <c r="AB6" i="691" s="1"/>
  <c r="R6" i="691"/>
  <c r="S6" i="691" s="1"/>
  <c r="T6" i="691" s="1"/>
  <c r="T38" i="690"/>
  <c r="Y37" i="690" s="1" a="1"/>
  <c r="Y37" i="690" s="1"/>
  <c r="T18" i="690"/>
  <c r="T17" i="690"/>
  <c r="M10" i="690"/>
  <c r="J23" i="689"/>
  <c r="O10" i="689" s="1"/>
  <c r="H23" i="689"/>
  <c r="I23" i="689"/>
  <c r="G23" i="689"/>
  <c r="J22" i="689"/>
  <c r="H22" i="689"/>
  <c r="I22" i="689"/>
  <c r="G22" i="689"/>
  <c r="F22" i="689"/>
  <c r="J21" i="689"/>
  <c r="H21" i="689"/>
  <c r="I21" i="689"/>
  <c r="G21" i="689"/>
  <c r="F21" i="689"/>
  <c r="J20" i="689"/>
  <c r="H20" i="689"/>
  <c r="I20" i="689"/>
  <c r="G20" i="689"/>
  <c r="F20" i="689"/>
  <c r="H19" i="689"/>
  <c r="I19" i="689"/>
  <c r="G19" i="689"/>
  <c r="J16" i="689"/>
  <c r="H16" i="689"/>
  <c r="I16" i="689"/>
  <c r="G16" i="689"/>
  <c r="J15" i="689"/>
  <c r="AD6" i="689" s="1"/>
  <c r="H15" i="689"/>
  <c r="I15" i="689"/>
  <c r="G15" i="689"/>
  <c r="F15" i="689"/>
  <c r="J14" i="689"/>
  <c r="AD5" i="689" s="1"/>
  <c r="H14" i="689"/>
  <c r="I14" i="689"/>
  <c r="G14" i="689"/>
  <c r="F14" i="689"/>
  <c r="J13" i="689"/>
  <c r="H13" i="689"/>
  <c r="I13" i="689"/>
  <c r="G13" i="689"/>
  <c r="F13" i="689"/>
  <c r="H12" i="689"/>
  <c r="T16" i="689" s="1"/>
  <c r="I12" i="689"/>
  <c r="T17" i="689" s="1"/>
  <c r="G12" i="689"/>
  <c r="J9" i="689"/>
  <c r="N10" i="689" s="1"/>
  <c r="H9" i="689"/>
  <c r="I9" i="689"/>
  <c r="G9" i="689"/>
  <c r="J8" i="689"/>
  <c r="AE6" i="689" s="1"/>
  <c r="H8" i="689"/>
  <c r="I8" i="689"/>
  <c r="G8" i="689"/>
  <c r="F8" i="689"/>
  <c r="J7" i="689"/>
  <c r="AE5" i="689" s="1"/>
  <c r="H7" i="689"/>
  <c r="I7" i="689"/>
  <c r="G7" i="689"/>
  <c r="F7" i="689"/>
  <c r="J6" i="689"/>
  <c r="H6" i="689"/>
  <c r="I6" i="689"/>
  <c r="G6" i="689"/>
  <c r="F6" i="689"/>
  <c r="H5" i="689"/>
  <c r="I5" i="689"/>
  <c r="G5" i="689"/>
  <c r="AD29" i="690"/>
  <c r="AB42" i="690"/>
  <c r="W11" i="690"/>
  <c r="V18" i="690" l="1"/>
  <c r="R5" i="691"/>
  <c r="S5" i="691" s="1"/>
  <c r="T5" i="691" s="1"/>
  <c r="Q7" i="691"/>
  <c r="R7" i="691" s="1"/>
  <c r="S7" i="691" s="1"/>
  <c r="T7" i="691" s="1"/>
  <c r="Z15" i="691"/>
  <c r="AA15" i="691" s="1"/>
  <c r="AB15" i="691" s="1"/>
  <c r="N9" i="690"/>
  <c r="N10" i="690" s="1"/>
  <c r="O10" i="690" s="1"/>
  <c r="V17" i="690"/>
  <c r="V19" i="690" s="1"/>
  <c r="M9" i="689"/>
  <c r="O8" i="690"/>
  <c r="M6" i="689"/>
  <c r="AE4" i="689"/>
  <c r="AE7" i="689" s="1"/>
  <c r="AC59" i="689" a="1"/>
  <c r="AC49" i="689" a="1"/>
  <c r="AC37" i="689" a="1"/>
  <c r="AC25" i="689" a="1"/>
  <c r="AB15" i="689" a="1"/>
  <c r="T15" i="689"/>
  <c r="AB5" i="689"/>
  <c r="T7" i="689"/>
  <c r="U26" i="690"/>
  <c r="Z27" i="690" s="1" a="1"/>
  <c r="Z27" i="690" s="1"/>
  <c r="V26" i="690"/>
  <c r="W26" i="690"/>
  <c r="Z28" i="690" s="1" a="1"/>
  <c r="Z28" i="690" s="1"/>
  <c r="U36" i="690"/>
  <c r="V36" i="690"/>
  <c r="W36" i="690"/>
  <c r="V17" i="689"/>
  <c r="U17" i="689"/>
  <c r="U7" i="689"/>
  <c r="W7" i="689" s="1"/>
  <c r="V7" i="689"/>
  <c r="N7" i="689"/>
  <c r="AD15" i="689" a="1"/>
  <c r="U18" i="689"/>
  <c r="U9" i="689"/>
  <c r="W16" i="690"/>
  <c r="W18" i="690"/>
  <c r="T37" i="690"/>
  <c r="Y38" i="690" s="1" a="1"/>
  <c r="Y38" i="690" s="1"/>
  <c r="T39" i="690"/>
  <c r="O7" i="690"/>
  <c r="AI65" i="689"/>
  <c r="AK65" i="689" s="1"/>
  <c r="AI55" i="689"/>
  <c r="AK55" i="689" s="1"/>
  <c r="U15" i="689"/>
  <c r="V6" i="689"/>
  <c r="U6" i="689"/>
  <c r="AD10" i="689"/>
  <c r="AF10" i="689" s="1"/>
  <c r="V18" i="689"/>
  <c r="V9" i="689"/>
  <c r="AI45" i="689"/>
  <c r="AK45" i="689" s="1"/>
  <c r="AI33" i="689"/>
  <c r="AK33" i="689" s="1"/>
  <c r="V15" i="689"/>
  <c r="AD21" i="689"/>
  <c r="AF21" i="689" s="1"/>
  <c r="AB6" i="689"/>
  <c r="T8" i="689"/>
  <c r="V16" i="689"/>
  <c r="U16" i="689"/>
  <c r="V8" i="689"/>
  <c r="U8" i="689"/>
  <c r="W8" i="689" s="1"/>
  <c r="M7" i="689"/>
  <c r="AE15" i="689" a="1"/>
  <c r="G4" i="689"/>
  <c r="AB60" i="689" a="1"/>
  <c r="AB4" i="689"/>
  <c r="AB50" i="689" a="1"/>
  <c r="AB38" i="689" a="1"/>
  <c r="AB26" i="689" a="1"/>
  <c r="T6" i="689"/>
  <c r="N6" i="689"/>
  <c r="AD4" i="689"/>
  <c r="AD7" i="689" s="1"/>
  <c r="T29" i="690"/>
  <c r="T27" i="690"/>
  <c r="T28" i="690"/>
  <c r="W8" i="690"/>
  <c r="T11" i="690" s="1"/>
  <c r="AB11" i="690" s="1"/>
  <c r="M9" i="690"/>
  <c r="O9" i="690" s="1"/>
  <c r="M10" i="689"/>
  <c r="AB32" i="690"/>
  <c r="W22" i="690"/>
  <c r="N8" i="689" l="1"/>
  <c r="O7" i="689"/>
  <c r="W15" i="689"/>
  <c r="Z11" i="690"/>
  <c r="W17" i="689"/>
  <c r="Y11" i="690"/>
  <c r="P7" i="690"/>
  <c r="Q7" i="690" s="1"/>
  <c r="R7" i="690" s="1"/>
  <c r="AC49" i="689"/>
  <c r="AE49" i="689"/>
  <c r="AD49" i="689"/>
  <c r="AB60" i="689"/>
  <c r="AB62" i="689"/>
  <c r="AB61" i="689"/>
  <c r="AB15" i="689"/>
  <c r="AB16" i="689"/>
  <c r="AB17" i="689"/>
  <c r="AC59" i="689"/>
  <c r="AD59" i="689"/>
  <c r="AE59" i="689"/>
  <c r="W18" i="689"/>
  <c r="X17" i="689" s="1"/>
  <c r="Y17" i="689" s="1"/>
  <c r="Z17" i="689" s="1"/>
  <c r="Z37" i="690" a="1"/>
  <c r="Z37" i="690" s="1"/>
  <c r="Z38" i="690" a="1"/>
  <c r="Z38" i="690" s="1"/>
  <c r="AA38" i="690" s="1"/>
  <c r="AC25" i="689"/>
  <c r="AE25" i="689"/>
  <c r="AD25" i="689"/>
  <c r="AB10" i="689"/>
  <c r="AH10" i="689" s="1"/>
  <c r="Y27" i="690" a="1"/>
  <c r="Y27" i="690" s="1"/>
  <c r="Y28" i="690" a="1"/>
  <c r="Y28" i="690" s="1"/>
  <c r="W19" i="690"/>
  <c r="T22" i="690" s="1"/>
  <c r="P9" i="690"/>
  <c r="Q9" i="690" s="1"/>
  <c r="R9" i="690" s="1"/>
  <c r="AB26" i="689"/>
  <c r="AB27" i="689"/>
  <c r="AB28" i="689"/>
  <c r="AG27" i="689" s="1" a="1"/>
  <c r="AG27" i="689" s="1"/>
  <c r="X8" i="689"/>
  <c r="Y8" i="689" s="1"/>
  <c r="Z8" i="689" s="1"/>
  <c r="W9" i="689"/>
  <c r="N9" i="689"/>
  <c r="O9" i="689" s="1"/>
  <c r="P7" i="689" s="1"/>
  <c r="Q7" i="689" s="1"/>
  <c r="R7" i="689" s="1"/>
  <c r="U11" i="690"/>
  <c r="X11" i="690"/>
  <c r="AB38" i="689"/>
  <c r="AB39" i="689"/>
  <c r="AB40" i="689"/>
  <c r="M8" i="689"/>
  <c r="O8" i="689" s="1"/>
  <c r="AB50" i="689"/>
  <c r="AG50" i="689" s="1" a="1"/>
  <c r="AG50" i="689" s="1"/>
  <c r="AB51" i="689"/>
  <c r="AB52" i="689"/>
  <c r="AG51" i="689" s="1" a="1"/>
  <c r="AG51" i="689" s="1"/>
  <c r="AE15" i="689"/>
  <c r="AE16" i="689"/>
  <c r="AE17" i="689"/>
  <c r="W16" i="689"/>
  <c r="W6" i="689"/>
  <c r="X6" i="689" s="1"/>
  <c r="Y6" i="689" s="1"/>
  <c r="Z6" i="689" s="1"/>
  <c r="AD15" i="689"/>
  <c r="AD17" i="689"/>
  <c r="AD16" i="689"/>
  <c r="X7" i="689"/>
  <c r="Y7" i="689" s="1"/>
  <c r="Z7" i="689" s="1"/>
  <c r="AC37" i="689"/>
  <c r="AE37" i="689"/>
  <c r="AD37" i="689"/>
  <c r="O6" i="689"/>
  <c r="P8" i="690"/>
  <c r="Q8" i="690" s="1"/>
  <c r="R8" i="690" s="1"/>
  <c r="AC10" i="689" l="1"/>
  <c r="AK10" i="689" s="1"/>
  <c r="X16" i="689"/>
  <c r="Y16" i="689" s="1"/>
  <c r="Z16" i="689" s="1"/>
  <c r="X15" i="689"/>
  <c r="Y15" i="689" s="1"/>
  <c r="Z15" i="689" s="1"/>
  <c r="AG40" i="689" a="1"/>
  <c r="AG40" i="689" s="1"/>
  <c r="AG41" i="689" a="1"/>
  <c r="AG41" i="689" s="1"/>
  <c r="AE10" i="689"/>
  <c r="AI10" i="689" s="1"/>
  <c r="AA11" i="690"/>
  <c r="AC11" i="690"/>
  <c r="AD18" i="689"/>
  <c r="AA37" i="690"/>
  <c r="AA39" i="690" s="1"/>
  <c r="AB37" i="690"/>
  <c r="P6" i="689"/>
  <c r="Q6" i="689" s="1"/>
  <c r="R6" i="689" s="1"/>
  <c r="AE18" i="689"/>
  <c r="AB21" i="689" s="1"/>
  <c r="P8" i="689"/>
  <c r="Q8" i="689" s="1"/>
  <c r="R8" i="689" s="1"/>
  <c r="AG39" i="689" a="1"/>
  <c r="AG39" i="689" s="1"/>
  <c r="AG38" i="689" a="1"/>
  <c r="AG38" i="689" s="1"/>
  <c r="AJ10" i="689"/>
  <c r="AA28" i="690"/>
  <c r="AB28" i="690"/>
  <c r="AB38" i="690"/>
  <c r="AG61" i="689" a="1"/>
  <c r="AG61" i="689" s="1"/>
  <c r="AG60" i="689" a="1"/>
  <c r="AG60" i="689" s="1"/>
  <c r="AH50" i="689" a="1"/>
  <c r="AH50" i="689" s="1"/>
  <c r="AJ50" i="689" s="1"/>
  <c r="AG10" i="689"/>
  <c r="U22" i="690"/>
  <c r="X22" i="690"/>
  <c r="Y22" i="690"/>
  <c r="AB22" i="690"/>
  <c r="Z22" i="690"/>
  <c r="AH51" i="689" a="1"/>
  <c r="AH51" i="689" s="1"/>
  <c r="AJ51" i="689" s="1"/>
  <c r="AG26" i="689" a="1"/>
  <c r="AG26" i="689" s="1"/>
  <c r="AB27" i="690"/>
  <c r="AA27" i="690"/>
  <c r="AA29" i="690" l="1"/>
  <c r="AB29" i="690"/>
  <c r="Y32" i="690" s="1"/>
  <c r="AC32" i="690" s="1"/>
  <c r="AI51" i="689"/>
  <c r="AB39" i="690"/>
  <c r="Y42" i="690" s="1"/>
  <c r="AG42" i="690" s="1"/>
  <c r="AH26" i="689" a="1"/>
  <c r="AH26" i="689" s="1"/>
  <c r="AI26" i="689" s="1"/>
  <c r="AC22" i="690"/>
  <c r="AA22" i="690"/>
  <c r="AH39" i="689" a="1"/>
  <c r="AH39" i="689" s="1"/>
  <c r="AI39" i="689" s="1"/>
  <c r="AH60" i="689" a="1"/>
  <c r="AH60" i="689" s="1"/>
  <c r="AK60" i="689" s="1"/>
  <c r="AC21" i="689"/>
  <c r="AH21" i="689"/>
  <c r="AJ21" i="689"/>
  <c r="AG21" i="689"/>
  <c r="AH28" i="689" a="1"/>
  <c r="AH28" i="689" s="1"/>
  <c r="AK51" i="689"/>
  <c r="AI50" i="689"/>
  <c r="AH61" i="689" a="1"/>
  <c r="AH61" i="689" s="1"/>
  <c r="AJ61" i="689" s="1"/>
  <c r="AH41" i="689" a="1"/>
  <c r="AH41" i="689" s="1"/>
  <c r="AJ41" i="689" s="1"/>
  <c r="Z42" i="690"/>
  <c r="AH27" i="689" a="1"/>
  <c r="AH27" i="689" s="1"/>
  <c r="AH29" i="689" a="1"/>
  <c r="AH29" i="689" s="1"/>
  <c r="AK50" i="689"/>
  <c r="AH38" i="689" a="1"/>
  <c r="AH38" i="689" s="1"/>
  <c r="AI38" i="689" s="1"/>
  <c r="AH40" i="689" a="1"/>
  <c r="AH40" i="689" s="1"/>
  <c r="AI40" i="689" s="1"/>
  <c r="AE42" i="690" l="1"/>
  <c r="AC42" i="690"/>
  <c r="AD42" i="690"/>
  <c r="AD32" i="690"/>
  <c r="AJ40" i="689"/>
  <c r="AE32" i="690"/>
  <c r="AG32" i="690"/>
  <c r="Z32" i="690"/>
  <c r="AH32" i="690" s="1"/>
  <c r="AJ60" i="689"/>
  <c r="AJ39" i="689"/>
  <c r="AJ26" i="689"/>
  <c r="AI60" i="689"/>
  <c r="AK40" i="689"/>
  <c r="AK61" i="689"/>
  <c r="AK26" i="689"/>
  <c r="AI41" i="689"/>
  <c r="AI42" i="689" s="1"/>
  <c r="AJ38" i="689"/>
  <c r="AK41" i="689"/>
  <c r="AJ27" i="689"/>
  <c r="AI27" i="689"/>
  <c r="AK27" i="689"/>
  <c r="AF42" i="690"/>
  <c r="AH42" i="690"/>
  <c r="AJ52" i="689"/>
  <c r="AK52" i="689"/>
  <c r="AG55" i="689" s="1"/>
  <c r="AI52" i="689"/>
  <c r="AJ28" i="689"/>
  <c r="AK28" i="689"/>
  <c r="AI28" i="689"/>
  <c r="AE21" i="689"/>
  <c r="AI21" i="689" s="1"/>
  <c r="AK21" i="689"/>
  <c r="AK38" i="689"/>
  <c r="AI29" i="689"/>
  <c r="AJ29" i="689"/>
  <c r="AK29" i="689"/>
  <c r="AI61" i="689"/>
  <c r="AK39" i="689"/>
  <c r="AF32" i="690" l="1"/>
  <c r="AI30" i="689"/>
  <c r="AK62" i="689"/>
  <c r="AG65" i="689" s="1"/>
  <c r="AK42" i="689"/>
  <c r="AG45" i="689" s="1"/>
  <c r="AO45" i="689" s="1"/>
  <c r="AK30" i="689"/>
  <c r="AG33" i="689" s="1"/>
  <c r="AJ42" i="689"/>
  <c r="AI62" i="689"/>
  <c r="AJ30" i="689"/>
  <c r="AJ62" i="689"/>
  <c r="AM55" i="689"/>
  <c r="AO55" i="689"/>
  <c r="AH55" i="689"/>
  <c r="AL55" i="689"/>
  <c r="AM45" i="689" l="1"/>
  <c r="AH45" i="689"/>
  <c r="AL45" i="689"/>
  <c r="AP55" i="689"/>
  <c r="AJ55" i="689"/>
  <c r="AN55" i="689" s="1"/>
  <c r="AL33" i="689"/>
  <c r="AM33" i="689"/>
  <c r="AH33" i="689"/>
  <c r="AP45" i="689"/>
  <c r="AJ45" i="689"/>
  <c r="AN45" i="689" s="1"/>
  <c r="AO65" i="689"/>
  <c r="AH65" i="689"/>
  <c r="AL65" i="689"/>
  <c r="AM65" i="689"/>
  <c r="AO33" i="689"/>
  <c r="H7" i="404"/>
  <c r="L7" i="404" s="1"/>
  <c r="J8" i="404"/>
  <c r="I8" i="404"/>
  <c r="K8" i="404" s="1"/>
  <c r="H8" i="404"/>
  <c r="L8" i="404" s="1"/>
  <c r="F8" i="404"/>
  <c r="J7" i="404"/>
  <c r="I7" i="404"/>
  <c r="K7" i="404" s="1"/>
  <c r="F7" i="404"/>
  <c r="J6" i="404"/>
  <c r="I6" i="404"/>
  <c r="K6" i="404" s="1"/>
  <c r="H6" i="404"/>
  <c r="L6" i="404" s="1"/>
  <c r="F6" i="404"/>
  <c r="J5" i="404"/>
  <c r="I5" i="404"/>
  <c r="K5" i="404" s="1"/>
  <c r="H5" i="404"/>
  <c r="L5" i="404" s="1"/>
  <c r="F5" i="404"/>
  <c r="I7" i="688"/>
  <c r="F7" i="688"/>
  <c r="I6" i="688"/>
  <c r="F6" i="688"/>
  <c r="I5" i="688"/>
  <c r="F5" i="688"/>
  <c r="H5" i="688"/>
  <c r="H6" i="688"/>
  <c r="H7" i="688"/>
  <c r="J9" i="404" l="1"/>
  <c r="AP65" i="689"/>
  <c r="AJ65" i="689"/>
  <c r="AN65" i="689" s="1"/>
  <c r="AP33" i="689"/>
  <c r="AJ33" i="689"/>
  <c r="AN33" i="689" s="1"/>
  <c r="G12" i="688"/>
  <c r="I12" i="688" s="1"/>
  <c r="I9" i="404"/>
  <c r="H12" i="404" s="1"/>
  <c r="K9" i="404"/>
  <c r="L9" i="404"/>
  <c r="J5" i="688"/>
  <c r="J6" i="688"/>
  <c r="J7" i="688"/>
  <c r="I8" i="688"/>
  <c r="F12" i="688"/>
  <c r="I12" i="404"/>
  <c r="F12" i="404" l="1"/>
  <c r="G12" i="404" s="1"/>
  <c r="J8" i="688"/>
  <c r="H12" i="688" s="1"/>
  <c r="K12" i="688" s="1"/>
  <c r="N12" i="404"/>
  <c r="J12" i="688"/>
  <c r="O5" i="686"/>
  <c r="L5" i="686"/>
  <c r="O4" i="686"/>
  <c r="L4" i="686"/>
  <c r="O3" i="686"/>
  <c r="L3" i="686"/>
  <c r="N4" i="686"/>
  <c r="N5" i="686"/>
  <c r="N3" i="686"/>
  <c r="K12" i="404" l="1"/>
  <c r="J12" i="404"/>
  <c r="M12" i="404"/>
  <c r="M9" i="686"/>
  <c r="O12" i="404"/>
  <c r="L12" i="404"/>
  <c r="N6" i="686"/>
  <c r="O6" i="686"/>
  <c r="L9" i="686" s="1"/>
  <c r="R26" i="206"/>
  <c r="Q26" i="206"/>
  <c r="S26" i="206" s="1"/>
  <c r="P26" i="206"/>
  <c r="T26" i="206" s="1"/>
  <c r="N26" i="206"/>
  <c r="R25" i="206"/>
  <c r="Q25" i="206"/>
  <c r="S25" i="206" s="1"/>
  <c r="P25" i="206"/>
  <c r="T25" i="206" s="1"/>
  <c r="N25" i="206"/>
  <c r="R24" i="206"/>
  <c r="Q24" i="206"/>
  <c r="S24" i="206" s="1"/>
  <c r="P24" i="206"/>
  <c r="T24" i="206" s="1"/>
  <c r="N24" i="206"/>
  <c r="R23" i="206"/>
  <c r="Q23" i="206"/>
  <c r="Q30" i="206" s="1"/>
  <c r="P23" i="206"/>
  <c r="T23" i="206" s="1"/>
  <c r="N23" i="206"/>
  <c r="J8" i="424"/>
  <c r="I8" i="424"/>
  <c r="H8" i="424"/>
  <c r="L8" i="424" s="1"/>
  <c r="F8" i="424"/>
  <c r="J7" i="424"/>
  <c r="I7" i="424"/>
  <c r="H7" i="424"/>
  <c r="L7" i="424" s="1"/>
  <c r="F7" i="424"/>
  <c r="J6" i="424"/>
  <c r="I6" i="424"/>
  <c r="H6" i="424"/>
  <c r="L6" i="424" s="1"/>
  <c r="F6" i="424"/>
  <c r="J5" i="424"/>
  <c r="I5" i="424"/>
  <c r="H5" i="424"/>
  <c r="L5" i="424" s="1"/>
  <c r="F5" i="424"/>
  <c r="P5" i="423"/>
  <c r="R5" i="423"/>
  <c r="V5" i="423" s="1"/>
  <c r="S5" i="423"/>
  <c r="U5" i="423" s="1"/>
  <c r="T5" i="423"/>
  <c r="P6" i="423"/>
  <c r="R6" i="423"/>
  <c r="V6" i="423" s="1"/>
  <c r="S6" i="423"/>
  <c r="U6" i="423" s="1"/>
  <c r="T6" i="423"/>
  <c r="P7" i="423"/>
  <c r="R7" i="423"/>
  <c r="V7" i="423" s="1"/>
  <c r="S7" i="423"/>
  <c r="U7" i="423" s="1"/>
  <c r="T7" i="423"/>
  <c r="P8" i="423"/>
  <c r="R8" i="423"/>
  <c r="V8" i="423" s="1"/>
  <c r="S8" i="423"/>
  <c r="U8" i="423" s="1"/>
  <c r="T8" i="423"/>
  <c r="O9" i="686"/>
  <c r="P9" i="686" l="1"/>
  <c r="N9" i="686"/>
  <c r="Q9" i="686" s="1"/>
  <c r="R27" i="206"/>
  <c r="T27" i="206"/>
  <c r="S23" i="206"/>
  <c r="S27" i="206" s="1"/>
  <c r="K8" i="424"/>
  <c r="J9" i="424"/>
  <c r="K5" i="424"/>
  <c r="K7" i="424"/>
  <c r="K6" i="424"/>
  <c r="Q27" i="206"/>
  <c r="R30" i="206" s="1"/>
  <c r="S30" i="206" s="1"/>
  <c r="L9" i="424"/>
  <c r="T9" i="423"/>
  <c r="S9" i="423"/>
  <c r="R12" i="423" s="1"/>
  <c r="V9" i="423"/>
  <c r="U9" i="423"/>
  <c r="J7" i="685"/>
  <c r="I7" i="685"/>
  <c r="K7" i="685" s="1"/>
  <c r="H7" i="685"/>
  <c r="L7" i="685" s="1"/>
  <c r="F7" i="685"/>
  <c r="J6" i="685"/>
  <c r="I6" i="685"/>
  <c r="K6" i="685" s="1"/>
  <c r="H6" i="685"/>
  <c r="L6" i="685" s="1"/>
  <c r="F6" i="685"/>
  <c r="J5" i="685"/>
  <c r="I5" i="685"/>
  <c r="K5" i="685" s="1"/>
  <c r="H5" i="685"/>
  <c r="L5" i="685" s="1"/>
  <c r="F5" i="685"/>
  <c r="J4" i="685"/>
  <c r="I4" i="685"/>
  <c r="H4" i="685"/>
  <c r="L4" i="685" s="1"/>
  <c r="F4" i="685"/>
  <c r="S12" i="423"/>
  <c r="K4" i="685" l="1"/>
  <c r="K9" i="424"/>
  <c r="F12" i="424" s="1"/>
  <c r="G12" i="424" s="1"/>
  <c r="P12" i="423"/>
  <c r="Q12" i="423" s="1"/>
  <c r="V12" i="423" s="1"/>
  <c r="J8" i="685"/>
  <c r="N30" i="206"/>
  <c r="O30" i="206" s="1"/>
  <c r="P30" i="206" s="1"/>
  <c r="T30" i="206" s="1"/>
  <c r="L8" i="685"/>
  <c r="K8" i="685"/>
  <c r="I8" i="685"/>
  <c r="H11" i="685" s="1"/>
  <c r="X12" i="423"/>
  <c r="I11" i="685"/>
  <c r="U30" i="206" l="1"/>
  <c r="U12" i="423"/>
  <c r="H12" i="424"/>
  <c r="F11" i="685"/>
  <c r="K11" i="685" s="1"/>
  <c r="V30" i="206"/>
  <c r="T12" i="423"/>
  <c r="N11" i="685"/>
  <c r="W12" i="423"/>
  <c r="I12" i="424"/>
  <c r="J12" i="424" l="1"/>
  <c r="K12" i="424"/>
  <c r="M12" i="424"/>
  <c r="L12" i="424"/>
  <c r="J11" i="685"/>
  <c r="N12" i="424"/>
  <c r="M11" i="685"/>
  <c r="G11" i="685"/>
  <c r="L11" i="685" s="1"/>
  <c r="Y12" i="423"/>
  <c r="O11" i="685" l="1"/>
  <c r="D10" i="680" l="1"/>
  <c r="C10" i="680"/>
  <c r="B10" i="680"/>
  <c r="D6" i="680"/>
  <c r="C6" i="680"/>
  <c r="B6" i="680"/>
  <c r="D5" i="680"/>
  <c r="C5" i="680"/>
  <c r="B5" i="680"/>
  <c r="C14" i="680"/>
  <c r="G8" i="680"/>
  <c r="D14" i="680"/>
  <c r="B14" i="680"/>
  <c r="D11" i="680" l="1"/>
  <c r="D12" i="680" s="1"/>
  <c r="B11" i="680"/>
  <c r="B12" i="680" s="1"/>
  <c r="C11" i="680"/>
  <c r="C12" i="680" s="1"/>
  <c r="M14" i="675" l="1"/>
  <c r="H13" i="675"/>
  <c r="E13" i="675"/>
  <c r="D13" i="675"/>
  <c r="C13" i="675"/>
  <c r="B13" i="675"/>
  <c r="E12" i="675"/>
  <c r="J11" i="675" s="1"/>
  <c r="D12" i="675"/>
  <c r="I9" i="675" s="1"/>
  <c r="C12" i="675"/>
  <c r="H9" i="675" s="1"/>
  <c r="B12" i="675"/>
  <c r="G11" i="675" s="1"/>
  <c r="M19" i="675"/>
  <c r="J4" i="675" l="1"/>
  <c r="G6" i="675"/>
  <c r="G8" i="675"/>
  <c r="G9" i="675"/>
  <c r="G5" i="675"/>
  <c r="G10" i="675"/>
  <c r="G4" i="675"/>
  <c r="G7" i="675"/>
  <c r="H6" i="675"/>
  <c r="H8" i="675"/>
  <c r="H11" i="675"/>
  <c r="H10" i="675"/>
  <c r="H7" i="675"/>
  <c r="I7" i="675"/>
  <c r="I11" i="675"/>
  <c r="H4" i="675"/>
  <c r="H5" i="675"/>
  <c r="I6" i="675"/>
  <c r="I10" i="675"/>
  <c r="I8" i="675"/>
  <c r="I4" i="675"/>
  <c r="I5" i="675"/>
  <c r="J5" i="675"/>
  <c r="J6" i="675"/>
  <c r="J7" i="675"/>
  <c r="J8" i="675"/>
  <c r="J9" i="675"/>
  <c r="J10" i="675"/>
  <c r="L10" i="675"/>
  <c r="N11" i="675"/>
  <c r="O4" i="675"/>
  <c r="M6" i="675"/>
  <c r="O5" i="675"/>
  <c r="M11" i="675"/>
  <c r="M7" i="675"/>
  <c r="N6" i="675"/>
  <c r="O7" i="675"/>
  <c r="N8" i="675"/>
  <c r="N9" i="675"/>
  <c r="L5" i="675"/>
  <c r="L11" i="675"/>
  <c r="L6" i="675"/>
  <c r="M9" i="675"/>
  <c r="M4" i="675"/>
  <c r="O10" i="675"/>
  <c r="L7" i="675"/>
  <c r="M10" i="675"/>
  <c r="L4" i="675"/>
  <c r="O6" i="675"/>
  <c r="O8" i="675"/>
  <c r="M8" i="675"/>
  <c r="N4" i="675"/>
  <c r="L9" i="675"/>
  <c r="O9" i="675"/>
  <c r="L8" i="675"/>
  <c r="N10" i="675"/>
  <c r="O11" i="675"/>
  <c r="N7" i="675"/>
  <c r="M5" i="675"/>
  <c r="N5" i="675"/>
  <c r="S11" i="675" l="1"/>
  <c r="T11" i="675"/>
  <c r="S8" i="675"/>
  <c r="R5" i="675"/>
  <c r="R4" i="675"/>
  <c r="T9" i="675"/>
  <c r="S6" i="675"/>
  <c r="R7" i="675"/>
  <c r="S4" i="675"/>
  <c r="T5" i="675"/>
  <c r="Q4" i="675"/>
  <c r="Q7" i="675"/>
  <c r="Q9" i="675"/>
  <c r="R11" i="675"/>
  <c r="Q8" i="675"/>
  <c r="Q11" i="675"/>
  <c r="T4" i="675"/>
  <c r="S7" i="675"/>
  <c r="Q5" i="675"/>
  <c r="S9" i="675"/>
  <c r="T10" i="675"/>
  <c r="S10" i="675"/>
  <c r="R6" i="675"/>
  <c r="T8" i="675"/>
  <c r="S5" i="675"/>
  <c r="R9" i="675"/>
  <c r="T6" i="675"/>
  <c r="Q6" i="675"/>
  <c r="R8" i="675"/>
  <c r="T7" i="675"/>
  <c r="Q10" i="675"/>
  <c r="R10" i="675"/>
  <c r="T12" i="675" l="1"/>
  <c r="Q13" i="675"/>
  <c r="S13" i="675"/>
  <c r="Q12" i="675"/>
  <c r="U14" i="675"/>
  <c r="R13" i="675"/>
  <c r="T13" i="675"/>
  <c r="S12" i="675"/>
  <c r="R12" i="675"/>
  <c r="U13" i="675"/>
  <c r="U12" i="675" l="1"/>
  <c r="T15" i="675"/>
  <c r="S15" i="675"/>
  <c r="Q15" i="675"/>
  <c r="R15" i="675"/>
  <c r="U4" i="671"/>
  <c r="V4" i="671" s="1"/>
  <c r="W4" i="671" s="1"/>
  <c r="N18" i="671"/>
  <c r="M18" i="671"/>
  <c r="L18" i="671"/>
  <c r="K18" i="671"/>
  <c r="F18" i="671"/>
  <c r="E18" i="671"/>
  <c r="D18" i="671"/>
  <c r="C18" i="671"/>
  <c r="N17" i="671"/>
  <c r="M17" i="671"/>
  <c r="L17" i="671"/>
  <c r="K17" i="671"/>
  <c r="F17" i="671"/>
  <c r="E17" i="671"/>
  <c r="D17" i="671"/>
  <c r="C17" i="671"/>
  <c r="N15" i="671"/>
  <c r="M15" i="671"/>
  <c r="L15" i="671"/>
  <c r="K15" i="671"/>
  <c r="F15" i="671"/>
  <c r="E15" i="671"/>
  <c r="D15" i="671"/>
  <c r="C15" i="671"/>
  <c r="N14" i="671"/>
  <c r="M14" i="671"/>
  <c r="L14" i="671"/>
  <c r="K14" i="671"/>
  <c r="F14" i="671"/>
  <c r="E14" i="671"/>
  <c r="D14" i="671"/>
  <c r="C14" i="671"/>
  <c r="N13" i="671"/>
  <c r="M13" i="671"/>
  <c r="L13" i="671"/>
  <c r="K13" i="671"/>
  <c r="F13" i="671"/>
  <c r="E13" i="671"/>
  <c r="D13" i="671"/>
  <c r="C13" i="671"/>
  <c r="N11" i="671"/>
  <c r="M11" i="671"/>
  <c r="L11" i="671"/>
  <c r="K11" i="671"/>
  <c r="F11" i="671"/>
  <c r="E11" i="671"/>
  <c r="D11" i="671"/>
  <c r="C11" i="671"/>
  <c r="O10" i="671"/>
  <c r="G10" i="671"/>
  <c r="O9" i="671"/>
  <c r="G9" i="671"/>
  <c r="O8" i="671"/>
  <c r="G8" i="671"/>
  <c r="O7" i="671"/>
  <c r="G7" i="671"/>
  <c r="O6" i="671"/>
  <c r="G6" i="671"/>
  <c r="O5" i="671"/>
  <c r="G5" i="671"/>
  <c r="L4" i="671"/>
  <c r="M4" i="671" s="1"/>
  <c r="N4" i="671" s="1"/>
  <c r="D4" i="671"/>
  <c r="E4" i="671" s="1"/>
  <c r="F4" i="671" s="1"/>
  <c r="F8" i="670"/>
  <c r="H12" i="668"/>
  <c r="H6" i="668"/>
  <c r="J4" i="668"/>
  <c r="E17" i="668"/>
  <c r="D17" i="668"/>
  <c r="C17" i="668"/>
  <c r="D13" i="667"/>
  <c r="F9" i="667"/>
  <c r="E9" i="667"/>
  <c r="E8" i="667" s="1"/>
  <c r="P5" i="668" a="1"/>
  <c r="H5" i="670" a="1"/>
  <c r="E6" i="669" a="1"/>
  <c r="S5" i="668" a="1"/>
  <c r="R5" i="671" a="1"/>
  <c r="G7" i="668" a="1"/>
  <c r="G13" i="668" a="1"/>
  <c r="U15" i="675" l="1"/>
  <c r="M13" i="675" s="1"/>
  <c r="M15" i="675" s="1"/>
  <c r="G11" i="671"/>
  <c r="O11" i="671"/>
  <c r="G13" i="671"/>
  <c r="O13" i="671"/>
  <c r="G14" i="671"/>
  <c r="O14" i="671"/>
  <c r="G15" i="671"/>
  <c r="O15" i="671"/>
  <c r="G17" i="671"/>
  <c r="O17" i="671"/>
  <c r="G18" i="671"/>
  <c r="O18" i="671"/>
  <c r="R5" i="671"/>
  <c r="V5" i="671"/>
  <c r="T6" i="671"/>
  <c r="R7" i="671"/>
  <c r="V7" i="671"/>
  <c r="T8" i="671"/>
  <c r="R9" i="671"/>
  <c r="V9" i="671"/>
  <c r="T10" i="671"/>
  <c r="U5" i="671"/>
  <c r="W6" i="671"/>
  <c r="U7" i="671"/>
  <c r="W8" i="671"/>
  <c r="U9" i="671"/>
  <c r="W10" i="671"/>
  <c r="S5" i="671"/>
  <c r="W5" i="671"/>
  <c r="U6" i="671"/>
  <c r="S7" i="671"/>
  <c r="W7" i="671"/>
  <c r="U8" i="671"/>
  <c r="S9" i="671"/>
  <c r="W9" i="671"/>
  <c r="U10" i="671"/>
  <c r="T5" i="671"/>
  <c r="R6" i="671"/>
  <c r="V6" i="671"/>
  <c r="T7" i="671"/>
  <c r="R8" i="671"/>
  <c r="V8" i="671"/>
  <c r="T9" i="671"/>
  <c r="R10" i="671"/>
  <c r="V10" i="671"/>
  <c r="S6" i="671"/>
  <c r="S8" i="671"/>
  <c r="S10" i="671"/>
  <c r="K5" i="670"/>
  <c r="K6" i="670"/>
  <c r="K7" i="670"/>
  <c r="H5" i="670"/>
  <c r="H6" i="670"/>
  <c r="H7" i="670"/>
  <c r="I5" i="670"/>
  <c r="I6" i="670"/>
  <c r="I7" i="670"/>
  <c r="J5" i="670"/>
  <c r="J6" i="670"/>
  <c r="J7" i="670"/>
  <c r="H6" i="669"/>
  <c r="G7" i="669"/>
  <c r="F8" i="669"/>
  <c r="E9" i="669"/>
  <c r="I9" i="669"/>
  <c r="H10" i="669"/>
  <c r="G11" i="669"/>
  <c r="F12" i="669"/>
  <c r="E6" i="669"/>
  <c r="I6" i="669"/>
  <c r="H7" i="669"/>
  <c r="G8" i="669"/>
  <c r="F9" i="669"/>
  <c r="E10" i="669"/>
  <c r="I10" i="669"/>
  <c r="H11" i="669"/>
  <c r="G12" i="669"/>
  <c r="F7" i="669"/>
  <c r="I8" i="669"/>
  <c r="G10" i="669"/>
  <c r="E12" i="669"/>
  <c r="I12" i="669"/>
  <c r="F6" i="669"/>
  <c r="E7" i="669"/>
  <c r="I7" i="669"/>
  <c r="H8" i="669"/>
  <c r="G9" i="669"/>
  <c r="F10" i="669"/>
  <c r="E11" i="669"/>
  <c r="I11" i="669"/>
  <c r="H12" i="669"/>
  <c r="G6" i="669"/>
  <c r="E8" i="669"/>
  <c r="H9" i="669"/>
  <c r="F11" i="669"/>
  <c r="S5" i="668"/>
  <c r="S7" i="668"/>
  <c r="S9" i="668"/>
  <c r="T5" i="668"/>
  <c r="T7" i="668"/>
  <c r="T9" i="668"/>
  <c r="T6" i="668"/>
  <c r="T8" i="668"/>
  <c r="S6" i="668"/>
  <c r="S8" i="668"/>
  <c r="P5" i="668"/>
  <c r="P7" i="668"/>
  <c r="P9" i="668"/>
  <c r="P11" i="668"/>
  <c r="Q5" i="668"/>
  <c r="Q7" i="668"/>
  <c r="Q9" i="668"/>
  <c r="Q11" i="668"/>
  <c r="Q6" i="668"/>
  <c r="Q8" i="668"/>
  <c r="Q10" i="668"/>
  <c r="P6" i="668"/>
  <c r="P8" i="668"/>
  <c r="P10" i="668"/>
  <c r="J13" i="668"/>
  <c r="N13" i="668"/>
  <c r="J14" i="668"/>
  <c r="N14" i="668"/>
  <c r="J15" i="668"/>
  <c r="N15" i="668"/>
  <c r="J16" i="668"/>
  <c r="N16" i="668"/>
  <c r="G13" i="668"/>
  <c r="K13" i="668"/>
  <c r="G14" i="668"/>
  <c r="K14" i="668"/>
  <c r="G15" i="668"/>
  <c r="K15" i="668"/>
  <c r="G16" i="668"/>
  <c r="K16" i="668"/>
  <c r="H13" i="668"/>
  <c r="L13" i="668"/>
  <c r="H14" i="668"/>
  <c r="L14" i="668"/>
  <c r="H15" i="668"/>
  <c r="L15" i="668"/>
  <c r="H16" i="668"/>
  <c r="L16" i="668"/>
  <c r="I13" i="668"/>
  <c r="M13" i="668"/>
  <c r="I14" i="668"/>
  <c r="M14" i="668"/>
  <c r="I15" i="668"/>
  <c r="M15" i="668"/>
  <c r="I16" i="668"/>
  <c r="M16" i="668"/>
  <c r="G7" i="668"/>
  <c r="K7" i="668"/>
  <c r="G8" i="668"/>
  <c r="K8" i="668"/>
  <c r="G9" i="668"/>
  <c r="K9" i="668"/>
  <c r="G10" i="668"/>
  <c r="K10" i="668"/>
  <c r="H7" i="668"/>
  <c r="L7" i="668"/>
  <c r="H8" i="668"/>
  <c r="L8" i="668"/>
  <c r="H9" i="668"/>
  <c r="L9" i="668"/>
  <c r="H10" i="668"/>
  <c r="L10" i="668"/>
  <c r="J7" i="668"/>
  <c r="N7" i="668"/>
  <c r="J8" i="668"/>
  <c r="N8" i="668"/>
  <c r="J9" i="668"/>
  <c r="N9" i="668"/>
  <c r="J10" i="668"/>
  <c r="N10" i="668"/>
  <c r="I7" i="668"/>
  <c r="M7" i="668"/>
  <c r="I8" i="668"/>
  <c r="M8" i="668"/>
  <c r="I9" i="668"/>
  <c r="M9" i="668"/>
  <c r="I10" i="668"/>
  <c r="M10" i="668"/>
  <c r="K14" i="669" a="1"/>
  <c r="E12" i="667" a="1"/>
  <c r="K8" i="669" a="1"/>
  <c r="T6" i="669" a="1"/>
  <c r="W6" i="669" a="1"/>
  <c r="X7" i="671" l="1"/>
  <c r="X6" i="671"/>
  <c r="X9" i="671"/>
  <c r="O15" i="669"/>
  <c r="O17" i="669"/>
  <c r="P15" i="669"/>
  <c r="P17" i="669"/>
  <c r="R15" i="669"/>
  <c r="R17" i="669"/>
  <c r="Q15" i="669"/>
  <c r="Q17" i="669"/>
  <c r="K14" i="669"/>
  <c r="K16" i="669"/>
  <c r="L14" i="669"/>
  <c r="L16" i="669"/>
  <c r="N14" i="669"/>
  <c r="N16" i="669"/>
  <c r="M14" i="669"/>
  <c r="M16" i="669"/>
  <c r="O14" i="669"/>
  <c r="O16" i="669"/>
  <c r="P14" i="669"/>
  <c r="P16" i="669"/>
  <c r="R14" i="669"/>
  <c r="R16" i="669"/>
  <c r="Q14" i="669"/>
  <c r="Q16" i="669"/>
  <c r="K15" i="669"/>
  <c r="K17" i="669"/>
  <c r="L15" i="669"/>
  <c r="L17" i="669"/>
  <c r="N15" i="669"/>
  <c r="N17" i="669"/>
  <c r="M15" i="669"/>
  <c r="M17" i="669"/>
  <c r="O9" i="669"/>
  <c r="O11" i="669"/>
  <c r="M11" i="669"/>
  <c r="N10" i="669"/>
  <c r="L8" i="669"/>
  <c r="L10" i="669"/>
  <c r="M8" i="669"/>
  <c r="N9" i="669"/>
  <c r="M10" i="669"/>
  <c r="P9" i="669"/>
  <c r="P11" i="669"/>
  <c r="K8" i="669"/>
  <c r="K10" i="669"/>
  <c r="Q8" i="669"/>
  <c r="N8" i="669"/>
  <c r="R10" i="669"/>
  <c r="P8" i="669"/>
  <c r="P10" i="669"/>
  <c r="Q9" i="669"/>
  <c r="O8" i="669"/>
  <c r="O10" i="669"/>
  <c r="M9" i="669"/>
  <c r="R8" i="669"/>
  <c r="N11" i="669"/>
  <c r="L9" i="669"/>
  <c r="L11" i="669"/>
  <c r="Q10" i="669"/>
  <c r="K9" i="669"/>
  <c r="K11" i="669"/>
  <c r="R9" i="669"/>
  <c r="R11" i="669"/>
  <c r="Q11" i="669"/>
  <c r="T8" i="669"/>
  <c r="U8" i="669"/>
  <c r="U9" i="669"/>
  <c r="T11" i="669"/>
  <c r="T9" i="669"/>
  <c r="T10" i="669"/>
  <c r="U10" i="669"/>
  <c r="U11" i="669"/>
  <c r="T12" i="669"/>
  <c r="U12" i="669"/>
  <c r="T7" i="669"/>
  <c r="T6" i="669"/>
  <c r="U6" i="669"/>
  <c r="U7" i="669"/>
  <c r="X6" i="669"/>
  <c r="X9" i="669"/>
  <c r="W6" i="669"/>
  <c r="X8" i="669"/>
  <c r="W7" i="669"/>
  <c r="W8" i="669"/>
  <c r="X10" i="669"/>
  <c r="W9" i="669"/>
  <c r="W10" i="669"/>
  <c r="X7" i="669"/>
  <c r="U11" i="671"/>
  <c r="X8" i="671"/>
  <c r="V11" i="671"/>
  <c r="K8" i="670"/>
  <c r="X5" i="671"/>
  <c r="T11" i="671"/>
  <c r="W11" i="671"/>
  <c r="X10" i="671"/>
  <c r="V15" i="671"/>
  <c r="V14" i="671"/>
  <c r="V13" i="671"/>
  <c r="U15" i="671"/>
  <c r="U14" i="671"/>
  <c r="U13" i="671"/>
  <c r="W14" i="671"/>
  <c r="T15" i="671"/>
  <c r="T14" i="671"/>
  <c r="T13" i="671"/>
  <c r="W15" i="671"/>
  <c r="W13" i="671"/>
  <c r="V18" i="671"/>
  <c r="V17" i="671"/>
  <c r="W17" i="671"/>
  <c r="U18" i="671"/>
  <c r="U17" i="671"/>
  <c r="W18" i="671"/>
  <c r="T18" i="671"/>
  <c r="T17" i="671"/>
  <c r="H8" i="670"/>
  <c r="L5" i="670"/>
  <c r="I8" i="670"/>
  <c r="J8" i="670"/>
  <c r="L7" i="670"/>
  <c r="L6" i="670"/>
  <c r="E12" i="667"/>
  <c r="F12" i="667"/>
  <c r="F13" i="667"/>
  <c r="E13" i="667"/>
  <c r="F8" i="667" a="1"/>
  <c r="F7" i="667"/>
  <c r="X18" i="671" l="1"/>
  <c r="X14" i="671"/>
  <c r="X15" i="671"/>
  <c r="X11" i="671"/>
  <c r="F8" i="667"/>
  <c r="G8" i="667" s="1"/>
  <c r="G7" i="667"/>
  <c r="J12" i="667"/>
  <c r="G12" i="667"/>
  <c r="H12" i="667" s="1"/>
  <c r="I12" i="667"/>
  <c r="G13" i="667"/>
  <c r="H13" i="667" s="1"/>
  <c r="J13" i="667"/>
  <c r="I13" i="667"/>
  <c r="X13" i="671"/>
  <c r="X17" i="671"/>
  <c r="L8" i="670"/>
  <c r="H7" i="667" l="1"/>
  <c r="I7" i="667" s="1"/>
  <c r="J7" i="667" s="1"/>
  <c r="J7" i="659" l="1"/>
  <c r="I7" i="659"/>
  <c r="J7" i="289"/>
  <c r="O8" i="289"/>
  <c r="B16" i="659" a="1"/>
  <c r="J6" i="289"/>
  <c r="AA7" i="653" a="1"/>
  <c r="O15" i="289"/>
  <c r="I14" i="659" a="1"/>
  <c r="X7" i="653" a="1"/>
  <c r="O13" i="289"/>
  <c r="C4" i="659" a="1"/>
  <c r="O11" i="289"/>
  <c r="O14" i="289"/>
  <c r="U7" i="289"/>
  <c r="O7" i="289"/>
  <c r="O6" i="289"/>
  <c r="O16" i="289"/>
  <c r="O5" i="289"/>
  <c r="J5" i="289"/>
  <c r="I10" i="659" a="1"/>
  <c r="O9" i="289"/>
  <c r="O15" i="659" a="1"/>
  <c r="O12" i="289"/>
  <c r="U11" i="289"/>
  <c r="O15" i="659" l="1"/>
  <c r="O16" i="659"/>
  <c r="I14" i="659"/>
  <c r="I15" i="659"/>
  <c r="I16" i="659"/>
  <c r="J14" i="659"/>
  <c r="J15" i="659"/>
  <c r="J16" i="659"/>
  <c r="K14" i="659"/>
  <c r="K15" i="659"/>
  <c r="K16" i="659"/>
  <c r="L14" i="659"/>
  <c r="L15" i="659"/>
  <c r="L16" i="659"/>
  <c r="I10" i="659"/>
  <c r="J10" i="659"/>
  <c r="I11" i="659"/>
  <c r="J11" i="659"/>
  <c r="C4" i="659"/>
  <c r="C8" i="659"/>
  <c r="C12" i="659"/>
  <c r="C5" i="659"/>
  <c r="C9" i="659"/>
  <c r="C13" i="659"/>
  <c r="C6" i="659"/>
  <c r="C10" i="659"/>
  <c r="C14" i="659"/>
  <c r="C7" i="659"/>
  <c r="C11" i="659"/>
  <c r="B16" i="659"/>
  <c r="B17" i="659"/>
  <c r="AA7" i="653"/>
  <c r="AA9" i="653"/>
  <c r="AB9" i="653"/>
  <c r="AA8" i="653"/>
  <c r="AA10" i="653"/>
  <c r="AB8" i="653"/>
  <c r="AB10" i="653"/>
  <c r="AB7" i="653"/>
  <c r="X7" i="653"/>
  <c r="X9" i="653"/>
  <c r="Y9" i="653"/>
  <c r="Y8" i="653"/>
  <c r="Y10" i="653"/>
  <c r="Y7" i="653"/>
  <c r="X8" i="653"/>
  <c r="X10" i="653"/>
  <c r="Q15" i="659" a="1"/>
  <c r="Q15" i="659" l="1"/>
  <c r="Q16" i="659"/>
  <c r="J5" i="659"/>
  <c r="D14" i="659"/>
  <c r="E14" i="659" s="1"/>
  <c r="D11" i="659"/>
  <c r="E11" i="659" s="1"/>
  <c r="D12" i="659"/>
  <c r="E12" i="659" s="1"/>
  <c r="D6" i="659"/>
  <c r="E6" i="659" s="1"/>
  <c r="D8" i="659"/>
  <c r="E8" i="659" s="1"/>
  <c r="D5" i="659"/>
  <c r="E5" i="659" s="1"/>
  <c r="D13" i="659"/>
  <c r="E13" i="659" s="1"/>
  <c r="D10" i="659"/>
  <c r="E10" i="659" s="1"/>
  <c r="D7" i="659"/>
  <c r="E7" i="659" s="1"/>
  <c r="D9" i="659"/>
  <c r="E9" i="659" s="1"/>
  <c r="Q22" i="658"/>
  <c r="P22" i="658"/>
  <c r="B19" i="658"/>
  <c r="B20" i="658"/>
  <c r="D5" i="658" s="1"/>
  <c r="G5" i="658" s="1"/>
  <c r="G19" i="658" l="1"/>
  <c r="F20" i="658" s="1"/>
  <c r="D8" i="658"/>
  <c r="G8" i="658" s="1"/>
  <c r="D4" i="659"/>
  <c r="E4" i="659" s="1"/>
  <c r="E15" i="659" s="1"/>
  <c r="J6" i="659" s="1"/>
  <c r="K6" i="659" s="1"/>
  <c r="K5" i="659"/>
  <c r="D12" i="658"/>
  <c r="G12" i="658" s="1"/>
  <c r="D4" i="658"/>
  <c r="G4" i="658" s="1"/>
  <c r="D11" i="658"/>
  <c r="G11" i="658" s="1"/>
  <c r="D7" i="658"/>
  <c r="G7" i="658" s="1"/>
  <c r="E5" i="658"/>
  <c r="F5" i="658" s="1"/>
  <c r="D20" i="658"/>
  <c r="D19" i="658"/>
  <c r="D14" i="658"/>
  <c r="G14" i="658" s="1"/>
  <c r="D10" i="658"/>
  <c r="G10" i="658" s="1"/>
  <c r="D6" i="658"/>
  <c r="G6" i="658" s="1"/>
  <c r="F19" i="658"/>
  <c r="H5" i="658"/>
  <c r="I5" i="658" s="1"/>
  <c r="G20" i="658"/>
  <c r="D13" i="658"/>
  <c r="G13" i="658" s="1"/>
  <c r="D9" i="658"/>
  <c r="G9" i="658" s="1"/>
  <c r="E4" i="658" l="1"/>
  <c r="F4" i="658" s="1"/>
  <c r="H6" i="658"/>
  <c r="I6" i="658" s="1"/>
  <c r="E8" i="658"/>
  <c r="F8" i="658" s="1"/>
  <c r="H14" i="658"/>
  <c r="I14" i="658" s="1"/>
  <c r="H4" i="658"/>
  <c r="I4" i="658" s="1"/>
  <c r="H8" i="658"/>
  <c r="I8" i="658" s="1"/>
  <c r="E7" i="658"/>
  <c r="F7" i="658" s="1"/>
  <c r="I19" i="658" a="1"/>
  <c r="I19" i="658" s="1"/>
  <c r="E12" i="658"/>
  <c r="F12" i="658" s="1"/>
  <c r="H12" i="658"/>
  <c r="I12" i="658" s="1"/>
  <c r="H7" i="658"/>
  <c r="I7" i="658" s="1"/>
  <c r="L5" i="659"/>
  <c r="M5" i="659" s="1"/>
  <c r="H10" i="658"/>
  <c r="I10" i="658" s="1"/>
  <c r="E6" i="658"/>
  <c r="F6" i="658" s="1"/>
  <c r="E9" i="658"/>
  <c r="G15" i="658"/>
  <c r="E11" i="658"/>
  <c r="F11" i="658" s="1"/>
  <c r="H11" i="658"/>
  <c r="I11" i="658" s="1"/>
  <c r="H13" i="658"/>
  <c r="I13" i="658" s="1"/>
  <c r="E13" i="658"/>
  <c r="F13" i="658" s="1"/>
  <c r="H9" i="658"/>
  <c r="I9" i="658" s="1"/>
  <c r="L19" i="658" a="1"/>
  <c r="E14" i="658"/>
  <c r="F14" i="658" s="1"/>
  <c r="E10" i="658"/>
  <c r="F10" i="658" s="1"/>
  <c r="C11" i="655"/>
  <c r="D11" i="655" s="1"/>
  <c r="E11" i="655" s="1"/>
  <c r="C14" i="655"/>
  <c r="D14" i="655" s="1"/>
  <c r="E14" i="655" s="1"/>
  <c r="C13" i="655"/>
  <c r="D13" i="655" s="1"/>
  <c r="E13" i="655" s="1"/>
  <c r="C12" i="655"/>
  <c r="D12" i="655" s="1"/>
  <c r="E12" i="655" s="1"/>
  <c r="C10" i="655"/>
  <c r="D10" i="655" s="1"/>
  <c r="E10" i="655" s="1"/>
  <c r="C9" i="655"/>
  <c r="D9" i="655" s="1"/>
  <c r="E9" i="655" s="1"/>
  <c r="C8" i="655"/>
  <c r="D8" i="655" s="1"/>
  <c r="E8" i="655" s="1"/>
  <c r="C6" i="655"/>
  <c r="D6" i="655" s="1"/>
  <c r="E6" i="655" s="1"/>
  <c r="C5" i="655"/>
  <c r="D5" i="655" s="1"/>
  <c r="E5" i="655" s="1"/>
  <c r="C4" i="655"/>
  <c r="D4" i="655" s="1"/>
  <c r="E4" i="655" s="1"/>
  <c r="C8" i="654"/>
  <c r="D8" i="654" s="1"/>
  <c r="E8" i="654" s="1"/>
  <c r="I20" i="658" l="1"/>
  <c r="J19" i="658"/>
  <c r="J20" i="658"/>
  <c r="B22" i="658" s="1" a="1"/>
  <c r="K11" i="659"/>
  <c r="L11" i="659" s="1"/>
  <c r="M11" i="659"/>
  <c r="N11" i="659"/>
  <c r="K10" i="659"/>
  <c r="L10" i="659" s="1"/>
  <c r="M10" i="659"/>
  <c r="N10" i="659"/>
  <c r="I15" i="658"/>
  <c r="H15" i="658"/>
  <c r="L19" i="658"/>
  <c r="M20" i="658"/>
  <c r="M19" i="658"/>
  <c r="L20" i="658"/>
  <c r="F9" i="658"/>
  <c r="F15" i="658" s="1"/>
  <c r="E15" i="658"/>
  <c r="C7" i="655"/>
  <c r="D7" i="655" s="1"/>
  <c r="E7" i="655" s="1"/>
  <c r="E15" i="655" s="1"/>
  <c r="C12" i="654"/>
  <c r="D12" i="654" s="1"/>
  <c r="E12" i="654" s="1"/>
  <c r="C4" i="654"/>
  <c r="D4" i="654" s="1"/>
  <c r="E4" i="654" s="1"/>
  <c r="C11" i="654"/>
  <c r="D11" i="654" s="1"/>
  <c r="E11" i="654" s="1"/>
  <c r="C7" i="654"/>
  <c r="D7" i="654" s="1"/>
  <c r="E7" i="654" s="1"/>
  <c r="C14" i="654"/>
  <c r="D14" i="654" s="1"/>
  <c r="E14" i="654" s="1"/>
  <c r="C10" i="654"/>
  <c r="D10" i="654" s="1"/>
  <c r="E10" i="654" s="1"/>
  <c r="C6" i="654"/>
  <c r="D6" i="654" s="1"/>
  <c r="E6" i="654" s="1"/>
  <c r="C13" i="654"/>
  <c r="D13" i="654" s="1"/>
  <c r="E13" i="654" s="1"/>
  <c r="C9" i="654"/>
  <c r="D9" i="654" s="1"/>
  <c r="E9" i="654" s="1"/>
  <c r="C5" i="654"/>
  <c r="D5" i="654" s="1"/>
  <c r="E5" i="654" s="1"/>
  <c r="B23" i="658" l="1"/>
  <c r="F22" i="658" s="1"/>
  <c r="B22" i="658"/>
  <c r="E15" i="654"/>
  <c r="S35" i="653"/>
  <c r="H35" i="653"/>
  <c r="S13" i="653" a="1"/>
  <c r="U15" i="653" s="1"/>
  <c r="H13" i="653" a="1"/>
  <c r="H13" i="653" s="1"/>
  <c r="O10" i="653"/>
  <c r="O19" i="653" s="1"/>
  <c r="N10" i="653"/>
  <c r="N19" i="653" s="1"/>
  <c r="M10" i="653"/>
  <c r="M19" i="653" s="1"/>
  <c r="D10" i="653"/>
  <c r="D19" i="653" s="1"/>
  <c r="C10" i="653"/>
  <c r="C19" i="653" s="1"/>
  <c r="B10" i="653"/>
  <c r="B19" i="653" s="1"/>
  <c r="P9" i="653"/>
  <c r="P18" i="653" s="1"/>
  <c r="E9" i="653"/>
  <c r="E18" i="653" s="1"/>
  <c r="P8" i="653"/>
  <c r="P17" i="653" s="1"/>
  <c r="E8" i="653"/>
  <c r="E17" i="653" s="1"/>
  <c r="P7" i="653"/>
  <c r="E7" i="653"/>
  <c r="R46" i="653" a="1"/>
  <c r="R34" i="452" a="1"/>
  <c r="R23" i="452" a="1"/>
  <c r="G34" i="452" a="1"/>
  <c r="W4" i="289" a="1"/>
  <c r="G41" i="653" a="1"/>
  <c r="G45" i="452" a="1"/>
  <c r="AA8" i="289" a="1"/>
  <c r="R45" i="452" a="1"/>
  <c r="G23" i="452" a="1"/>
  <c r="R41" i="653" a="1"/>
  <c r="G46" i="653" a="1"/>
  <c r="G22" i="658" l="1"/>
  <c r="F23" i="658" s="1"/>
  <c r="G23" i="658"/>
  <c r="D22" i="658"/>
  <c r="D23" i="658"/>
  <c r="AA8" i="289"/>
  <c r="AA11" i="289"/>
  <c r="AB9" i="289"/>
  <c r="AB10" i="289"/>
  <c r="AA10" i="289"/>
  <c r="AA9" i="289"/>
  <c r="AB8" i="289"/>
  <c r="AB11" i="289"/>
  <c r="W4" i="289"/>
  <c r="X4" i="289"/>
  <c r="W5" i="289"/>
  <c r="X7" i="289"/>
  <c r="W6" i="289"/>
  <c r="X6" i="289"/>
  <c r="W7" i="289"/>
  <c r="X5" i="289"/>
  <c r="S44" i="653"/>
  <c r="R41" i="653"/>
  <c r="S41" i="653"/>
  <c r="R42" i="653"/>
  <c r="S42" i="653"/>
  <c r="S43" i="653"/>
  <c r="R44" i="653"/>
  <c r="R43" i="653"/>
  <c r="G34" i="452"/>
  <c r="H36" i="452"/>
  <c r="G37" i="452"/>
  <c r="H34" i="452"/>
  <c r="G36" i="452"/>
  <c r="G35" i="452"/>
  <c r="H37" i="452"/>
  <c r="H35" i="452"/>
  <c r="G23" i="452"/>
  <c r="H23" i="452"/>
  <c r="G24" i="452"/>
  <c r="H24" i="452"/>
  <c r="G25" i="452"/>
  <c r="H25" i="452"/>
  <c r="G26" i="452"/>
  <c r="H26" i="452"/>
  <c r="G46" i="653"/>
  <c r="G47" i="653"/>
  <c r="H47" i="653"/>
  <c r="H48" i="653"/>
  <c r="G48" i="653"/>
  <c r="G49" i="653"/>
  <c r="H46" i="653"/>
  <c r="H49" i="653"/>
  <c r="R34" i="452"/>
  <c r="S35" i="452"/>
  <c r="R35" i="452"/>
  <c r="R37" i="452"/>
  <c r="R36" i="452"/>
  <c r="S37" i="452"/>
  <c r="S34" i="452"/>
  <c r="S36" i="452"/>
  <c r="G41" i="653"/>
  <c r="G42" i="653"/>
  <c r="H42" i="653"/>
  <c r="H43" i="653"/>
  <c r="G43" i="653"/>
  <c r="G44" i="653"/>
  <c r="H41" i="653"/>
  <c r="H44" i="653"/>
  <c r="R45" i="452"/>
  <c r="R48" i="452"/>
  <c r="S46" i="452"/>
  <c r="S48" i="452"/>
  <c r="R47" i="452"/>
  <c r="R46" i="452"/>
  <c r="S45" i="452"/>
  <c r="S47" i="452"/>
  <c r="R24" i="452"/>
  <c r="R25" i="452"/>
  <c r="S26" i="452"/>
  <c r="S23" i="452"/>
  <c r="R26" i="452"/>
  <c r="R23" i="452"/>
  <c r="S25" i="452"/>
  <c r="S24" i="452"/>
  <c r="R46" i="653"/>
  <c r="S48" i="653"/>
  <c r="R49" i="653"/>
  <c r="S46" i="653"/>
  <c r="R48" i="653"/>
  <c r="R47" i="653"/>
  <c r="S47" i="653"/>
  <c r="S49" i="653"/>
  <c r="G45" i="452"/>
  <c r="H47" i="452"/>
  <c r="G48" i="452"/>
  <c r="H48" i="452"/>
  <c r="G47" i="452"/>
  <c r="G46" i="452"/>
  <c r="H46" i="452"/>
  <c r="H45" i="452"/>
  <c r="E10" i="653"/>
  <c r="P10" i="653"/>
  <c r="T13" i="653"/>
  <c r="U14" i="653"/>
  <c r="U13" i="653"/>
  <c r="S15" i="653"/>
  <c r="S14" i="653"/>
  <c r="T15" i="653"/>
  <c r="S13" i="653"/>
  <c r="T14" i="653"/>
  <c r="H14" i="653"/>
  <c r="J13" i="653"/>
  <c r="J14" i="653"/>
  <c r="I13" i="653"/>
  <c r="I15" i="653"/>
  <c r="H15" i="653"/>
  <c r="J15" i="653"/>
  <c r="I14" i="653"/>
  <c r="E16" i="653"/>
  <c r="P16" i="653"/>
  <c r="J22" i="650" a="1"/>
  <c r="J22" i="650" s="1"/>
  <c r="L22" i="658" l="1" a="1"/>
  <c r="L22" i="658" s="1"/>
  <c r="P19" i="653"/>
  <c r="T26" i="653" s="1"/>
  <c r="E19" i="653"/>
  <c r="I26" i="653" s="1"/>
  <c r="I22" i="658" a="1"/>
  <c r="H18" i="653"/>
  <c r="N18" i="653"/>
  <c r="S18" i="653"/>
  <c r="D16" i="653"/>
  <c r="J23" i="650"/>
  <c r="M22" i="658" l="1"/>
  <c r="M23" i="658"/>
  <c r="L23" i="658"/>
  <c r="V23" i="653"/>
  <c r="V24" i="653"/>
  <c r="M16" i="653"/>
  <c r="B18" i="653"/>
  <c r="J26" i="653"/>
  <c r="N16" i="653"/>
  <c r="D17" i="653"/>
  <c r="B16" i="653"/>
  <c r="O16" i="653"/>
  <c r="O18" i="653"/>
  <c r="V25" i="653"/>
  <c r="K25" i="653"/>
  <c r="I25" i="653" s="1"/>
  <c r="C16" i="653"/>
  <c r="M18" i="653"/>
  <c r="C18" i="653"/>
  <c r="S26" i="653"/>
  <c r="T23" i="653"/>
  <c r="H26" i="653"/>
  <c r="K23" i="653"/>
  <c r="D18" i="653"/>
  <c r="C17" i="653"/>
  <c r="B17" i="653"/>
  <c r="O17" i="653"/>
  <c r="N17" i="653"/>
  <c r="M17" i="653"/>
  <c r="K24" i="653"/>
  <c r="U26" i="653"/>
  <c r="J22" i="658"/>
  <c r="J23" i="658"/>
  <c r="I23" i="658"/>
  <c r="I22" i="658"/>
  <c r="S23" i="653" l="1"/>
  <c r="U23" i="653"/>
  <c r="S24" i="653"/>
  <c r="S17" i="653"/>
  <c r="S19" i="653" s="1"/>
  <c r="U29" i="653" s="1"/>
  <c r="T24" i="653"/>
  <c r="S25" i="653"/>
  <c r="J25" i="653"/>
  <c r="U25" i="653"/>
  <c r="H25" i="653"/>
  <c r="T25" i="653"/>
  <c r="H17" i="653"/>
  <c r="H19" i="653" s="1"/>
  <c r="I31" i="653" s="1"/>
  <c r="H23" i="653"/>
  <c r="I23" i="653"/>
  <c r="J23" i="653"/>
  <c r="U24" i="653"/>
  <c r="H24" i="653"/>
  <c r="I24" i="653"/>
  <c r="J24" i="653"/>
  <c r="B25" i="658" a="1"/>
  <c r="B25" i="658" s="1"/>
  <c r="S29" i="653" l="1"/>
  <c r="S31" i="653"/>
  <c r="S30" i="653"/>
  <c r="U31" i="653"/>
  <c r="T31" i="653"/>
  <c r="U30" i="653"/>
  <c r="T30" i="653"/>
  <c r="I29" i="653"/>
  <c r="T29" i="653"/>
  <c r="J31" i="653"/>
  <c r="I30" i="653"/>
  <c r="H31" i="653"/>
  <c r="H30" i="653"/>
  <c r="J29" i="653"/>
  <c r="J30" i="653"/>
  <c r="H29" i="653"/>
  <c r="B26" i="658"/>
  <c r="F25" i="658" s="1"/>
  <c r="G25" i="658" l="1"/>
  <c r="F26" i="658" s="1"/>
  <c r="S33" i="653"/>
  <c r="S36" i="653" s="1"/>
  <c r="G26" i="658"/>
  <c r="L25" i="658" s="1" a="1"/>
  <c r="H33" i="653"/>
  <c r="D25" i="658"/>
  <c r="D26" i="658"/>
  <c r="S37" i="653" l="1"/>
  <c r="I25" i="658" a="1"/>
  <c r="J25" i="658" s="1"/>
  <c r="H36" i="653"/>
  <c r="H37" i="653"/>
  <c r="L26" i="658"/>
  <c r="M25" i="658"/>
  <c r="M26" i="658"/>
  <c r="L25" i="658"/>
  <c r="I26" i="658" l="1"/>
  <c r="J26" i="658"/>
  <c r="I25" i="658"/>
  <c r="B28" i="658" s="1" a="1"/>
  <c r="B28" i="658" s="1"/>
  <c r="B29" i="658" l="1"/>
  <c r="F28" i="658" s="1"/>
  <c r="G28" i="658"/>
  <c r="F29" i="658" s="1"/>
  <c r="G29" i="658"/>
  <c r="D29" i="658" l="1"/>
  <c r="D28" i="658"/>
  <c r="L28" i="658" a="1"/>
  <c r="M29" i="658" s="1"/>
  <c r="I28" i="658" a="1"/>
  <c r="L28" i="658" l="1"/>
  <c r="L29" i="658"/>
  <c r="M28" i="658"/>
  <c r="I29" i="658"/>
  <c r="J28" i="658"/>
  <c r="I28" i="658"/>
  <c r="J29" i="658"/>
  <c r="B31" i="658" l="1" a="1"/>
  <c r="B31" i="658" l="1"/>
  <c r="B32" i="658"/>
  <c r="Q21" i="658" l="1"/>
  <c r="F31" i="658"/>
  <c r="P26" i="658"/>
  <c r="P25" i="658"/>
  <c r="K7" i="658"/>
  <c r="L7" i="658" s="1"/>
  <c r="K11" i="658"/>
  <c r="L11" i="658" s="1"/>
  <c r="K4" i="658"/>
  <c r="K6" i="658"/>
  <c r="L6" i="658" s="1"/>
  <c r="K8" i="658"/>
  <c r="L8" i="658" s="1"/>
  <c r="K12" i="658"/>
  <c r="L12" i="658" s="1"/>
  <c r="K10" i="658"/>
  <c r="L10" i="658" s="1"/>
  <c r="K14" i="658"/>
  <c r="L14" i="658" s="1"/>
  <c r="K5" i="658"/>
  <c r="L5" i="658" s="1"/>
  <c r="K9" i="658"/>
  <c r="L9" i="658" s="1"/>
  <c r="K13" i="658"/>
  <c r="L13" i="658" s="1"/>
  <c r="D32" i="658"/>
  <c r="G31" i="658"/>
  <c r="F32" i="658" s="1"/>
  <c r="D31" i="658"/>
  <c r="G32" i="658"/>
  <c r="I31" i="658" l="1" a="1"/>
  <c r="Q20" i="658"/>
  <c r="R20" i="658" s="1"/>
  <c r="L4" i="658"/>
  <c r="L15" i="658" s="1"/>
  <c r="R21" i="658" s="1"/>
  <c r="L31" i="658" a="1"/>
  <c r="S20" i="658" l="1"/>
  <c r="T20" i="658" s="1"/>
  <c r="L32" i="658"/>
  <c r="M32" i="658"/>
  <c r="Q26" i="658" s="1"/>
  <c r="M31" i="658"/>
  <c r="L31" i="658"/>
  <c r="Q25" i="658" s="1"/>
  <c r="J32" i="658"/>
  <c r="I32" i="658"/>
  <c r="J31" i="658"/>
  <c r="I31" i="658"/>
  <c r="J6" i="101" a="1"/>
  <c r="J6" i="101" s="1"/>
  <c r="T25" i="658" l="1"/>
  <c r="R25" i="658"/>
  <c r="S25" i="658" s="1"/>
  <c r="U25" i="658"/>
  <c r="R26" i="658"/>
  <c r="S26" i="658" s="1"/>
  <c r="U26" i="658"/>
  <c r="T26" i="658"/>
  <c r="J7" i="101"/>
  <c r="J8" i="101"/>
  <c r="I14" i="387" l="1"/>
  <c r="H14" i="387"/>
  <c r="I13" i="387"/>
  <c r="M10" i="636" l="1"/>
  <c r="M11" i="636" s="1"/>
  <c r="B10" i="636"/>
  <c r="B11" i="636" s="1"/>
  <c r="C14" i="636" s="1"/>
  <c r="C15" i="636" s="1"/>
  <c r="C16" i="636" s="1"/>
  <c r="C17" i="636" s="1"/>
  <c r="S20" i="635"/>
  <c r="T20" i="635"/>
  <c r="S19" i="635"/>
  <c r="T19" i="635"/>
  <c r="S18" i="635"/>
  <c r="T18" i="635"/>
  <c r="S17" i="635"/>
  <c r="T17" i="635"/>
  <c r="S16" i="635"/>
  <c r="T16" i="635"/>
  <c r="S15" i="635"/>
  <c r="T15" i="635"/>
  <c r="S14" i="635"/>
  <c r="T14" i="635"/>
  <c r="S13" i="635"/>
  <c r="T13" i="635"/>
  <c r="S12" i="635"/>
  <c r="T12" i="635"/>
  <c r="S11" i="635"/>
  <c r="T11" i="635"/>
  <c r="S10" i="635"/>
  <c r="T10" i="635"/>
  <c r="T9" i="635"/>
  <c r="S9" i="635"/>
  <c r="N5" i="635"/>
  <c r="A5" i="635"/>
  <c r="A6" i="635" s="1"/>
  <c r="A7" i="635" s="1"/>
  <c r="A8" i="635" s="1"/>
  <c r="A9" i="635" s="1"/>
  <c r="A10" i="635" s="1"/>
  <c r="A11" i="635" s="1"/>
  <c r="A12" i="635" s="1"/>
  <c r="A13" i="635" s="1"/>
  <c r="A14" i="635" s="1"/>
  <c r="A15" i="635" s="1"/>
  <c r="A16" i="635" s="1"/>
  <c r="A17" i="635" s="1"/>
  <c r="A18" i="635" s="1"/>
  <c r="U14" i="635" l="1"/>
  <c r="U16" i="635"/>
  <c r="U9" i="635"/>
  <c r="U11" i="635"/>
  <c r="U18" i="635"/>
  <c r="U19" i="635"/>
  <c r="N4" i="635"/>
  <c r="N9" i="635" s="1"/>
  <c r="N10" i="635" s="1"/>
  <c r="U20" i="635"/>
  <c r="U13" i="635"/>
  <c r="U17" i="635"/>
  <c r="U10" i="635"/>
  <c r="U12" i="635"/>
  <c r="M13" i="636"/>
  <c r="M14" i="636" s="1"/>
  <c r="M15" i="636" s="1"/>
  <c r="M16" i="636" s="1"/>
  <c r="B14" i="636"/>
  <c r="B15" i="636" s="1"/>
  <c r="B16" i="636" s="1"/>
  <c r="B17" i="636" s="1"/>
  <c r="D17" i="636" s="1"/>
  <c r="U15" i="635"/>
  <c r="AA6" i="633"/>
  <c r="AA7" i="633" s="1"/>
  <c r="Z28" i="633"/>
  <c r="AB6" i="633" s="1"/>
  <c r="Y7" i="633"/>
  <c r="Y8" i="633" s="1"/>
  <c r="Y9" i="633" s="1"/>
  <c r="Y10" i="633" s="1"/>
  <c r="Y11" i="633" s="1"/>
  <c r="Y12" i="633" s="1"/>
  <c r="Y13" i="633" s="1"/>
  <c r="Y14" i="633" s="1"/>
  <c r="Y15" i="633" s="1"/>
  <c r="Y16" i="633" s="1"/>
  <c r="Y17" i="633" s="1"/>
  <c r="Y18" i="633" s="1"/>
  <c r="Y19" i="633" s="1"/>
  <c r="Y20" i="633" s="1"/>
  <c r="Y21" i="633" s="1"/>
  <c r="Y22" i="633" s="1"/>
  <c r="Y23" i="633" s="1"/>
  <c r="Y24" i="633" s="1"/>
  <c r="Y25" i="633" s="1"/>
  <c r="Y26" i="633" s="1"/>
  <c r="AK6" i="632"/>
  <c r="AJ20" i="632"/>
  <c r="AL6" i="632" s="1"/>
  <c r="AI7" i="632"/>
  <c r="AI8" i="632" s="1"/>
  <c r="AI9" i="632" s="1"/>
  <c r="AI10" i="632" s="1"/>
  <c r="AI11" i="632" s="1"/>
  <c r="AI12" i="632" s="1"/>
  <c r="AI13" i="632" s="1"/>
  <c r="AI14" i="632" s="1"/>
  <c r="AI15" i="632" s="1"/>
  <c r="AI16" i="632" s="1"/>
  <c r="AI17" i="632" s="1"/>
  <c r="AI18" i="632" s="1"/>
  <c r="AL15" i="632" l="1"/>
  <c r="AL9" i="632"/>
  <c r="AB18" i="633"/>
  <c r="AB12" i="633"/>
  <c r="AM6" i="632"/>
  <c r="AL7" i="632"/>
  <c r="AB26" i="633"/>
  <c r="AB10" i="633"/>
  <c r="AL17" i="632"/>
  <c r="AB20" i="633"/>
  <c r="AK7" i="632"/>
  <c r="AL13" i="632"/>
  <c r="AB24" i="633"/>
  <c r="AB16" i="633"/>
  <c r="AB8" i="633"/>
  <c r="AL19" i="632"/>
  <c r="AL11" i="632"/>
  <c r="AB22" i="633"/>
  <c r="AB14" i="633"/>
  <c r="AC7" i="633"/>
  <c r="AA8" i="633"/>
  <c r="AL18" i="632"/>
  <c r="AL16" i="632"/>
  <c r="AL14" i="632"/>
  <c r="AL12" i="632"/>
  <c r="AL10" i="632"/>
  <c r="AL8" i="632"/>
  <c r="AB27" i="633"/>
  <c r="AB25" i="633"/>
  <c r="AB23" i="633"/>
  <c r="AB21" i="633"/>
  <c r="AB19" i="633"/>
  <c r="AB17" i="633"/>
  <c r="AB15" i="633"/>
  <c r="AB13" i="633"/>
  <c r="AB11" i="633"/>
  <c r="AB9" i="633"/>
  <c r="AB7" i="633"/>
  <c r="AC6" i="633"/>
  <c r="AM7" i="632" l="1"/>
  <c r="AK8" i="632"/>
  <c r="AA9" i="633"/>
  <c r="AC8" i="633"/>
  <c r="AK9" i="632" l="1"/>
  <c r="AM8" i="632"/>
  <c r="AA10" i="633"/>
  <c r="AC9" i="633"/>
  <c r="AK10" i="632" l="1"/>
  <c r="AM9" i="632"/>
  <c r="AA11" i="633"/>
  <c r="AC10" i="633"/>
  <c r="AK11" i="632" l="1"/>
  <c r="AM10" i="632"/>
  <c r="AA12" i="633"/>
  <c r="AC11" i="633"/>
  <c r="U6" i="633"/>
  <c r="T88" i="633"/>
  <c r="V9" i="633" s="1"/>
  <c r="S7" i="633"/>
  <c r="S8" i="633" s="1"/>
  <c r="S9" i="633" s="1"/>
  <c r="S10" i="633" s="1"/>
  <c r="S11" i="633" s="1"/>
  <c r="S12" i="633" s="1"/>
  <c r="S13" i="633" s="1"/>
  <c r="S14" i="633" s="1"/>
  <c r="S15" i="633" s="1"/>
  <c r="S16" i="633" s="1"/>
  <c r="S17" i="633" s="1"/>
  <c r="S18" i="633" s="1"/>
  <c r="S19" i="633" s="1"/>
  <c r="S20" i="633" s="1"/>
  <c r="S21" i="633" s="1"/>
  <c r="S22" i="633" s="1"/>
  <c r="S23" i="633" s="1"/>
  <c r="S24" i="633" s="1"/>
  <c r="S25" i="633" s="1"/>
  <c r="S26" i="633" s="1"/>
  <c r="S27" i="633" s="1"/>
  <c r="S28" i="633" s="1"/>
  <c r="S29" i="633" s="1"/>
  <c r="S30" i="633" s="1"/>
  <c r="S31" i="633" s="1"/>
  <c r="S32" i="633" s="1"/>
  <c r="S33" i="633" s="1"/>
  <c r="S34" i="633" s="1"/>
  <c r="S35" i="633" s="1"/>
  <c r="S36" i="633" s="1"/>
  <c r="S37" i="633" s="1"/>
  <c r="S38" i="633" s="1"/>
  <c r="S39" i="633" s="1"/>
  <c r="S40" i="633" s="1"/>
  <c r="S41" i="633" s="1"/>
  <c r="S42" i="633" s="1"/>
  <c r="S43" i="633" s="1"/>
  <c r="S44" i="633" s="1"/>
  <c r="S45" i="633" s="1"/>
  <c r="S46" i="633" s="1"/>
  <c r="S47" i="633" s="1"/>
  <c r="S48" i="633" s="1"/>
  <c r="S49" i="633" s="1"/>
  <c r="S50" i="633" s="1"/>
  <c r="S51" i="633" s="1"/>
  <c r="S52" i="633" s="1"/>
  <c r="S53" i="633" s="1"/>
  <c r="S54" i="633" s="1"/>
  <c r="S55" i="633" s="1"/>
  <c r="S56" i="633" s="1"/>
  <c r="S57" i="633" s="1"/>
  <c r="S58" i="633" s="1"/>
  <c r="S59" i="633" s="1"/>
  <c r="S60" i="633" s="1"/>
  <c r="S61" i="633" s="1"/>
  <c r="S62" i="633" s="1"/>
  <c r="S63" i="633" s="1"/>
  <c r="S64" i="633" s="1"/>
  <c r="S65" i="633" s="1"/>
  <c r="S66" i="633" s="1"/>
  <c r="S67" i="633" s="1"/>
  <c r="S68" i="633" s="1"/>
  <c r="S69" i="633" s="1"/>
  <c r="S70" i="633" s="1"/>
  <c r="S71" i="633" s="1"/>
  <c r="S72" i="633" s="1"/>
  <c r="S73" i="633" s="1"/>
  <c r="S74" i="633" s="1"/>
  <c r="S75" i="633" s="1"/>
  <c r="S76" i="633" s="1"/>
  <c r="S77" i="633" s="1"/>
  <c r="S78" i="633" s="1"/>
  <c r="S79" i="633" s="1"/>
  <c r="S80" i="633" s="1"/>
  <c r="S81" i="633" s="1"/>
  <c r="S82" i="633" s="1"/>
  <c r="S83" i="633" s="1"/>
  <c r="S84" i="633" s="1"/>
  <c r="S85" i="633" s="1"/>
  <c r="S86" i="633" s="1"/>
  <c r="G6" i="633"/>
  <c r="F38" i="633"/>
  <c r="H7" i="633" s="1"/>
  <c r="E7" i="633"/>
  <c r="E8" i="633" s="1"/>
  <c r="E9" i="633" s="1"/>
  <c r="E10" i="633" s="1"/>
  <c r="E11" i="633" s="1"/>
  <c r="E12" i="633" s="1"/>
  <c r="E13" i="633" s="1"/>
  <c r="E14" i="633" s="1"/>
  <c r="E15" i="633" s="1"/>
  <c r="E16" i="633" s="1"/>
  <c r="E17" i="633" s="1"/>
  <c r="E18" i="633" s="1"/>
  <c r="E19" i="633" s="1"/>
  <c r="E20" i="633" s="1"/>
  <c r="E21" i="633" s="1"/>
  <c r="E22" i="633" s="1"/>
  <c r="E23" i="633" s="1"/>
  <c r="E24" i="633" s="1"/>
  <c r="E25" i="633" s="1"/>
  <c r="E26" i="633" s="1"/>
  <c r="E27" i="633" s="1"/>
  <c r="E28" i="633" s="1"/>
  <c r="E29" i="633" s="1"/>
  <c r="E30" i="633" s="1"/>
  <c r="E31" i="633" s="1"/>
  <c r="E32" i="633" s="1"/>
  <c r="E33" i="633" s="1"/>
  <c r="E34" i="633" s="1"/>
  <c r="E35" i="633" s="1"/>
  <c r="E36" i="633" s="1"/>
  <c r="AE6" i="632"/>
  <c r="AE7" i="632" s="1"/>
  <c r="AE8" i="632" s="1"/>
  <c r="AE9" i="632" s="1"/>
  <c r="AD38" i="632"/>
  <c r="AC7" i="632"/>
  <c r="AC8" i="632" s="1"/>
  <c r="AC9" i="632" s="1"/>
  <c r="AC10" i="632" s="1"/>
  <c r="AC11" i="632" s="1"/>
  <c r="AC12" i="632" s="1"/>
  <c r="AC13" i="632" s="1"/>
  <c r="AC14" i="632" s="1"/>
  <c r="AC15" i="632" s="1"/>
  <c r="AC16" i="632" s="1"/>
  <c r="AC17" i="632" s="1"/>
  <c r="AC18" i="632" s="1"/>
  <c r="AC19" i="632" s="1"/>
  <c r="AC20" i="632" s="1"/>
  <c r="AC21" i="632" s="1"/>
  <c r="AC22" i="632" s="1"/>
  <c r="AC23" i="632" s="1"/>
  <c r="AC24" i="632" s="1"/>
  <c r="AC25" i="632" s="1"/>
  <c r="AC26" i="632" s="1"/>
  <c r="AC27" i="632" s="1"/>
  <c r="AC28" i="632" s="1"/>
  <c r="AC29" i="632" s="1"/>
  <c r="AC30" i="632" s="1"/>
  <c r="AC31" i="632" s="1"/>
  <c r="AC32" i="632" s="1"/>
  <c r="AC33" i="632" s="1"/>
  <c r="AC34" i="632" s="1"/>
  <c r="AC35" i="632" s="1"/>
  <c r="AC36" i="632" s="1"/>
  <c r="Q6" i="632"/>
  <c r="Q7" i="632" s="1"/>
  <c r="P20" i="632"/>
  <c r="R7" i="632" s="1"/>
  <c r="O7" i="632"/>
  <c r="O8" i="632" s="1"/>
  <c r="O9" i="632" s="1"/>
  <c r="O10" i="632" s="1"/>
  <c r="O11" i="632" s="1"/>
  <c r="O12" i="632" s="1"/>
  <c r="O13" i="632" s="1"/>
  <c r="O14" i="632" s="1"/>
  <c r="O15" i="632" s="1"/>
  <c r="O16" i="632" s="1"/>
  <c r="O17" i="632" s="1"/>
  <c r="O18" i="632" s="1"/>
  <c r="G15" i="632"/>
  <c r="F15" i="632"/>
  <c r="J9" i="632"/>
  <c r="I9" i="632"/>
  <c r="H9" i="632"/>
  <c r="G9" i="632"/>
  <c r="F9" i="632"/>
  <c r="E9" i="632"/>
  <c r="J8" i="632"/>
  <c r="I8" i="632"/>
  <c r="H8" i="632"/>
  <c r="G8" i="632"/>
  <c r="F8" i="632"/>
  <c r="E8" i="632"/>
  <c r="J7" i="632"/>
  <c r="I7" i="632"/>
  <c r="H7" i="632"/>
  <c r="G7" i="632"/>
  <c r="F7" i="632"/>
  <c r="E7" i="632"/>
  <c r="AK12" i="632" l="1"/>
  <c r="AM11" i="632"/>
  <c r="AA13" i="633"/>
  <c r="AC12" i="633"/>
  <c r="F14" i="632"/>
  <c r="F13" i="632" s="1"/>
  <c r="H26" i="633"/>
  <c r="H10" i="633"/>
  <c r="I6" i="633"/>
  <c r="H24" i="633"/>
  <c r="H8" i="633"/>
  <c r="H34" i="633"/>
  <c r="H18" i="633"/>
  <c r="H32" i="633"/>
  <c r="H16" i="633"/>
  <c r="G7" i="633"/>
  <c r="G8" i="633" s="1"/>
  <c r="I8" i="633" s="1"/>
  <c r="H36" i="633"/>
  <c r="H28" i="633"/>
  <c r="H20" i="633"/>
  <c r="H12" i="633"/>
  <c r="V81" i="633"/>
  <c r="V69" i="633"/>
  <c r="V53" i="633"/>
  <c r="V37" i="633"/>
  <c r="V21" i="633"/>
  <c r="V87" i="633"/>
  <c r="V79" i="633"/>
  <c r="V65" i="633"/>
  <c r="V49" i="633"/>
  <c r="V33" i="633"/>
  <c r="V17" i="633"/>
  <c r="W6" i="633"/>
  <c r="V85" i="633"/>
  <c r="V77" i="633"/>
  <c r="V61" i="633"/>
  <c r="V45" i="633"/>
  <c r="V29" i="633"/>
  <c r="V13" i="633"/>
  <c r="H30" i="633"/>
  <c r="H22" i="633"/>
  <c r="H14" i="633"/>
  <c r="U7" i="633"/>
  <c r="V83" i="633"/>
  <c r="V73" i="633"/>
  <c r="V57" i="633"/>
  <c r="V41" i="633"/>
  <c r="V25" i="633"/>
  <c r="AF8" i="632"/>
  <c r="AF10" i="632"/>
  <c r="AF12" i="632"/>
  <c r="AF14" i="632"/>
  <c r="AF16" i="632"/>
  <c r="AF18" i="632"/>
  <c r="AF20" i="632"/>
  <c r="AF22" i="632"/>
  <c r="AF24" i="632"/>
  <c r="AF26" i="632"/>
  <c r="AF28" i="632"/>
  <c r="AF30" i="632"/>
  <c r="AF32" i="632"/>
  <c r="AF34" i="632"/>
  <c r="AF36" i="632"/>
  <c r="AF7" i="632"/>
  <c r="AF11" i="632"/>
  <c r="AF15" i="632"/>
  <c r="AF19" i="632"/>
  <c r="AF23" i="632"/>
  <c r="AF27" i="632"/>
  <c r="AF31" i="632"/>
  <c r="AF35" i="632"/>
  <c r="AF9" i="632"/>
  <c r="AF13" i="632"/>
  <c r="AF17" i="632"/>
  <c r="AF21" i="632"/>
  <c r="AF25" i="632"/>
  <c r="AF29" i="632"/>
  <c r="AF33" i="632"/>
  <c r="AF37" i="632"/>
  <c r="AF6" i="632"/>
  <c r="AG6" i="632"/>
  <c r="AG7" i="632"/>
  <c r="AG8" i="632"/>
  <c r="V8" i="633"/>
  <c r="V10" i="633"/>
  <c r="V12" i="633"/>
  <c r="V14" i="633"/>
  <c r="V16" i="633"/>
  <c r="V18" i="633"/>
  <c r="V20" i="633"/>
  <c r="V22" i="633"/>
  <c r="V24" i="633"/>
  <c r="V26" i="633"/>
  <c r="V28" i="633"/>
  <c r="V30" i="633"/>
  <c r="V32" i="633"/>
  <c r="V34" i="633"/>
  <c r="V36" i="633"/>
  <c r="V38" i="633"/>
  <c r="V40" i="633"/>
  <c r="V42" i="633"/>
  <c r="V44" i="633"/>
  <c r="V46" i="633"/>
  <c r="V48" i="633"/>
  <c r="V50" i="633"/>
  <c r="V52" i="633"/>
  <c r="V54" i="633"/>
  <c r="V56" i="633"/>
  <c r="V58" i="633"/>
  <c r="V60" i="633"/>
  <c r="V62" i="633"/>
  <c r="V64" i="633"/>
  <c r="V66" i="633"/>
  <c r="V68" i="633"/>
  <c r="V70" i="633"/>
  <c r="V72" i="633"/>
  <c r="V74" i="633"/>
  <c r="V76" i="633"/>
  <c r="V78" i="633"/>
  <c r="V80" i="633"/>
  <c r="V82" i="633"/>
  <c r="V84" i="633"/>
  <c r="V86" i="633"/>
  <c r="V6" i="633"/>
  <c r="AE10" i="632"/>
  <c r="AG9" i="632"/>
  <c r="V75" i="633"/>
  <c r="V71" i="633"/>
  <c r="V67" i="633"/>
  <c r="V63" i="633"/>
  <c r="V59" i="633"/>
  <c r="V55" i="633"/>
  <c r="V51" i="633"/>
  <c r="V47" i="633"/>
  <c r="V43" i="633"/>
  <c r="V39" i="633"/>
  <c r="V35" i="633"/>
  <c r="V31" i="633"/>
  <c r="V27" i="633"/>
  <c r="V23" i="633"/>
  <c r="V19" i="633"/>
  <c r="V15" i="633"/>
  <c r="V11" i="633"/>
  <c r="V7" i="633"/>
  <c r="G13" i="632"/>
  <c r="G14" i="632" s="1"/>
  <c r="H6" i="633"/>
  <c r="H37" i="633"/>
  <c r="H35" i="633"/>
  <c r="H33" i="633"/>
  <c r="H31" i="633"/>
  <c r="H29" i="633"/>
  <c r="H27" i="633"/>
  <c r="H25" i="633"/>
  <c r="H23" i="633"/>
  <c r="H21" i="633"/>
  <c r="H19" i="633"/>
  <c r="H17" i="633"/>
  <c r="H15" i="633"/>
  <c r="H13" i="633"/>
  <c r="H11" i="633"/>
  <c r="H9" i="633"/>
  <c r="Q8" i="632"/>
  <c r="S7" i="632"/>
  <c r="R6" i="632"/>
  <c r="H15" i="632"/>
  <c r="S6" i="632"/>
  <c r="R18" i="632"/>
  <c r="R16" i="632"/>
  <c r="R14" i="632"/>
  <c r="R12" i="632"/>
  <c r="R10" i="632"/>
  <c r="R8" i="632"/>
  <c r="R19" i="632"/>
  <c r="R17" i="632"/>
  <c r="R15" i="632"/>
  <c r="R13" i="632"/>
  <c r="R11" i="632"/>
  <c r="R9" i="632"/>
  <c r="AK13" i="632" l="1"/>
  <c r="AM12" i="632"/>
  <c r="AA14" i="633"/>
  <c r="AC13" i="633"/>
  <c r="H14" i="632"/>
  <c r="K9" i="632" s="1"/>
  <c r="I7" i="633"/>
  <c r="G9" i="633"/>
  <c r="I9" i="633" s="1"/>
  <c r="W7" i="633"/>
  <c r="U8" i="633"/>
  <c r="K13" i="632"/>
  <c r="H13" i="632"/>
  <c r="AE11" i="632"/>
  <c r="AG10" i="632"/>
  <c r="Q9" i="632"/>
  <c r="S8" i="632"/>
  <c r="K7" i="632" l="1"/>
  <c r="M7" i="632" s="1"/>
  <c r="I13" i="632"/>
  <c r="J13" i="632" s="1"/>
  <c r="AK14" i="632"/>
  <c r="AM13" i="632"/>
  <c r="K8" i="632"/>
  <c r="M13" i="632"/>
  <c r="L13" i="632"/>
  <c r="AA15" i="633"/>
  <c r="AC14" i="633"/>
  <c r="L9" i="632"/>
  <c r="M9" i="632"/>
  <c r="G10" i="633"/>
  <c r="I10" i="633" s="1"/>
  <c r="L7" i="632"/>
  <c r="U9" i="633"/>
  <c r="W8" i="633"/>
  <c r="AE12" i="632"/>
  <c r="AG11" i="632"/>
  <c r="Q10" i="632"/>
  <c r="S9" i="632"/>
  <c r="G11" i="633" l="1"/>
  <c r="G12" i="633" s="1"/>
  <c r="AK15" i="632"/>
  <c r="AM14" i="632"/>
  <c r="M8" i="632"/>
  <c r="L8" i="632"/>
  <c r="AA16" i="633"/>
  <c r="AC15" i="633"/>
  <c r="W9" i="633"/>
  <c r="U10" i="633"/>
  <c r="AE13" i="632"/>
  <c r="AG12" i="632"/>
  <c r="Q11" i="632"/>
  <c r="S10" i="632"/>
  <c r="I11" i="633" l="1"/>
  <c r="AK16" i="632"/>
  <c r="AM15" i="632"/>
  <c r="AA17" i="633"/>
  <c r="AC16" i="633"/>
  <c r="U11" i="633"/>
  <c r="W10" i="633"/>
  <c r="AE14" i="632"/>
  <c r="AG13" i="632"/>
  <c r="G13" i="633"/>
  <c r="I12" i="633"/>
  <c r="Q12" i="632"/>
  <c r="S11" i="632"/>
  <c r="AK17" i="632" l="1"/>
  <c r="AM16" i="632"/>
  <c r="AA18" i="633"/>
  <c r="AC17" i="633"/>
  <c r="U12" i="633"/>
  <c r="W11" i="633"/>
  <c r="AE15" i="632"/>
  <c r="AG14" i="632"/>
  <c r="G14" i="633"/>
  <c r="I13" i="633"/>
  <c r="Q13" i="632"/>
  <c r="S12" i="632"/>
  <c r="AK18" i="632" l="1"/>
  <c r="AM17" i="632"/>
  <c r="AA19" i="633"/>
  <c r="AC18" i="633"/>
  <c r="W12" i="633"/>
  <c r="U13" i="633"/>
  <c r="G15" i="633"/>
  <c r="I14" i="633"/>
  <c r="AE16" i="632"/>
  <c r="AG15" i="632"/>
  <c r="Q14" i="632"/>
  <c r="S13" i="632"/>
  <c r="AK19" i="632" l="1"/>
  <c r="AM19" i="632" s="1"/>
  <c r="AM18" i="632"/>
  <c r="AA20" i="633"/>
  <c r="AC19" i="633"/>
  <c r="W13" i="633"/>
  <c r="U14" i="633"/>
  <c r="G16" i="633"/>
  <c r="I15" i="633"/>
  <c r="AE17" i="632"/>
  <c r="AG16" i="632"/>
  <c r="Q15" i="632"/>
  <c r="S14" i="632"/>
  <c r="AA21" i="633" l="1"/>
  <c r="AC20" i="633"/>
  <c r="W14" i="633"/>
  <c r="U15" i="633"/>
  <c r="G17" i="633"/>
  <c r="I16" i="633"/>
  <c r="AE18" i="632"/>
  <c r="AG17" i="632"/>
  <c r="Q16" i="632"/>
  <c r="S15" i="632"/>
  <c r="AA22" i="633" l="1"/>
  <c r="AC21" i="633"/>
  <c r="U16" i="633"/>
  <c r="W15" i="633"/>
  <c r="AE19" i="632"/>
  <c r="AG18" i="632"/>
  <c r="G18" i="633"/>
  <c r="I17" i="633"/>
  <c r="Q17" i="632"/>
  <c r="S16" i="632"/>
  <c r="AA23" i="633" l="1"/>
  <c r="AC22" i="633"/>
  <c r="W16" i="633"/>
  <c r="U17" i="633"/>
  <c r="G19" i="633"/>
  <c r="I18" i="633"/>
  <c r="AE20" i="632"/>
  <c r="AG19" i="632"/>
  <c r="Q18" i="632"/>
  <c r="S17" i="632"/>
  <c r="AA24" i="633" l="1"/>
  <c r="AC23" i="633"/>
  <c r="W17" i="633"/>
  <c r="U18" i="633"/>
  <c r="AE21" i="632"/>
  <c r="AG20" i="632"/>
  <c r="G20" i="633"/>
  <c r="I19" i="633"/>
  <c r="Q19" i="632"/>
  <c r="S19" i="632" s="1"/>
  <c r="S18" i="632"/>
  <c r="AA25" i="633" l="1"/>
  <c r="AC24" i="633"/>
  <c r="W18" i="633"/>
  <c r="U19" i="633"/>
  <c r="AE22" i="632"/>
  <c r="AG21" i="632"/>
  <c r="G21" i="633"/>
  <c r="I20" i="633"/>
  <c r="AA26" i="633" l="1"/>
  <c r="AC25" i="633"/>
  <c r="U20" i="633"/>
  <c r="W19" i="633"/>
  <c r="G22" i="633"/>
  <c r="I21" i="633"/>
  <c r="AE23" i="632"/>
  <c r="AG22" i="632"/>
  <c r="AA27" i="633" l="1"/>
  <c r="AC27" i="633" s="1"/>
  <c r="AC26" i="633"/>
  <c r="U21" i="633"/>
  <c r="W20" i="633"/>
  <c r="G23" i="633"/>
  <c r="I22" i="633"/>
  <c r="AE24" i="632"/>
  <c r="AG23" i="632"/>
  <c r="U22" i="633" l="1"/>
  <c r="W21" i="633"/>
  <c r="AE25" i="632"/>
  <c r="AG24" i="632"/>
  <c r="G24" i="633"/>
  <c r="I23" i="633"/>
  <c r="U23" i="633" l="1"/>
  <c r="W22" i="633"/>
  <c r="G25" i="633"/>
  <c r="I24" i="633"/>
  <c r="AE26" i="632"/>
  <c r="AG25" i="632"/>
  <c r="U24" i="633" l="1"/>
  <c r="W23" i="633"/>
  <c r="G26" i="633"/>
  <c r="I25" i="633"/>
  <c r="AE27" i="632"/>
  <c r="AG26" i="632"/>
  <c r="U25" i="633" l="1"/>
  <c r="W24" i="633"/>
  <c r="AE28" i="632"/>
  <c r="AG27" i="632"/>
  <c r="G27" i="633"/>
  <c r="I26" i="633"/>
  <c r="U26" i="633" l="1"/>
  <c r="W25" i="633"/>
  <c r="AE29" i="632"/>
  <c r="AG28" i="632"/>
  <c r="G28" i="633"/>
  <c r="I27" i="633"/>
  <c r="U27" i="633" l="1"/>
  <c r="W26" i="633"/>
  <c r="G29" i="633"/>
  <c r="I28" i="633"/>
  <c r="AE30" i="632"/>
  <c r="AG29" i="632"/>
  <c r="U28" i="633" l="1"/>
  <c r="W27" i="633"/>
  <c r="AE31" i="632"/>
  <c r="AG30" i="632"/>
  <c r="G30" i="633"/>
  <c r="I29" i="633"/>
  <c r="W28" i="633" l="1"/>
  <c r="U29" i="633"/>
  <c r="G31" i="633"/>
  <c r="I30" i="633"/>
  <c r="AE32" i="632"/>
  <c r="AG31" i="632"/>
  <c r="U30" i="633" l="1"/>
  <c r="W29" i="633"/>
  <c r="G32" i="633"/>
  <c r="I31" i="633"/>
  <c r="AE33" i="632"/>
  <c r="AG32" i="632"/>
  <c r="U31" i="633" l="1"/>
  <c r="W30" i="633"/>
  <c r="AE34" i="632"/>
  <c r="AG33" i="632"/>
  <c r="G33" i="633"/>
  <c r="I32" i="633"/>
  <c r="U32" i="633" l="1"/>
  <c r="W31" i="633"/>
  <c r="G34" i="633"/>
  <c r="I33" i="633"/>
  <c r="AE35" i="632"/>
  <c r="AG34" i="632"/>
  <c r="U33" i="633" l="1"/>
  <c r="W32" i="633"/>
  <c r="AE36" i="632"/>
  <c r="AG35" i="632"/>
  <c r="G35" i="633"/>
  <c r="I34" i="633"/>
  <c r="U34" i="633" l="1"/>
  <c r="W33" i="633"/>
  <c r="AE37" i="632"/>
  <c r="AG37" i="632" s="1"/>
  <c r="AG36" i="632"/>
  <c r="G36" i="633"/>
  <c r="I35" i="633"/>
  <c r="U35" i="633" l="1"/>
  <c r="W34" i="633"/>
  <c r="G37" i="633"/>
  <c r="I37" i="633" s="1"/>
  <c r="I36" i="633"/>
  <c r="U36" i="633" l="1"/>
  <c r="W35" i="633"/>
  <c r="W36" i="633" l="1"/>
  <c r="U37" i="633"/>
  <c r="U38" i="633" l="1"/>
  <c r="W37" i="633"/>
  <c r="U39" i="633" l="1"/>
  <c r="W38" i="633"/>
  <c r="U40" i="633" l="1"/>
  <c r="W39" i="633"/>
  <c r="U41" i="633" l="1"/>
  <c r="W40" i="633"/>
  <c r="W41" i="633" l="1"/>
  <c r="U42" i="633"/>
  <c r="W42" i="633" l="1"/>
  <c r="U43" i="633"/>
  <c r="U44" i="633" l="1"/>
  <c r="W43" i="633"/>
  <c r="U45" i="633" l="1"/>
  <c r="W44" i="633"/>
  <c r="W45" i="633" l="1"/>
  <c r="U46" i="633"/>
  <c r="U47" i="633" l="1"/>
  <c r="W46" i="633"/>
  <c r="U48" i="633" l="1"/>
  <c r="W47" i="633"/>
  <c r="W48" i="633" l="1"/>
  <c r="U49" i="633"/>
  <c r="U50" i="633" l="1"/>
  <c r="W49" i="633"/>
  <c r="W50" i="633" l="1"/>
  <c r="U51" i="633"/>
  <c r="U52" i="633" l="1"/>
  <c r="W51" i="633"/>
  <c r="N9" i="576"/>
  <c r="N7" i="576"/>
  <c r="X8" i="388"/>
  <c r="T14" i="619"/>
  <c r="U14" i="619"/>
  <c r="V14" i="619"/>
  <c r="S14" i="619"/>
  <c r="T8" i="619"/>
  <c r="R14" i="620"/>
  <c r="S14" i="620"/>
  <c r="Q14" i="620"/>
  <c r="R8" i="620"/>
  <c r="I5" i="619"/>
  <c r="F5" i="619"/>
  <c r="F6" i="619"/>
  <c r="F7" i="619"/>
  <c r="F8" i="619"/>
  <c r="F9" i="619"/>
  <c r="F10" i="619"/>
  <c r="F11" i="619"/>
  <c r="F12" i="619"/>
  <c r="F13" i="619"/>
  <c r="F14" i="619"/>
  <c r="F15" i="619"/>
  <c r="F16" i="619"/>
  <c r="F17" i="619"/>
  <c r="F18" i="619"/>
  <c r="F19" i="619"/>
  <c r="F4" i="619"/>
  <c r="F20" i="619" l="1"/>
  <c r="W52" i="633"/>
  <c r="U53" i="633"/>
  <c r="B20" i="619"/>
  <c r="N4" i="619" s="1"/>
  <c r="C20" i="619"/>
  <c r="O4" i="619" s="1"/>
  <c r="D20" i="619"/>
  <c r="P4" i="619" s="1"/>
  <c r="A20" i="619"/>
  <c r="D94" i="620"/>
  <c r="C94" i="620"/>
  <c r="E93" i="620"/>
  <c r="E92" i="620"/>
  <c r="E91" i="620"/>
  <c r="E90" i="620"/>
  <c r="E89" i="620"/>
  <c r="E88" i="620"/>
  <c r="E87" i="620"/>
  <c r="E86" i="620"/>
  <c r="E85" i="620"/>
  <c r="E84" i="620"/>
  <c r="E83" i="620"/>
  <c r="E82" i="620"/>
  <c r="E81" i="620"/>
  <c r="E80" i="620"/>
  <c r="E79" i="620"/>
  <c r="E78" i="620"/>
  <c r="E77" i="620"/>
  <c r="E76" i="620"/>
  <c r="H75" i="620"/>
  <c r="E75" i="620"/>
  <c r="A75" i="620"/>
  <c r="A76" i="620" s="1"/>
  <c r="A77" i="620" s="1"/>
  <c r="A78" i="620" s="1"/>
  <c r="A79" i="620" s="1"/>
  <c r="A80" i="620" s="1"/>
  <c r="A81" i="620" s="1"/>
  <c r="A82" i="620" s="1"/>
  <c r="A83" i="620" s="1"/>
  <c r="A84" i="620" s="1"/>
  <c r="A85" i="620" s="1"/>
  <c r="A86" i="620" s="1"/>
  <c r="A87" i="620" s="1"/>
  <c r="A88" i="620" s="1"/>
  <c r="A89" i="620" s="1"/>
  <c r="A90" i="620" s="1"/>
  <c r="A91" i="620" s="1"/>
  <c r="A92" i="620" s="1"/>
  <c r="A93" i="620" s="1"/>
  <c r="H74" i="620"/>
  <c r="H76" i="620" s="1"/>
  <c r="E74" i="620"/>
  <c r="D71" i="620"/>
  <c r="B71" i="620"/>
  <c r="E70" i="620"/>
  <c r="E69" i="620"/>
  <c r="E68" i="620"/>
  <c r="E67" i="620"/>
  <c r="E66" i="620"/>
  <c r="E65" i="620"/>
  <c r="E64" i="620"/>
  <c r="E63" i="620"/>
  <c r="E62" i="620"/>
  <c r="E61" i="620"/>
  <c r="E60" i="620"/>
  <c r="E59" i="620"/>
  <c r="E58" i="620"/>
  <c r="E57" i="620"/>
  <c r="E56" i="620"/>
  <c r="E55" i="620"/>
  <c r="E54" i="620"/>
  <c r="E53" i="620"/>
  <c r="H52" i="620"/>
  <c r="E52" i="620"/>
  <c r="A52" i="620"/>
  <c r="A53" i="620" s="1"/>
  <c r="A54" i="620" s="1"/>
  <c r="A55" i="620" s="1"/>
  <c r="A56" i="620" s="1"/>
  <c r="A57" i="620" s="1"/>
  <c r="A58" i="620" s="1"/>
  <c r="A59" i="620" s="1"/>
  <c r="A60" i="620" s="1"/>
  <c r="A61" i="620" s="1"/>
  <c r="A62" i="620" s="1"/>
  <c r="A63" i="620" s="1"/>
  <c r="A64" i="620" s="1"/>
  <c r="A65" i="620" s="1"/>
  <c r="A66" i="620" s="1"/>
  <c r="A67" i="620" s="1"/>
  <c r="A68" i="620" s="1"/>
  <c r="A69" i="620" s="1"/>
  <c r="A70" i="620" s="1"/>
  <c r="H51" i="620"/>
  <c r="H53" i="620" s="1"/>
  <c r="E51" i="620"/>
  <c r="C48" i="620"/>
  <c r="B48" i="620"/>
  <c r="E47" i="620"/>
  <c r="E46" i="620"/>
  <c r="E45" i="620"/>
  <c r="E44" i="620"/>
  <c r="E43" i="620"/>
  <c r="E42" i="620"/>
  <c r="E41" i="620"/>
  <c r="E40" i="620"/>
  <c r="E39" i="620"/>
  <c r="E38" i="620"/>
  <c r="E37" i="620"/>
  <c r="E36" i="620"/>
  <c r="E35" i="620"/>
  <c r="E34" i="620"/>
  <c r="E33" i="620"/>
  <c r="E32" i="620"/>
  <c r="E31" i="620"/>
  <c r="E30" i="620"/>
  <c r="H29" i="620"/>
  <c r="E29" i="620"/>
  <c r="A29" i="620"/>
  <c r="A30" i="620" s="1"/>
  <c r="A31" i="620" s="1"/>
  <c r="A32" i="620" s="1"/>
  <c r="A33" i="620" s="1"/>
  <c r="A34" i="620" s="1"/>
  <c r="A35" i="620" s="1"/>
  <c r="A36" i="620" s="1"/>
  <c r="A37" i="620" s="1"/>
  <c r="A38" i="620" s="1"/>
  <c r="A39" i="620" s="1"/>
  <c r="A40" i="620" s="1"/>
  <c r="A41" i="620" s="1"/>
  <c r="A42" i="620" s="1"/>
  <c r="A43" i="620" s="1"/>
  <c r="A44" i="620" s="1"/>
  <c r="A45" i="620" s="1"/>
  <c r="A46" i="620" s="1"/>
  <c r="A47" i="620" s="1"/>
  <c r="H28" i="620"/>
  <c r="H30" i="620" s="1"/>
  <c r="E28" i="620"/>
  <c r="D24" i="620"/>
  <c r="C24" i="620"/>
  <c r="B24" i="620"/>
  <c r="E23" i="620"/>
  <c r="E22" i="620"/>
  <c r="E21" i="620"/>
  <c r="E20" i="620"/>
  <c r="E19" i="620"/>
  <c r="E18" i="620"/>
  <c r="E17" i="620"/>
  <c r="E16" i="620"/>
  <c r="E15" i="620"/>
  <c r="E14" i="620"/>
  <c r="E13" i="620"/>
  <c r="E12" i="620"/>
  <c r="E11" i="620"/>
  <c r="E10" i="620"/>
  <c r="E9" i="620"/>
  <c r="E8" i="620"/>
  <c r="E7" i="620"/>
  <c r="E6" i="620"/>
  <c r="H5" i="620"/>
  <c r="E5" i="620"/>
  <c r="A5" i="620"/>
  <c r="A6" i="620" s="1"/>
  <c r="A7" i="620" s="1"/>
  <c r="A8" i="620" s="1"/>
  <c r="A9" i="620" s="1"/>
  <c r="A10" i="620" s="1"/>
  <c r="A11" i="620" s="1"/>
  <c r="A12" i="620" s="1"/>
  <c r="A13" i="620" s="1"/>
  <c r="A14" i="620" s="1"/>
  <c r="A15" i="620" s="1"/>
  <c r="A16" i="620" s="1"/>
  <c r="A17" i="620" s="1"/>
  <c r="A18" i="620" s="1"/>
  <c r="A19" i="620" s="1"/>
  <c r="A20" i="620" s="1"/>
  <c r="A21" i="620" s="1"/>
  <c r="A22" i="620" s="1"/>
  <c r="A23" i="620" s="1"/>
  <c r="H4" i="620"/>
  <c r="H6" i="620" s="1"/>
  <c r="E4" i="620"/>
  <c r="I4" i="619"/>
  <c r="I6" i="619" s="1"/>
  <c r="E48" i="620" l="1"/>
  <c r="H31" i="620" s="1"/>
  <c r="H33" i="620" s="1"/>
  <c r="H35" i="620" s="1"/>
  <c r="E94" i="620"/>
  <c r="H77" i="620" s="1"/>
  <c r="H79" i="620" s="1"/>
  <c r="H81" i="620" s="1"/>
  <c r="U54" i="633"/>
  <c r="W53" i="633"/>
  <c r="E71" i="620"/>
  <c r="H54" i="620" s="1"/>
  <c r="H56" i="620" s="1"/>
  <c r="H58" i="620" s="1"/>
  <c r="E24" i="620"/>
  <c r="H7" i="620" s="1"/>
  <c r="H9" i="620" s="1"/>
  <c r="H11" i="620" s="1"/>
  <c r="L4" i="620"/>
  <c r="M4" i="619"/>
  <c r="E20" i="619"/>
  <c r="I7" i="619" s="1"/>
  <c r="I9" i="619" s="1"/>
  <c r="I11" i="619" s="1"/>
  <c r="M4" i="620"/>
  <c r="N4" i="620"/>
  <c r="I10" i="619"/>
  <c r="H34" i="620"/>
  <c r="H80" i="620"/>
  <c r="H10" i="620"/>
  <c r="H57" i="620"/>
  <c r="H12" i="618"/>
  <c r="H9" i="618"/>
  <c r="B9" i="618"/>
  <c r="B10" i="618" s="1"/>
  <c r="B6" i="618"/>
  <c r="B5" i="618"/>
  <c r="P3" i="616"/>
  <c r="P4" i="616"/>
  <c r="P6" i="616" s="1"/>
  <c r="G20" i="616" a="1"/>
  <c r="G22" i="616" s="1"/>
  <c r="I16" i="616"/>
  <c r="H14" i="616"/>
  <c r="U4" i="616" s="1"/>
  <c r="H10" i="616"/>
  <c r="H16" i="616" s="1"/>
  <c r="N4" i="617"/>
  <c r="N6" i="617" s="1"/>
  <c r="N3" i="617"/>
  <c r="E20" i="617" a="1"/>
  <c r="E20" i="617" s="1"/>
  <c r="G16" i="617"/>
  <c r="F14" i="617"/>
  <c r="F10" i="617"/>
  <c r="F16" i="617" s="1"/>
  <c r="W54" i="633" l="1"/>
  <c r="U55" i="633"/>
  <c r="H15" i="616"/>
  <c r="U5" i="616" s="1"/>
  <c r="U9" i="616" s="1"/>
  <c r="F15" i="617"/>
  <c r="U8" i="616"/>
  <c r="N5" i="617"/>
  <c r="N13" i="617" s="1"/>
  <c r="B13" i="618"/>
  <c r="P5" i="616"/>
  <c r="P13" i="616" s="1"/>
  <c r="G20" i="616"/>
  <c r="G21" i="616"/>
  <c r="E21" i="617"/>
  <c r="W55" i="633" l="1"/>
  <c r="U56" i="633"/>
  <c r="U57" i="633" l="1"/>
  <c r="W56" i="633"/>
  <c r="U58" i="633" l="1"/>
  <c r="W57" i="633"/>
  <c r="U59" i="633" l="1"/>
  <c r="W58" i="633"/>
  <c r="U60" i="633" l="1"/>
  <c r="W59" i="633"/>
  <c r="U61" i="633" l="1"/>
  <c r="W60" i="633"/>
  <c r="U62" i="633" l="1"/>
  <c r="W61" i="633"/>
  <c r="W62" i="633" l="1"/>
  <c r="U63" i="633"/>
  <c r="W63" i="633" l="1"/>
  <c r="U64" i="633"/>
  <c r="W64" i="633" l="1"/>
  <c r="U65" i="633"/>
  <c r="A5" i="473"/>
  <c r="W65" i="633" l="1"/>
  <c r="U66" i="633"/>
  <c r="A6" i="473"/>
  <c r="U67" i="633" l="1"/>
  <c r="W66" i="633"/>
  <c r="A7" i="473"/>
  <c r="U68" i="633" l="1"/>
  <c r="W67" i="633"/>
  <c r="A8" i="473"/>
  <c r="D20" i="607" a="1"/>
  <c r="D20" i="607" s="1"/>
  <c r="F16" i="607"/>
  <c r="E14" i="607"/>
  <c r="E10" i="607"/>
  <c r="E16" i="607" s="1"/>
  <c r="N6" i="607"/>
  <c r="Q6" i="606"/>
  <c r="G20" i="606" a="1"/>
  <c r="G20" i="606" s="1"/>
  <c r="I16" i="606"/>
  <c r="H14" i="606"/>
  <c r="H10" i="606"/>
  <c r="H16" i="606" s="1"/>
  <c r="U69" i="633" l="1"/>
  <c r="W68" i="633"/>
  <c r="E15" i="607"/>
  <c r="M9" i="607" s="1"/>
  <c r="M10" i="607" s="1"/>
  <c r="N10" i="607" s="1"/>
  <c r="H15" i="606"/>
  <c r="P9" i="606" s="1"/>
  <c r="P10" i="606" s="1"/>
  <c r="Q10" i="606" s="1"/>
  <c r="A9" i="473"/>
  <c r="G21" i="606"/>
  <c r="G22" i="606"/>
  <c r="N9" i="607" l="1"/>
  <c r="Q9" i="606"/>
  <c r="U70" i="633"/>
  <c r="W69" i="633"/>
  <c r="A10" i="473"/>
  <c r="W70" i="633" l="1"/>
  <c r="U71" i="633"/>
  <c r="A11" i="473"/>
  <c r="W71" i="633" l="1"/>
  <c r="U72" i="633"/>
  <c r="A12" i="473"/>
  <c r="W72" i="633" l="1"/>
  <c r="U73" i="633"/>
  <c r="A13" i="473"/>
  <c r="U74" i="633" l="1"/>
  <c r="W73" i="633"/>
  <c r="A14" i="473"/>
  <c r="U75" i="633" l="1"/>
  <c r="W74" i="633"/>
  <c r="U76" i="633" l="1"/>
  <c r="W75" i="633"/>
  <c r="U77" i="633" l="1"/>
  <c r="W76" i="633"/>
  <c r="U78" i="633" l="1"/>
  <c r="W77" i="633"/>
  <c r="U79" i="633" l="1"/>
  <c r="W78" i="633"/>
  <c r="U80" i="633" l="1"/>
  <c r="W79" i="633"/>
  <c r="W80" i="633" l="1"/>
  <c r="U81" i="633"/>
  <c r="W81" i="633" l="1"/>
  <c r="U82" i="633"/>
  <c r="J24" i="601"/>
  <c r="O11" i="601" s="1"/>
  <c r="H24" i="601"/>
  <c r="I24" i="601"/>
  <c r="G24" i="601"/>
  <c r="J23" i="601"/>
  <c r="H23" i="601"/>
  <c r="I23" i="601"/>
  <c r="G23" i="601"/>
  <c r="F23" i="601"/>
  <c r="J22" i="601"/>
  <c r="H22" i="601"/>
  <c r="I22" i="601"/>
  <c r="G22" i="601"/>
  <c r="F22" i="601"/>
  <c r="J21" i="601"/>
  <c r="H21" i="601"/>
  <c r="I21" i="601"/>
  <c r="G21" i="601"/>
  <c r="F21" i="601"/>
  <c r="H20" i="601"/>
  <c r="I20" i="601"/>
  <c r="G20" i="601"/>
  <c r="J17" i="601"/>
  <c r="H17" i="601"/>
  <c r="I17" i="601"/>
  <c r="G17" i="601"/>
  <c r="J16" i="601"/>
  <c r="H16" i="601"/>
  <c r="I16" i="601"/>
  <c r="G16" i="601"/>
  <c r="F16" i="601"/>
  <c r="J15" i="601"/>
  <c r="H15" i="601"/>
  <c r="I15" i="601"/>
  <c r="G15" i="601"/>
  <c r="F15" i="601"/>
  <c r="J14" i="601"/>
  <c r="H14" i="601"/>
  <c r="I14" i="601"/>
  <c r="G14" i="601"/>
  <c r="F14" i="601"/>
  <c r="H13" i="601"/>
  <c r="I13" i="601"/>
  <c r="G13" i="601"/>
  <c r="J10" i="601"/>
  <c r="N11" i="601" s="1"/>
  <c r="N20" i="601" s="1"/>
  <c r="H10" i="601"/>
  <c r="I10" i="601"/>
  <c r="G10" i="601"/>
  <c r="J9" i="601"/>
  <c r="H9" i="601"/>
  <c r="I9" i="601"/>
  <c r="G9" i="601"/>
  <c r="F9" i="601"/>
  <c r="J8" i="601"/>
  <c r="H8" i="601"/>
  <c r="I8" i="601"/>
  <c r="G8" i="601"/>
  <c r="F8" i="601"/>
  <c r="J7" i="601"/>
  <c r="H7" i="601"/>
  <c r="I7" i="601"/>
  <c r="G7" i="601"/>
  <c r="F7" i="601"/>
  <c r="H6" i="601"/>
  <c r="I6" i="601"/>
  <c r="G6" i="601"/>
  <c r="H41" i="592"/>
  <c r="G41" i="592"/>
  <c r="K35" i="592"/>
  <c r="J35" i="592"/>
  <c r="I35" i="592"/>
  <c r="H35" i="592"/>
  <c r="G35" i="592"/>
  <c r="F35" i="592"/>
  <c r="K34" i="592"/>
  <c r="J34" i="592"/>
  <c r="I34" i="592"/>
  <c r="H34" i="592"/>
  <c r="G34" i="592"/>
  <c r="F34" i="592"/>
  <c r="K33" i="592"/>
  <c r="J33" i="592"/>
  <c r="I33" i="592"/>
  <c r="H33" i="592"/>
  <c r="G33" i="592"/>
  <c r="F33" i="592"/>
  <c r="Y47" i="592"/>
  <c r="Y48" i="592"/>
  <c r="Y49" i="592"/>
  <c r="Y50" i="592"/>
  <c r="Y46" i="592"/>
  <c r="X47" i="592"/>
  <c r="X48" i="592"/>
  <c r="X49" i="592"/>
  <c r="X50" i="592"/>
  <c r="X46" i="592"/>
  <c r="W47" i="592"/>
  <c r="W48" i="592"/>
  <c r="W49" i="592"/>
  <c r="W50" i="592"/>
  <c r="W46" i="592"/>
  <c r="Y42" i="592"/>
  <c r="Y43" i="592"/>
  <c r="Y44" i="592"/>
  <c r="Y45" i="592"/>
  <c r="Y41" i="592"/>
  <c r="X42" i="592"/>
  <c r="X43" i="592"/>
  <c r="X44" i="592"/>
  <c r="X45" i="592"/>
  <c r="X41" i="592"/>
  <c r="W42" i="592"/>
  <c r="W43" i="592"/>
  <c r="W44" i="592"/>
  <c r="W45" i="592"/>
  <c r="W41" i="592"/>
  <c r="Y37" i="592"/>
  <c r="Y38" i="592"/>
  <c r="Y39" i="592"/>
  <c r="Y40" i="592"/>
  <c r="Y36" i="592"/>
  <c r="X37" i="592"/>
  <c r="X38" i="592"/>
  <c r="X39" i="592"/>
  <c r="X40" i="592"/>
  <c r="X36" i="592"/>
  <c r="W37" i="592"/>
  <c r="W38" i="592"/>
  <c r="W39" i="592"/>
  <c r="W40" i="592"/>
  <c r="W36" i="592"/>
  <c r="Y32" i="592"/>
  <c r="Y33" i="592"/>
  <c r="Y34" i="592"/>
  <c r="Y35" i="592"/>
  <c r="Y31" i="592"/>
  <c r="X32" i="592"/>
  <c r="X33" i="592"/>
  <c r="X34" i="592"/>
  <c r="X35" i="592"/>
  <c r="X31" i="592"/>
  <c r="W32" i="592"/>
  <c r="W33" i="592"/>
  <c r="W34" i="592"/>
  <c r="W35" i="592"/>
  <c r="W31" i="592"/>
  <c r="Y30" i="592"/>
  <c r="X30" i="592"/>
  <c r="W30" i="592"/>
  <c r="V46" i="592"/>
  <c r="V41" i="592"/>
  <c r="V36" i="592"/>
  <c r="V31" i="592"/>
  <c r="L22" i="600"/>
  <c r="Q9" i="600" s="1"/>
  <c r="I22" i="600"/>
  <c r="J22" i="600"/>
  <c r="K22" i="600"/>
  <c r="H22" i="600"/>
  <c r="L21" i="600"/>
  <c r="I21" i="600"/>
  <c r="J21" i="600"/>
  <c r="K21" i="600"/>
  <c r="H21" i="600"/>
  <c r="G21" i="600"/>
  <c r="L20" i="600"/>
  <c r="I20" i="600"/>
  <c r="J20" i="600"/>
  <c r="K20" i="600"/>
  <c r="H20" i="600"/>
  <c r="G20" i="600"/>
  <c r="L19" i="600"/>
  <c r="I19" i="600"/>
  <c r="J19" i="600"/>
  <c r="K19" i="600"/>
  <c r="H19" i="600"/>
  <c r="G19" i="600"/>
  <c r="I18" i="600"/>
  <c r="J18" i="600"/>
  <c r="K18" i="600"/>
  <c r="H18" i="600"/>
  <c r="L15" i="600"/>
  <c r="I15" i="600"/>
  <c r="J15" i="600"/>
  <c r="K15" i="600"/>
  <c r="H15" i="600"/>
  <c r="L14" i="600"/>
  <c r="I14" i="600"/>
  <c r="J14" i="600"/>
  <c r="K14" i="600"/>
  <c r="H14" i="600"/>
  <c r="G14" i="600"/>
  <c r="L13" i="600"/>
  <c r="I13" i="600"/>
  <c r="J13" i="600"/>
  <c r="K13" i="600"/>
  <c r="H13" i="600"/>
  <c r="G13" i="600"/>
  <c r="L12" i="600"/>
  <c r="I12" i="600"/>
  <c r="J12" i="600"/>
  <c r="K12" i="600"/>
  <c r="H12" i="600"/>
  <c r="G12" i="600"/>
  <c r="I11" i="600"/>
  <c r="J11" i="600"/>
  <c r="K11" i="600"/>
  <c r="H11" i="600"/>
  <c r="L8" i="600"/>
  <c r="P9" i="600" s="1"/>
  <c r="I8" i="600"/>
  <c r="J8" i="600"/>
  <c r="K8" i="600"/>
  <c r="H8" i="600"/>
  <c r="L7" i="600"/>
  <c r="I7" i="600"/>
  <c r="J7" i="600"/>
  <c r="K7" i="600"/>
  <c r="H7" i="600"/>
  <c r="G7" i="600"/>
  <c r="L6" i="600"/>
  <c r="I6" i="600"/>
  <c r="J6" i="600"/>
  <c r="K6" i="600"/>
  <c r="H6" i="600"/>
  <c r="G6" i="600"/>
  <c r="L5" i="600"/>
  <c r="I5" i="600"/>
  <c r="J5" i="600"/>
  <c r="K5" i="600"/>
  <c r="H5" i="600"/>
  <c r="G5" i="600"/>
  <c r="I4" i="600"/>
  <c r="J4" i="600"/>
  <c r="K4" i="600"/>
  <c r="H4" i="600"/>
  <c r="U83" i="633" l="1"/>
  <c r="W82" i="633"/>
  <c r="I41" i="592"/>
  <c r="M8" i="601"/>
  <c r="M10" i="601"/>
  <c r="M19" i="601" s="1"/>
  <c r="P5" i="600"/>
  <c r="N8" i="601"/>
  <c r="G40" i="592"/>
  <c r="G39" i="592" s="1"/>
  <c r="M7" i="601"/>
  <c r="O5" i="600"/>
  <c r="Q5" i="600" s="1"/>
  <c r="N7" i="601"/>
  <c r="N9" i="601" s="1"/>
  <c r="N10" i="601" s="1"/>
  <c r="P6" i="600"/>
  <c r="O8" i="600"/>
  <c r="O6" i="600"/>
  <c r="H39" i="592"/>
  <c r="H40" i="592" s="1"/>
  <c r="H3" i="600"/>
  <c r="G5" i="601"/>
  <c r="M11" i="601"/>
  <c r="O9" i="600"/>
  <c r="I40" i="592" l="1"/>
  <c r="L34" i="592" s="1"/>
  <c r="N34" i="592" s="1"/>
  <c r="O8" i="601"/>
  <c r="W83" i="633"/>
  <c r="U84" i="633"/>
  <c r="I39" i="592"/>
  <c r="J39" i="592" s="1"/>
  <c r="K39" i="592" s="1"/>
  <c r="O7" i="601"/>
  <c r="M17" i="601"/>
  <c r="P7" i="600"/>
  <c r="P8" i="600" s="1"/>
  <c r="Q8" i="600" s="1"/>
  <c r="N39" i="592"/>
  <c r="Q6" i="600"/>
  <c r="N17" i="601"/>
  <c r="O7" i="600"/>
  <c r="L39" i="592"/>
  <c r="N19" i="601"/>
  <c r="O19" i="601" s="1"/>
  <c r="O10" i="601"/>
  <c r="N18" i="601"/>
  <c r="M9" i="601"/>
  <c r="M20" i="601"/>
  <c r="O20" i="601" s="1"/>
  <c r="J79" i="620"/>
  <c r="O30" i="86" a="1"/>
  <c r="O21" i="210"/>
  <c r="P3" i="523" a="1"/>
  <c r="R20" i="215"/>
  <c r="Q7" i="473"/>
  <c r="J81" i="620"/>
  <c r="S7" i="193"/>
  <c r="I6" i="387"/>
  <c r="AD18" i="290"/>
  <c r="AC20" i="550"/>
  <c r="H27" i="189"/>
  <c r="G6" i="387"/>
  <c r="J74" i="620"/>
  <c r="L37" i="584"/>
  <c r="M3" i="591" a="1"/>
  <c r="F16" i="342"/>
  <c r="H15" i="388"/>
  <c r="H5" i="388"/>
  <c r="R6" i="616"/>
  <c r="T13" i="585" a="1"/>
  <c r="AE15" i="510" a="1"/>
  <c r="AD30" i="290"/>
  <c r="F19" i="342" a="1"/>
  <c r="J75" i="620"/>
  <c r="H15" i="467" a="1"/>
  <c r="P17" i="478"/>
  <c r="R9" i="616"/>
  <c r="J9" i="618"/>
  <c r="AE3" i="531" a="1"/>
  <c r="N26" i="473" a="1"/>
  <c r="B18" i="618"/>
  <c r="N21" i="86" a="1"/>
  <c r="K6" i="619"/>
  <c r="F6" i="342"/>
  <c r="J11" i="618"/>
  <c r="J35" i="620"/>
  <c r="Q30" i="216"/>
  <c r="J80" i="620"/>
  <c r="J35" i="584"/>
  <c r="L34" i="584"/>
  <c r="N8" i="576"/>
  <c r="G13" i="517" a="1"/>
  <c r="AA38" i="290" a="1"/>
  <c r="B105" i="463" a="1"/>
  <c r="S7" i="595"/>
  <c r="P22" i="215"/>
  <c r="O4" i="341" a="1"/>
  <c r="H14" i="388"/>
  <c r="I9" i="388"/>
  <c r="H7" i="387"/>
  <c r="E11" i="450" a="1"/>
  <c r="O10" i="636"/>
  <c r="G14" i="342"/>
  <c r="J20" i="440"/>
  <c r="K5" i="619"/>
  <c r="N10" i="473" a="1"/>
  <c r="P15" i="617"/>
  <c r="S6" i="606" a="1"/>
  <c r="T8" i="595"/>
  <c r="S19" i="215"/>
  <c r="G13" i="516" a="1"/>
  <c r="I14" i="342"/>
  <c r="N4" i="474" a="1"/>
  <c r="R5" i="467" a="1"/>
  <c r="J54" i="620"/>
  <c r="G4" i="388"/>
  <c r="H8" i="456" a="1"/>
  <c r="O15" i="636"/>
  <c r="H16" i="620"/>
  <c r="J17" i="440"/>
  <c r="G14" i="388"/>
  <c r="F14" i="529" a="1"/>
  <c r="T30" i="216"/>
  <c r="D10" i="637"/>
  <c r="M26" i="387"/>
  <c r="J77" i="620"/>
  <c r="Z3" i="523" a="1"/>
  <c r="G19" i="342" a="1"/>
  <c r="L5" i="473"/>
  <c r="F5" i="528" a="1"/>
  <c r="M3" i="577"/>
  <c r="G4" i="474" a="1"/>
  <c r="AK8" i="447"/>
  <c r="G14" i="387"/>
  <c r="K43" i="478"/>
  <c r="F8" i="342"/>
  <c r="N3" i="506" a="1"/>
  <c r="F16" i="636"/>
  <c r="AC25" i="550"/>
  <c r="J37" i="584"/>
  <c r="AF21" i="101"/>
  <c r="AD31" i="290"/>
  <c r="O6" i="473"/>
  <c r="R18" i="616"/>
  <c r="H6" i="387"/>
  <c r="AC8" i="550"/>
  <c r="AA11" i="467" a="1"/>
  <c r="F14" i="342"/>
  <c r="J32" i="584"/>
  <c r="P59" i="192"/>
  <c r="AE23" i="510" a="1"/>
  <c r="E18" i="632"/>
  <c r="Z24" i="447"/>
  <c r="G30" i="440" a="1"/>
  <c r="P3" i="287"/>
  <c r="T32" i="216"/>
  <c r="G5" i="388"/>
  <c r="G35" i="467" a="1"/>
  <c r="O17" i="341"/>
  <c r="AD42" i="290"/>
  <c r="F14" i="528" a="1"/>
  <c r="B11" i="637"/>
  <c r="AT3" i="523" a="1"/>
  <c r="F16" i="450" a="1"/>
  <c r="P5" i="192"/>
  <c r="I5" i="387"/>
  <c r="AD10" i="256"/>
  <c r="R5" i="424"/>
  <c r="I9" i="387"/>
  <c r="D12" i="637"/>
  <c r="J14" i="618"/>
  <c r="J10" i="618"/>
  <c r="P12" i="478"/>
  <c r="I10" i="387"/>
  <c r="L14" i="530" a="1"/>
  <c r="O11" i="636"/>
  <c r="T7" i="595"/>
  <c r="H5" i="289"/>
  <c r="R34" i="216"/>
  <c r="J18" i="440"/>
  <c r="N3" i="507" a="1"/>
  <c r="R5" i="472" a="1"/>
  <c r="H4" i="506" a="1"/>
  <c r="O18" i="636"/>
  <c r="P3" i="617"/>
  <c r="M16" i="496" a="1"/>
  <c r="I11" i="388"/>
  <c r="B14" i="618"/>
  <c r="I8" i="388"/>
  <c r="K3" i="591" a="1"/>
  <c r="H17" i="636"/>
  <c r="H8" i="388"/>
  <c r="O5" i="472" a="1"/>
  <c r="I5" i="388"/>
  <c r="E14" i="470" a="1"/>
  <c r="T23" i="447"/>
  <c r="H8" i="387"/>
  <c r="AC4" i="341" a="1"/>
  <c r="B39" i="440" a="1"/>
  <c r="H12" i="388"/>
  <c r="U8" i="595"/>
  <c r="W6" i="616"/>
  <c r="P6" i="617"/>
  <c r="D30" i="440" a="1"/>
  <c r="J4" i="440"/>
  <c r="J5" i="440"/>
  <c r="AJ8" i="447"/>
  <c r="M4" i="467" a="1"/>
  <c r="F15" i="636"/>
  <c r="O16" i="636"/>
  <c r="H4" i="507" a="1"/>
  <c r="P18" i="635"/>
  <c r="R8" i="467" a="1"/>
  <c r="J21" i="440"/>
  <c r="M18" i="635" a="1"/>
  <c r="S31" i="216"/>
  <c r="AD21" i="290"/>
  <c r="T19" i="215"/>
  <c r="I11" i="637"/>
  <c r="S18" i="215"/>
  <c r="A5" i="298" a="1"/>
  <c r="J6" i="606" a="1"/>
  <c r="J42" i="584"/>
  <c r="K3" i="523" a="1"/>
  <c r="R18" i="215"/>
  <c r="P37" i="462"/>
  <c r="P9" i="617"/>
  <c r="D5" i="618"/>
  <c r="K7" i="619"/>
  <c r="R13" i="616"/>
  <c r="AG8" i="447"/>
  <c r="P3" i="531" a="1"/>
  <c r="G22" i="388"/>
  <c r="D14" i="618"/>
  <c r="Q18" i="215"/>
  <c r="AC24" i="550"/>
  <c r="P32" i="192"/>
  <c r="AR24" i="302" a="1"/>
  <c r="Z3" i="531" a="1"/>
  <c r="G7" i="388"/>
  <c r="D11" i="637"/>
  <c r="P15" i="635"/>
  <c r="AO3" i="531" a="1"/>
  <c r="AD27" i="290"/>
  <c r="V4" i="467" a="1"/>
  <c r="J8" i="576"/>
  <c r="H43" i="467" a="1"/>
  <c r="G7" i="387"/>
  <c r="G4" i="515" a="1"/>
  <c r="H13" i="388"/>
  <c r="J28" i="620"/>
  <c r="J12" i="618"/>
  <c r="AD22" i="290"/>
  <c r="G13" i="388"/>
  <c r="L3" i="591" a="1"/>
  <c r="G3" i="511" a="1"/>
  <c r="J14" i="342"/>
  <c r="G5" i="467" a="1"/>
  <c r="R6" i="454" a="1"/>
  <c r="F30" i="440" a="1"/>
  <c r="M16" i="619" a="1"/>
  <c r="I11" i="387"/>
  <c r="W13" i="616"/>
  <c r="J4" i="467" a="1"/>
  <c r="F12" i="636"/>
  <c r="S8" i="192"/>
  <c r="R7" i="595"/>
  <c r="E43" i="462" a="1"/>
  <c r="U3" i="531" a="1"/>
  <c r="P6" i="635"/>
  <c r="B30" i="440" a="1"/>
  <c r="H15" i="636"/>
  <c r="I12" i="387"/>
  <c r="AJ3" i="523" a="1"/>
  <c r="G9" i="387"/>
  <c r="A3" i="523" a="1"/>
  <c r="Y6" i="495" a="1"/>
  <c r="O22" i="211"/>
  <c r="G12" i="388"/>
  <c r="R8" i="595"/>
  <c r="F5" i="529" a="1"/>
  <c r="AR33" i="302" a="1"/>
  <c r="I14" i="388"/>
  <c r="Q4" i="454" a="1"/>
  <c r="G6" i="607" a="1"/>
  <c r="G6" i="456" a="1"/>
  <c r="S6" i="192"/>
  <c r="I17" i="341" a="1"/>
  <c r="AD20" i="290"/>
  <c r="W12" i="616"/>
  <c r="J6" i="620"/>
  <c r="J19" i="499" a="1"/>
  <c r="T12" i="585" a="1"/>
  <c r="R3" i="616"/>
  <c r="W8" i="616"/>
  <c r="F5" i="584" a="1"/>
  <c r="F3" i="448" a="1"/>
  <c r="A13" i="303" a="1"/>
  <c r="J5" i="620"/>
  <c r="I40" i="478"/>
  <c r="I41" i="478"/>
  <c r="S33" i="216"/>
  <c r="AC18" i="550"/>
  <c r="V18" i="550"/>
  <c r="D4" i="618"/>
  <c r="U30" i="216"/>
  <c r="J57" i="620"/>
  <c r="S34" i="216"/>
  <c r="G11" i="387"/>
  <c r="L16" i="620" a="1"/>
  <c r="I25" i="189"/>
  <c r="O23" i="210"/>
  <c r="J53" i="620"/>
  <c r="AC16" i="550"/>
  <c r="O13" i="472" a="1"/>
  <c r="H16" i="636"/>
  <c r="AC14" i="550"/>
  <c r="R33" i="216"/>
  <c r="K25" i="189"/>
  <c r="F12" i="576"/>
  <c r="Q20" i="215"/>
  <c r="AB36" i="290"/>
  <c r="I4" i="388"/>
  <c r="O22" i="210"/>
  <c r="H43" i="478" a="1"/>
  <c r="Q15" i="473"/>
  <c r="W9" i="387"/>
  <c r="K14" i="470" a="1"/>
  <c r="E64" i="462" a="1"/>
  <c r="H25" i="189"/>
  <c r="K19" i="499" a="1"/>
  <c r="O27" i="527" a="1"/>
  <c r="M30" i="86" a="1"/>
  <c r="J17" i="636"/>
  <c r="P19" i="617"/>
  <c r="F5" i="472" a="1"/>
  <c r="I17" i="619"/>
  <c r="F3" i="523" a="1"/>
  <c r="J7" i="620"/>
  <c r="L3" i="298" a="1"/>
  <c r="P4" i="617"/>
  <c r="AC19" i="550"/>
  <c r="AC23" i="550"/>
  <c r="AC17" i="550"/>
  <c r="S30" i="216"/>
  <c r="AK14" i="101"/>
  <c r="H7" i="388"/>
  <c r="AD24" i="290"/>
  <c r="J33" i="620"/>
  <c r="P5" i="635"/>
  <c r="F49" i="463" a="1"/>
  <c r="W11" i="616"/>
  <c r="Q8" i="473"/>
  <c r="S8" i="595"/>
  <c r="AL14" i="101"/>
  <c r="O14" i="636"/>
  <c r="F10" i="636"/>
  <c r="AD16" i="290"/>
  <c r="H8" i="618"/>
  <c r="E30" i="440" a="1"/>
  <c r="K4" i="341" a="1"/>
  <c r="P20" i="215"/>
  <c r="A3" i="531" a="1"/>
  <c r="E6" i="462" a="1"/>
  <c r="W9" i="616"/>
  <c r="W19" i="616"/>
  <c r="P18" i="215"/>
  <c r="N6" i="635"/>
  <c r="M4" i="341" a="1"/>
  <c r="G4" i="534" a="1"/>
  <c r="L36" i="584"/>
  <c r="P14" i="617"/>
  <c r="E5" i="470" a="1"/>
  <c r="I54" i="462" a="1"/>
  <c r="P28" i="478"/>
  <c r="R10" i="616"/>
  <c r="G12" i="511" a="1"/>
  <c r="AC6" i="550"/>
  <c r="O18" i="341" a="1"/>
  <c r="G13" i="522" a="1"/>
  <c r="W7" i="616"/>
  <c r="H4" i="388"/>
  <c r="AD29" i="290"/>
  <c r="I13" i="388"/>
  <c r="AJ13" i="440"/>
  <c r="AA24" i="447"/>
  <c r="O5" i="585" a="1"/>
  <c r="U31" i="216"/>
  <c r="J6" i="440"/>
  <c r="D6" i="618"/>
  <c r="E36" i="462" a="1"/>
  <c r="J58" i="620"/>
  <c r="N4" i="510" a="1"/>
  <c r="Y6" i="465" a="1"/>
  <c r="G10" i="388"/>
  <c r="H14" i="342"/>
  <c r="J13" i="618"/>
  <c r="S32" i="216"/>
  <c r="G40" i="440"/>
  <c r="U7" i="595"/>
  <c r="I25" i="476" a="1"/>
  <c r="K9" i="619"/>
  <c r="K56" i="479"/>
  <c r="Q4" i="341" a="1"/>
  <c r="G5" i="504" a="1"/>
  <c r="AC9" i="550"/>
  <c r="G15" i="342"/>
  <c r="I45" i="479"/>
  <c r="R4" i="616"/>
  <c r="H11" i="387"/>
  <c r="N12" i="577"/>
  <c r="R15" i="616"/>
  <c r="P8" i="635"/>
  <c r="H13" i="387"/>
  <c r="O40" i="442" a="1"/>
  <c r="H15" i="342"/>
  <c r="AC19" i="522" a="1"/>
  <c r="O4" i="473"/>
  <c r="AB18" i="467" a="1"/>
  <c r="H12" i="387"/>
  <c r="R5" i="616"/>
  <c r="G16" i="342"/>
  <c r="U9" i="387"/>
  <c r="J5" i="473"/>
  <c r="I26" i="189"/>
  <c r="H10" i="388"/>
  <c r="W15" i="616"/>
  <c r="AC13" i="550"/>
  <c r="C20" i="392"/>
  <c r="J39" i="584"/>
  <c r="W16" i="616"/>
  <c r="K4" i="470" a="1"/>
  <c r="I12" i="637"/>
  <c r="F9" i="342"/>
  <c r="G8" i="387"/>
  <c r="L35" i="584"/>
  <c r="H47" i="478" a="1"/>
  <c r="J4" i="620"/>
  <c r="H3" i="505" a="1"/>
  <c r="R17" i="616"/>
  <c r="R19" i="616"/>
  <c r="I16" i="619"/>
  <c r="D18" i="618"/>
  <c r="P4" i="635"/>
  <c r="H19" i="616" a="1"/>
  <c r="G5" i="387"/>
  <c r="O21" i="211"/>
  <c r="G11" i="388"/>
  <c r="G39" i="440"/>
  <c r="Q34" i="216"/>
  <c r="AD17" i="290"/>
  <c r="W18" i="616"/>
  <c r="C19" i="476" a="1"/>
  <c r="AT3" i="531" a="1"/>
  <c r="X7" i="388"/>
  <c r="E17" i="450" a="1"/>
  <c r="S8" i="454" a="1"/>
  <c r="E19" i="607" a="1"/>
  <c r="Y24" i="447"/>
  <c r="J6" i="576"/>
  <c r="F18" i="632"/>
  <c r="T24" i="447"/>
  <c r="F14" i="636"/>
  <c r="K9" i="341" a="1"/>
  <c r="J9" i="620"/>
  <c r="P13" i="617"/>
  <c r="X6" i="471" a="1"/>
  <c r="J31" i="584"/>
  <c r="N13" i="577"/>
  <c r="G13" i="527" a="1"/>
  <c r="J10" i="440"/>
  <c r="AJ3" i="531" a="1"/>
  <c r="S7" i="192"/>
  <c r="AF9" i="290" a="1"/>
  <c r="D15" i="618"/>
  <c r="A3" i="455" a="1"/>
  <c r="Q33" i="216"/>
  <c r="G13" i="518" a="1"/>
  <c r="AC24" i="447"/>
  <c r="T8" i="211" a="1"/>
  <c r="F28" i="463" a="1"/>
  <c r="Q10" i="473"/>
  <c r="F7" i="342"/>
  <c r="R19" i="215"/>
  <c r="G6" i="388"/>
  <c r="M18" i="636"/>
  <c r="U3" i="523" a="1"/>
  <c r="O23" i="211"/>
  <c r="O19" i="341"/>
  <c r="J12" i="576"/>
  <c r="K4" i="619"/>
  <c r="T31" i="216"/>
  <c r="R7" i="467" a="1"/>
  <c r="AE3" i="523" a="1"/>
  <c r="J19" i="440"/>
  <c r="A5" i="303" a="1"/>
  <c r="H29" i="465" a="1"/>
  <c r="J8" i="618"/>
  <c r="H22" i="467" a="1"/>
  <c r="AF3" i="590" a="1"/>
  <c r="AC21" i="550"/>
  <c r="U6" i="495" a="1"/>
  <c r="C19" i="392"/>
  <c r="J31" i="620"/>
  <c r="H9" i="387"/>
  <c r="P10" i="617"/>
  <c r="AO3" i="523" a="1"/>
  <c r="S6" i="193"/>
  <c r="K11" i="619"/>
  <c r="J34" i="584"/>
  <c r="J33" i="584"/>
  <c r="F3" i="531" a="1"/>
  <c r="AK6" i="251" a="1"/>
  <c r="S3" i="450" a="1"/>
  <c r="P9" i="635"/>
  <c r="P8" i="617"/>
  <c r="G28" i="522" a="1"/>
  <c r="J10" i="620"/>
  <c r="K26" i="107" a="1"/>
  <c r="G12" i="472" a="1"/>
  <c r="F10" i="450" a="1"/>
  <c r="I31" i="290"/>
  <c r="I7" i="388"/>
  <c r="E17" i="341" a="1"/>
  <c r="J14" i="440"/>
  <c r="J13" i="576"/>
  <c r="J41" i="584"/>
  <c r="N3" i="505" a="1"/>
  <c r="H52" i="479" a="1"/>
  <c r="AC10" i="550"/>
  <c r="V7" i="595"/>
  <c r="P17" i="617"/>
  <c r="G26" i="189"/>
  <c r="W3" i="616"/>
  <c r="V8" i="595"/>
  <c r="AH8" i="447"/>
  <c r="S15" i="619" a="1"/>
  <c r="AD26" i="290"/>
  <c r="D19" i="636"/>
  <c r="F15" i="342"/>
  <c r="K47" i="478"/>
  <c r="H26" i="189"/>
  <c r="K21" i="470" a="1"/>
  <c r="W7" i="584" a="1"/>
  <c r="Q22" i="215"/>
  <c r="F17" i="636"/>
  <c r="G11" i="504" a="1"/>
  <c r="I50" i="479"/>
  <c r="G8" i="388"/>
  <c r="F19" i="617" a="1"/>
  <c r="AI8" i="447"/>
  <c r="Y5" i="585" a="1"/>
  <c r="G5" i="303" a="1"/>
  <c r="G26" i="98" a="1"/>
  <c r="H14" i="636"/>
  <c r="H19" i="606" a="1"/>
  <c r="J15" i="440"/>
  <c r="Z4" i="510" a="1"/>
  <c r="M8" i="577" a="1"/>
  <c r="L6" i="473"/>
  <c r="J51" i="620"/>
  <c r="J7" i="576"/>
  <c r="F11" i="636"/>
  <c r="H22" i="465" a="1"/>
  <c r="U32" i="216"/>
  <c r="K20" i="472"/>
  <c r="H10" i="387"/>
  <c r="R31" i="216"/>
  <c r="P16" i="478"/>
  <c r="L5" i="530" a="1"/>
  <c r="E5" i="450" a="1"/>
  <c r="O12" i="474" a="1"/>
  <c r="G6" i="286"/>
  <c r="AD23" i="290"/>
  <c r="H4" i="510" a="1"/>
  <c r="Q21" i="211" a="1"/>
  <c r="J29" i="620"/>
  <c r="J7" i="440"/>
  <c r="H5" i="387"/>
  <c r="L4" i="473"/>
  <c r="AA4" i="467" a="1"/>
  <c r="K3" i="531" a="1"/>
  <c r="AN10" i="256"/>
  <c r="G18" i="472" a="1"/>
  <c r="AR6" i="302" a="1"/>
  <c r="T18" i="215"/>
  <c r="D3" i="618"/>
  <c r="Q6" i="473"/>
  <c r="D5" i="451" a="1"/>
  <c r="E4" i="341" a="1"/>
  <c r="J36" i="584"/>
  <c r="Q3" i="459" a="1"/>
  <c r="D10" i="618"/>
  <c r="R14" i="616"/>
  <c r="J34" i="620"/>
  <c r="I49" i="479"/>
  <c r="J22" i="440"/>
  <c r="P14" i="635"/>
  <c r="T4" i="510" a="1"/>
  <c r="J76" i="620"/>
  <c r="W5" i="616"/>
  <c r="J25" i="189"/>
  <c r="AC5" i="550"/>
  <c r="P38" i="462"/>
  <c r="Q31" i="216"/>
  <c r="AR15" i="302" a="1"/>
  <c r="AC7" i="550"/>
  <c r="J3" i="576"/>
  <c r="O46" i="418"/>
  <c r="F19" i="636"/>
  <c r="K19" i="472"/>
  <c r="R7" i="620"/>
  <c r="R8" i="616"/>
  <c r="G13" i="387"/>
  <c r="G28" i="467" a="1"/>
  <c r="J11" i="440"/>
  <c r="Q32" i="216"/>
  <c r="F40" i="442" a="1"/>
  <c r="T21" i="86" a="1"/>
  <c r="I10" i="388"/>
  <c r="R32" i="216"/>
  <c r="M5" i="584"/>
  <c r="AC11" i="550"/>
  <c r="H6" i="388"/>
  <c r="J40" i="584"/>
  <c r="P11" i="635"/>
  <c r="J9" i="440"/>
  <c r="F4" i="456" a="1"/>
  <c r="P5" i="617"/>
  <c r="T7" i="619"/>
  <c r="V9" i="387"/>
  <c r="G18" i="511" a="1"/>
  <c r="AA42" i="290" a="1"/>
  <c r="J52" i="620"/>
  <c r="AJ26" i="300" a="1"/>
  <c r="G20" i="515" a="1"/>
  <c r="O27" i="474" a="1"/>
  <c r="H13" i="515" a="1"/>
  <c r="Q3" i="458" a="1"/>
  <c r="N19" i="474" a="1"/>
  <c r="G12" i="387"/>
  <c r="F13" i="576"/>
  <c r="K52" i="479"/>
  <c r="AB19" i="522" a="1"/>
  <c r="D13" i="618"/>
  <c r="R30" i="216"/>
  <c r="P44" i="288"/>
  <c r="L3" i="473"/>
  <c r="R6" i="467" a="1"/>
  <c r="W14" i="616"/>
  <c r="J4" i="473"/>
  <c r="I15" i="388"/>
  <c r="Q15" i="620" a="1"/>
  <c r="J56" i="620"/>
  <c r="X6" i="465" a="1"/>
  <c r="W4" i="616"/>
  <c r="G10" i="387"/>
  <c r="AB35" i="290"/>
  <c r="AB24" i="447"/>
  <c r="T3" i="456" a="1"/>
  <c r="K10" i="619"/>
  <c r="D5" i="586" a="1"/>
  <c r="F4" i="450" a="1"/>
  <c r="AD19" i="290"/>
  <c r="H17" i="620"/>
  <c r="N28" i="522" a="1"/>
  <c r="G11" i="637"/>
  <c r="O13" i="636"/>
  <c r="I6" i="388"/>
  <c r="AI10" i="256"/>
  <c r="H11" i="388"/>
  <c r="I44" i="462" a="1"/>
  <c r="P10" i="635"/>
  <c r="S13" i="440"/>
  <c r="E5" i="597" a="1"/>
  <c r="G15" i="388"/>
  <c r="H56" i="479" a="1"/>
  <c r="G9" i="388"/>
  <c r="I12" i="388"/>
  <c r="I7" i="387"/>
  <c r="Q19" i="215"/>
  <c r="J11" i="620"/>
  <c r="J30" i="620"/>
  <c r="AD38" i="290"/>
  <c r="L20" i="530" a="1"/>
  <c r="N25" i="476" a="1"/>
  <c r="H9" i="388"/>
  <c r="C20" i="476" a="1"/>
  <c r="D9" i="618"/>
  <c r="J43" i="584"/>
  <c r="G23" i="388"/>
  <c r="N29" i="496"/>
  <c r="P19" i="215"/>
  <c r="I8" i="387"/>
  <c r="O7" i="473"/>
  <c r="W20" i="616"/>
  <c r="G27" i="189"/>
  <c r="AC15" i="550"/>
  <c r="P18" i="617"/>
  <c r="M25" i="387"/>
  <c r="C22" i="392"/>
  <c r="S8" i="193"/>
  <c r="P6" i="607" a="1"/>
  <c r="J8" i="440"/>
  <c r="I14" i="518" l="1"/>
  <c r="I15" i="518"/>
  <c r="J13" i="518"/>
  <c r="H15" i="518"/>
  <c r="G13" i="518"/>
  <c r="I16" i="518"/>
  <c r="H14" i="518"/>
  <c r="H16" i="518"/>
  <c r="J14" i="518"/>
  <c r="J16" i="518"/>
  <c r="H13" i="518"/>
  <c r="G15" i="518"/>
  <c r="G14" i="518"/>
  <c r="I13" i="518"/>
  <c r="J15" i="518"/>
  <c r="G16" i="518"/>
  <c r="F13" i="586"/>
  <c r="E11" i="586"/>
  <c r="E9" i="586"/>
  <c r="E10" i="586"/>
  <c r="F12" i="586"/>
  <c r="D6" i="586"/>
  <c r="D10" i="586"/>
  <c r="F5" i="586"/>
  <c r="F14" i="586"/>
  <c r="D7" i="586"/>
  <c r="D12" i="586"/>
  <c r="F8" i="586"/>
  <c r="F7" i="586"/>
  <c r="D15" i="586"/>
  <c r="D13" i="586"/>
  <c r="E6" i="586"/>
  <c r="F9" i="586"/>
  <c r="E7" i="586"/>
  <c r="E5" i="586"/>
  <c r="F10" i="586"/>
  <c r="D5" i="586"/>
  <c r="D14" i="586"/>
  <c r="D11" i="586"/>
  <c r="E14" i="586"/>
  <c r="D9" i="586"/>
  <c r="E13" i="586"/>
  <c r="E15" i="586"/>
  <c r="E12" i="586"/>
  <c r="F6" i="586"/>
  <c r="D8" i="586"/>
  <c r="F15" i="586"/>
  <c r="E8" i="586"/>
  <c r="F11" i="586"/>
  <c r="F14" i="528"/>
  <c r="F17" i="528"/>
  <c r="I16" i="528"/>
  <c r="I14" i="528"/>
  <c r="G15" i="528"/>
  <c r="I15" i="528"/>
  <c r="H16" i="528"/>
  <c r="H14" i="528"/>
  <c r="H18" i="528"/>
  <c r="H15" i="528"/>
  <c r="I18" i="528"/>
  <c r="G17" i="528"/>
  <c r="I17" i="528"/>
  <c r="F15" i="528"/>
  <c r="J16" i="528"/>
  <c r="J14" i="528"/>
  <c r="J17" i="528"/>
  <c r="J15" i="528"/>
  <c r="F16" i="528"/>
  <c r="G18" i="528"/>
  <c r="J18" i="528"/>
  <c r="G14" i="528"/>
  <c r="H17" i="528"/>
  <c r="G16" i="528"/>
  <c r="F18" i="528"/>
  <c r="I17" i="531"/>
  <c r="F9" i="531"/>
  <c r="I6" i="531"/>
  <c r="F15" i="531"/>
  <c r="F23" i="531"/>
  <c r="F11" i="531"/>
  <c r="I13" i="531"/>
  <c r="F6" i="531"/>
  <c r="I11" i="531"/>
  <c r="F12" i="531"/>
  <c r="G10" i="531"/>
  <c r="F10" i="531"/>
  <c r="G12" i="531"/>
  <c r="I3" i="531"/>
  <c r="G20" i="531"/>
  <c r="H23" i="531"/>
  <c r="H14" i="531"/>
  <c r="F4" i="531"/>
  <c r="G7" i="531"/>
  <c r="I14" i="531"/>
  <c r="H20" i="531"/>
  <c r="F14" i="531"/>
  <c r="F17" i="531"/>
  <c r="H3" i="531"/>
  <c r="I12" i="531"/>
  <c r="H4" i="531"/>
  <c r="G6" i="531"/>
  <c r="H18" i="531"/>
  <c r="H6" i="531"/>
  <c r="I16" i="531"/>
  <c r="F5" i="531"/>
  <c r="G9" i="531"/>
  <c r="I8" i="531"/>
  <c r="I20" i="531"/>
  <c r="G4" i="531"/>
  <c r="F22" i="531"/>
  <c r="H11" i="531"/>
  <c r="H13" i="531"/>
  <c r="G5" i="531"/>
  <c r="H22" i="531"/>
  <c r="F8" i="531"/>
  <c r="G13" i="531"/>
  <c r="F19" i="531"/>
  <c r="I19" i="531"/>
  <c r="G16" i="531"/>
  <c r="H17" i="531"/>
  <c r="H16" i="531"/>
  <c r="I5" i="531"/>
  <c r="F13" i="531"/>
  <c r="H5" i="531"/>
  <c r="I23" i="531"/>
  <c r="F18" i="531"/>
  <c r="F21" i="531"/>
  <c r="G15" i="531"/>
  <c r="G14" i="531"/>
  <c r="G11" i="531"/>
  <c r="H19" i="531"/>
  <c r="I9" i="531"/>
  <c r="H21" i="531"/>
  <c r="G22" i="531"/>
  <c r="H8" i="531"/>
  <c r="F3" i="531"/>
  <c r="G8" i="531"/>
  <c r="G17" i="531"/>
  <c r="F7" i="531"/>
  <c r="F16" i="531"/>
  <c r="G3" i="531"/>
  <c r="I18" i="531"/>
  <c r="H7" i="531"/>
  <c r="H12" i="531"/>
  <c r="I7" i="531"/>
  <c r="H10" i="531"/>
  <c r="G23" i="531"/>
  <c r="G21" i="531"/>
  <c r="I4" i="531"/>
  <c r="I22" i="531"/>
  <c r="G19" i="531"/>
  <c r="I21" i="531"/>
  <c r="I15" i="531"/>
  <c r="F20" i="531"/>
  <c r="G18" i="531"/>
  <c r="I10" i="531"/>
  <c r="H15" i="531"/>
  <c r="H9" i="531"/>
  <c r="Q6" i="607"/>
  <c r="P6" i="607"/>
  <c r="P11" i="607"/>
  <c r="Q12" i="607"/>
  <c r="Q11" i="607"/>
  <c r="Q8" i="607"/>
  <c r="Q10" i="607"/>
  <c r="Q9" i="607"/>
  <c r="P9" i="607"/>
  <c r="P8" i="607"/>
  <c r="P12" i="607"/>
  <c r="Q7" i="607"/>
  <c r="P10" i="607"/>
  <c r="P7" i="607"/>
  <c r="G14" i="527"/>
  <c r="I13" i="527"/>
  <c r="J13" i="527"/>
  <c r="I15" i="527"/>
  <c r="I14" i="527"/>
  <c r="G15" i="527"/>
  <c r="J15" i="527"/>
  <c r="H14" i="527"/>
  <c r="J14" i="527"/>
  <c r="H13" i="527"/>
  <c r="H16" i="527"/>
  <c r="H15" i="527"/>
  <c r="J16" i="527"/>
  <c r="I16" i="527"/>
  <c r="G16" i="527"/>
  <c r="G13" i="527"/>
  <c r="O40" i="442"/>
  <c r="O41" i="442"/>
  <c r="O42" i="442"/>
  <c r="P42" i="442"/>
  <c r="P40" i="442"/>
  <c r="P41" i="442"/>
  <c r="G31" i="467"/>
  <c r="N29" i="467"/>
  <c r="J31" i="467"/>
  <c r="I30" i="467"/>
  <c r="G30" i="467"/>
  <c r="H30" i="467"/>
  <c r="J28" i="467"/>
  <c r="H28" i="467"/>
  <c r="N31" i="467"/>
  <c r="L28" i="467"/>
  <c r="L29" i="467"/>
  <c r="K31" i="467"/>
  <c r="I29" i="467"/>
  <c r="M28" i="467"/>
  <c r="N28" i="467"/>
  <c r="G28" i="467"/>
  <c r="G29" i="467"/>
  <c r="J30" i="467"/>
  <c r="L31" i="467"/>
  <c r="K29" i="467"/>
  <c r="K30" i="467"/>
  <c r="H31" i="467"/>
  <c r="M31" i="467"/>
  <c r="K28" i="467"/>
  <c r="J29" i="467"/>
  <c r="M30" i="467"/>
  <c r="I31" i="467"/>
  <c r="L30" i="467"/>
  <c r="H29" i="467"/>
  <c r="I28" i="467"/>
  <c r="N30" i="467"/>
  <c r="M29" i="467"/>
  <c r="S67" i="458"/>
  <c r="Q76" i="458"/>
  <c r="S10" i="458"/>
  <c r="R80" i="458"/>
  <c r="Q50" i="458"/>
  <c r="R7" i="458"/>
  <c r="Q61" i="458"/>
  <c r="R12" i="458"/>
  <c r="S79" i="458"/>
  <c r="Q5" i="458"/>
  <c r="R37" i="458"/>
  <c r="S22" i="458"/>
  <c r="Q55" i="458"/>
  <c r="Q6" i="458"/>
  <c r="Q51" i="458"/>
  <c r="T52" i="458"/>
  <c r="T53" i="458"/>
  <c r="T98" i="458"/>
  <c r="R63" i="458"/>
  <c r="S64" i="458"/>
  <c r="Q72" i="458"/>
  <c r="R21" i="458"/>
  <c r="R62" i="458"/>
  <c r="R16" i="458"/>
  <c r="T30" i="458"/>
  <c r="S35" i="458"/>
  <c r="S52" i="458"/>
  <c r="S59" i="458"/>
  <c r="R18" i="458"/>
  <c r="Q44" i="458"/>
  <c r="S3" i="458"/>
  <c r="R15" i="458"/>
  <c r="T78" i="458"/>
  <c r="S29" i="458"/>
  <c r="Q12" i="458"/>
  <c r="Q47" i="458"/>
  <c r="Q16" i="458"/>
  <c r="T42" i="458"/>
  <c r="R36" i="458"/>
  <c r="R25" i="458"/>
  <c r="T75" i="458"/>
  <c r="Q92" i="458"/>
  <c r="Q15" i="458"/>
  <c r="T51" i="458"/>
  <c r="R79" i="458"/>
  <c r="T97" i="458"/>
  <c r="Q30" i="458"/>
  <c r="S93" i="458"/>
  <c r="R43" i="458"/>
  <c r="Q17" i="458"/>
  <c r="R67" i="458"/>
  <c r="Q20" i="458"/>
  <c r="T26" i="458"/>
  <c r="Q40" i="458"/>
  <c r="R97" i="458"/>
  <c r="T61" i="458"/>
  <c r="R5" i="458"/>
  <c r="Q22" i="458"/>
  <c r="T15" i="458"/>
  <c r="R84" i="458"/>
  <c r="S68" i="458"/>
  <c r="T37" i="458"/>
  <c r="S96" i="458"/>
  <c r="T64" i="458"/>
  <c r="S8" i="458"/>
  <c r="S15" i="458"/>
  <c r="T69" i="458"/>
  <c r="Q38" i="458"/>
  <c r="Q11" i="458"/>
  <c r="R9" i="458"/>
  <c r="T24" i="458"/>
  <c r="Q70" i="458"/>
  <c r="T28" i="458"/>
  <c r="S56" i="458"/>
  <c r="R64" i="458"/>
  <c r="S37" i="458"/>
  <c r="Q28" i="458"/>
  <c r="S28" i="458"/>
  <c r="S20" i="458"/>
  <c r="Q66" i="458"/>
  <c r="Q83" i="458"/>
  <c r="S41" i="458"/>
  <c r="S49" i="458"/>
  <c r="S51" i="458"/>
  <c r="S54" i="458"/>
  <c r="S82" i="458"/>
  <c r="S16" i="458"/>
  <c r="Q68" i="458"/>
  <c r="S45" i="458"/>
  <c r="R61" i="458"/>
  <c r="T67" i="458"/>
  <c r="R73" i="458"/>
  <c r="T40" i="458"/>
  <c r="R91" i="458"/>
  <c r="Q7" i="458"/>
  <c r="T65" i="458"/>
  <c r="T88" i="458"/>
  <c r="T34" i="458"/>
  <c r="R11" i="458"/>
  <c r="R39" i="458"/>
  <c r="S13" i="458"/>
  <c r="S88" i="458"/>
  <c r="Q31" i="458"/>
  <c r="T77" i="458"/>
  <c r="Q29" i="458"/>
  <c r="S66" i="458"/>
  <c r="Q88" i="458"/>
  <c r="R47" i="458"/>
  <c r="S26" i="458"/>
  <c r="S40" i="458"/>
  <c r="S31" i="458"/>
  <c r="Q24" i="458"/>
  <c r="S80" i="458"/>
  <c r="T39" i="458"/>
  <c r="Q95" i="458"/>
  <c r="T83" i="458"/>
  <c r="Q19" i="458"/>
  <c r="S11" i="458"/>
  <c r="Q59" i="458"/>
  <c r="S85" i="458"/>
  <c r="Q73" i="458"/>
  <c r="R17" i="458"/>
  <c r="T33" i="458"/>
  <c r="R85" i="458"/>
  <c r="S74" i="458"/>
  <c r="S76" i="458"/>
  <c r="S19" i="458"/>
  <c r="R68" i="458"/>
  <c r="T80" i="458"/>
  <c r="R87" i="458"/>
  <c r="Q98" i="458"/>
  <c r="R65" i="458"/>
  <c r="T57" i="458"/>
  <c r="Q62" i="458"/>
  <c r="T91" i="458"/>
  <c r="S30" i="458"/>
  <c r="Q58" i="458"/>
  <c r="R33" i="458"/>
  <c r="S23" i="458"/>
  <c r="R32" i="458"/>
  <c r="S34" i="458"/>
  <c r="R13" i="458"/>
  <c r="T41" i="458"/>
  <c r="T5" i="458"/>
  <c r="S61" i="458"/>
  <c r="T44" i="458"/>
  <c r="R52" i="458"/>
  <c r="T55" i="458"/>
  <c r="S84" i="458"/>
  <c r="Q93" i="458"/>
  <c r="Q82" i="458"/>
  <c r="R22" i="458"/>
  <c r="R3" i="458"/>
  <c r="T17" i="458"/>
  <c r="R76" i="458"/>
  <c r="T10" i="458"/>
  <c r="Q80" i="458"/>
  <c r="S36" i="458"/>
  <c r="T31" i="458"/>
  <c r="S95" i="458"/>
  <c r="S43" i="458"/>
  <c r="R57" i="458"/>
  <c r="R6" i="458"/>
  <c r="T11" i="458"/>
  <c r="S6" i="458"/>
  <c r="T63" i="458"/>
  <c r="S32" i="458"/>
  <c r="R77" i="458"/>
  <c r="Q86" i="458"/>
  <c r="T21" i="458"/>
  <c r="S14" i="458"/>
  <c r="R95" i="458"/>
  <c r="R14" i="458"/>
  <c r="S27" i="458"/>
  <c r="Q32" i="458"/>
  <c r="Q48" i="458"/>
  <c r="S73" i="458"/>
  <c r="T20" i="458"/>
  <c r="Q39" i="458"/>
  <c r="S71" i="458"/>
  <c r="S87" i="458"/>
  <c r="Q75" i="458"/>
  <c r="S77" i="458"/>
  <c r="Q87" i="458"/>
  <c r="T70" i="458"/>
  <c r="R81" i="458"/>
  <c r="T50" i="458"/>
  <c r="T60" i="458"/>
  <c r="Q49" i="458"/>
  <c r="R90" i="458"/>
  <c r="T38" i="458"/>
  <c r="S81" i="458"/>
  <c r="S53" i="458"/>
  <c r="R89" i="458"/>
  <c r="Q78" i="458"/>
  <c r="Q91" i="458"/>
  <c r="R44" i="458"/>
  <c r="S50" i="458"/>
  <c r="R51" i="458"/>
  <c r="Q41" i="458"/>
  <c r="R24" i="458"/>
  <c r="R72" i="458"/>
  <c r="R23" i="458"/>
  <c r="R60" i="458"/>
  <c r="Q13" i="458"/>
  <c r="Q23" i="458"/>
  <c r="Q54" i="458"/>
  <c r="T32" i="458"/>
  <c r="S89" i="458"/>
  <c r="T23" i="458"/>
  <c r="Q43" i="458"/>
  <c r="R38" i="458"/>
  <c r="R86" i="458"/>
  <c r="T4" i="458"/>
  <c r="R27" i="458"/>
  <c r="T79" i="458"/>
  <c r="Q71" i="458"/>
  <c r="R34" i="458"/>
  <c r="Q18" i="458"/>
  <c r="S33" i="458"/>
  <c r="S63" i="458"/>
  <c r="S44" i="458"/>
  <c r="S92" i="458"/>
  <c r="R69" i="458"/>
  <c r="R48" i="458"/>
  <c r="S9" i="458"/>
  <c r="Q77" i="458"/>
  <c r="Q37" i="458"/>
  <c r="R56" i="458"/>
  <c r="T68" i="458"/>
  <c r="Q46" i="458"/>
  <c r="R50" i="458"/>
  <c r="T12" i="458"/>
  <c r="R53" i="458"/>
  <c r="T9" i="458"/>
  <c r="T13" i="458"/>
  <c r="Q97" i="458"/>
  <c r="Q67" i="458"/>
  <c r="Q57" i="458"/>
  <c r="T76" i="458"/>
  <c r="R19" i="458"/>
  <c r="S7" i="458"/>
  <c r="S65" i="458"/>
  <c r="R82" i="458"/>
  <c r="R98" i="458"/>
  <c r="S17" i="458"/>
  <c r="T43" i="458"/>
  <c r="R58" i="458"/>
  <c r="Q89" i="458"/>
  <c r="T18" i="458"/>
  <c r="T8" i="458"/>
  <c r="T19" i="458"/>
  <c r="T85" i="458"/>
  <c r="T58" i="458"/>
  <c r="T46" i="458"/>
  <c r="Q33" i="458"/>
  <c r="Q45" i="458"/>
  <c r="Q10" i="458"/>
  <c r="Q8" i="458"/>
  <c r="T87" i="458"/>
  <c r="T92" i="458"/>
  <c r="T82" i="458"/>
  <c r="S47" i="458"/>
  <c r="Q74" i="458"/>
  <c r="T25" i="458"/>
  <c r="S98" i="458"/>
  <c r="Q94" i="458"/>
  <c r="T89" i="458"/>
  <c r="Q42" i="458"/>
  <c r="T94" i="458"/>
  <c r="S94" i="458"/>
  <c r="Q52" i="458"/>
  <c r="S12" i="458"/>
  <c r="S97" i="458"/>
  <c r="S4" i="458"/>
  <c r="T62" i="458"/>
  <c r="S78" i="458"/>
  <c r="Q96" i="458"/>
  <c r="T84" i="458"/>
  <c r="Q65" i="458"/>
  <c r="R40" i="458"/>
  <c r="S21" i="458"/>
  <c r="R49" i="458"/>
  <c r="S39" i="458"/>
  <c r="Q64" i="458"/>
  <c r="R54" i="458"/>
  <c r="T6" i="458"/>
  <c r="R41" i="458"/>
  <c r="S5" i="458"/>
  <c r="T16" i="458"/>
  <c r="R93" i="458"/>
  <c r="S75" i="458"/>
  <c r="R8" i="458"/>
  <c r="S83" i="458"/>
  <c r="T27" i="458"/>
  <c r="T29" i="458"/>
  <c r="R10" i="458"/>
  <c r="R96" i="458"/>
  <c r="Q79" i="458"/>
  <c r="T72" i="458"/>
  <c r="Q25" i="458"/>
  <c r="T86" i="458"/>
  <c r="R92" i="458"/>
  <c r="Q4" i="458"/>
  <c r="R75" i="458"/>
  <c r="S25" i="458"/>
  <c r="R29" i="458"/>
  <c r="S46" i="458"/>
  <c r="R20" i="458"/>
  <c r="R31" i="458"/>
  <c r="R45" i="458"/>
  <c r="Q35" i="458"/>
  <c r="R26" i="458"/>
  <c r="Q60" i="458"/>
  <c r="T47" i="458"/>
  <c r="T66" i="458"/>
  <c r="T90" i="458"/>
  <c r="T81" i="458"/>
  <c r="Q81" i="458"/>
  <c r="S60" i="458"/>
  <c r="S86" i="458"/>
  <c r="Q9" i="458"/>
  <c r="R35" i="458"/>
  <c r="Q53" i="458"/>
  <c r="T95" i="458"/>
  <c r="Q21" i="458"/>
  <c r="Q36" i="458"/>
  <c r="Q26" i="458"/>
  <c r="T36" i="458"/>
  <c r="T49" i="458"/>
  <c r="T22" i="458"/>
  <c r="T48" i="458"/>
  <c r="S48" i="458"/>
  <c r="T7" i="458"/>
  <c r="T54" i="458"/>
  <c r="S55" i="458"/>
  <c r="T3" i="458"/>
  <c r="R4" i="458"/>
  <c r="R55" i="458"/>
  <c r="R83" i="458"/>
  <c r="T73" i="458"/>
  <c r="Q34" i="458"/>
  <c r="T35" i="458"/>
  <c r="R46" i="458"/>
  <c r="Q14" i="458"/>
  <c r="T93" i="458"/>
  <c r="T45" i="458"/>
  <c r="S90" i="458"/>
  <c r="S58" i="458"/>
  <c r="R59" i="458"/>
  <c r="R42" i="458"/>
  <c r="T56" i="458"/>
  <c r="R30" i="458"/>
  <c r="Q85" i="458"/>
  <c r="Q90" i="458"/>
  <c r="T59" i="458"/>
  <c r="S91" i="458"/>
  <c r="S70" i="458"/>
  <c r="R74" i="458"/>
  <c r="T96" i="458"/>
  <c r="R71" i="458"/>
  <c r="S62" i="458"/>
  <c r="S24" i="458"/>
  <c r="R94" i="458"/>
  <c r="R66" i="458"/>
  <c r="S57" i="458"/>
  <c r="R70" i="458"/>
  <c r="Q27" i="458"/>
  <c r="S18" i="458"/>
  <c r="R88" i="458"/>
  <c r="Q69" i="458"/>
  <c r="R28" i="458"/>
  <c r="Q63" i="458"/>
  <c r="Q84" i="458"/>
  <c r="T14" i="458"/>
  <c r="S38" i="458"/>
  <c r="T71" i="458"/>
  <c r="Q56" i="458"/>
  <c r="S72" i="458"/>
  <c r="S42" i="458"/>
  <c r="R78" i="458"/>
  <c r="Q3" i="458"/>
  <c r="S69" i="458"/>
  <c r="T74" i="458"/>
  <c r="AE13" i="523"/>
  <c r="AH17" i="523"/>
  <c r="AE6" i="523"/>
  <c r="AG18" i="523"/>
  <c r="AE14" i="523"/>
  <c r="AF5" i="523"/>
  <c r="AF18" i="523"/>
  <c r="AG21" i="523"/>
  <c r="AF15" i="523"/>
  <c r="AG16" i="523"/>
  <c r="AE17" i="523"/>
  <c r="AH20" i="523"/>
  <c r="AF12" i="523"/>
  <c r="AG13" i="523"/>
  <c r="AF4" i="523"/>
  <c r="AH8" i="523"/>
  <c r="AF7" i="523"/>
  <c r="AF14" i="523"/>
  <c r="AG12" i="523"/>
  <c r="AF17" i="523"/>
  <c r="AF21" i="523"/>
  <c r="AH12" i="523"/>
  <c r="AH23" i="523"/>
  <c r="AE11" i="523"/>
  <c r="AH16" i="523"/>
  <c r="AG11" i="523"/>
  <c r="AE18" i="523"/>
  <c r="AF6" i="523"/>
  <c r="AE10" i="523"/>
  <c r="AG3" i="523"/>
  <c r="AF9" i="523"/>
  <c r="AH3" i="523"/>
  <c r="AG7" i="523"/>
  <c r="AH7" i="523"/>
  <c r="AH14" i="523"/>
  <c r="AE19" i="523"/>
  <c r="AH22" i="523"/>
  <c r="AG10" i="523"/>
  <c r="AH9" i="523"/>
  <c r="AE5" i="523"/>
  <c r="AG8" i="523"/>
  <c r="AE9" i="523"/>
  <c r="AF19" i="523"/>
  <c r="AE15" i="523"/>
  <c r="AF16" i="523"/>
  <c r="AG14" i="523"/>
  <c r="AF3" i="523"/>
  <c r="AF20" i="523"/>
  <c r="AF10" i="523"/>
  <c r="AF8" i="523"/>
  <c r="AG23" i="523"/>
  <c r="AE8" i="523"/>
  <c r="AE16" i="523"/>
  <c r="AG17" i="523"/>
  <c r="AH21" i="523"/>
  <c r="AE22" i="523"/>
  <c r="AE3" i="523"/>
  <c r="AG6" i="523"/>
  <c r="AE7" i="523"/>
  <c r="AG19" i="523"/>
  <c r="AE20" i="523"/>
  <c r="AH10" i="523"/>
  <c r="AH11" i="523"/>
  <c r="AG9" i="523"/>
  <c r="AF23" i="523"/>
  <c r="AH6" i="523"/>
  <c r="AG20" i="523"/>
  <c r="AH5" i="523"/>
  <c r="AE21" i="523"/>
  <c r="AH15" i="523"/>
  <c r="AE4" i="523"/>
  <c r="AG5" i="523"/>
  <c r="AE23" i="523"/>
  <c r="AF13" i="523"/>
  <c r="AF22" i="523"/>
  <c r="AH4" i="523"/>
  <c r="AH13" i="523"/>
  <c r="AG4" i="523"/>
  <c r="AH18" i="523"/>
  <c r="AG22" i="523"/>
  <c r="AG15" i="523"/>
  <c r="AE12" i="523"/>
  <c r="AH19" i="523"/>
  <c r="AF11" i="523"/>
  <c r="F14" i="341"/>
  <c r="E10" i="341"/>
  <c r="G7" i="341"/>
  <c r="G9" i="341"/>
  <c r="G6" i="341"/>
  <c r="F13" i="341"/>
  <c r="F10" i="341"/>
  <c r="F6" i="341"/>
  <c r="G5" i="341"/>
  <c r="F8" i="341"/>
  <c r="F4" i="341"/>
  <c r="F12" i="341"/>
  <c r="G4" i="341"/>
  <c r="F7" i="341"/>
  <c r="E13" i="341"/>
  <c r="E7" i="341"/>
  <c r="G10" i="341"/>
  <c r="F11" i="341"/>
  <c r="E5" i="341"/>
  <c r="G13" i="341"/>
  <c r="E8" i="341"/>
  <c r="G14" i="341"/>
  <c r="E11" i="341"/>
  <c r="F9" i="341"/>
  <c r="E4" i="341"/>
  <c r="G12" i="341"/>
  <c r="G8" i="341"/>
  <c r="E6" i="341"/>
  <c r="E9" i="341"/>
  <c r="F5" i="341"/>
  <c r="E14" i="341"/>
  <c r="G11" i="341"/>
  <c r="E12" i="341"/>
  <c r="G7" i="456"/>
  <c r="G6" i="456"/>
  <c r="J29" i="522"/>
  <c r="J28" i="522"/>
  <c r="J31" i="522"/>
  <c r="G29" i="522"/>
  <c r="I30" i="522"/>
  <c r="H31" i="522"/>
  <c r="G28" i="522"/>
  <c r="I28" i="522"/>
  <c r="J30" i="522"/>
  <c r="H30" i="522"/>
  <c r="I31" i="522"/>
  <c r="G30" i="522"/>
  <c r="H28" i="522"/>
  <c r="G31" i="522"/>
  <c r="I29" i="522"/>
  <c r="H29" i="522"/>
  <c r="T7" i="467"/>
  <c r="S7" i="467"/>
  <c r="R7" i="467"/>
  <c r="D13" i="451"/>
  <c r="F7" i="451"/>
  <c r="E5" i="451"/>
  <c r="E10" i="451"/>
  <c r="G11" i="451"/>
  <c r="E11" i="451"/>
  <c r="G6" i="451"/>
  <c r="D8" i="451"/>
  <c r="G9" i="451"/>
  <c r="D6" i="451"/>
  <c r="E9" i="451"/>
  <c r="D9" i="451"/>
  <c r="F8" i="451"/>
  <c r="F12" i="451"/>
  <c r="G12" i="451"/>
  <c r="F10" i="451"/>
  <c r="E12" i="451"/>
  <c r="D5" i="451"/>
  <c r="F11" i="451"/>
  <c r="G7" i="451"/>
  <c r="D10" i="451"/>
  <c r="E6" i="451"/>
  <c r="F6" i="451"/>
  <c r="D11" i="451"/>
  <c r="E7" i="451"/>
  <c r="G8" i="451"/>
  <c r="F5" i="451"/>
  <c r="D12" i="451"/>
  <c r="F13" i="451"/>
  <c r="D7" i="451"/>
  <c r="G13" i="451"/>
  <c r="G5" i="451"/>
  <c r="E8" i="451"/>
  <c r="F9" i="451"/>
  <c r="E13" i="451"/>
  <c r="G10" i="451"/>
  <c r="S9" i="454"/>
  <c r="S8" i="454"/>
  <c r="H6" i="607"/>
  <c r="H7" i="607"/>
  <c r="G6" i="607"/>
  <c r="G7" i="607"/>
  <c r="I13" i="515"/>
  <c r="K16" i="515"/>
  <c r="J15" i="515"/>
  <c r="K15" i="515"/>
  <c r="K14" i="515"/>
  <c r="H16" i="515"/>
  <c r="J13" i="515"/>
  <c r="J16" i="515"/>
  <c r="K13" i="515"/>
  <c r="H14" i="515"/>
  <c r="I15" i="515"/>
  <c r="I16" i="515"/>
  <c r="J14" i="515"/>
  <c r="I14" i="515"/>
  <c r="H15" i="515"/>
  <c r="H13" i="515"/>
  <c r="H38" i="467"/>
  <c r="N38" i="467"/>
  <c r="N37" i="467"/>
  <c r="H35" i="467"/>
  <c r="K38" i="467"/>
  <c r="G36" i="467"/>
  <c r="J37" i="467"/>
  <c r="K35" i="467"/>
  <c r="I35" i="467"/>
  <c r="L36" i="467"/>
  <c r="K36" i="467"/>
  <c r="I37" i="467"/>
  <c r="J38" i="467"/>
  <c r="H36" i="467"/>
  <c r="M38" i="467"/>
  <c r="J36" i="467"/>
  <c r="M37" i="467"/>
  <c r="G35" i="467"/>
  <c r="M35" i="467"/>
  <c r="H37" i="467"/>
  <c r="L35" i="467"/>
  <c r="J35" i="467"/>
  <c r="G37" i="467"/>
  <c r="G38" i="467"/>
  <c r="I36" i="467"/>
  <c r="K37" i="467"/>
  <c r="N36" i="467"/>
  <c r="L38" i="467"/>
  <c r="M36" i="467"/>
  <c r="L37" i="467"/>
  <c r="N35" i="467"/>
  <c r="I38" i="467"/>
  <c r="S15" i="619"/>
  <c r="V15" i="619"/>
  <c r="U15" i="619"/>
  <c r="T15" i="619"/>
  <c r="X7" i="471"/>
  <c r="X8" i="471"/>
  <c r="Y7" i="471"/>
  <c r="Y8" i="471"/>
  <c r="X6" i="471"/>
  <c r="Y6" i="471"/>
  <c r="A55" i="455"/>
  <c r="D5" i="455"/>
  <c r="D87" i="455"/>
  <c r="D94" i="455"/>
  <c r="C97" i="455"/>
  <c r="C69" i="455"/>
  <c r="A93" i="455"/>
  <c r="C49" i="455"/>
  <c r="D36" i="455"/>
  <c r="B46" i="455"/>
  <c r="C34" i="455"/>
  <c r="D9" i="455"/>
  <c r="D44" i="455"/>
  <c r="A23" i="455"/>
  <c r="A86" i="455"/>
  <c r="D38" i="455"/>
  <c r="B43" i="455"/>
  <c r="B3" i="455"/>
  <c r="B14" i="455"/>
  <c r="B94" i="455"/>
  <c r="B80" i="455"/>
  <c r="A29" i="455"/>
  <c r="A15" i="455"/>
  <c r="C43" i="455"/>
  <c r="B57" i="455"/>
  <c r="B95" i="455"/>
  <c r="D63" i="455"/>
  <c r="A76" i="455"/>
  <c r="B5" i="455"/>
  <c r="A87" i="455"/>
  <c r="C27" i="455"/>
  <c r="D90" i="455"/>
  <c r="B7" i="455"/>
  <c r="A77" i="455"/>
  <c r="A53" i="455"/>
  <c r="B54" i="455"/>
  <c r="C61" i="455"/>
  <c r="A81" i="455"/>
  <c r="D8" i="455"/>
  <c r="D29" i="455"/>
  <c r="A83" i="455"/>
  <c r="A30" i="455"/>
  <c r="B93" i="455"/>
  <c r="A67" i="455"/>
  <c r="B22" i="455"/>
  <c r="B6" i="455"/>
  <c r="C22" i="455"/>
  <c r="B73" i="455"/>
  <c r="B90" i="455"/>
  <c r="B34" i="455"/>
  <c r="A18" i="455"/>
  <c r="B71" i="455"/>
  <c r="A40" i="455"/>
  <c r="B17" i="455"/>
  <c r="A69" i="455"/>
  <c r="B63" i="455"/>
  <c r="A32" i="455"/>
  <c r="C94" i="455"/>
  <c r="C53" i="455"/>
  <c r="C56" i="455"/>
  <c r="B74" i="455"/>
  <c r="A26" i="455"/>
  <c r="C63" i="455"/>
  <c r="A73" i="455"/>
  <c r="B36" i="455"/>
  <c r="A20" i="455"/>
  <c r="A89" i="455"/>
  <c r="D52" i="455"/>
  <c r="C31" i="455"/>
  <c r="D31" i="455"/>
  <c r="C57" i="455"/>
  <c r="A35" i="455"/>
  <c r="C79" i="455"/>
  <c r="C86" i="455"/>
  <c r="A98" i="455"/>
  <c r="A59" i="455"/>
  <c r="C91" i="455"/>
  <c r="C98" i="455"/>
  <c r="A16" i="455"/>
  <c r="D76" i="455"/>
  <c r="D67" i="455"/>
  <c r="B67" i="455"/>
  <c r="A91" i="455"/>
  <c r="C10" i="455"/>
  <c r="B39" i="455"/>
  <c r="C13" i="455"/>
  <c r="B38" i="455"/>
  <c r="C96" i="455"/>
  <c r="D46" i="455"/>
  <c r="D98" i="455"/>
  <c r="D56" i="455"/>
  <c r="A14" i="455"/>
  <c r="D11" i="455"/>
  <c r="C40" i="455"/>
  <c r="B48" i="455"/>
  <c r="B55" i="455"/>
  <c r="B81" i="455"/>
  <c r="A45" i="455"/>
  <c r="B18" i="455"/>
  <c r="C55" i="455"/>
  <c r="C24" i="455"/>
  <c r="D18" i="455"/>
  <c r="A84" i="455"/>
  <c r="D93" i="455"/>
  <c r="B25" i="455"/>
  <c r="D41" i="455"/>
  <c r="D49" i="455"/>
  <c r="B29" i="455"/>
  <c r="B65" i="455"/>
  <c r="D25" i="455"/>
  <c r="C26" i="455"/>
  <c r="D72" i="455"/>
  <c r="D97" i="455"/>
  <c r="D74" i="455"/>
  <c r="B30" i="455"/>
  <c r="A21" i="455"/>
  <c r="A57" i="455"/>
  <c r="B51" i="455"/>
  <c r="C11" i="455"/>
  <c r="D40" i="455"/>
  <c r="B78" i="455"/>
  <c r="C7" i="455"/>
  <c r="C47" i="455"/>
  <c r="D96" i="455"/>
  <c r="C29" i="455"/>
  <c r="A51" i="455"/>
  <c r="D95" i="455"/>
  <c r="C54" i="455"/>
  <c r="B53" i="455"/>
  <c r="C58" i="455"/>
  <c r="C87" i="455"/>
  <c r="C84" i="455"/>
  <c r="D51" i="455"/>
  <c r="C39" i="455"/>
  <c r="B69" i="455"/>
  <c r="B68" i="455"/>
  <c r="A50" i="455"/>
  <c r="C33" i="455"/>
  <c r="A49" i="455"/>
  <c r="C62" i="455"/>
  <c r="A11" i="455"/>
  <c r="A80" i="455"/>
  <c r="B27" i="455"/>
  <c r="B45" i="455"/>
  <c r="A8" i="455"/>
  <c r="A88" i="455"/>
  <c r="C42" i="455"/>
  <c r="D15" i="455"/>
  <c r="A63" i="455"/>
  <c r="A47" i="455"/>
  <c r="D22" i="455"/>
  <c r="C41" i="455"/>
  <c r="B89" i="455"/>
  <c r="D64" i="455"/>
  <c r="A54" i="455"/>
  <c r="C77" i="455"/>
  <c r="A24" i="455"/>
  <c r="C95" i="455"/>
  <c r="D53" i="455"/>
  <c r="D81" i="455"/>
  <c r="B33" i="455"/>
  <c r="C21" i="455"/>
  <c r="A41" i="455"/>
  <c r="B12" i="455"/>
  <c r="A48" i="455"/>
  <c r="C3" i="455"/>
  <c r="B31" i="455"/>
  <c r="D78" i="455"/>
  <c r="D7" i="455"/>
  <c r="B82" i="455"/>
  <c r="D83" i="455"/>
  <c r="B16" i="455"/>
  <c r="D84" i="455"/>
  <c r="A7" i="455"/>
  <c r="D55" i="455"/>
  <c r="A72" i="455"/>
  <c r="D10" i="455"/>
  <c r="A28" i="455"/>
  <c r="D4" i="455"/>
  <c r="C46" i="455"/>
  <c r="C83" i="455"/>
  <c r="A65" i="455"/>
  <c r="A31" i="455"/>
  <c r="B9" i="455"/>
  <c r="D13" i="455"/>
  <c r="D61" i="455"/>
  <c r="B75" i="455"/>
  <c r="A12" i="455"/>
  <c r="B86" i="455"/>
  <c r="C12" i="455"/>
  <c r="A3" i="455"/>
  <c r="A58" i="455"/>
  <c r="A90" i="455"/>
  <c r="A27" i="455"/>
  <c r="D23" i="455"/>
  <c r="A74" i="455"/>
  <c r="C35" i="455"/>
  <c r="B19" i="455"/>
  <c r="A70" i="455"/>
  <c r="A79" i="455"/>
  <c r="A22" i="455"/>
  <c r="A25" i="455"/>
  <c r="A85" i="455"/>
  <c r="A33" i="455"/>
  <c r="C75" i="455"/>
  <c r="B79" i="455"/>
  <c r="D60" i="455"/>
  <c r="D6" i="455"/>
  <c r="B11" i="455"/>
  <c r="B77" i="455"/>
  <c r="A92" i="455"/>
  <c r="D88" i="455"/>
  <c r="D79" i="455"/>
  <c r="A75" i="455"/>
  <c r="B61" i="455"/>
  <c r="D82" i="455"/>
  <c r="C60" i="455"/>
  <c r="B13" i="455"/>
  <c r="D91" i="455"/>
  <c r="A10" i="455"/>
  <c r="A95" i="455"/>
  <c r="C17" i="455"/>
  <c r="A78" i="455"/>
  <c r="B72" i="455"/>
  <c r="A37" i="455"/>
  <c r="C73" i="455"/>
  <c r="D20" i="455"/>
  <c r="D80" i="455"/>
  <c r="C36" i="455"/>
  <c r="D24" i="455"/>
  <c r="B20" i="455"/>
  <c r="A46" i="455"/>
  <c r="A52" i="455"/>
  <c r="C81" i="455"/>
  <c r="C68" i="455"/>
  <c r="C48" i="455"/>
  <c r="D71" i="455"/>
  <c r="A42" i="455"/>
  <c r="A6" i="455"/>
  <c r="D85" i="455"/>
  <c r="B10" i="455"/>
  <c r="D69" i="455"/>
  <c r="B97" i="455"/>
  <c r="C5" i="455"/>
  <c r="D26" i="455"/>
  <c r="D17" i="455"/>
  <c r="D59" i="455"/>
  <c r="D32" i="455"/>
  <c r="B58" i="455"/>
  <c r="B4" i="455"/>
  <c r="C15" i="455"/>
  <c r="C30" i="455"/>
  <c r="B96" i="455"/>
  <c r="C89" i="455"/>
  <c r="A94" i="455"/>
  <c r="C92" i="455"/>
  <c r="D21" i="455"/>
  <c r="C6" i="455"/>
  <c r="A96" i="455"/>
  <c r="D34" i="455"/>
  <c r="C28" i="455"/>
  <c r="B26" i="455"/>
  <c r="B8" i="455"/>
  <c r="C82" i="455"/>
  <c r="D68" i="455"/>
  <c r="C18" i="455"/>
  <c r="B76" i="455"/>
  <c r="D89" i="455"/>
  <c r="D70" i="455"/>
  <c r="D62" i="455"/>
  <c r="A68" i="455"/>
  <c r="C65" i="455"/>
  <c r="D14" i="455"/>
  <c r="D86" i="455"/>
  <c r="C14" i="455"/>
  <c r="B88" i="455"/>
  <c r="C45" i="455"/>
  <c r="C85" i="455"/>
  <c r="A9" i="455"/>
  <c r="B66" i="455"/>
  <c r="B60" i="455"/>
  <c r="D57" i="455"/>
  <c r="B84" i="455"/>
  <c r="B41" i="455"/>
  <c r="D47" i="455"/>
  <c r="D66" i="455"/>
  <c r="D37" i="455"/>
  <c r="C4" i="455"/>
  <c r="D65" i="455"/>
  <c r="C20" i="455"/>
  <c r="A64" i="455"/>
  <c r="B37" i="455"/>
  <c r="C78" i="455"/>
  <c r="C72" i="455"/>
  <c r="C50" i="455"/>
  <c r="D42" i="455"/>
  <c r="B42" i="455"/>
  <c r="C52" i="455"/>
  <c r="B87" i="455"/>
  <c r="C8" i="455"/>
  <c r="A38" i="455"/>
  <c r="C37" i="455"/>
  <c r="B35" i="455"/>
  <c r="D58" i="455"/>
  <c r="D16" i="455"/>
  <c r="C64" i="455"/>
  <c r="C16" i="455"/>
  <c r="A17" i="455"/>
  <c r="C74" i="455"/>
  <c r="B44" i="455"/>
  <c r="B15" i="455"/>
  <c r="C80" i="455"/>
  <c r="B47" i="455"/>
  <c r="A5" i="455"/>
  <c r="A66" i="455"/>
  <c r="D39" i="455"/>
  <c r="C19" i="455"/>
  <c r="B50" i="455"/>
  <c r="C51" i="455"/>
  <c r="D27" i="455"/>
  <c r="C93" i="455"/>
  <c r="C23" i="455"/>
  <c r="B52" i="455"/>
  <c r="B83" i="455"/>
  <c r="A60" i="455"/>
  <c r="C76" i="455"/>
  <c r="D30" i="455"/>
  <c r="C70" i="455"/>
  <c r="D19" i="455"/>
  <c r="C44" i="455"/>
  <c r="A13" i="455"/>
  <c r="D92" i="455"/>
  <c r="D35" i="455"/>
  <c r="B92" i="455"/>
  <c r="C67" i="455"/>
  <c r="C59" i="455"/>
  <c r="A39" i="455"/>
  <c r="B56" i="455"/>
  <c r="B98" i="455"/>
  <c r="D12" i="455"/>
  <c r="D33" i="455"/>
  <c r="D45" i="455"/>
  <c r="B49" i="455"/>
  <c r="C9" i="455"/>
  <c r="B64" i="455"/>
  <c r="B21" i="455"/>
  <c r="D73" i="455"/>
  <c r="B62" i="455"/>
  <c r="D43" i="455"/>
  <c r="A71" i="455"/>
  <c r="C66" i="455"/>
  <c r="C25" i="455"/>
  <c r="C32" i="455"/>
  <c r="B59" i="455"/>
  <c r="A61" i="455"/>
  <c r="B32" i="455"/>
  <c r="A43" i="455"/>
  <c r="C71" i="455"/>
  <c r="B24" i="455"/>
  <c r="B23" i="455"/>
  <c r="B85" i="455"/>
  <c r="A4" i="455"/>
  <c r="A62" i="455"/>
  <c r="C88" i="455"/>
  <c r="A34" i="455"/>
  <c r="C90" i="455"/>
  <c r="D50" i="455"/>
  <c r="A19" i="455"/>
  <c r="D75" i="455"/>
  <c r="A97" i="455"/>
  <c r="A36" i="455"/>
  <c r="B70" i="455"/>
  <c r="D28" i="455"/>
  <c r="B91" i="455"/>
  <c r="D48" i="455"/>
  <c r="D3" i="455"/>
  <c r="B40" i="455"/>
  <c r="C38" i="455"/>
  <c r="D54" i="455"/>
  <c r="A56" i="455"/>
  <c r="B28" i="455"/>
  <c r="A44" i="455"/>
  <c r="D77" i="455"/>
  <c r="A82" i="455"/>
  <c r="I57" i="479"/>
  <c r="H56" i="479"/>
  <c r="I56" i="479"/>
  <c r="I58" i="479"/>
  <c r="H58" i="479"/>
  <c r="H57" i="479"/>
  <c r="Q4" i="454"/>
  <c r="Q5" i="454"/>
  <c r="V12" i="585"/>
  <c r="T12" i="585"/>
  <c r="W12" i="585"/>
  <c r="U12" i="585"/>
  <c r="R9" i="620"/>
  <c r="R10" i="620" s="1"/>
  <c r="K23" i="470"/>
  <c r="K22" i="470"/>
  <c r="L23" i="470"/>
  <c r="M22" i="470"/>
  <c r="K21" i="470"/>
  <c r="L21" i="470"/>
  <c r="L22" i="470"/>
  <c r="M23" i="470"/>
  <c r="L24" i="470"/>
  <c r="K24" i="470"/>
  <c r="M21" i="470"/>
  <c r="M24" i="470"/>
  <c r="H14" i="472"/>
  <c r="I12" i="472"/>
  <c r="J14" i="472"/>
  <c r="J12" i="472"/>
  <c r="L12" i="472"/>
  <c r="M13" i="472"/>
  <c r="K13" i="472"/>
  <c r="G12" i="472"/>
  <c r="J13" i="472"/>
  <c r="L13" i="472"/>
  <c r="I14" i="472"/>
  <c r="I13" i="472"/>
  <c r="G13" i="472"/>
  <c r="L14" i="472"/>
  <c r="K12" i="472"/>
  <c r="H12" i="472"/>
  <c r="M12" i="472"/>
  <c r="G14" i="472"/>
  <c r="K14" i="472"/>
  <c r="M14" i="472"/>
  <c r="H13" i="472"/>
  <c r="T10" i="456"/>
  <c r="X10" i="456"/>
  <c r="U4" i="456"/>
  <c r="U6" i="456"/>
  <c r="Y5" i="456"/>
  <c r="X12" i="456"/>
  <c r="W6" i="456"/>
  <c r="Y9" i="456"/>
  <c r="U8" i="456"/>
  <c r="V9" i="456"/>
  <c r="Y8" i="456"/>
  <c r="W8" i="456"/>
  <c r="Y4" i="456"/>
  <c r="V6" i="456"/>
  <c r="V11" i="456"/>
  <c r="Y13" i="456"/>
  <c r="W11" i="456"/>
  <c r="T12" i="456"/>
  <c r="T7" i="456"/>
  <c r="T11" i="456"/>
  <c r="X14" i="456"/>
  <c r="X5" i="456"/>
  <c r="W13" i="456"/>
  <c r="Y12" i="456"/>
  <c r="U13" i="456"/>
  <c r="T5" i="456"/>
  <c r="T6" i="456"/>
  <c r="V4" i="456"/>
  <c r="Y7" i="456"/>
  <c r="Y10" i="456"/>
  <c r="W9" i="456"/>
  <c r="V3" i="456"/>
  <c r="W7" i="456"/>
  <c r="X13" i="456"/>
  <c r="T3" i="456"/>
  <c r="X4" i="456"/>
  <c r="T14" i="456"/>
  <c r="T13" i="456"/>
  <c r="U3" i="456"/>
  <c r="T8" i="456"/>
  <c r="X6" i="456"/>
  <c r="V5" i="456"/>
  <c r="V13" i="456"/>
  <c r="V12" i="456"/>
  <c r="U5" i="456"/>
  <c r="W4" i="456"/>
  <c r="W14" i="456"/>
  <c r="V8" i="456"/>
  <c r="U10" i="456"/>
  <c r="U9" i="456"/>
  <c r="T4" i="456"/>
  <c r="W10" i="456"/>
  <c r="U14" i="456"/>
  <c r="U11" i="456"/>
  <c r="W5" i="456"/>
  <c r="V10" i="456"/>
  <c r="Y14" i="456"/>
  <c r="W3" i="456"/>
  <c r="X7" i="456"/>
  <c r="V7" i="456"/>
  <c r="X3" i="456"/>
  <c r="Y11" i="456"/>
  <c r="X11" i="456"/>
  <c r="W12" i="456"/>
  <c r="X8" i="456"/>
  <c r="U12" i="456"/>
  <c r="X9" i="456"/>
  <c r="U7" i="456"/>
  <c r="Y3" i="456"/>
  <c r="Y6" i="456"/>
  <c r="V14" i="456"/>
  <c r="T9" i="456"/>
  <c r="AT37" i="302"/>
  <c r="AS33" i="302"/>
  <c r="AU37" i="302"/>
  <c r="AU34" i="302"/>
  <c r="AT34" i="302"/>
  <c r="AT36" i="302"/>
  <c r="AV33" i="302"/>
  <c r="AR34" i="302"/>
  <c r="AV37" i="302"/>
  <c r="AT35" i="302"/>
  <c r="AS35" i="302"/>
  <c r="AT33" i="302"/>
  <c r="AS34" i="302"/>
  <c r="AU35" i="302"/>
  <c r="AV36" i="302"/>
  <c r="AS37" i="302"/>
  <c r="AR36" i="302"/>
  <c r="AV35" i="302"/>
  <c r="AR33" i="302"/>
  <c r="AU36" i="302"/>
  <c r="AS36" i="302"/>
  <c r="AU33" i="302"/>
  <c r="AR37" i="302"/>
  <c r="AV34" i="302"/>
  <c r="AR35" i="302"/>
  <c r="F4" i="450"/>
  <c r="G4" i="450"/>
  <c r="H4" i="450"/>
  <c r="P27" i="474"/>
  <c r="P30" i="474"/>
  <c r="P29" i="474"/>
  <c r="O28" i="474"/>
  <c r="O30" i="474"/>
  <c r="P28" i="474"/>
  <c r="O29" i="474"/>
  <c r="O27" i="474"/>
  <c r="J19" i="499"/>
  <c r="J20" i="499"/>
  <c r="AT9" i="302"/>
  <c r="AS9" i="302"/>
  <c r="AT10" i="302"/>
  <c r="AS10" i="302"/>
  <c r="AU7" i="302"/>
  <c r="AU6" i="302"/>
  <c r="AR10" i="302"/>
  <c r="AS6" i="302"/>
  <c r="AR6" i="302"/>
  <c r="AR7" i="302"/>
  <c r="AV9" i="302"/>
  <c r="AR9" i="302"/>
  <c r="AT8" i="302"/>
  <c r="AT7" i="302"/>
  <c r="AU10" i="302"/>
  <c r="AU9" i="302"/>
  <c r="AR8" i="302"/>
  <c r="AV8" i="302"/>
  <c r="AT6" i="302"/>
  <c r="AS7" i="302"/>
  <c r="AV10" i="302"/>
  <c r="AU8" i="302"/>
  <c r="AV7" i="302"/>
  <c r="AV6" i="302"/>
  <c r="AS8" i="302"/>
  <c r="E17" i="450"/>
  <c r="E18" i="450"/>
  <c r="L45" i="462"/>
  <c r="J47" i="462"/>
  <c r="I48" i="462"/>
  <c r="I49" i="462"/>
  <c r="K45" i="462"/>
  <c r="K44" i="462"/>
  <c r="L49" i="462"/>
  <c r="L47" i="462"/>
  <c r="J45" i="462"/>
  <c r="K49" i="462"/>
  <c r="I44" i="462"/>
  <c r="J49" i="462"/>
  <c r="L48" i="462"/>
  <c r="K46" i="462"/>
  <c r="J48" i="462"/>
  <c r="I47" i="462"/>
  <c r="L46" i="462"/>
  <c r="I45" i="462"/>
  <c r="J46" i="462"/>
  <c r="I46" i="462"/>
  <c r="J44" i="462"/>
  <c r="L44" i="462"/>
  <c r="K48" i="462"/>
  <c r="K47" i="462"/>
  <c r="K9" i="341"/>
  <c r="K10" i="341"/>
  <c r="K11" i="341"/>
  <c r="G17" i="341"/>
  <c r="E17" i="341"/>
  <c r="E19" i="341"/>
  <c r="F17" i="341"/>
  <c r="G19" i="341"/>
  <c r="F18" i="341"/>
  <c r="E18" i="341"/>
  <c r="F19" i="341"/>
  <c r="G18" i="341"/>
  <c r="J6" i="529"/>
  <c r="J7" i="529"/>
  <c r="G6" i="529"/>
  <c r="I6" i="529"/>
  <c r="F9" i="529"/>
  <c r="F8" i="529"/>
  <c r="J10" i="529"/>
  <c r="I9" i="529"/>
  <c r="I5" i="529"/>
  <c r="H5" i="529"/>
  <c r="J9" i="529"/>
  <c r="G7" i="529"/>
  <c r="F5" i="529"/>
  <c r="I8" i="529"/>
  <c r="J5" i="529"/>
  <c r="G10" i="529"/>
  <c r="I10" i="529"/>
  <c r="I7" i="529"/>
  <c r="F6" i="529"/>
  <c r="G9" i="529"/>
  <c r="F10" i="529"/>
  <c r="H8" i="529"/>
  <c r="G5" i="529"/>
  <c r="H9" i="529"/>
  <c r="H7" i="529"/>
  <c r="H6" i="529"/>
  <c r="F7" i="529"/>
  <c r="J8" i="529"/>
  <c r="H10" i="529"/>
  <c r="G8" i="529"/>
  <c r="G30" i="440"/>
  <c r="G33" i="440"/>
  <c r="G35" i="440"/>
  <c r="G34" i="440"/>
  <c r="G32" i="440"/>
  <c r="G31" i="440"/>
  <c r="G18" i="472"/>
  <c r="G19" i="472"/>
  <c r="G20" i="472"/>
  <c r="G14" i="504"/>
  <c r="L15" i="504"/>
  <c r="I18" i="504"/>
  <c r="H13" i="504"/>
  <c r="I19" i="504"/>
  <c r="H17" i="504"/>
  <c r="J17" i="504"/>
  <c r="G11" i="504"/>
  <c r="L19" i="504"/>
  <c r="H12" i="504"/>
  <c r="L12" i="504"/>
  <c r="J14" i="504"/>
  <c r="L13" i="504"/>
  <c r="J13" i="504"/>
  <c r="H14" i="504"/>
  <c r="L11" i="504"/>
  <c r="I16" i="504"/>
  <c r="L16" i="504"/>
  <c r="L18" i="504"/>
  <c r="K16" i="504"/>
  <c r="L14" i="504"/>
  <c r="J16" i="504"/>
  <c r="K13" i="504"/>
  <c r="G15" i="504"/>
  <c r="G18" i="504"/>
  <c r="H18" i="504"/>
  <c r="K19" i="504"/>
  <c r="J19" i="504"/>
  <c r="K12" i="504"/>
  <c r="K11" i="504"/>
  <c r="H16" i="504"/>
  <c r="I15" i="504"/>
  <c r="I17" i="504"/>
  <c r="I13" i="504"/>
  <c r="I11" i="504"/>
  <c r="H15" i="504"/>
  <c r="K18" i="504"/>
  <c r="G12" i="504"/>
  <c r="J18" i="504"/>
  <c r="K15" i="504"/>
  <c r="J15" i="504"/>
  <c r="J11" i="504"/>
  <c r="G13" i="504"/>
  <c r="G16" i="504"/>
  <c r="J12" i="504"/>
  <c r="G19" i="504"/>
  <c r="I12" i="504"/>
  <c r="H11" i="504"/>
  <c r="I14" i="504"/>
  <c r="K17" i="504"/>
  <c r="K14" i="504"/>
  <c r="H19" i="504"/>
  <c r="G17" i="504"/>
  <c r="L17" i="504"/>
  <c r="T4" i="450"/>
  <c r="S7" i="450"/>
  <c r="S8" i="450"/>
  <c r="S3" i="450"/>
  <c r="T9" i="450"/>
  <c r="U9" i="450"/>
  <c r="S11" i="450"/>
  <c r="V5" i="450"/>
  <c r="T11" i="450"/>
  <c r="U10" i="450"/>
  <c r="U8" i="450"/>
  <c r="T3" i="450"/>
  <c r="V11" i="450"/>
  <c r="V3" i="450"/>
  <c r="V4" i="450"/>
  <c r="S9" i="450"/>
  <c r="U6" i="450"/>
  <c r="U3" i="450"/>
  <c r="S5" i="450"/>
  <c r="U7" i="450"/>
  <c r="S6" i="450"/>
  <c r="T8" i="450"/>
  <c r="T5" i="450"/>
  <c r="T7" i="450"/>
  <c r="T10" i="450"/>
  <c r="U11" i="450"/>
  <c r="V6" i="450"/>
  <c r="V8" i="450"/>
  <c r="S10" i="450"/>
  <c r="T6" i="450"/>
  <c r="V7" i="450"/>
  <c r="V10" i="450"/>
  <c r="U4" i="450"/>
  <c r="V9" i="450"/>
  <c r="S4" i="450"/>
  <c r="U5" i="450"/>
  <c r="AG11" i="290"/>
  <c r="AG10" i="290"/>
  <c r="AF11" i="290"/>
  <c r="AG9" i="290"/>
  <c r="AF10" i="290"/>
  <c r="AF9" i="290"/>
  <c r="V3" i="523"/>
  <c r="U12" i="523"/>
  <c r="V22" i="523"/>
  <c r="W4" i="523"/>
  <c r="V11" i="523"/>
  <c r="U18" i="523"/>
  <c r="X20" i="523"/>
  <c r="W18" i="523"/>
  <c r="X19" i="523"/>
  <c r="X6" i="523"/>
  <c r="X18" i="523"/>
  <c r="X5" i="523"/>
  <c r="V23" i="523"/>
  <c r="W14" i="523"/>
  <c r="W22" i="523"/>
  <c r="X9" i="523"/>
  <c r="U23" i="523"/>
  <c r="X21" i="523"/>
  <c r="U13" i="523"/>
  <c r="V8" i="523"/>
  <c r="V20" i="523"/>
  <c r="U11" i="523"/>
  <c r="V21" i="523"/>
  <c r="U7" i="523"/>
  <c r="W20" i="523"/>
  <c r="X22" i="523"/>
  <c r="X14" i="523"/>
  <c r="X10" i="523"/>
  <c r="U15" i="523"/>
  <c r="X8" i="523"/>
  <c r="W8" i="523"/>
  <c r="U10" i="523"/>
  <c r="U21" i="523"/>
  <c r="U8" i="523"/>
  <c r="W6" i="523"/>
  <c r="U16" i="523"/>
  <c r="W11" i="523"/>
  <c r="X11" i="523"/>
  <c r="U20" i="523"/>
  <c r="X23" i="523"/>
  <c r="V9" i="523"/>
  <c r="X17" i="523"/>
  <c r="W19" i="523"/>
  <c r="V15" i="523"/>
  <c r="U22" i="523"/>
  <c r="V13" i="523"/>
  <c r="W15" i="523"/>
  <c r="U4" i="523"/>
  <c r="W5" i="523"/>
  <c r="W9" i="523"/>
  <c r="V10" i="523"/>
  <c r="V7" i="523"/>
  <c r="X4" i="523"/>
  <c r="U9" i="523"/>
  <c r="W21" i="523"/>
  <c r="V4" i="523"/>
  <c r="W17" i="523"/>
  <c r="V18" i="523"/>
  <c r="X7" i="523"/>
  <c r="X15" i="523"/>
  <c r="X3" i="523"/>
  <c r="V17" i="523"/>
  <c r="X13" i="523"/>
  <c r="W3" i="523"/>
  <c r="W16" i="523"/>
  <c r="X16" i="523"/>
  <c r="X12" i="523"/>
  <c r="U17" i="523"/>
  <c r="W23" i="523"/>
  <c r="U6" i="523"/>
  <c r="U3" i="523"/>
  <c r="U19" i="523"/>
  <c r="W10" i="523"/>
  <c r="V5" i="523"/>
  <c r="V16" i="523"/>
  <c r="W13" i="523"/>
  <c r="U14" i="523"/>
  <c r="W7" i="523"/>
  <c r="V12" i="523"/>
  <c r="V14" i="523"/>
  <c r="V19" i="523"/>
  <c r="V6" i="523"/>
  <c r="U5" i="523"/>
  <c r="W12" i="523"/>
  <c r="AB43" i="290"/>
  <c r="AA43" i="290"/>
  <c r="AA42" i="290"/>
  <c r="AA44" i="290"/>
  <c r="AB42" i="290"/>
  <c r="AB44" i="290"/>
  <c r="AC20" i="467"/>
  <c r="AC18" i="467"/>
  <c r="AB18" i="467"/>
  <c r="AB20" i="467"/>
  <c r="AC19" i="467"/>
  <c r="AB19" i="467"/>
  <c r="AA8" i="531"/>
  <c r="AC10" i="531"/>
  <c r="AC20" i="531"/>
  <c r="AB5" i="531"/>
  <c r="AB20" i="531"/>
  <c r="Z13" i="531"/>
  <c r="Z23" i="531"/>
  <c r="Z5" i="531"/>
  <c r="AC21" i="531"/>
  <c r="Z3" i="531"/>
  <c r="AC23" i="531"/>
  <c r="AA3" i="531"/>
  <c r="Z12" i="531"/>
  <c r="AB10" i="531"/>
  <c r="AB13" i="531"/>
  <c r="AA22" i="531"/>
  <c r="Z9" i="531"/>
  <c r="AB12" i="531"/>
  <c r="Z10" i="531"/>
  <c r="Z20" i="531"/>
  <c r="Z4" i="531"/>
  <c r="Z14" i="531"/>
  <c r="Z15" i="531"/>
  <c r="AB16" i="531"/>
  <c r="AA5" i="531"/>
  <c r="AC16" i="531"/>
  <c r="AC14" i="531"/>
  <c r="AB9" i="531"/>
  <c r="Z8" i="531"/>
  <c r="AB11" i="531"/>
  <c r="AA11" i="531"/>
  <c r="AB17" i="531"/>
  <c r="AA21" i="531"/>
  <c r="AC13" i="531"/>
  <c r="Z18" i="531"/>
  <c r="AC22" i="531"/>
  <c r="AC7" i="531"/>
  <c r="AB4" i="531"/>
  <c r="AA9" i="531"/>
  <c r="AC9" i="531"/>
  <c r="AC3" i="531"/>
  <c r="AA7" i="531"/>
  <c r="AA4" i="531"/>
  <c r="AA17" i="531"/>
  <c r="AB23" i="531"/>
  <c r="AB21" i="531"/>
  <c r="AA20" i="531"/>
  <c r="AC11" i="531"/>
  <c r="Z11" i="531"/>
  <c r="AC12" i="531"/>
  <c r="AA15" i="531"/>
  <c r="AC5" i="531"/>
  <c r="AC8" i="531"/>
  <c r="AC18" i="531"/>
  <c r="Z19" i="531"/>
  <c r="AB19" i="531"/>
  <c r="AB18" i="531"/>
  <c r="AC4" i="531"/>
  <c r="AB7" i="531"/>
  <c r="Z22" i="531"/>
  <c r="AC19" i="531"/>
  <c r="AB15" i="531"/>
  <c r="AB22" i="531"/>
  <c r="Z17" i="531"/>
  <c r="AA14" i="531"/>
  <c r="AA19" i="531"/>
  <c r="AA13" i="531"/>
  <c r="AC15" i="531"/>
  <c r="AB14" i="531"/>
  <c r="AA6" i="531"/>
  <c r="AB8" i="531"/>
  <c r="AA18" i="531"/>
  <c r="Z21" i="531"/>
  <c r="Z7" i="531"/>
  <c r="AA10" i="531"/>
  <c r="AC6" i="531"/>
  <c r="Z6" i="531"/>
  <c r="AA12" i="531"/>
  <c r="AC17" i="531"/>
  <c r="AB3" i="531"/>
  <c r="AA16" i="531"/>
  <c r="AA23" i="531"/>
  <c r="Z16" i="531"/>
  <c r="AB6" i="531"/>
  <c r="Q22" i="211"/>
  <c r="R21" i="211"/>
  <c r="R22" i="211"/>
  <c r="Q21" i="211"/>
  <c r="Q23" i="211"/>
  <c r="R24" i="211"/>
  <c r="R23" i="211"/>
  <c r="Q24" i="211"/>
  <c r="F16" i="450"/>
  <c r="H16" i="450"/>
  <c r="G16" i="450"/>
  <c r="N27" i="473"/>
  <c r="O26" i="473"/>
  <c r="O27" i="473"/>
  <c r="N28" i="473"/>
  <c r="O29" i="473"/>
  <c r="O28" i="473"/>
  <c r="N29" i="473"/>
  <c r="N26" i="473"/>
  <c r="H23" i="515"/>
  <c r="K21" i="515"/>
  <c r="H20" i="515"/>
  <c r="I22" i="515"/>
  <c r="G24" i="515"/>
  <c r="J21" i="515"/>
  <c r="J23" i="515"/>
  <c r="H25" i="515"/>
  <c r="J25" i="515"/>
  <c r="K23" i="515"/>
  <c r="G22" i="515"/>
  <c r="I23" i="515"/>
  <c r="I25" i="515"/>
  <c r="H22" i="515"/>
  <c r="G20" i="515"/>
  <c r="H21" i="515"/>
  <c r="J24" i="515"/>
  <c r="I21" i="515"/>
  <c r="K25" i="515"/>
  <c r="G23" i="515"/>
  <c r="J20" i="515"/>
  <c r="I20" i="515"/>
  <c r="K22" i="515"/>
  <c r="G25" i="515"/>
  <c r="H24" i="515"/>
  <c r="G21" i="515"/>
  <c r="I24" i="515"/>
  <c r="J22" i="515"/>
  <c r="K24" i="515"/>
  <c r="K20" i="515"/>
  <c r="AR28" i="302"/>
  <c r="AV26" i="302"/>
  <c r="AV25" i="302"/>
  <c r="AU26" i="302"/>
  <c r="AT25" i="302"/>
  <c r="AR24" i="302"/>
  <c r="AT28" i="302"/>
  <c r="AU28" i="302"/>
  <c r="AV24" i="302"/>
  <c r="AR26" i="302"/>
  <c r="AS26" i="302"/>
  <c r="AS25" i="302"/>
  <c r="AT26" i="302"/>
  <c r="AS27" i="302"/>
  <c r="AR27" i="302"/>
  <c r="AU27" i="302"/>
  <c r="AU24" i="302"/>
  <c r="AT27" i="302"/>
  <c r="AR25" i="302"/>
  <c r="AS28" i="302"/>
  <c r="AV28" i="302"/>
  <c r="AU25" i="302"/>
  <c r="AS24" i="302"/>
  <c r="AV27" i="302"/>
  <c r="AT24" i="302"/>
  <c r="AB11" i="510"/>
  <c r="Z16" i="510"/>
  <c r="AB17" i="510"/>
  <c r="AB5" i="510"/>
  <c r="AC9" i="510"/>
  <c r="AA21" i="510"/>
  <c r="Z8" i="510"/>
  <c r="AA19" i="510"/>
  <c r="AC19" i="510"/>
  <c r="AA9" i="510"/>
  <c r="AB9" i="510"/>
  <c r="AA12" i="510"/>
  <c r="Z21" i="510"/>
  <c r="Z22" i="510"/>
  <c r="AA7" i="510"/>
  <c r="AA18" i="510"/>
  <c r="AA13" i="510"/>
  <c r="Z19" i="510"/>
  <c r="Z23" i="510"/>
  <c r="AA5" i="510"/>
  <c r="AB16" i="510"/>
  <c r="AA4" i="510"/>
  <c r="AC21" i="510"/>
  <c r="Z9" i="510"/>
  <c r="AA17" i="510"/>
  <c r="AA20" i="510"/>
  <c r="AA11" i="510"/>
  <c r="AA8" i="510"/>
  <c r="AC13" i="510"/>
  <c r="Z7" i="510"/>
  <c r="AC23" i="510"/>
  <c r="AC14" i="510"/>
  <c r="Z18" i="510"/>
  <c r="Z5" i="510"/>
  <c r="AC10" i="510"/>
  <c r="AA6" i="510"/>
  <c r="AC11" i="510"/>
  <c r="AC18" i="510"/>
  <c r="AC17" i="510"/>
  <c r="AB7" i="510"/>
  <c r="AB12" i="510"/>
  <c r="Z11" i="510"/>
  <c r="AB4" i="510"/>
  <c r="AB10" i="510"/>
  <c r="AC7" i="510"/>
  <c r="AC16" i="510"/>
  <c r="AC20" i="510"/>
  <c r="AB8" i="510"/>
  <c r="Z20" i="510"/>
  <c r="AA16" i="510"/>
  <c r="Z6" i="510"/>
  <c r="AC22" i="510"/>
  <c r="AB13" i="510"/>
  <c r="Z12" i="510"/>
  <c r="AB19" i="510"/>
  <c r="AC5" i="510"/>
  <c r="AB21" i="510"/>
  <c r="AB6" i="510"/>
  <c r="AA23" i="510"/>
  <c r="AC4" i="510"/>
  <c r="AC15" i="510"/>
  <c r="AC8" i="510"/>
  <c r="AB14" i="510"/>
  <c r="AB23" i="510"/>
  <c r="AA14" i="510"/>
  <c r="AA15" i="510"/>
  <c r="Z13" i="510"/>
  <c r="Z14" i="510"/>
  <c r="AB22" i="510"/>
  <c r="AB15" i="510"/>
  <c r="Z10" i="510"/>
  <c r="AC6" i="510"/>
  <c r="AB20" i="510"/>
  <c r="AB18" i="510"/>
  <c r="AC12" i="510"/>
  <c r="AA10" i="510"/>
  <c r="Z4" i="510"/>
  <c r="AA22" i="510"/>
  <c r="Z15" i="510"/>
  <c r="Z17" i="510"/>
  <c r="I14" i="516"/>
  <c r="H13" i="516"/>
  <c r="I16" i="516"/>
  <c r="J15" i="516"/>
  <c r="I15" i="516"/>
  <c r="G13" i="516"/>
  <c r="G15" i="516"/>
  <c r="J14" i="516"/>
  <c r="J13" i="516"/>
  <c r="G14" i="516"/>
  <c r="H16" i="516"/>
  <c r="H15" i="516"/>
  <c r="I13" i="516"/>
  <c r="G16" i="516"/>
  <c r="J16" i="516"/>
  <c r="H14" i="516"/>
  <c r="D19" i="476"/>
  <c r="F19" i="476"/>
  <c r="E19" i="476"/>
  <c r="C19" i="476"/>
  <c r="H21" i="616"/>
  <c r="I21" i="616"/>
  <c r="H22" i="616"/>
  <c r="M22" i="616" s="1"/>
  <c r="I19" i="616"/>
  <c r="H19" i="616"/>
  <c r="I22" i="616"/>
  <c r="I20" i="616"/>
  <c r="H20" i="616"/>
  <c r="AF3" i="531"/>
  <c r="AG15" i="531"/>
  <c r="AG18" i="531"/>
  <c r="AH23" i="531"/>
  <c r="AG22" i="531"/>
  <c r="AF20" i="531"/>
  <c r="AF22" i="531"/>
  <c r="AG3" i="531"/>
  <c r="AG23" i="531"/>
  <c r="AF5" i="531"/>
  <c r="AG20" i="531"/>
  <c r="AE8" i="531"/>
  <c r="AH15" i="531"/>
  <c r="AE23" i="531"/>
  <c r="AE11" i="531"/>
  <c r="AF10" i="531"/>
  <c r="AG4" i="531"/>
  <c r="AE6" i="531"/>
  <c r="AF6" i="531"/>
  <c r="AF12" i="531"/>
  <c r="AH8" i="531"/>
  <c r="AG21" i="531"/>
  <c r="AG9" i="531"/>
  <c r="AF19" i="531"/>
  <c r="AH4" i="531"/>
  <c r="AF13" i="531"/>
  <c r="AF9" i="531"/>
  <c r="AH7" i="531"/>
  <c r="AG17" i="531"/>
  <c r="AG8" i="531"/>
  <c r="AG12" i="531"/>
  <c r="AF17" i="531"/>
  <c r="AH5" i="531"/>
  <c r="AF11" i="531"/>
  <c r="AF23" i="531"/>
  <c r="AE17" i="531"/>
  <c r="AG14" i="531"/>
  <c r="AH10" i="531"/>
  <c r="AH19" i="531"/>
  <c r="AF7" i="531"/>
  <c r="AE15" i="531"/>
  <c r="AH6" i="531"/>
  <c r="AF15" i="531"/>
  <c r="AF8" i="531"/>
  <c r="AE20" i="531"/>
  <c r="AG11" i="531"/>
  <c r="AH20" i="531"/>
  <c r="AH12" i="531"/>
  <c r="AF21" i="531"/>
  <c r="AH17" i="531"/>
  <c r="AE4" i="531"/>
  <c r="AE12" i="531"/>
  <c r="AE22" i="531"/>
  <c r="AE13" i="531"/>
  <c r="AG13" i="531"/>
  <c r="AG16" i="531"/>
  <c r="AE21" i="531"/>
  <c r="AE19" i="531"/>
  <c r="AG19" i="531"/>
  <c r="AH3" i="531"/>
  <c r="AE18" i="531"/>
  <c r="AG7" i="531"/>
  <c r="AF14" i="531"/>
  <c r="AH14" i="531"/>
  <c r="AG10" i="531"/>
  <c r="AE14" i="531"/>
  <c r="AH9" i="531"/>
  <c r="AH13" i="531"/>
  <c r="AE7" i="531"/>
  <c r="AH21" i="531"/>
  <c r="AG6" i="531"/>
  <c r="AG5" i="531"/>
  <c r="AE5" i="531"/>
  <c r="AH22" i="531"/>
  <c r="AH18" i="531"/>
  <c r="AF18" i="531"/>
  <c r="AE3" i="531"/>
  <c r="AE16" i="531"/>
  <c r="AH11" i="531"/>
  <c r="AF16" i="531"/>
  <c r="AH16" i="531"/>
  <c r="AE9" i="531"/>
  <c r="AF4" i="531"/>
  <c r="AE10" i="531"/>
  <c r="K15" i="531"/>
  <c r="K16" i="531"/>
  <c r="L8" i="531"/>
  <c r="M20" i="531"/>
  <c r="N23" i="531"/>
  <c r="M7" i="531"/>
  <c r="N6" i="531"/>
  <c r="N12" i="531"/>
  <c r="K10" i="531"/>
  <c r="M15" i="531"/>
  <c r="L7" i="531"/>
  <c r="N17" i="531"/>
  <c r="K17" i="531"/>
  <c r="L16" i="531"/>
  <c r="L18" i="531"/>
  <c r="N4" i="531"/>
  <c r="L6" i="531"/>
  <c r="M3" i="531"/>
  <c r="M12" i="531"/>
  <c r="K6" i="531"/>
  <c r="M17" i="531"/>
  <c r="K20" i="531"/>
  <c r="N5" i="531"/>
  <c r="K3" i="531"/>
  <c r="K7" i="531"/>
  <c r="M14" i="531"/>
  <c r="M8" i="531"/>
  <c r="L13" i="531"/>
  <c r="L22" i="531"/>
  <c r="N19" i="531"/>
  <c r="N3" i="531"/>
  <c r="K13" i="531"/>
  <c r="L12" i="531"/>
  <c r="N14" i="531"/>
  <c r="M16" i="531"/>
  <c r="N15" i="531"/>
  <c r="K21" i="531"/>
  <c r="K9" i="531"/>
  <c r="M21" i="531"/>
  <c r="K5" i="531"/>
  <c r="N21" i="531"/>
  <c r="K14" i="531"/>
  <c r="N7" i="531"/>
  <c r="K4" i="531"/>
  <c r="K22" i="531"/>
  <c r="M23" i="531"/>
  <c r="N9" i="531"/>
  <c r="N10" i="531"/>
  <c r="M5" i="531"/>
  <c r="M13" i="531"/>
  <c r="N13" i="531"/>
  <c r="L3" i="531"/>
  <c r="M18" i="531"/>
  <c r="N20" i="531"/>
  <c r="N18" i="531"/>
  <c r="L15" i="531"/>
  <c r="K23" i="531"/>
  <c r="L5" i="531"/>
  <c r="L11" i="531"/>
  <c r="N22" i="531"/>
  <c r="L4" i="531"/>
  <c r="M6" i="531"/>
  <c r="M10" i="531"/>
  <c r="K19" i="531"/>
  <c r="L14" i="531"/>
  <c r="L20" i="531"/>
  <c r="M11" i="531"/>
  <c r="L23" i="531"/>
  <c r="K18" i="531"/>
  <c r="L9" i="531"/>
  <c r="K8" i="531"/>
  <c r="M22" i="531"/>
  <c r="N8" i="531"/>
  <c r="L17" i="531"/>
  <c r="M4" i="531"/>
  <c r="N16" i="531"/>
  <c r="L21" i="531"/>
  <c r="N11" i="531"/>
  <c r="M9" i="531"/>
  <c r="M19" i="531"/>
  <c r="K11" i="531"/>
  <c r="L19" i="531"/>
  <c r="L10" i="531"/>
  <c r="K12" i="531"/>
  <c r="V12" i="531"/>
  <c r="X19" i="531"/>
  <c r="W17" i="531"/>
  <c r="W4" i="531"/>
  <c r="W11" i="531"/>
  <c r="V9" i="531"/>
  <c r="V15" i="531"/>
  <c r="X21" i="531"/>
  <c r="U21" i="531"/>
  <c r="V3" i="531"/>
  <c r="V8" i="531"/>
  <c r="U12" i="531"/>
  <c r="X12" i="531"/>
  <c r="W10" i="531"/>
  <c r="X22" i="531"/>
  <c r="W18" i="531"/>
  <c r="U3" i="531"/>
  <c r="U20" i="531"/>
  <c r="U11" i="531"/>
  <c r="W7" i="531"/>
  <c r="U5" i="531"/>
  <c r="X7" i="531"/>
  <c r="U4" i="531"/>
  <c r="V4" i="531"/>
  <c r="W16" i="531"/>
  <c r="W21" i="531"/>
  <c r="X14" i="531"/>
  <c r="W20" i="531"/>
  <c r="V19" i="531"/>
  <c r="U9" i="531"/>
  <c r="V10" i="531"/>
  <c r="V21" i="531"/>
  <c r="X13" i="531"/>
  <c r="U15" i="531"/>
  <c r="V16" i="531"/>
  <c r="X5" i="531"/>
  <c r="X23" i="531"/>
  <c r="W12" i="531"/>
  <c r="X6" i="531"/>
  <c r="X15" i="531"/>
  <c r="X8" i="531"/>
  <c r="V17" i="531"/>
  <c r="V5" i="531"/>
  <c r="X3" i="531"/>
  <c r="W19" i="531"/>
  <c r="U6" i="531"/>
  <c r="U23" i="531"/>
  <c r="W15" i="531"/>
  <c r="X16" i="531"/>
  <c r="V23" i="531"/>
  <c r="U14" i="531"/>
  <c r="U17" i="531"/>
  <c r="U18" i="531"/>
  <c r="W23" i="531"/>
  <c r="U13" i="531"/>
  <c r="V6" i="531"/>
  <c r="X17" i="531"/>
  <c r="W5" i="531"/>
  <c r="X10" i="531"/>
  <c r="U16" i="531"/>
  <c r="V13" i="531"/>
  <c r="X4" i="531"/>
  <c r="X9" i="531"/>
  <c r="W9" i="531"/>
  <c r="X11" i="531"/>
  <c r="V20" i="531"/>
  <c r="W8" i="531"/>
  <c r="X20" i="531"/>
  <c r="W14" i="531"/>
  <c r="W3" i="531"/>
  <c r="V22" i="531"/>
  <c r="W6" i="531"/>
  <c r="W22" i="531"/>
  <c r="U19" i="531"/>
  <c r="V11" i="531"/>
  <c r="U8" i="531"/>
  <c r="U22" i="531"/>
  <c r="V18" i="531"/>
  <c r="X18" i="531"/>
  <c r="V7" i="531"/>
  <c r="U7" i="531"/>
  <c r="U10" i="531"/>
  <c r="W13" i="531"/>
  <c r="V14" i="531"/>
  <c r="H49" i="478"/>
  <c r="I49" i="478"/>
  <c r="H48" i="478"/>
  <c r="I48" i="478"/>
  <c r="H47" i="478"/>
  <c r="I47" i="478"/>
  <c r="M31" i="86"/>
  <c r="M30" i="86"/>
  <c r="M33" i="86"/>
  <c r="N33" i="86"/>
  <c r="M32" i="86"/>
  <c r="N32" i="86"/>
  <c r="N31" i="86"/>
  <c r="N30" i="86"/>
  <c r="AH17" i="590"/>
  <c r="AI15" i="590"/>
  <c r="AH9" i="590"/>
  <c r="AJ20" i="590"/>
  <c r="AH20" i="590"/>
  <c r="AJ5" i="590"/>
  <c r="AK14" i="590"/>
  <c r="AK3" i="590"/>
  <c r="AK13" i="590"/>
  <c r="AK6" i="590"/>
  <c r="AH12" i="590"/>
  <c r="AH15" i="590"/>
  <c r="AJ8" i="590"/>
  <c r="AI4" i="590"/>
  <c r="AJ16" i="590"/>
  <c r="AF22" i="590"/>
  <c r="AJ10" i="590"/>
  <c r="AG8" i="590"/>
  <c r="AI11" i="590"/>
  <c r="AF15" i="590"/>
  <c r="AF3" i="590"/>
  <c r="AG11" i="590"/>
  <c r="AG10" i="590"/>
  <c r="AF11" i="590"/>
  <c r="AF12" i="590"/>
  <c r="AJ15" i="590"/>
  <c r="AH23" i="590"/>
  <c r="AG5" i="590"/>
  <c r="AI17" i="590"/>
  <c r="AI19" i="590"/>
  <c r="AI5" i="590"/>
  <c r="AH3" i="590"/>
  <c r="AF17" i="590"/>
  <c r="AJ21" i="590"/>
  <c r="AG7" i="590"/>
  <c r="AK5" i="590"/>
  <c r="AK22" i="590"/>
  <c r="AJ24" i="590"/>
  <c r="AJ6" i="590"/>
  <c r="AG19" i="590"/>
  <c r="AK19" i="590"/>
  <c r="AI22" i="590"/>
  <c r="AG24" i="590"/>
  <c r="AG3" i="590"/>
  <c r="AJ9" i="590"/>
  <c r="AF18" i="590"/>
  <c r="AG12" i="590"/>
  <c r="AF5" i="590"/>
  <c r="AJ3" i="590"/>
  <c r="AI7" i="590"/>
  <c r="AK16" i="590"/>
  <c r="AH6" i="590"/>
  <c r="AI9" i="590"/>
  <c r="AJ12" i="590"/>
  <c r="AI20" i="590"/>
  <c r="AI16" i="590"/>
  <c r="AH13" i="590"/>
  <c r="AG17" i="590"/>
  <c r="AI23" i="590"/>
  <c r="AK17" i="590"/>
  <c r="AG20" i="590"/>
  <c r="AG15" i="590"/>
  <c r="AG4" i="590"/>
  <c r="AF10" i="590"/>
  <c r="AF20" i="590"/>
  <c r="AH5" i="590"/>
  <c r="AG21" i="590"/>
  <c r="AI14" i="590"/>
  <c r="AG22" i="590"/>
  <c r="AF16" i="590"/>
  <c r="AF21" i="590"/>
  <c r="AJ13" i="590"/>
  <c r="AI3" i="590"/>
  <c r="AH21" i="590"/>
  <c r="AH14" i="590"/>
  <c r="AF24" i="590"/>
  <c r="AF6" i="590"/>
  <c r="AH11" i="590"/>
  <c r="AH19" i="590"/>
  <c r="AF14" i="590"/>
  <c r="AJ14" i="590"/>
  <c r="AF19" i="590"/>
  <c r="AK7" i="590"/>
  <c r="AH7" i="590"/>
  <c r="AK18" i="590"/>
  <c r="AI12" i="590"/>
  <c r="AF9" i="590"/>
  <c r="AF23" i="590"/>
  <c r="AH4" i="590"/>
  <c r="AK12" i="590"/>
  <c r="AI21" i="590"/>
  <c r="AF8" i="590"/>
  <c r="AJ4" i="590"/>
  <c r="AJ11" i="590"/>
  <c r="AK8" i="590"/>
  <c r="AK15" i="590"/>
  <c r="AJ19" i="590"/>
  <c r="AK20" i="590"/>
  <c r="AK11" i="590"/>
  <c r="AI13" i="590"/>
  <c r="AK24" i="590"/>
  <c r="AK10" i="590"/>
  <c r="AG9" i="590"/>
  <c r="AF7" i="590"/>
  <c r="AH10" i="590"/>
  <c r="AG16" i="590"/>
  <c r="AJ23" i="590"/>
  <c r="AI10" i="590"/>
  <c r="AG14" i="590"/>
  <c r="AH22" i="590"/>
  <c r="AF4" i="590"/>
  <c r="AK23" i="590"/>
  <c r="AI8" i="590"/>
  <c r="AH8" i="590"/>
  <c r="AJ17" i="590"/>
  <c r="AJ22" i="590"/>
  <c r="AK21" i="590"/>
  <c r="AH18" i="590"/>
  <c r="AI18" i="590"/>
  <c r="AG13" i="590"/>
  <c r="AH24" i="590"/>
  <c r="AJ7" i="590"/>
  <c r="AG18" i="590"/>
  <c r="AH16" i="590"/>
  <c r="AK4" i="590"/>
  <c r="AG23" i="590"/>
  <c r="AJ18" i="590"/>
  <c r="AI6" i="590"/>
  <c r="AG6" i="590"/>
  <c r="AK9" i="590"/>
  <c r="AI24" i="590"/>
  <c r="AF13" i="590"/>
  <c r="AS17" i="302"/>
  <c r="AR15" i="302"/>
  <c r="AV15" i="302"/>
  <c r="AT16" i="302"/>
  <c r="AT15" i="302"/>
  <c r="AU15" i="302"/>
  <c r="AR16" i="302"/>
  <c r="AS19" i="302"/>
  <c r="AU19" i="302"/>
  <c r="AS18" i="302"/>
  <c r="AV18" i="302"/>
  <c r="AV16" i="302"/>
  <c r="AV17" i="302"/>
  <c r="AS15" i="302"/>
  <c r="AR17" i="302"/>
  <c r="AR18" i="302"/>
  <c r="AS16" i="302"/>
  <c r="AT18" i="302"/>
  <c r="AT19" i="302"/>
  <c r="AV19" i="302"/>
  <c r="AR19" i="302"/>
  <c r="AT17" i="302"/>
  <c r="AU16" i="302"/>
  <c r="AU18" i="302"/>
  <c r="AU17" i="302"/>
  <c r="F10" i="462"/>
  <c r="F6" i="462"/>
  <c r="H9" i="462"/>
  <c r="F8" i="462"/>
  <c r="H7" i="462"/>
  <c r="E7" i="462"/>
  <c r="F11" i="462"/>
  <c r="H6" i="462"/>
  <c r="E8" i="462"/>
  <c r="H10" i="462"/>
  <c r="E9" i="462"/>
  <c r="G9" i="462"/>
  <c r="E10" i="462"/>
  <c r="G8" i="462"/>
  <c r="H8" i="462"/>
  <c r="G11" i="462"/>
  <c r="G6" i="462"/>
  <c r="F9" i="462"/>
  <c r="H11" i="462"/>
  <c r="G7" i="462"/>
  <c r="E11" i="462"/>
  <c r="G10" i="462"/>
  <c r="E6" i="462"/>
  <c r="F7" i="462"/>
  <c r="E45" i="462"/>
  <c r="F44" i="462"/>
  <c r="E47" i="462"/>
  <c r="F46" i="462"/>
  <c r="E43" i="462"/>
  <c r="F47" i="462"/>
  <c r="E44" i="462"/>
  <c r="F45" i="462"/>
  <c r="E46" i="462"/>
  <c r="F43" i="462"/>
  <c r="AG23" i="510"/>
  <c r="AG24" i="510"/>
  <c r="AK23" i="510"/>
  <c r="AL23" i="510"/>
  <c r="AL24" i="510"/>
  <c r="AJ25" i="510"/>
  <c r="AE27" i="510"/>
  <c r="AG26" i="510"/>
  <c r="AF27" i="510"/>
  <c r="AJ26" i="510"/>
  <c r="AK24" i="510"/>
  <c r="AI25" i="510"/>
  <c r="AI26" i="510"/>
  <c r="AH23" i="510"/>
  <c r="AE24" i="510"/>
  <c r="AI27" i="510"/>
  <c r="AG25" i="510"/>
  <c r="AK27" i="510"/>
  <c r="AF23" i="510"/>
  <c r="AF24" i="510"/>
  <c r="AI24" i="510"/>
  <c r="AL26" i="510"/>
  <c r="AE26" i="510"/>
  <c r="AJ23" i="510"/>
  <c r="AL25" i="510"/>
  <c r="AG27" i="510"/>
  <c r="AE25" i="510"/>
  <c r="AL27" i="510"/>
  <c r="AF25" i="510"/>
  <c r="AE23" i="510"/>
  <c r="AH25" i="510"/>
  <c r="AJ24" i="510"/>
  <c r="AF26" i="510"/>
  <c r="AH24" i="510"/>
  <c r="AI23" i="510"/>
  <c r="AH26" i="510"/>
  <c r="AK26" i="510"/>
  <c r="AH27" i="510"/>
  <c r="AJ27" i="510"/>
  <c r="AK25" i="510"/>
  <c r="O27" i="527"/>
  <c r="Q27" i="527"/>
  <c r="P27" i="527"/>
  <c r="D34" i="440"/>
  <c r="D35" i="440"/>
  <c r="D33" i="440"/>
  <c r="D32" i="440"/>
  <c r="D30" i="440"/>
  <c r="D31" i="440"/>
  <c r="B18" i="531"/>
  <c r="D14" i="531"/>
  <c r="B22" i="531"/>
  <c r="C8" i="531"/>
  <c r="A9" i="531"/>
  <c r="D15" i="531"/>
  <c r="A20" i="531"/>
  <c r="A22" i="531"/>
  <c r="C13" i="531"/>
  <c r="A3" i="531"/>
  <c r="C10" i="531"/>
  <c r="C6" i="531"/>
  <c r="D3" i="531"/>
  <c r="C11" i="531"/>
  <c r="A23" i="531"/>
  <c r="C21" i="531"/>
  <c r="C17" i="531"/>
  <c r="D7" i="531"/>
  <c r="C4" i="531"/>
  <c r="D23" i="531"/>
  <c r="D10" i="531"/>
  <c r="B21" i="531"/>
  <c r="A10" i="531"/>
  <c r="C7" i="531"/>
  <c r="A13" i="531"/>
  <c r="C12" i="531"/>
  <c r="A8" i="531"/>
  <c r="D20" i="531"/>
  <c r="A5" i="531"/>
  <c r="B7" i="531"/>
  <c r="A14" i="531"/>
  <c r="D21" i="531"/>
  <c r="A17" i="531"/>
  <c r="D11" i="531"/>
  <c r="B9" i="531"/>
  <c r="D9" i="531"/>
  <c r="D8" i="531"/>
  <c r="D16" i="531"/>
  <c r="B6" i="531"/>
  <c r="B20" i="531"/>
  <c r="B12" i="531"/>
  <c r="A12" i="531"/>
  <c r="D19" i="531"/>
  <c r="B13" i="531"/>
  <c r="B5" i="531"/>
  <c r="C5" i="531"/>
  <c r="B23" i="531"/>
  <c r="D6" i="531"/>
  <c r="C19" i="531"/>
  <c r="A7" i="531"/>
  <c r="D12" i="531"/>
  <c r="B11" i="531"/>
  <c r="A19" i="531"/>
  <c r="D13" i="531"/>
  <c r="A4" i="531"/>
  <c r="B15" i="531"/>
  <c r="B10" i="531"/>
  <c r="A16" i="531"/>
  <c r="C22" i="531"/>
  <c r="D18" i="531"/>
  <c r="B4" i="531"/>
  <c r="C3" i="531"/>
  <c r="C18" i="531"/>
  <c r="A18" i="531"/>
  <c r="B16" i="531"/>
  <c r="B8" i="531"/>
  <c r="B3" i="531"/>
  <c r="A11" i="531"/>
  <c r="A15" i="531"/>
  <c r="C14" i="531"/>
  <c r="B14" i="531"/>
  <c r="C16" i="531"/>
  <c r="C20" i="531"/>
  <c r="B17" i="531"/>
  <c r="A6" i="531"/>
  <c r="D17" i="531"/>
  <c r="C9" i="531"/>
  <c r="D4" i="531"/>
  <c r="A21" i="531"/>
  <c r="C23" i="531"/>
  <c r="C15" i="531"/>
  <c r="B19" i="531"/>
  <c r="D22" i="531"/>
  <c r="D5" i="531"/>
  <c r="N14" i="530"/>
  <c r="M16" i="530"/>
  <c r="L14" i="530"/>
  <c r="L16" i="530"/>
  <c r="N15" i="530"/>
  <c r="O15" i="530"/>
  <c r="O16" i="530"/>
  <c r="Q14" i="530"/>
  <c r="Q16" i="530"/>
  <c r="P16" i="530"/>
  <c r="Q15" i="530"/>
  <c r="P15" i="530"/>
  <c r="M14" i="530"/>
  <c r="P14" i="530"/>
  <c r="O14" i="530"/>
  <c r="M15" i="530"/>
  <c r="N16" i="530"/>
  <c r="L15" i="530"/>
  <c r="U8" i="495"/>
  <c r="U7" i="495"/>
  <c r="U6" i="495"/>
  <c r="V6" i="495"/>
  <c r="U9" i="495"/>
  <c r="V10" i="495"/>
  <c r="U10" i="495"/>
  <c r="V7" i="495"/>
  <c r="V8" i="495"/>
  <c r="V9" i="495"/>
  <c r="X9" i="388"/>
  <c r="X10" i="388" s="1"/>
  <c r="T8" i="606"/>
  <c r="T9" i="606"/>
  <c r="T6" i="606"/>
  <c r="S12" i="606"/>
  <c r="T10" i="606"/>
  <c r="S8" i="606"/>
  <c r="T12" i="606"/>
  <c r="S6" i="606"/>
  <c r="S10" i="606"/>
  <c r="T7" i="606"/>
  <c r="S9" i="606"/>
  <c r="S7" i="606"/>
  <c r="T11" i="606"/>
  <c r="S11" i="606"/>
  <c r="K20" i="499"/>
  <c r="K19" i="499"/>
  <c r="I31" i="465"/>
  <c r="H30" i="465"/>
  <c r="L31" i="465"/>
  <c r="I29" i="465"/>
  <c r="J31" i="465"/>
  <c r="N29" i="465"/>
  <c r="L30" i="465"/>
  <c r="H29" i="465"/>
  <c r="M30" i="465"/>
  <c r="H31" i="465"/>
  <c r="K31" i="465"/>
  <c r="N30" i="465"/>
  <c r="K30" i="465"/>
  <c r="J29" i="465"/>
  <c r="M29" i="465"/>
  <c r="M31" i="465"/>
  <c r="I30" i="465"/>
  <c r="L29" i="465"/>
  <c r="K29" i="465"/>
  <c r="N31" i="465"/>
  <c r="J30" i="465"/>
  <c r="Y7" i="465"/>
  <c r="Y6" i="465"/>
  <c r="Y8" i="465"/>
  <c r="I7" i="504"/>
  <c r="G6" i="504"/>
  <c r="K7" i="504"/>
  <c r="H6" i="504"/>
  <c r="L6" i="504"/>
  <c r="H5" i="504"/>
  <c r="J5" i="504"/>
  <c r="J6" i="504"/>
  <c r="I6" i="504"/>
  <c r="I5" i="504"/>
  <c r="G5" i="504"/>
  <c r="K5" i="504"/>
  <c r="H7" i="504"/>
  <c r="J7" i="504"/>
  <c r="G7" i="504"/>
  <c r="K6" i="504"/>
  <c r="L7" i="504"/>
  <c r="L5" i="504"/>
  <c r="O12" i="510"/>
  <c r="N17" i="510"/>
  <c r="N23" i="510"/>
  <c r="N22" i="510"/>
  <c r="P14" i="510"/>
  <c r="P16" i="510"/>
  <c r="N6" i="510"/>
  <c r="O9" i="510"/>
  <c r="Q6" i="510"/>
  <c r="P23" i="510"/>
  <c r="P9" i="510"/>
  <c r="P8" i="510"/>
  <c r="O21" i="510"/>
  <c r="N11" i="510"/>
  <c r="P7" i="510"/>
  <c r="N5" i="510"/>
  <c r="P10" i="510"/>
  <c r="Q23" i="510"/>
  <c r="O19" i="510"/>
  <c r="P21" i="510"/>
  <c r="O16" i="510"/>
  <c r="O23" i="510"/>
  <c r="O10" i="510"/>
  <c r="N9" i="510"/>
  <c r="Q9" i="510"/>
  <c r="Q10" i="510"/>
  <c r="O17" i="510"/>
  <c r="P17" i="510"/>
  <c r="O6" i="510"/>
  <c r="N16" i="510"/>
  <c r="O11" i="510"/>
  <c r="O7" i="510"/>
  <c r="O13" i="510"/>
  <c r="P5" i="510"/>
  <c r="P19" i="510"/>
  <c r="Q20" i="510"/>
  <c r="Q4" i="510"/>
  <c r="N14" i="510"/>
  <c r="Q12" i="510"/>
  <c r="O8" i="510"/>
  <c r="N13" i="510"/>
  <c r="O15" i="510"/>
  <c r="P6" i="510"/>
  <c r="Q21" i="510"/>
  <c r="Q19" i="510"/>
  <c r="N10" i="510"/>
  <c r="P13" i="510"/>
  <c r="Q11" i="510"/>
  <c r="Q14" i="510"/>
  <c r="N4" i="510"/>
  <c r="N21" i="510"/>
  <c r="O5" i="510"/>
  <c r="P4" i="510"/>
  <c r="O18" i="510"/>
  <c r="O20" i="510"/>
  <c r="P11" i="510"/>
  <c r="N12" i="510"/>
  <c r="N20" i="510"/>
  <c r="O22" i="510"/>
  <c r="O14" i="510"/>
  <c r="N7" i="510"/>
  <c r="Q8" i="510"/>
  <c r="Q7" i="510"/>
  <c r="Q15" i="510"/>
  <c r="O4" i="510"/>
  <c r="P20" i="510"/>
  <c r="P15" i="510"/>
  <c r="N15" i="510"/>
  <c r="Q5" i="510"/>
  <c r="N18" i="510"/>
  <c r="Q18" i="510"/>
  <c r="P12" i="510"/>
  <c r="Q22" i="510"/>
  <c r="N19" i="510"/>
  <c r="N8" i="510"/>
  <c r="Q16" i="510"/>
  <c r="P22" i="510"/>
  <c r="Q17" i="510"/>
  <c r="Q13" i="510"/>
  <c r="P18" i="510"/>
  <c r="K4" i="341"/>
  <c r="K5" i="341"/>
  <c r="K6" i="341"/>
  <c r="J15" i="467"/>
  <c r="K15" i="467"/>
  <c r="M16" i="467"/>
  <c r="N17" i="467"/>
  <c r="H17" i="467"/>
  <c r="N15" i="467"/>
  <c r="I15" i="467"/>
  <c r="J16" i="467"/>
  <c r="I16" i="467"/>
  <c r="I17" i="467"/>
  <c r="M15" i="467"/>
  <c r="L15" i="467"/>
  <c r="K17" i="467"/>
  <c r="H15" i="467"/>
  <c r="K16" i="467"/>
  <c r="L16" i="467"/>
  <c r="N16" i="467"/>
  <c r="J17" i="467"/>
  <c r="H16" i="467"/>
  <c r="M17" i="467"/>
  <c r="L17" i="467"/>
  <c r="Y8" i="495"/>
  <c r="Y6" i="495"/>
  <c r="Y7" i="495"/>
  <c r="Y9" i="495"/>
  <c r="Y10" i="495"/>
  <c r="O11" i="473"/>
  <c r="N11" i="473"/>
  <c r="O13" i="473"/>
  <c r="O12" i="473"/>
  <c r="N10" i="473"/>
  <c r="N12" i="473"/>
  <c r="N13" i="473"/>
  <c r="O10" i="473"/>
  <c r="I64" i="462"/>
  <c r="F65" i="462"/>
  <c r="F66" i="462"/>
  <c r="L64" i="462"/>
  <c r="H65" i="462"/>
  <c r="E65" i="462"/>
  <c r="F64" i="462"/>
  <c r="E66" i="462"/>
  <c r="J67" i="462"/>
  <c r="I66" i="462"/>
  <c r="E67" i="462"/>
  <c r="G65" i="462"/>
  <c r="K64" i="462"/>
  <c r="J66" i="462"/>
  <c r="J65" i="462"/>
  <c r="K65" i="462"/>
  <c r="J64" i="462"/>
  <c r="K67" i="462"/>
  <c r="H67" i="462"/>
  <c r="G67" i="462"/>
  <c r="F67" i="462"/>
  <c r="H66" i="462"/>
  <c r="L66" i="462"/>
  <c r="L65" i="462"/>
  <c r="G66" i="462"/>
  <c r="H64" i="462"/>
  <c r="I65" i="462"/>
  <c r="I67" i="462"/>
  <c r="K66" i="462"/>
  <c r="L67" i="462"/>
  <c r="E64" i="462"/>
  <c r="G64" i="462"/>
  <c r="F20" i="476"/>
  <c r="D20" i="476"/>
  <c r="C20" i="476"/>
  <c r="E20" i="476"/>
  <c r="S15" i="620"/>
  <c r="R15" i="620"/>
  <c r="Q15" i="620"/>
  <c r="E30" i="440"/>
  <c r="E35" i="440"/>
  <c r="E33" i="440"/>
  <c r="E31" i="440"/>
  <c r="E32" i="440"/>
  <c r="E34" i="440"/>
  <c r="J5" i="467"/>
  <c r="K7" i="467"/>
  <c r="K6" i="467"/>
  <c r="K4" i="467"/>
  <c r="K8" i="467"/>
  <c r="J8" i="467"/>
  <c r="J10" i="467"/>
  <c r="J6" i="467"/>
  <c r="J9" i="467"/>
  <c r="K10" i="467"/>
  <c r="K9" i="467"/>
  <c r="K5" i="467"/>
  <c r="J4" i="467"/>
  <c r="J7" i="467"/>
  <c r="S10" i="531"/>
  <c r="Q12" i="531"/>
  <c r="R3" i="531"/>
  <c r="P14" i="531"/>
  <c r="S3" i="531"/>
  <c r="R17" i="531"/>
  <c r="S18" i="531"/>
  <c r="S22" i="531"/>
  <c r="R9" i="531"/>
  <c r="P11" i="531"/>
  <c r="S14" i="531"/>
  <c r="R5" i="531"/>
  <c r="S20" i="531"/>
  <c r="R16" i="531"/>
  <c r="P23" i="531"/>
  <c r="P22" i="531"/>
  <c r="R14" i="531"/>
  <c r="S21" i="531"/>
  <c r="S15" i="531"/>
  <c r="S16" i="531"/>
  <c r="R4" i="531"/>
  <c r="Q4" i="531"/>
  <c r="Q16" i="531"/>
  <c r="R8" i="531"/>
  <c r="S17" i="531"/>
  <c r="Q3" i="531"/>
  <c r="P9" i="531"/>
  <c r="R6" i="531"/>
  <c r="P8" i="531"/>
  <c r="R20" i="531"/>
  <c r="P13" i="531"/>
  <c r="S11" i="531"/>
  <c r="S6" i="531"/>
  <c r="P19" i="531"/>
  <c r="Q20" i="531"/>
  <c r="Q7" i="531"/>
  <c r="P7" i="531"/>
  <c r="Q15" i="531"/>
  <c r="S4" i="531"/>
  <c r="R21" i="531"/>
  <c r="S8" i="531"/>
  <c r="Q13" i="531"/>
  <c r="S23" i="531"/>
  <c r="S7" i="531"/>
  <c r="S5" i="531"/>
  <c r="R18" i="531"/>
  <c r="P10" i="531"/>
  <c r="P6" i="531"/>
  <c r="S13" i="531"/>
  <c r="Q9" i="531"/>
  <c r="Q22" i="531"/>
  <c r="S9" i="531"/>
  <c r="Q23" i="531"/>
  <c r="S19" i="531"/>
  <c r="R22" i="531"/>
  <c r="R12" i="531"/>
  <c r="Q14" i="531"/>
  <c r="P3" i="531"/>
  <c r="Q8" i="531"/>
  <c r="Q21" i="531"/>
  <c r="P12" i="531"/>
  <c r="P20" i="531"/>
  <c r="Q18" i="531"/>
  <c r="R11" i="531"/>
  <c r="Q6" i="531"/>
  <c r="R13" i="531"/>
  <c r="Q19" i="531"/>
  <c r="P16" i="531"/>
  <c r="R19" i="531"/>
  <c r="P5" i="531"/>
  <c r="R10" i="531"/>
  <c r="P17" i="531"/>
  <c r="Q17" i="531"/>
  <c r="P18" i="531"/>
  <c r="S12" i="531"/>
  <c r="P4" i="531"/>
  <c r="R23" i="531"/>
  <c r="Q10" i="531"/>
  <c r="Q5" i="531"/>
  <c r="R15" i="531"/>
  <c r="P21" i="531"/>
  <c r="Q11" i="531"/>
  <c r="R7" i="531"/>
  <c r="P15" i="531"/>
  <c r="O20" i="506"/>
  <c r="N9" i="506"/>
  <c r="N20" i="506"/>
  <c r="N17" i="506"/>
  <c r="Q23" i="506"/>
  <c r="O23" i="506"/>
  <c r="Q13" i="506"/>
  <c r="O17" i="506"/>
  <c r="Q12" i="506"/>
  <c r="Q22" i="506"/>
  <c r="O7" i="506"/>
  <c r="Q10" i="506"/>
  <c r="P18" i="506"/>
  <c r="N22" i="506"/>
  <c r="O6" i="506"/>
  <c r="P15" i="506"/>
  <c r="Q4" i="506"/>
  <c r="P17" i="506"/>
  <c r="P8" i="506"/>
  <c r="Q11" i="506"/>
  <c r="P21" i="506"/>
  <c r="O3" i="506"/>
  <c r="O10" i="506"/>
  <c r="P12" i="506"/>
  <c r="P5" i="506"/>
  <c r="Q9" i="506"/>
  <c r="P6" i="506"/>
  <c r="N7" i="506"/>
  <c r="Q5" i="506"/>
  <c r="Q6" i="506"/>
  <c r="Q17" i="506"/>
  <c r="N16" i="506"/>
  <c r="O4" i="506"/>
  <c r="O15" i="506"/>
  <c r="P19" i="506"/>
  <c r="O12" i="506"/>
  <c r="Q21" i="506"/>
  <c r="P11" i="506"/>
  <c r="O14" i="506"/>
  <c r="P20" i="506"/>
  <c r="P9" i="506"/>
  <c r="N12" i="506"/>
  <c r="N3" i="506"/>
  <c r="Q3" i="506"/>
  <c r="O8" i="506"/>
  <c r="N15" i="506"/>
  <c r="P16" i="506"/>
  <c r="Q19" i="506"/>
  <c r="Q7" i="506"/>
  <c r="N23" i="506"/>
  <c r="O16" i="506"/>
  <c r="O19" i="506"/>
  <c r="P7" i="506"/>
  <c r="Q8" i="506"/>
  <c r="O22" i="506"/>
  <c r="P10" i="506"/>
  <c r="O21" i="506"/>
  <c r="N10" i="506"/>
  <c r="N5" i="506"/>
  <c r="O13" i="506"/>
  <c r="N8" i="506"/>
  <c r="O18" i="506"/>
  <c r="Q15" i="506"/>
  <c r="Q14" i="506"/>
  <c r="O9" i="506"/>
  <c r="P13" i="506"/>
  <c r="P4" i="506"/>
  <c r="Q18" i="506"/>
  <c r="N11" i="506"/>
  <c r="N21" i="506"/>
  <c r="N13" i="506"/>
  <c r="N19" i="506"/>
  <c r="P3" i="506"/>
  <c r="Q16" i="506"/>
  <c r="P22" i="506"/>
  <c r="N4" i="506"/>
  <c r="O11" i="506"/>
  <c r="N18" i="506"/>
  <c r="N14" i="506"/>
  <c r="P23" i="506"/>
  <c r="Q20" i="506"/>
  <c r="O5" i="506"/>
  <c r="P14" i="506"/>
  <c r="N6" i="506"/>
  <c r="K15" i="470"/>
  <c r="K17" i="470"/>
  <c r="L17" i="470"/>
  <c r="M17" i="470"/>
  <c r="L14" i="470"/>
  <c r="M15" i="470"/>
  <c r="M14" i="470"/>
  <c r="K14" i="470"/>
  <c r="L16" i="470"/>
  <c r="K16" i="470"/>
  <c r="L15" i="470"/>
  <c r="M16" i="470"/>
  <c r="G20" i="617"/>
  <c r="G21" i="617"/>
  <c r="F21" i="617"/>
  <c r="G19" i="617"/>
  <c r="F19" i="617"/>
  <c r="F20" i="617"/>
  <c r="K20" i="617" s="1"/>
  <c r="H39" i="462"/>
  <c r="J37" i="462"/>
  <c r="H37" i="462"/>
  <c r="F38" i="462"/>
  <c r="G39" i="462"/>
  <c r="I37" i="462"/>
  <c r="E36" i="462"/>
  <c r="H38" i="462"/>
  <c r="E37" i="462"/>
  <c r="J39" i="462"/>
  <c r="K37" i="462"/>
  <c r="J38" i="462"/>
  <c r="F39" i="462"/>
  <c r="K39" i="462"/>
  <c r="G37" i="462"/>
  <c r="G36" i="462"/>
  <c r="K38" i="462"/>
  <c r="G38" i="462"/>
  <c r="E39" i="462"/>
  <c r="L39" i="462"/>
  <c r="F36" i="462"/>
  <c r="L38" i="462"/>
  <c r="J36" i="462"/>
  <c r="E38" i="462"/>
  <c r="I38" i="462"/>
  <c r="I36" i="462"/>
  <c r="L36" i="462"/>
  <c r="K36" i="462"/>
  <c r="H36" i="462"/>
  <c r="F37" i="462"/>
  <c r="I39" i="462"/>
  <c r="L37" i="462"/>
  <c r="H11" i="618"/>
  <c r="H13" i="618" s="1"/>
  <c r="H10" i="618"/>
  <c r="F19" i="342"/>
  <c r="F20" i="342"/>
  <c r="F21" i="342"/>
  <c r="O15" i="474"/>
  <c r="O12" i="474"/>
  <c r="P14" i="474"/>
  <c r="P13" i="474"/>
  <c r="O13" i="474"/>
  <c r="P15" i="474"/>
  <c r="O14" i="474"/>
  <c r="P12" i="474"/>
  <c r="B39" i="440"/>
  <c r="C40" i="440"/>
  <c r="C42" i="440"/>
  <c r="B42" i="440"/>
  <c r="B40" i="440"/>
  <c r="C39" i="440"/>
  <c r="B41" i="440"/>
  <c r="C43" i="440"/>
  <c r="C41" i="440"/>
  <c r="B44" i="440"/>
  <c r="C44" i="440"/>
  <c r="B43" i="440"/>
  <c r="O28" i="522"/>
  <c r="O30" i="522"/>
  <c r="Q31" i="522"/>
  <c r="P30" i="522"/>
  <c r="P28" i="522"/>
  <c r="N31" i="522"/>
  <c r="P31" i="522"/>
  <c r="N30" i="522"/>
  <c r="O29" i="522"/>
  <c r="Q28" i="522"/>
  <c r="Q30" i="522"/>
  <c r="O31" i="522"/>
  <c r="Q29" i="522"/>
  <c r="P29" i="522"/>
  <c r="N28" i="522"/>
  <c r="N29" i="522"/>
  <c r="K22" i="465"/>
  <c r="M23" i="465"/>
  <c r="L24" i="465"/>
  <c r="I24" i="465"/>
  <c r="L22" i="465"/>
  <c r="N22" i="465"/>
  <c r="H23" i="465"/>
  <c r="K23" i="465"/>
  <c r="J22" i="465"/>
  <c r="I22" i="465"/>
  <c r="H24" i="465"/>
  <c r="K24" i="465"/>
  <c r="M24" i="465"/>
  <c r="J23" i="465"/>
  <c r="J24" i="465"/>
  <c r="H22" i="465"/>
  <c r="N24" i="465"/>
  <c r="N23" i="465"/>
  <c r="L23" i="465"/>
  <c r="I23" i="465"/>
  <c r="M22" i="465"/>
  <c r="H22" i="606"/>
  <c r="H20" i="606"/>
  <c r="I20" i="606"/>
  <c r="P18" i="721" s="1"/>
  <c r="I19" i="606"/>
  <c r="P17" i="721" s="1"/>
  <c r="I21" i="606"/>
  <c r="P19" i="721" s="1"/>
  <c r="H21" i="606"/>
  <c r="H19" i="606"/>
  <c r="L19" i="606" s="1"/>
  <c r="I22" i="606"/>
  <c r="P20" i="721" s="1"/>
  <c r="U7" i="341"/>
  <c r="U14" i="341"/>
  <c r="AA5" i="341"/>
  <c r="T8" i="341"/>
  <c r="X10" i="341"/>
  <c r="Y5" i="341"/>
  <c r="V10" i="341"/>
  <c r="Q14" i="341"/>
  <c r="R5" i="341"/>
  <c r="Z12" i="341"/>
  <c r="Z5" i="341"/>
  <c r="V12" i="341"/>
  <c r="S9" i="341"/>
  <c r="R4" i="341"/>
  <c r="Y6" i="341"/>
  <c r="X9" i="341"/>
  <c r="Y9" i="341"/>
  <c r="S8" i="341"/>
  <c r="Y10" i="341"/>
  <c r="U8" i="341"/>
  <c r="T13" i="341"/>
  <c r="U12" i="341"/>
  <c r="V4" i="341"/>
  <c r="S14" i="341"/>
  <c r="Y11" i="341"/>
  <c r="S10" i="341"/>
  <c r="T10" i="341"/>
  <c r="V6" i="341"/>
  <c r="AA8" i="341"/>
  <c r="Z7" i="341"/>
  <c r="Q9" i="341"/>
  <c r="Q13" i="341"/>
  <c r="W13" i="341"/>
  <c r="Y14" i="341"/>
  <c r="S13" i="341"/>
  <c r="V5" i="341"/>
  <c r="Z9" i="341"/>
  <c r="U6" i="341"/>
  <c r="R13" i="341"/>
  <c r="W8" i="341"/>
  <c r="AA13" i="341"/>
  <c r="Q6" i="341"/>
  <c r="S5" i="341"/>
  <c r="W5" i="341"/>
  <c r="U9" i="341"/>
  <c r="Z14" i="341"/>
  <c r="Z4" i="341"/>
  <c r="Y4" i="341"/>
  <c r="W6" i="341"/>
  <c r="R12" i="341"/>
  <c r="Z11" i="341"/>
  <c r="X6" i="341"/>
  <c r="X4" i="341"/>
  <c r="Y13" i="341"/>
  <c r="S11" i="341"/>
  <c r="R9" i="341"/>
  <c r="Q12" i="341"/>
  <c r="R14" i="341"/>
  <c r="S4" i="341"/>
  <c r="X12" i="341"/>
  <c r="U10" i="341"/>
  <c r="T4" i="341"/>
  <c r="Q7" i="341"/>
  <c r="U13" i="341"/>
  <c r="Q5" i="341"/>
  <c r="S7" i="341"/>
  <c r="V8" i="341"/>
  <c r="AA7" i="341"/>
  <c r="X7" i="341"/>
  <c r="W14" i="341"/>
  <c r="R7" i="341"/>
  <c r="R8" i="341"/>
  <c r="R6" i="341"/>
  <c r="V9" i="341"/>
  <c r="Q8" i="341"/>
  <c r="AA6" i="341"/>
  <c r="V14" i="341"/>
  <c r="W4" i="341"/>
  <c r="W9" i="341"/>
  <c r="Z13" i="341"/>
  <c r="X5" i="341"/>
  <c r="S6" i="341"/>
  <c r="AA11" i="341"/>
  <c r="W11" i="341"/>
  <c r="T7" i="341"/>
  <c r="Q10" i="341"/>
  <c r="R11" i="341"/>
  <c r="V7" i="341"/>
  <c r="U5" i="341"/>
  <c r="AA12" i="341"/>
  <c r="T5" i="341"/>
  <c r="Z8" i="341"/>
  <c r="T14" i="341"/>
  <c r="W7" i="341"/>
  <c r="AA10" i="341"/>
  <c r="Z10" i="341"/>
  <c r="Z6" i="341"/>
  <c r="AA4" i="341"/>
  <c r="Y8" i="341"/>
  <c r="X14" i="341"/>
  <c r="X11" i="341"/>
  <c r="S12" i="341"/>
  <c r="Q4" i="341"/>
  <c r="U4" i="341"/>
  <c r="T11" i="341"/>
  <c r="AA9" i="341"/>
  <c r="X8" i="341"/>
  <c r="Q11" i="341"/>
  <c r="U11" i="341"/>
  <c r="V13" i="341"/>
  <c r="X13" i="341"/>
  <c r="T12" i="341"/>
  <c r="T9" i="341"/>
  <c r="Y12" i="341"/>
  <c r="V11" i="341"/>
  <c r="W12" i="341"/>
  <c r="Y7" i="341"/>
  <c r="W10" i="341"/>
  <c r="R10" i="341"/>
  <c r="AA14" i="341"/>
  <c r="T6" i="341"/>
  <c r="AC12" i="341"/>
  <c r="AC9" i="341"/>
  <c r="AC4" i="341"/>
  <c r="AC6" i="341"/>
  <c r="AC11" i="341"/>
  <c r="AC14" i="341"/>
  <c r="AC5" i="341"/>
  <c r="AC7" i="341"/>
  <c r="AC8" i="341"/>
  <c r="AC13" i="341"/>
  <c r="AC10" i="341"/>
  <c r="G6" i="597"/>
  <c r="G10" i="597"/>
  <c r="F18" i="597"/>
  <c r="G17" i="597"/>
  <c r="H20" i="597"/>
  <c r="F7" i="597"/>
  <c r="E17" i="597"/>
  <c r="H17" i="597"/>
  <c r="F9" i="597"/>
  <c r="H8" i="597"/>
  <c r="F14" i="597"/>
  <c r="G13" i="597"/>
  <c r="E11" i="597"/>
  <c r="H12" i="597"/>
  <c r="E7" i="597"/>
  <c r="F13" i="597"/>
  <c r="E15" i="597"/>
  <c r="G19" i="597"/>
  <c r="E13" i="597"/>
  <c r="G8" i="597"/>
  <c r="G7" i="597"/>
  <c r="F11" i="597"/>
  <c r="H13" i="597"/>
  <c r="E20" i="597"/>
  <c r="H16" i="597"/>
  <c r="F6" i="597"/>
  <c r="F5" i="597"/>
  <c r="E9" i="597"/>
  <c r="H14" i="597"/>
  <c r="E12" i="597"/>
  <c r="E5" i="597"/>
  <c r="H7" i="597"/>
  <c r="H18" i="597"/>
  <c r="H11" i="597"/>
  <c r="E19" i="597"/>
  <c r="G14" i="597"/>
  <c r="H9" i="597"/>
  <c r="F17" i="597"/>
  <c r="H19" i="597"/>
  <c r="E16" i="597"/>
  <c r="F8" i="597"/>
  <c r="E8" i="597"/>
  <c r="G18" i="597"/>
  <c r="F15" i="597"/>
  <c r="H15" i="597"/>
  <c r="F12" i="597"/>
  <c r="H5" i="597"/>
  <c r="H6" i="597"/>
  <c r="G15" i="597"/>
  <c r="E10" i="597"/>
  <c r="G12" i="597"/>
  <c r="F16" i="597"/>
  <c r="H10" i="597"/>
  <c r="E6" i="597"/>
  <c r="E18" i="597"/>
  <c r="G9" i="597"/>
  <c r="G5" i="597"/>
  <c r="G20" i="597"/>
  <c r="E14" i="597"/>
  <c r="F20" i="597"/>
  <c r="G11" i="597"/>
  <c r="G16" i="597"/>
  <c r="F10" i="597"/>
  <c r="F19" i="597"/>
  <c r="AE18" i="510"/>
  <c r="AF17" i="510"/>
  <c r="AL19" i="510"/>
  <c r="AO17" i="510"/>
  <c r="AK17" i="510"/>
  <c r="AE16" i="510"/>
  <c r="AN17" i="510"/>
  <c r="AH15" i="510"/>
  <c r="AH18" i="510"/>
  <c r="AJ19" i="510"/>
  <c r="AN19" i="510"/>
  <c r="AK15" i="510"/>
  <c r="AN16" i="510"/>
  <c r="AM16" i="510"/>
  <c r="AJ15" i="510"/>
  <c r="AE19" i="510"/>
  <c r="AE15" i="510"/>
  <c r="AM18" i="510"/>
  <c r="AM15" i="510"/>
  <c r="AI18" i="510"/>
  <c r="AL18" i="510"/>
  <c r="AG16" i="510"/>
  <c r="AH16" i="510"/>
  <c r="AM19" i="510"/>
  <c r="AO16" i="510"/>
  <c r="AI19" i="510"/>
  <c r="AG19" i="510"/>
  <c r="AH17" i="510"/>
  <c r="AI16" i="510"/>
  <c r="AG18" i="510"/>
  <c r="AJ17" i="510"/>
  <c r="AN15" i="510"/>
  <c r="AL16" i="510"/>
  <c r="AF16" i="510"/>
  <c r="AL17" i="510"/>
  <c r="AO18" i="510"/>
  <c r="AK16" i="510"/>
  <c r="AH19" i="510"/>
  <c r="AO19" i="510"/>
  <c r="AF15" i="510"/>
  <c r="AJ16" i="510"/>
  <c r="AN18" i="510"/>
  <c r="AF18" i="510"/>
  <c r="AK19" i="510"/>
  <c r="AI15" i="510"/>
  <c r="AE17" i="510"/>
  <c r="AL15" i="510"/>
  <c r="AF19" i="510"/>
  <c r="AJ18" i="510"/>
  <c r="AG15" i="510"/>
  <c r="AI17" i="510"/>
  <c r="AG17" i="510"/>
  <c r="AO15" i="510"/>
  <c r="AK18" i="510"/>
  <c r="AM17" i="510"/>
  <c r="N16" i="619"/>
  <c r="M16" i="619"/>
  <c r="O16" i="619"/>
  <c r="P16" i="619"/>
  <c r="D20" i="523"/>
  <c r="B10" i="523"/>
  <c r="A18" i="523"/>
  <c r="C9" i="523"/>
  <c r="A15" i="523"/>
  <c r="A20" i="523"/>
  <c r="D3" i="523"/>
  <c r="B9" i="523"/>
  <c r="C19" i="523"/>
  <c r="B7" i="523"/>
  <c r="A13" i="523"/>
  <c r="D14" i="523"/>
  <c r="C11" i="523"/>
  <c r="B22" i="523"/>
  <c r="A4" i="523"/>
  <c r="B3" i="523"/>
  <c r="C16" i="523"/>
  <c r="C5" i="523"/>
  <c r="D21" i="523"/>
  <c r="B5" i="523"/>
  <c r="C4" i="523"/>
  <c r="B20" i="523"/>
  <c r="C18" i="523"/>
  <c r="D8" i="523"/>
  <c r="C7" i="523"/>
  <c r="A23" i="523"/>
  <c r="D12" i="523"/>
  <c r="D23" i="523"/>
  <c r="C8" i="523"/>
  <c r="C21" i="523"/>
  <c r="C20" i="523"/>
  <c r="C22" i="523"/>
  <c r="D10" i="523"/>
  <c r="A17" i="523"/>
  <c r="B13" i="523"/>
  <c r="C10" i="523"/>
  <c r="D15" i="523"/>
  <c r="B15" i="523"/>
  <c r="B19" i="523"/>
  <c r="C3" i="523"/>
  <c r="A16" i="523"/>
  <c r="A22" i="523"/>
  <c r="A5" i="523"/>
  <c r="A10" i="523"/>
  <c r="B23" i="523"/>
  <c r="A3" i="523"/>
  <c r="C17" i="523"/>
  <c r="D18" i="523"/>
  <c r="B6" i="523"/>
  <c r="D11" i="523"/>
  <c r="A9" i="523"/>
  <c r="B18" i="523"/>
  <c r="C13" i="523"/>
  <c r="A19" i="523"/>
  <c r="D16" i="523"/>
  <c r="B21" i="523"/>
  <c r="C6" i="523"/>
  <c r="B14" i="523"/>
  <c r="A7" i="523"/>
  <c r="A14" i="523"/>
  <c r="B16" i="523"/>
  <c r="D7" i="523"/>
  <c r="C14" i="523"/>
  <c r="A12" i="523"/>
  <c r="A8" i="523"/>
  <c r="D5" i="523"/>
  <c r="D4" i="523"/>
  <c r="D17" i="523"/>
  <c r="B12" i="523"/>
  <c r="D13" i="523"/>
  <c r="C15" i="523"/>
  <c r="B11" i="523"/>
  <c r="B4" i="523"/>
  <c r="B17" i="523"/>
  <c r="C23" i="523"/>
  <c r="D22" i="523"/>
  <c r="A11" i="523"/>
  <c r="D6" i="523"/>
  <c r="A6" i="523"/>
  <c r="B8" i="523"/>
  <c r="A21" i="523"/>
  <c r="D19" i="523"/>
  <c r="C12" i="523"/>
  <c r="D9" i="523"/>
  <c r="H43" i="478"/>
  <c r="H44" i="478"/>
  <c r="I43" i="478"/>
  <c r="H45" i="478"/>
  <c r="I44" i="478"/>
  <c r="I45" i="478"/>
  <c r="L20" i="530"/>
  <c r="Q25" i="530"/>
  <c r="N28" i="530"/>
  <c r="L22" i="530"/>
  <c r="M22" i="530"/>
  <c r="O20" i="530"/>
  <c r="N26" i="530"/>
  <c r="P22" i="530"/>
  <c r="Q21" i="530"/>
  <c r="N21" i="530"/>
  <c r="M24" i="530"/>
  <c r="O26" i="530"/>
  <c r="O27" i="530"/>
  <c r="L25" i="530"/>
  <c r="M28" i="530"/>
  <c r="Q20" i="530"/>
  <c r="L24" i="530"/>
  <c r="L23" i="530"/>
  <c r="M21" i="530"/>
  <c r="O24" i="530"/>
  <c r="M27" i="530"/>
  <c r="M26" i="530"/>
  <c r="O21" i="530"/>
  <c r="O28" i="530"/>
  <c r="L28" i="530"/>
  <c r="Q24" i="530"/>
  <c r="O22" i="530"/>
  <c r="N24" i="530"/>
  <c r="Q22" i="530"/>
  <c r="N22" i="530"/>
  <c r="O23" i="530"/>
  <c r="P23" i="530"/>
  <c r="M20" i="530"/>
  <c r="O25" i="530"/>
  <c r="Q27" i="530"/>
  <c r="Q26" i="530"/>
  <c r="L26" i="530"/>
  <c r="M23" i="530"/>
  <c r="P21" i="530"/>
  <c r="P28" i="530"/>
  <c r="N27" i="530"/>
  <c r="P26" i="530"/>
  <c r="Q23" i="530"/>
  <c r="N25" i="530"/>
  <c r="N20" i="530"/>
  <c r="M25" i="530"/>
  <c r="L21" i="530"/>
  <c r="P24" i="530"/>
  <c r="N23" i="530"/>
  <c r="P20" i="530"/>
  <c r="P27" i="530"/>
  <c r="L27" i="530"/>
  <c r="Q28" i="530"/>
  <c r="P25" i="530"/>
  <c r="U13" i="585"/>
  <c r="W13" i="585"/>
  <c r="V13" i="585"/>
  <c r="T13" i="585"/>
  <c r="F30" i="440"/>
  <c r="F32" i="440"/>
  <c r="F35" i="440"/>
  <c r="F31" i="440"/>
  <c r="F33" i="440"/>
  <c r="F34" i="440"/>
  <c r="H53" i="479"/>
  <c r="H52" i="479"/>
  <c r="H54" i="479"/>
  <c r="I54" i="479"/>
  <c r="I53" i="479"/>
  <c r="I52" i="479"/>
  <c r="E11" i="450"/>
  <c r="E12" i="450"/>
  <c r="P5" i="585"/>
  <c r="O6" i="585"/>
  <c r="O5" i="585"/>
  <c r="P8" i="585"/>
  <c r="P7" i="585"/>
  <c r="P6" i="585"/>
  <c r="O8" i="585"/>
  <c r="O7" i="585"/>
  <c r="R6" i="454"/>
  <c r="R7" i="454"/>
  <c r="H5" i="474"/>
  <c r="I4" i="474"/>
  <c r="J8" i="474"/>
  <c r="L4" i="474"/>
  <c r="K15" i="474"/>
  <c r="L6" i="474"/>
  <c r="H14" i="474"/>
  <c r="G8" i="474"/>
  <c r="K5" i="474"/>
  <c r="K12" i="474"/>
  <c r="K10" i="474"/>
  <c r="J10" i="474"/>
  <c r="I6" i="474"/>
  <c r="I15" i="474"/>
  <c r="J4" i="474"/>
  <c r="J12" i="474"/>
  <c r="H15" i="474"/>
  <c r="G4" i="474"/>
  <c r="I7" i="474"/>
  <c r="L7" i="474"/>
  <c r="K13" i="474"/>
  <c r="I12" i="474"/>
  <c r="L8" i="474"/>
  <c r="H7" i="474"/>
  <c r="K7" i="474"/>
  <c r="I10" i="474"/>
  <c r="L10" i="474"/>
  <c r="J11" i="474"/>
  <c r="G16" i="474"/>
  <c r="L9" i="474"/>
  <c r="L5" i="474"/>
  <c r="J14" i="474"/>
  <c r="G5" i="474"/>
  <c r="H4" i="474"/>
  <c r="J9" i="474"/>
  <c r="I5" i="474"/>
  <c r="I16" i="474"/>
  <c r="G14" i="474"/>
  <c r="H13" i="474"/>
  <c r="G7" i="474"/>
  <c r="I8" i="474"/>
  <c r="L14" i="474"/>
  <c r="J13" i="474"/>
  <c r="J15" i="474"/>
  <c r="K9" i="474"/>
  <c r="K11" i="474"/>
  <c r="J16" i="474"/>
  <c r="H8" i="474"/>
  <c r="J5" i="474"/>
  <c r="H9" i="474"/>
  <c r="L11" i="474"/>
  <c r="G10" i="474"/>
  <c r="L15" i="474"/>
  <c r="I11" i="474"/>
  <c r="H11" i="474"/>
  <c r="J6" i="474"/>
  <c r="I13" i="474"/>
  <c r="K6" i="474"/>
  <c r="G9" i="474"/>
  <c r="H6" i="474"/>
  <c r="K14" i="474"/>
  <c r="I14" i="474"/>
  <c r="L13" i="474"/>
  <c r="G12" i="474"/>
  <c r="H10" i="474"/>
  <c r="H16" i="474"/>
  <c r="G11" i="474"/>
  <c r="L12" i="474"/>
  <c r="G13" i="474"/>
  <c r="K16" i="474"/>
  <c r="L16" i="474"/>
  <c r="H12" i="474"/>
  <c r="K8" i="474"/>
  <c r="G15" i="474"/>
  <c r="I9" i="474"/>
  <c r="J7" i="474"/>
  <c r="G6" i="474"/>
  <c r="K4" i="474"/>
  <c r="E5" i="450"/>
  <c r="E6" i="450"/>
  <c r="E18" i="470"/>
  <c r="E16" i="470"/>
  <c r="F18" i="470"/>
  <c r="E15" i="470"/>
  <c r="E17" i="470"/>
  <c r="F16" i="470"/>
  <c r="F14" i="470"/>
  <c r="E14" i="470"/>
  <c r="F15" i="470"/>
  <c r="F17" i="470"/>
  <c r="AN28" i="300"/>
  <c r="AJ31" i="300"/>
  <c r="AL31" i="300"/>
  <c r="AO31" i="300"/>
  <c r="AO28" i="300"/>
  <c r="AO27" i="300"/>
  <c r="AJ27" i="300"/>
  <c r="AK31" i="300"/>
  <c r="AN26" i="300"/>
  <c r="AO29" i="300"/>
  <c r="AJ30" i="300"/>
  <c r="AK28" i="300"/>
  <c r="AL29" i="300"/>
  <c r="AL30" i="300"/>
  <c r="AM30" i="300"/>
  <c r="AM27" i="300"/>
  <c r="AO30" i="300"/>
  <c r="AL26" i="300"/>
  <c r="AN31" i="300"/>
  <c r="AJ28" i="300"/>
  <c r="AM31" i="300"/>
  <c r="AL28" i="300"/>
  <c r="AM26" i="300"/>
  <c r="AO26" i="300"/>
  <c r="AK27" i="300"/>
  <c r="AJ29" i="300"/>
  <c r="AK26" i="300"/>
  <c r="AN30" i="300"/>
  <c r="AK30" i="300"/>
  <c r="AL27" i="300"/>
  <c r="AJ26" i="300"/>
  <c r="AN27" i="300"/>
  <c r="AM29" i="300"/>
  <c r="AK29" i="300"/>
  <c r="AM28" i="300"/>
  <c r="AN29" i="300"/>
  <c r="G6" i="467"/>
  <c r="H7" i="467"/>
  <c r="G7" i="467"/>
  <c r="H5" i="467"/>
  <c r="H6" i="467"/>
  <c r="G5" i="467"/>
  <c r="AW9" i="523"/>
  <c r="AV19" i="523"/>
  <c r="AT5" i="523"/>
  <c r="AU5" i="523"/>
  <c r="AT23" i="523"/>
  <c r="AV16" i="523"/>
  <c r="AV20" i="523"/>
  <c r="AV7" i="523"/>
  <c r="AV15" i="523"/>
  <c r="AU3" i="523"/>
  <c r="AU4" i="523"/>
  <c r="AW5" i="523"/>
  <c r="AT22" i="523"/>
  <c r="AW20" i="523"/>
  <c r="AT20" i="523"/>
  <c r="AT4" i="523"/>
  <c r="AU18" i="523"/>
  <c r="AW14" i="523"/>
  <c r="AV21" i="523"/>
  <c r="AW3" i="523"/>
  <c r="AV4" i="523"/>
  <c r="AU21" i="523"/>
  <c r="AV23" i="523"/>
  <c r="AW7" i="523"/>
  <c r="AW21" i="523"/>
  <c r="AU22" i="523"/>
  <c r="AU12" i="523"/>
  <c r="AV8" i="523"/>
  <c r="AT6" i="523"/>
  <c r="AT17" i="523"/>
  <c r="AV13" i="523"/>
  <c r="AT9" i="523"/>
  <c r="AT18" i="523"/>
  <c r="AV9" i="523"/>
  <c r="AU19" i="523"/>
  <c r="AU7" i="523"/>
  <c r="AW11" i="523"/>
  <c r="AV17" i="523"/>
  <c r="AU14" i="523"/>
  <c r="AW19" i="523"/>
  <c r="AV6" i="523"/>
  <c r="AU23" i="523"/>
  <c r="AT8" i="523"/>
  <c r="AT11" i="523"/>
  <c r="AW4" i="523"/>
  <c r="AT3" i="523"/>
  <c r="AU17" i="523"/>
  <c r="AW15" i="523"/>
  <c r="AW13" i="523"/>
  <c r="AT13" i="523"/>
  <c r="AU9" i="523"/>
  <c r="AT21" i="523"/>
  <c r="AV5" i="523"/>
  <c r="AV22" i="523"/>
  <c r="AU10" i="523"/>
  <c r="AW23" i="523"/>
  <c r="AV12" i="523"/>
  <c r="AT7" i="523"/>
  <c r="AT19" i="523"/>
  <c r="AU6" i="523"/>
  <c r="AV11" i="523"/>
  <c r="AW8" i="523"/>
  <c r="AW17" i="523"/>
  <c r="AT10" i="523"/>
  <c r="AU20" i="523"/>
  <c r="AW12" i="523"/>
  <c r="AW22" i="523"/>
  <c r="AT15" i="523"/>
  <c r="AW10" i="523"/>
  <c r="AV3" i="523"/>
  <c r="AT16" i="523"/>
  <c r="AV18" i="523"/>
  <c r="AT12" i="523"/>
  <c r="AU15" i="523"/>
  <c r="AU11" i="523"/>
  <c r="AT14" i="523"/>
  <c r="AU16" i="523"/>
  <c r="AW18" i="523"/>
  <c r="AV14" i="523"/>
  <c r="AW16" i="523"/>
  <c r="AW6" i="523"/>
  <c r="AU13" i="523"/>
  <c r="AV10" i="523"/>
  <c r="AU8" i="523"/>
  <c r="I6" i="528"/>
  <c r="I8" i="528"/>
  <c r="I5" i="528"/>
  <c r="F7" i="528"/>
  <c r="J8" i="528"/>
  <c r="F8" i="528"/>
  <c r="H5" i="528"/>
  <c r="G8" i="528"/>
  <c r="H8" i="528"/>
  <c r="G10" i="528"/>
  <c r="J9" i="528"/>
  <c r="I10" i="528"/>
  <c r="J6" i="528"/>
  <c r="G6" i="528"/>
  <c r="I7" i="528"/>
  <c r="G5" i="528"/>
  <c r="F9" i="528"/>
  <c r="F10" i="528"/>
  <c r="H9" i="528"/>
  <c r="G9" i="528"/>
  <c r="H7" i="528"/>
  <c r="F6" i="528"/>
  <c r="J7" i="528"/>
  <c r="H10" i="528"/>
  <c r="J5" i="528"/>
  <c r="I9" i="528"/>
  <c r="F5" i="528"/>
  <c r="H6" i="528"/>
  <c r="J10" i="528"/>
  <c r="G7" i="528"/>
  <c r="K30" i="107"/>
  <c r="K28" i="107"/>
  <c r="K34" i="107"/>
  <c r="K36" i="107"/>
  <c r="K27" i="107"/>
  <c r="K35" i="107"/>
  <c r="K26" i="107"/>
  <c r="K29" i="107"/>
  <c r="K32" i="107"/>
  <c r="K33" i="107"/>
  <c r="K31" i="107"/>
  <c r="X7" i="465"/>
  <c r="X6" i="465"/>
  <c r="X8" i="465"/>
  <c r="P6" i="472"/>
  <c r="O8" i="472"/>
  <c r="O7" i="472"/>
  <c r="P8" i="472"/>
  <c r="P7" i="472"/>
  <c r="O6" i="472"/>
  <c r="P5" i="472"/>
  <c r="O5" i="472"/>
  <c r="P9" i="472"/>
  <c r="O9" i="472"/>
  <c r="K3" i="511"/>
  <c r="G8" i="511"/>
  <c r="I5" i="511"/>
  <c r="H4" i="511"/>
  <c r="K8" i="511"/>
  <c r="J4" i="511"/>
  <c r="H8" i="511"/>
  <c r="G6" i="511"/>
  <c r="K5" i="511"/>
  <c r="J8" i="511"/>
  <c r="I7" i="511"/>
  <c r="H5" i="511"/>
  <c r="J6" i="511"/>
  <c r="J7" i="511"/>
  <c r="H6" i="511"/>
  <c r="K7" i="511"/>
  <c r="I4" i="511"/>
  <c r="K4" i="511"/>
  <c r="G7" i="511"/>
  <c r="J3" i="511"/>
  <c r="H3" i="511"/>
  <c r="K6" i="511"/>
  <c r="I8" i="511"/>
  <c r="G4" i="511"/>
  <c r="I6" i="511"/>
  <c r="I3" i="511"/>
  <c r="H7" i="511"/>
  <c r="G3" i="511"/>
  <c r="G5" i="511"/>
  <c r="J5" i="511"/>
  <c r="K11" i="523"/>
  <c r="M18" i="523"/>
  <c r="M17" i="523"/>
  <c r="M20" i="523"/>
  <c r="N17" i="523"/>
  <c r="K22" i="523"/>
  <c r="L3" i="523"/>
  <c r="N4" i="523"/>
  <c r="N3" i="523"/>
  <c r="M16" i="523"/>
  <c r="K4" i="523"/>
  <c r="N16" i="523"/>
  <c r="N15" i="523"/>
  <c r="K19" i="523"/>
  <c r="K16" i="523"/>
  <c r="M13" i="523"/>
  <c r="N19" i="523"/>
  <c r="M8" i="523"/>
  <c r="M10" i="523"/>
  <c r="K18" i="523"/>
  <c r="L17" i="523"/>
  <c r="L7" i="523"/>
  <c r="L22" i="523"/>
  <c r="K9" i="523"/>
  <c r="K21" i="523"/>
  <c r="L10" i="523"/>
  <c r="N14" i="523"/>
  <c r="M14" i="523"/>
  <c r="L23" i="523"/>
  <c r="L15" i="523"/>
  <c r="L4" i="523"/>
  <c r="N23" i="523"/>
  <c r="K23" i="523"/>
  <c r="L21" i="523"/>
  <c r="K8" i="523"/>
  <c r="N13" i="523"/>
  <c r="K17" i="523"/>
  <c r="K12" i="523"/>
  <c r="N8" i="523"/>
  <c r="K7" i="523"/>
  <c r="N9" i="523"/>
  <c r="K3" i="523"/>
  <c r="M21" i="523"/>
  <c r="N10" i="523"/>
  <c r="K13" i="523"/>
  <c r="N18" i="523"/>
  <c r="M5" i="523"/>
  <c r="L19" i="523"/>
  <c r="M7" i="523"/>
  <c r="M15" i="523"/>
  <c r="L5" i="523"/>
  <c r="K10" i="523"/>
  <c r="N21" i="523"/>
  <c r="K20" i="523"/>
  <c r="M19" i="523"/>
  <c r="L13" i="523"/>
  <c r="L18" i="523"/>
  <c r="N22" i="523"/>
  <c r="L12" i="523"/>
  <c r="M6" i="523"/>
  <c r="N12" i="523"/>
  <c r="N6" i="523"/>
  <c r="K6" i="523"/>
  <c r="L6" i="523"/>
  <c r="N5" i="523"/>
  <c r="K5" i="523"/>
  <c r="M12" i="523"/>
  <c r="K14" i="523"/>
  <c r="L14" i="523"/>
  <c r="N20" i="523"/>
  <c r="N11" i="523"/>
  <c r="L16" i="523"/>
  <c r="L9" i="523"/>
  <c r="L8" i="523"/>
  <c r="M9" i="523"/>
  <c r="N7" i="523"/>
  <c r="K15" i="523"/>
  <c r="M4" i="523"/>
  <c r="M23" i="523"/>
  <c r="L11" i="523"/>
  <c r="M11" i="523"/>
  <c r="L20" i="523"/>
  <c r="M3" i="523"/>
  <c r="M22" i="523"/>
  <c r="A7" i="303"/>
  <c r="D8" i="303"/>
  <c r="A8" i="303"/>
  <c r="C5" i="303"/>
  <c r="C6" i="303"/>
  <c r="A9" i="303"/>
  <c r="C8" i="303"/>
  <c r="A5" i="303"/>
  <c r="C7" i="303"/>
  <c r="D6" i="303"/>
  <c r="B5" i="303"/>
  <c r="E7" i="303"/>
  <c r="C9" i="303"/>
  <c r="E8" i="303"/>
  <c r="B6" i="303"/>
  <c r="A6" i="303"/>
  <c r="B8" i="303"/>
  <c r="B7" i="303"/>
  <c r="D9" i="303"/>
  <c r="E9" i="303"/>
  <c r="B9" i="303"/>
  <c r="D5" i="303"/>
  <c r="E5" i="303"/>
  <c r="E6" i="303"/>
  <c r="D7" i="303"/>
  <c r="AO12" i="523"/>
  <c r="AQ12" i="523"/>
  <c r="AQ4" i="523"/>
  <c r="AQ5" i="523"/>
  <c r="AQ6" i="523"/>
  <c r="AO15" i="523"/>
  <c r="AP9" i="523"/>
  <c r="AR6" i="523"/>
  <c r="AQ7" i="523"/>
  <c r="AP20" i="523"/>
  <c r="AR3" i="523"/>
  <c r="AO9" i="523"/>
  <c r="AQ22" i="523"/>
  <c r="AR17" i="523"/>
  <c r="AP13" i="523"/>
  <c r="AR9" i="523"/>
  <c r="AP16" i="523"/>
  <c r="AR11" i="523"/>
  <c r="AP4" i="523"/>
  <c r="AO20" i="523"/>
  <c r="AP8" i="523"/>
  <c r="AQ18" i="523"/>
  <c r="AO19" i="523"/>
  <c r="AP7" i="523"/>
  <c r="AP15" i="523"/>
  <c r="AP22" i="523"/>
  <c r="AP12" i="523"/>
  <c r="AQ10" i="523"/>
  <c r="AR19" i="523"/>
  <c r="AQ17" i="523"/>
  <c r="AQ23" i="523"/>
  <c r="AO16" i="523"/>
  <c r="AR16" i="523"/>
  <c r="AO3" i="523"/>
  <c r="AP23" i="523"/>
  <c r="AP3" i="523"/>
  <c r="AR12" i="523"/>
  <c r="AO10" i="523"/>
  <c r="AP11" i="523"/>
  <c r="AR8" i="523"/>
  <c r="AP21" i="523"/>
  <c r="AR15" i="523"/>
  <c r="AO8" i="523"/>
  <c r="AQ21" i="523"/>
  <c r="AR7" i="523"/>
  <c r="AR13" i="523"/>
  <c r="AR4" i="523"/>
  <c r="AQ8" i="523"/>
  <c r="AO6" i="523"/>
  <c r="AQ3" i="523"/>
  <c r="AQ16" i="523"/>
  <c r="AR5" i="523"/>
  <c r="AQ15" i="523"/>
  <c r="AQ11" i="523"/>
  <c r="AP6" i="523"/>
  <c r="AR21" i="523"/>
  <c r="AR22" i="523"/>
  <c r="AR20" i="523"/>
  <c r="AR23" i="523"/>
  <c r="AQ14" i="523"/>
  <c r="AO4" i="523"/>
  <c r="AP5" i="523"/>
  <c r="AO5" i="523"/>
  <c r="AR10" i="523"/>
  <c r="AO7" i="523"/>
  <c r="AO22" i="523"/>
  <c r="AO17" i="523"/>
  <c r="AO11" i="523"/>
  <c r="AR14" i="523"/>
  <c r="AP19" i="523"/>
  <c r="AO14" i="523"/>
  <c r="AP18" i="523"/>
  <c r="AP14" i="523"/>
  <c r="AO13" i="523"/>
  <c r="AQ20" i="523"/>
  <c r="AO18" i="523"/>
  <c r="AO21" i="523"/>
  <c r="AP10" i="523"/>
  <c r="AQ19" i="523"/>
  <c r="AQ13" i="523"/>
  <c r="AR18" i="523"/>
  <c r="AP17" i="523"/>
  <c r="AQ9" i="523"/>
  <c r="AO23" i="523"/>
  <c r="O7" i="341"/>
  <c r="O5" i="341"/>
  <c r="O8" i="341"/>
  <c r="O13" i="341"/>
  <c r="O10" i="341"/>
  <c r="O4" i="341"/>
  <c r="O6" i="341"/>
  <c r="O12" i="341"/>
  <c r="O14" i="341"/>
  <c r="O9" i="341"/>
  <c r="O11" i="341"/>
  <c r="M25" i="591"/>
  <c r="M7" i="591"/>
  <c r="M32" i="591"/>
  <c r="M12" i="591"/>
  <c r="M15" i="591"/>
  <c r="M19" i="591"/>
  <c r="M4" i="591"/>
  <c r="M28" i="591"/>
  <c r="M20" i="591"/>
  <c r="M21" i="591"/>
  <c r="M18" i="591"/>
  <c r="M10" i="591"/>
  <c r="M9" i="591"/>
  <c r="M13" i="591"/>
  <c r="M29" i="591"/>
  <c r="M8" i="591"/>
  <c r="M27" i="591"/>
  <c r="M17" i="591"/>
  <c r="M26" i="591"/>
  <c r="M3" i="591"/>
  <c r="M24" i="591"/>
  <c r="M22" i="591"/>
  <c r="M6" i="591"/>
  <c r="M30" i="591"/>
  <c r="M16" i="591"/>
  <c r="M5" i="591"/>
  <c r="M11" i="591"/>
  <c r="M31" i="591"/>
  <c r="M14" i="591"/>
  <c r="M23" i="591"/>
  <c r="L16" i="591"/>
  <c r="L5" i="591"/>
  <c r="L14" i="591"/>
  <c r="L29" i="591"/>
  <c r="L4" i="591"/>
  <c r="L7" i="591"/>
  <c r="L32" i="591"/>
  <c r="L25" i="591"/>
  <c r="L11" i="591"/>
  <c r="L24" i="591"/>
  <c r="L3" i="591"/>
  <c r="L6" i="591"/>
  <c r="L17" i="591"/>
  <c r="L13" i="591"/>
  <c r="L10" i="591"/>
  <c r="L19" i="591"/>
  <c r="L22" i="591"/>
  <c r="L23" i="591"/>
  <c r="L20" i="591"/>
  <c r="L9" i="591"/>
  <c r="L26" i="591"/>
  <c r="L27" i="591"/>
  <c r="L15" i="591"/>
  <c r="L18" i="591"/>
  <c r="L12" i="591"/>
  <c r="L21" i="591"/>
  <c r="L31" i="591"/>
  <c r="L8" i="591"/>
  <c r="L30" i="591"/>
  <c r="L28" i="591"/>
  <c r="F49" i="463"/>
  <c r="G50" i="463"/>
  <c r="G51" i="463"/>
  <c r="H49" i="463"/>
  <c r="F50" i="463"/>
  <c r="H50" i="463"/>
  <c r="F51" i="463"/>
  <c r="H51" i="463"/>
  <c r="G49" i="463"/>
  <c r="I12" i="510"/>
  <c r="J14" i="510"/>
  <c r="K21" i="510"/>
  <c r="J13" i="510"/>
  <c r="J22" i="510"/>
  <c r="H4" i="510"/>
  <c r="I6" i="510"/>
  <c r="I22" i="510"/>
  <c r="J23" i="510"/>
  <c r="K20" i="510"/>
  <c r="I8" i="510"/>
  <c r="I20" i="510"/>
  <c r="K16" i="510"/>
  <c r="J9" i="510"/>
  <c r="H23" i="510"/>
  <c r="J19" i="510"/>
  <c r="I13" i="510"/>
  <c r="H9" i="510"/>
  <c r="I15" i="510"/>
  <c r="J7" i="510"/>
  <c r="H5" i="510"/>
  <c r="H13" i="510"/>
  <c r="K9" i="510"/>
  <c r="K7" i="510"/>
  <c r="H19" i="510"/>
  <c r="K19" i="510"/>
  <c r="H15" i="510"/>
  <c r="K15" i="510"/>
  <c r="J5" i="510"/>
  <c r="I16" i="510"/>
  <c r="K11" i="510"/>
  <c r="J10" i="510"/>
  <c r="J4" i="510"/>
  <c r="J15" i="510"/>
  <c r="J8" i="510"/>
  <c r="I9" i="510"/>
  <c r="I11" i="510"/>
  <c r="I23" i="510"/>
  <c r="H11" i="510"/>
  <c r="I21" i="510"/>
  <c r="J12" i="510"/>
  <c r="H12" i="510"/>
  <c r="K13" i="510"/>
  <c r="I14" i="510"/>
  <c r="H22" i="510"/>
  <c r="J11" i="510"/>
  <c r="I4" i="510"/>
  <c r="H14" i="510"/>
  <c r="J16" i="510"/>
  <c r="K10" i="510"/>
  <c r="H6" i="510"/>
  <c r="J20" i="510"/>
  <c r="I5" i="510"/>
  <c r="H20" i="510"/>
  <c r="H21" i="510"/>
  <c r="I10" i="510"/>
  <c r="I18" i="510"/>
  <c r="J18" i="510"/>
  <c r="K4" i="510"/>
  <c r="H8" i="510"/>
  <c r="K17" i="510"/>
  <c r="J21" i="510"/>
  <c r="K5" i="510"/>
  <c r="K6" i="510"/>
  <c r="I19" i="510"/>
  <c r="I7" i="510"/>
  <c r="H10" i="510"/>
  <c r="H17" i="510"/>
  <c r="I17" i="510"/>
  <c r="H18" i="510"/>
  <c r="H7" i="510"/>
  <c r="K23" i="510"/>
  <c r="K18" i="510"/>
  <c r="J6" i="510"/>
  <c r="K14" i="510"/>
  <c r="H16" i="510"/>
  <c r="K8" i="510"/>
  <c r="K12" i="510"/>
  <c r="K22" i="510"/>
  <c r="J17" i="510"/>
  <c r="G21" i="342"/>
  <c r="G19" i="342"/>
  <c r="G20" i="342"/>
  <c r="E20" i="607"/>
  <c r="F19" i="607"/>
  <c r="F20" i="607"/>
  <c r="I20" i="607" s="1"/>
  <c r="E19" i="607"/>
  <c r="L7" i="530"/>
  <c r="N6" i="530"/>
  <c r="M5" i="530"/>
  <c r="P6" i="530"/>
  <c r="L6" i="530"/>
  <c r="O7" i="530"/>
  <c r="O10" i="530"/>
  <c r="O6" i="530"/>
  <c r="N5" i="530"/>
  <c r="L9" i="530"/>
  <c r="O8" i="530"/>
  <c r="P5" i="530"/>
  <c r="M7" i="530"/>
  <c r="L8" i="530"/>
  <c r="M6" i="530"/>
  <c r="N8" i="530"/>
  <c r="N7" i="530"/>
  <c r="M10" i="530"/>
  <c r="N9" i="530"/>
  <c r="P7" i="530"/>
  <c r="P8" i="530"/>
  <c r="N10" i="530"/>
  <c r="L10" i="530"/>
  <c r="O5" i="530"/>
  <c r="L5" i="530"/>
  <c r="M9" i="530"/>
  <c r="P10" i="530"/>
  <c r="O9" i="530"/>
  <c r="P9" i="530"/>
  <c r="M8" i="530"/>
  <c r="AA5" i="467"/>
  <c r="AA6" i="467"/>
  <c r="AA4" i="467"/>
  <c r="AB7" i="467"/>
  <c r="AB4" i="467"/>
  <c r="AC7" i="467"/>
  <c r="AA7" i="467"/>
  <c r="AC6" i="467"/>
  <c r="AB5" i="467"/>
  <c r="AC4" i="467"/>
  <c r="AC5" i="467"/>
  <c r="AB6" i="467"/>
  <c r="G26" i="98"/>
  <c r="G28" i="98"/>
  <c r="H26" i="98"/>
  <c r="H28" i="98"/>
  <c r="H27" i="98"/>
  <c r="I28" i="98"/>
  <c r="I26" i="98"/>
  <c r="I27" i="98"/>
  <c r="G27" i="98"/>
  <c r="AB5" i="523"/>
  <c r="AC4" i="523"/>
  <c r="Z4" i="523"/>
  <c r="AC11" i="523"/>
  <c r="AC16" i="523"/>
  <c r="AC14" i="523"/>
  <c r="Z17" i="523"/>
  <c r="AC12" i="523"/>
  <c r="Z6" i="523"/>
  <c r="AC9" i="523"/>
  <c r="Z9" i="523"/>
  <c r="AB14" i="523"/>
  <c r="AA14" i="523"/>
  <c r="AB22" i="523"/>
  <c r="AC15" i="523"/>
  <c r="Z13" i="523"/>
  <c r="AA23" i="523"/>
  <c r="Z3" i="523"/>
  <c r="AC17" i="523"/>
  <c r="Z16" i="523"/>
  <c r="AB12" i="523"/>
  <c r="AA16" i="523"/>
  <c r="AB15" i="523"/>
  <c r="AB21" i="523"/>
  <c r="AA5" i="523"/>
  <c r="AB20" i="523"/>
  <c r="AB9" i="523"/>
  <c r="AA3" i="523"/>
  <c r="AB8" i="523"/>
  <c r="AB3" i="523"/>
  <c r="Z8" i="523"/>
  <c r="Z18" i="523"/>
  <c r="AB17" i="523"/>
  <c r="AC13" i="523"/>
  <c r="AA22" i="523"/>
  <c r="AC23" i="523"/>
  <c r="AA19" i="523"/>
  <c r="Z19" i="523"/>
  <c r="AC21" i="523"/>
  <c r="AC5" i="523"/>
  <c r="AA6" i="523"/>
  <c r="Z7" i="523"/>
  <c r="Z5" i="523"/>
  <c r="Z15" i="523"/>
  <c r="AA12" i="523"/>
  <c r="AC20" i="523"/>
  <c r="AA4" i="523"/>
  <c r="Z21" i="523"/>
  <c r="AA15" i="523"/>
  <c r="AA17" i="523"/>
  <c r="AB10" i="523"/>
  <c r="AB23" i="523"/>
  <c r="AA18" i="523"/>
  <c r="AB6" i="523"/>
  <c r="AB13" i="523"/>
  <c r="AC18" i="523"/>
  <c r="AC22" i="523"/>
  <c r="AC19" i="523"/>
  <c r="Z11" i="523"/>
  <c r="AC7" i="523"/>
  <c r="AC3" i="523"/>
  <c r="AC8" i="523"/>
  <c r="AB7" i="523"/>
  <c r="AA21" i="523"/>
  <c r="Z12" i="523"/>
  <c r="AB16" i="523"/>
  <c r="Z10" i="523"/>
  <c r="Z14" i="523"/>
  <c r="AA7" i="523"/>
  <c r="Z20" i="523"/>
  <c r="AB4" i="523"/>
  <c r="AA10" i="523"/>
  <c r="AA9" i="523"/>
  <c r="AB19" i="523"/>
  <c r="Z22" i="523"/>
  <c r="AC10" i="523"/>
  <c r="AA8" i="523"/>
  <c r="AA13" i="523"/>
  <c r="AB11" i="523"/>
  <c r="AA20" i="523"/>
  <c r="AB18" i="523"/>
  <c r="AC6" i="523"/>
  <c r="Z23" i="523"/>
  <c r="AA11" i="523"/>
  <c r="L9" i="606"/>
  <c r="K7" i="606"/>
  <c r="L6" i="606"/>
  <c r="M8" i="606"/>
  <c r="J7" i="606"/>
  <c r="K8" i="606"/>
  <c r="K6" i="606"/>
  <c r="K9" i="606"/>
  <c r="L8" i="606"/>
  <c r="J8" i="606"/>
  <c r="L7" i="606"/>
  <c r="M9" i="606"/>
  <c r="J9" i="606"/>
  <c r="M6" i="606"/>
  <c r="J6" i="606"/>
  <c r="M7" i="606"/>
  <c r="K29" i="591"/>
  <c r="K13" i="591"/>
  <c r="K3" i="591"/>
  <c r="K12" i="591"/>
  <c r="K19" i="591"/>
  <c r="K11" i="591"/>
  <c r="K15" i="591"/>
  <c r="K17" i="591"/>
  <c r="K18" i="591"/>
  <c r="K22" i="591"/>
  <c r="K31" i="591"/>
  <c r="K21" i="591"/>
  <c r="K32" i="591"/>
  <c r="K14" i="591"/>
  <c r="K5" i="591"/>
  <c r="K20" i="591"/>
  <c r="K7" i="591"/>
  <c r="K8" i="591"/>
  <c r="K6" i="591"/>
  <c r="K30" i="591"/>
  <c r="K4" i="591"/>
  <c r="K10" i="591"/>
  <c r="K28" i="591"/>
  <c r="K26" i="591"/>
  <c r="K25" i="591"/>
  <c r="K16" i="591"/>
  <c r="K24" i="591"/>
  <c r="K27" i="591"/>
  <c r="K9" i="591"/>
  <c r="K23" i="591"/>
  <c r="AB21" i="522"/>
  <c r="AB19" i="522"/>
  <c r="AB22" i="522"/>
  <c r="AB20" i="522"/>
  <c r="AJ11" i="523"/>
  <c r="AK6" i="523"/>
  <c r="AJ13" i="523"/>
  <c r="AM17" i="523"/>
  <c r="AL23" i="523"/>
  <c r="AL9" i="523"/>
  <c r="AJ7" i="523"/>
  <c r="AJ19" i="523"/>
  <c r="AM6" i="523"/>
  <c r="AK18" i="523"/>
  <c r="AJ4" i="523"/>
  <c r="AM5" i="523"/>
  <c r="AK15" i="523"/>
  <c r="AM19" i="523"/>
  <c r="AK5" i="523"/>
  <c r="AK8" i="523"/>
  <c r="AK3" i="523"/>
  <c r="AJ6" i="523"/>
  <c r="AL16" i="523"/>
  <c r="AL5" i="523"/>
  <c r="AJ18" i="523"/>
  <c r="AK14" i="523"/>
  <c r="AL19" i="523"/>
  <c r="AJ3" i="523"/>
  <c r="AK16" i="523"/>
  <c r="AM23" i="523"/>
  <c r="AK10" i="523"/>
  <c r="AM3" i="523"/>
  <c r="AM7" i="523"/>
  <c r="AJ21" i="523"/>
  <c r="AJ22" i="523"/>
  <c r="AJ16" i="523"/>
  <c r="AM4" i="523"/>
  <c r="AM16" i="523"/>
  <c r="AJ5" i="523"/>
  <c r="AL3" i="523"/>
  <c r="AM14" i="523"/>
  <c r="AJ9" i="523"/>
  <c r="AL15" i="523"/>
  <c r="AL18" i="523"/>
  <c r="AM21" i="523"/>
  <c r="AK13" i="523"/>
  <c r="AM13" i="523"/>
  <c r="AK9" i="523"/>
  <c r="AM8" i="523"/>
  <c r="AJ23" i="523"/>
  <c r="AM15" i="523"/>
  <c r="AJ8" i="523"/>
  <c r="AL17" i="523"/>
  <c r="AK4" i="523"/>
  <c r="AL20" i="523"/>
  <c r="AK11" i="523"/>
  <c r="AM12" i="523"/>
  <c r="AM18" i="523"/>
  <c r="AK22" i="523"/>
  <c r="AK23" i="523"/>
  <c r="AJ14" i="523"/>
  <c r="AL6" i="523"/>
  <c r="AL11" i="523"/>
  <c r="AJ15" i="523"/>
  <c r="AL22" i="523"/>
  <c r="AL8" i="523"/>
  <c r="AJ17" i="523"/>
  <c r="AK20" i="523"/>
  <c r="AL13" i="523"/>
  <c r="AL12" i="523"/>
  <c r="AM9" i="523"/>
  <c r="AJ12" i="523"/>
  <c r="AK12" i="523"/>
  <c r="AM20" i="523"/>
  <c r="AM22" i="523"/>
  <c r="AL10" i="523"/>
  <c r="AM10" i="523"/>
  <c r="AJ10" i="523"/>
  <c r="AJ20" i="523"/>
  <c r="AL14" i="523"/>
  <c r="AM11" i="523"/>
  <c r="AK17" i="523"/>
  <c r="AL7" i="523"/>
  <c r="AK19" i="523"/>
  <c r="AK21" i="523"/>
  <c r="AL21" i="523"/>
  <c r="AL4" i="523"/>
  <c r="AK7" i="523"/>
  <c r="C7" i="298"/>
  <c r="B5" i="298"/>
  <c r="C8" i="298"/>
  <c r="D7" i="298"/>
  <c r="A6" i="298"/>
  <c r="B6" i="298"/>
  <c r="D6" i="298"/>
  <c r="B7" i="298"/>
  <c r="D8" i="298"/>
  <c r="C5" i="298"/>
  <c r="A7" i="298"/>
  <c r="A5" i="298"/>
  <c r="A8" i="298"/>
  <c r="B8" i="298"/>
  <c r="D5" i="298"/>
  <c r="C6" i="298"/>
  <c r="AC20" i="522"/>
  <c r="AC19" i="522"/>
  <c r="AC21" i="522"/>
  <c r="AC22" i="522"/>
  <c r="F109" i="463"/>
  <c r="D105" i="463"/>
  <c r="F110" i="463"/>
  <c r="F113" i="463"/>
  <c r="B113" i="463"/>
  <c r="E107" i="463"/>
  <c r="F111" i="463"/>
  <c r="D114" i="463"/>
  <c r="F108" i="463"/>
  <c r="D115" i="463"/>
  <c r="E110" i="463"/>
  <c r="D112" i="463"/>
  <c r="E116" i="463"/>
  <c r="D109" i="463"/>
  <c r="C114" i="463"/>
  <c r="C110" i="463"/>
  <c r="B106" i="463"/>
  <c r="C113" i="463"/>
  <c r="C111" i="463"/>
  <c r="F107" i="463"/>
  <c r="E117" i="463"/>
  <c r="E113" i="463"/>
  <c r="B117" i="463"/>
  <c r="C109" i="463"/>
  <c r="F114" i="463"/>
  <c r="F117" i="463"/>
  <c r="B108" i="463"/>
  <c r="F112" i="463"/>
  <c r="C108" i="463"/>
  <c r="E111" i="463"/>
  <c r="C115" i="463"/>
  <c r="C117" i="463"/>
  <c r="E109" i="463"/>
  <c r="F116" i="463"/>
  <c r="E115" i="463"/>
  <c r="B105" i="463"/>
  <c r="F115" i="463"/>
  <c r="C116" i="463"/>
  <c r="B115" i="463"/>
  <c r="D106" i="463"/>
  <c r="E108" i="463"/>
  <c r="D111" i="463"/>
  <c r="B110" i="463"/>
  <c r="B111" i="463"/>
  <c r="B107" i="463"/>
  <c r="D110" i="463"/>
  <c r="C106" i="463"/>
  <c r="E105" i="463"/>
  <c r="E106" i="463"/>
  <c r="B116" i="463"/>
  <c r="C112" i="463"/>
  <c r="F106" i="463"/>
  <c r="C107" i="463"/>
  <c r="B109" i="463"/>
  <c r="B114" i="463"/>
  <c r="B112" i="463"/>
  <c r="E112" i="463"/>
  <c r="D116" i="463"/>
  <c r="D107" i="463"/>
  <c r="D113" i="463"/>
  <c r="D117" i="463"/>
  <c r="F105" i="463"/>
  <c r="E114" i="463"/>
  <c r="C105" i="463"/>
  <c r="D108" i="463"/>
  <c r="H14" i="522"/>
  <c r="H16" i="522"/>
  <c r="J13" i="522"/>
  <c r="G13" i="522"/>
  <c r="G15" i="522"/>
  <c r="I16" i="522"/>
  <c r="J16" i="522"/>
  <c r="J14" i="522"/>
  <c r="I15" i="522"/>
  <c r="G16" i="522"/>
  <c r="J15" i="522"/>
  <c r="G14" i="522"/>
  <c r="I13" i="522"/>
  <c r="I14" i="522"/>
  <c r="H15" i="522"/>
  <c r="H13" i="522"/>
  <c r="E14" i="303"/>
  <c r="C14" i="303"/>
  <c r="A14" i="303"/>
  <c r="D14" i="303"/>
  <c r="D17" i="303"/>
  <c r="D16" i="303"/>
  <c r="A17" i="303"/>
  <c r="B15" i="303"/>
  <c r="E17" i="303"/>
  <c r="C13" i="303"/>
  <c r="E16" i="303"/>
  <c r="B13" i="303"/>
  <c r="D15" i="303"/>
  <c r="B14" i="303"/>
  <c r="D13" i="303"/>
  <c r="E13" i="303"/>
  <c r="C16" i="303"/>
  <c r="C17" i="303"/>
  <c r="A13" i="303"/>
  <c r="A16" i="303"/>
  <c r="C15" i="303"/>
  <c r="A15" i="303"/>
  <c r="E15" i="303"/>
  <c r="B17" i="303"/>
  <c r="B16" i="303"/>
  <c r="AA11" i="467"/>
  <c r="AC14" i="467"/>
  <c r="AB12" i="467"/>
  <c r="AA12" i="467"/>
  <c r="AC12" i="467"/>
  <c r="AB13" i="467"/>
  <c r="AB14" i="467"/>
  <c r="AC11" i="467"/>
  <c r="AC13" i="467"/>
  <c r="AA13" i="467"/>
  <c r="AA14" i="467"/>
  <c r="AB11" i="467"/>
  <c r="T9" i="619"/>
  <c r="T10" i="619" s="1"/>
  <c r="AA40" i="290"/>
  <c r="AB40" i="290"/>
  <c r="AA38" i="290"/>
  <c r="AB39" i="290"/>
  <c r="AA39" i="290"/>
  <c r="AB38" i="290"/>
  <c r="B15" i="618"/>
  <c r="G34" i="463"/>
  <c r="H28" i="463"/>
  <c r="F33" i="463"/>
  <c r="F28" i="463"/>
  <c r="H31" i="463"/>
  <c r="G32" i="463"/>
  <c r="F30" i="463"/>
  <c r="H29" i="463"/>
  <c r="G30" i="463"/>
  <c r="H30" i="463"/>
  <c r="F31" i="463"/>
  <c r="F34" i="463"/>
  <c r="H33" i="463"/>
  <c r="G31" i="463"/>
  <c r="H34" i="463"/>
  <c r="G33" i="463"/>
  <c r="F29" i="463"/>
  <c r="G29" i="463"/>
  <c r="F32" i="463"/>
  <c r="H32" i="463"/>
  <c r="G28" i="463"/>
  <c r="O18" i="341"/>
  <c r="AV22" i="531"/>
  <c r="AT17" i="531"/>
  <c r="AT9" i="531"/>
  <c r="AW15" i="531"/>
  <c r="AT23" i="531"/>
  <c r="AT21" i="531"/>
  <c r="AW13" i="531"/>
  <c r="AU13" i="531"/>
  <c r="AU16" i="531"/>
  <c r="AT3" i="531"/>
  <c r="AU14" i="531"/>
  <c r="AW23" i="531"/>
  <c r="AV15" i="531"/>
  <c r="AU3" i="531"/>
  <c r="AV5" i="531"/>
  <c r="AU22" i="531"/>
  <c r="AV18" i="531"/>
  <c r="AU11" i="531"/>
  <c r="AW22" i="531"/>
  <c r="AU6" i="531"/>
  <c r="AU21" i="531"/>
  <c r="AW5" i="531"/>
  <c r="AU19" i="531"/>
  <c r="AV20" i="531"/>
  <c r="AV19" i="531"/>
  <c r="AT22" i="531"/>
  <c r="AT13" i="531"/>
  <c r="AV8" i="531"/>
  <c r="AW17" i="531"/>
  <c r="AV14" i="531"/>
  <c r="AV12" i="531"/>
  <c r="AW8" i="531"/>
  <c r="AT18" i="531"/>
  <c r="AT8" i="531"/>
  <c r="AW10" i="531"/>
  <c r="AT16" i="531"/>
  <c r="AV3" i="531"/>
  <c r="AW20" i="531"/>
  <c r="AT4" i="531"/>
  <c r="AU4" i="531"/>
  <c r="AU23" i="531"/>
  <c r="AV4" i="531"/>
  <c r="AT20" i="531"/>
  <c r="AT6" i="531"/>
  <c r="AW19" i="531"/>
  <c r="AW7" i="531"/>
  <c r="AV21" i="531"/>
  <c r="AW12" i="531"/>
  <c r="AU15" i="531"/>
  <c r="AW21" i="531"/>
  <c r="AW16" i="531"/>
  <c r="AV17" i="531"/>
  <c r="AU7" i="531"/>
  <c r="AT5" i="531"/>
  <c r="AW9" i="531"/>
  <c r="AT12" i="531"/>
  <c r="AT19" i="531"/>
  <c r="AV11" i="531"/>
  <c r="AW3" i="531"/>
  <c r="AT10" i="531"/>
  <c r="AV10" i="531"/>
  <c r="AV7" i="531"/>
  <c r="AU20" i="531"/>
  <c r="AW6" i="531"/>
  <c r="AU17" i="531"/>
  <c r="AT14" i="531"/>
  <c r="AU9" i="531"/>
  <c r="AV9" i="531"/>
  <c r="AW14" i="531"/>
  <c r="AU5" i="531"/>
  <c r="AV13" i="531"/>
  <c r="AT11" i="531"/>
  <c r="AV16" i="531"/>
  <c r="AU12" i="531"/>
  <c r="AW4" i="531"/>
  <c r="AV6" i="531"/>
  <c r="AU10" i="531"/>
  <c r="AT15" i="531"/>
  <c r="AW18" i="531"/>
  <c r="AT7" i="531"/>
  <c r="AV23" i="531"/>
  <c r="AU8" i="531"/>
  <c r="AU18" i="531"/>
  <c r="AW11" i="531"/>
  <c r="P19" i="472"/>
  <c r="P16" i="472"/>
  <c r="O19" i="472"/>
  <c r="O18" i="472"/>
  <c r="O17" i="472"/>
  <c r="O13" i="472"/>
  <c r="P18" i="472"/>
  <c r="O14" i="472"/>
  <c r="P14" i="472"/>
  <c r="P17" i="472"/>
  <c r="O15" i="472"/>
  <c r="O16" i="472"/>
  <c r="P15" i="472"/>
  <c r="P13" i="472"/>
  <c r="AL5" i="531"/>
  <c r="AL8" i="531"/>
  <c r="AM6" i="531"/>
  <c r="AJ11" i="531"/>
  <c r="AK9" i="531"/>
  <c r="AL17" i="531"/>
  <c r="AK20" i="531"/>
  <c r="AL7" i="531"/>
  <c r="AK4" i="531"/>
  <c r="AL14" i="531"/>
  <c r="AM18" i="531"/>
  <c r="AJ17" i="531"/>
  <c r="AM11" i="531"/>
  <c r="AL3" i="531"/>
  <c r="AM14" i="531"/>
  <c r="AJ10" i="531"/>
  <c r="AM10" i="531"/>
  <c r="AJ6" i="531"/>
  <c r="AM5" i="531"/>
  <c r="AL9" i="531"/>
  <c r="AK7" i="531"/>
  <c r="AJ3" i="531"/>
  <c r="AL11" i="531"/>
  <c r="AL16" i="531"/>
  <c r="AK22" i="531"/>
  <c r="AL4" i="531"/>
  <c r="AJ4" i="531"/>
  <c r="AK6" i="531"/>
  <c r="AK18" i="531"/>
  <c r="AL12" i="531"/>
  <c r="AL23" i="531"/>
  <c r="AM15" i="531"/>
  <c r="AL13" i="531"/>
  <c r="AL20" i="531"/>
  <c r="AM19" i="531"/>
  <c r="AJ20" i="531"/>
  <c r="AK12" i="531"/>
  <c r="AL22" i="531"/>
  <c r="AM3" i="531"/>
  <c r="AK3" i="531"/>
  <c r="AJ14" i="531"/>
  <c r="AL6" i="531"/>
  <c r="AJ23" i="531"/>
  <c r="AJ8" i="531"/>
  <c r="AK11" i="531"/>
  <c r="AM12" i="531"/>
  <c r="AM13" i="531"/>
  <c r="AM8" i="531"/>
  <c r="AL19" i="531"/>
  <c r="AJ22" i="531"/>
  <c r="AM21" i="531"/>
  <c r="AJ15" i="531"/>
  <c r="AJ5" i="531"/>
  <c r="AM17" i="531"/>
  <c r="AK17" i="531"/>
  <c r="AJ13" i="531"/>
  <c r="AM16" i="531"/>
  <c r="AM4" i="531"/>
  <c r="AK19" i="531"/>
  <c r="AJ18" i="531"/>
  <c r="AM20" i="531"/>
  <c r="AJ19" i="531"/>
  <c r="AL21" i="531"/>
  <c r="AM22" i="531"/>
  <c r="AK14" i="531"/>
  <c r="AM23" i="531"/>
  <c r="AK16" i="531"/>
  <c r="AM9" i="531"/>
  <c r="AJ7" i="531"/>
  <c r="AJ21" i="531"/>
  <c r="AL18" i="531"/>
  <c r="AK13" i="531"/>
  <c r="AJ16" i="531"/>
  <c r="AK21" i="531"/>
  <c r="AK5" i="531"/>
  <c r="AL10" i="531"/>
  <c r="AL15" i="531"/>
  <c r="AJ9" i="531"/>
  <c r="AK15" i="531"/>
  <c r="AM7" i="531"/>
  <c r="AJ12" i="531"/>
  <c r="AK8" i="531"/>
  <c r="AK23" i="531"/>
  <c r="AK10" i="531"/>
  <c r="G14" i="517"/>
  <c r="J13" i="517"/>
  <c r="I14" i="517"/>
  <c r="G16" i="517"/>
  <c r="H13" i="517"/>
  <c r="I16" i="517"/>
  <c r="H14" i="517"/>
  <c r="I15" i="517"/>
  <c r="J15" i="517"/>
  <c r="G13" i="517"/>
  <c r="G15" i="517"/>
  <c r="I13" i="517"/>
  <c r="J14" i="517"/>
  <c r="H16" i="517"/>
  <c r="J16" i="517"/>
  <c r="H15" i="517"/>
  <c r="I5" i="303"/>
  <c r="G5" i="303"/>
  <c r="H7" i="303"/>
  <c r="G7" i="303"/>
  <c r="H9" i="303"/>
  <c r="I6" i="303"/>
  <c r="K8" i="303"/>
  <c r="H8" i="303"/>
  <c r="H5" i="303"/>
  <c r="G8" i="303"/>
  <c r="H6" i="303"/>
  <c r="I8" i="303"/>
  <c r="G6" i="303"/>
  <c r="G9" i="303"/>
  <c r="J8" i="303"/>
  <c r="K7" i="303"/>
  <c r="J5" i="303"/>
  <c r="J9" i="303"/>
  <c r="K6" i="303"/>
  <c r="J7" i="303"/>
  <c r="K9" i="303"/>
  <c r="I7" i="303"/>
  <c r="K5" i="303"/>
  <c r="J6" i="303"/>
  <c r="I9" i="303"/>
  <c r="I28" i="476"/>
  <c r="J28" i="476"/>
  <c r="K28" i="476"/>
  <c r="K25" i="476"/>
  <c r="I26" i="476"/>
  <c r="L25" i="476"/>
  <c r="J26" i="476"/>
  <c r="I25" i="476"/>
  <c r="K26" i="476"/>
  <c r="K27" i="476"/>
  <c r="L26" i="476"/>
  <c r="J25" i="476"/>
  <c r="L28" i="476"/>
  <c r="I27" i="476"/>
  <c r="J27" i="476"/>
  <c r="L27" i="476"/>
  <c r="N10" i="576"/>
  <c r="N11" i="576" s="1"/>
  <c r="M16" i="496"/>
  <c r="M18" i="496"/>
  <c r="M19" i="496"/>
  <c r="N17" i="496"/>
  <c r="M17" i="496"/>
  <c r="M20" i="496"/>
  <c r="N16" i="496"/>
  <c r="N19" i="496"/>
  <c r="N18" i="496"/>
  <c r="N20" i="496"/>
  <c r="H13" i="511"/>
  <c r="H14" i="511"/>
  <c r="G13" i="511"/>
  <c r="J13" i="511"/>
  <c r="G12" i="511"/>
  <c r="K14" i="511"/>
  <c r="J14" i="511"/>
  <c r="I13" i="511"/>
  <c r="K12" i="511"/>
  <c r="I14" i="511"/>
  <c r="L14" i="511"/>
  <c r="J12" i="511"/>
  <c r="I12" i="511"/>
  <c r="L12" i="511"/>
  <c r="G14" i="511"/>
  <c r="L13" i="511"/>
  <c r="H12" i="511"/>
  <c r="K13" i="511"/>
  <c r="K5" i="515"/>
  <c r="H4" i="515"/>
  <c r="I7" i="515"/>
  <c r="J6" i="515"/>
  <c r="G7" i="515"/>
  <c r="G6" i="515"/>
  <c r="G8" i="515"/>
  <c r="I5" i="515"/>
  <c r="K4" i="515"/>
  <c r="K7" i="515"/>
  <c r="G5" i="515"/>
  <c r="I8" i="515"/>
  <c r="G4" i="515"/>
  <c r="H8" i="515"/>
  <c r="H7" i="515"/>
  <c r="K6" i="515"/>
  <c r="I4" i="515"/>
  <c r="I6" i="515"/>
  <c r="J4" i="515"/>
  <c r="J8" i="515"/>
  <c r="H5" i="515"/>
  <c r="K8" i="515"/>
  <c r="J5" i="515"/>
  <c r="H6" i="515"/>
  <c r="J7" i="515"/>
  <c r="N6" i="470"/>
  <c r="N10" i="470"/>
  <c r="N8" i="470"/>
  <c r="O4" i="470"/>
  <c r="K7" i="470"/>
  <c r="N4" i="470"/>
  <c r="O7" i="470"/>
  <c r="L8" i="470"/>
  <c r="L5" i="470"/>
  <c r="M4" i="470"/>
  <c r="O6" i="470"/>
  <c r="L10" i="470"/>
  <c r="M6" i="470"/>
  <c r="K6" i="470"/>
  <c r="K5" i="470"/>
  <c r="L9" i="470"/>
  <c r="M7" i="470"/>
  <c r="L4" i="470"/>
  <c r="N9" i="470"/>
  <c r="M9" i="470"/>
  <c r="K4" i="470"/>
  <c r="O8" i="470"/>
  <c r="N5" i="470"/>
  <c r="M8" i="470"/>
  <c r="L7" i="470"/>
  <c r="O10" i="470"/>
  <c r="M5" i="470"/>
  <c r="L6" i="470"/>
  <c r="O9" i="470"/>
  <c r="O5" i="470"/>
  <c r="K8" i="470"/>
  <c r="K9" i="470"/>
  <c r="K10" i="470"/>
  <c r="M10" i="470"/>
  <c r="N7" i="470"/>
  <c r="H16" i="529"/>
  <c r="I16" i="529"/>
  <c r="F16" i="529"/>
  <c r="F17" i="529"/>
  <c r="I15" i="529"/>
  <c r="J17" i="529"/>
  <c r="G18" i="529"/>
  <c r="G14" i="529"/>
  <c r="G17" i="529"/>
  <c r="F18" i="529"/>
  <c r="H18" i="529"/>
  <c r="F15" i="529"/>
  <c r="J14" i="529"/>
  <c r="J18" i="529"/>
  <c r="H14" i="529"/>
  <c r="F14" i="529"/>
  <c r="G16" i="529"/>
  <c r="I14" i="529"/>
  <c r="J16" i="529"/>
  <c r="I17" i="529"/>
  <c r="G15" i="529"/>
  <c r="I18" i="529"/>
  <c r="H17" i="529"/>
  <c r="J15" i="529"/>
  <c r="H15" i="529"/>
  <c r="S6" i="467"/>
  <c r="T6" i="467"/>
  <c r="R6" i="467"/>
  <c r="H27" i="448"/>
  <c r="F8" i="448"/>
  <c r="G20" i="448"/>
  <c r="F13" i="448"/>
  <c r="F29" i="448"/>
  <c r="F17" i="448"/>
  <c r="F19" i="448"/>
  <c r="F14" i="448"/>
  <c r="G26" i="448"/>
  <c r="G11" i="448"/>
  <c r="G7" i="448"/>
  <c r="G5" i="448"/>
  <c r="G9" i="448"/>
  <c r="G6" i="448"/>
  <c r="H15" i="448"/>
  <c r="H20" i="448"/>
  <c r="G14" i="448"/>
  <c r="G13" i="448"/>
  <c r="G19" i="448"/>
  <c r="F4" i="448"/>
  <c r="F3" i="448"/>
  <c r="G25" i="448"/>
  <c r="H26" i="448"/>
  <c r="G22" i="448"/>
  <c r="H28" i="448"/>
  <c r="G23" i="448"/>
  <c r="F21" i="448"/>
  <c r="F22" i="448"/>
  <c r="F18" i="448"/>
  <c r="F10" i="448"/>
  <c r="F24" i="448"/>
  <c r="H22" i="448"/>
  <c r="H12" i="448"/>
  <c r="F11" i="448"/>
  <c r="H6" i="448"/>
  <c r="H3" i="448"/>
  <c r="F20" i="448"/>
  <c r="H13" i="448"/>
  <c r="H9" i="448"/>
  <c r="G4" i="448"/>
  <c r="G17" i="448"/>
  <c r="G16" i="448"/>
  <c r="G27" i="448"/>
  <c r="H17" i="448"/>
  <c r="H11" i="448"/>
  <c r="H14" i="448"/>
  <c r="F26" i="448"/>
  <c r="G8" i="448"/>
  <c r="F15" i="448"/>
  <c r="F9" i="448"/>
  <c r="H23" i="448"/>
  <c r="H29" i="448"/>
  <c r="F5" i="448"/>
  <c r="H21" i="448"/>
  <c r="G18" i="448"/>
  <c r="H25" i="448"/>
  <c r="G12" i="448"/>
  <c r="F25" i="448"/>
  <c r="H4" i="448"/>
  <c r="F6" i="448"/>
  <c r="F28" i="448"/>
  <c r="H18" i="448"/>
  <c r="G21" i="448"/>
  <c r="H5" i="448"/>
  <c r="H10" i="448"/>
  <c r="G3" i="448"/>
  <c r="G15" i="448"/>
  <c r="H8" i="448"/>
  <c r="H7" i="448"/>
  <c r="H16" i="448"/>
  <c r="H19" i="448"/>
  <c r="F12" i="448"/>
  <c r="G29" i="448"/>
  <c r="G28" i="448"/>
  <c r="F27" i="448"/>
  <c r="G10" i="448"/>
  <c r="F23" i="448"/>
  <c r="F7" i="448"/>
  <c r="F16" i="448"/>
  <c r="H24" i="448"/>
  <c r="G24" i="448"/>
  <c r="P16" i="505"/>
  <c r="N19" i="505"/>
  <c r="Q17" i="505"/>
  <c r="O6" i="505"/>
  <c r="Q4" i="505"/>
  <c r="N22" i="505"/>
  <c r="P6" i="505"/>
  <c r="O22" i="505"/>
  <c r="Q19" i="505"/>
  <c r="P14" i="505"/>
  <c r="O18" i="505"/>
  <c r="O17" i="505"/>
  <c r="Q10" i="505"/>
  <c r="O12" i="505"/>
  <c r="O16" i="505"/>
  <c r="O14" i="505"/>
  <c r="N11" i="505"/>
  <c r="Q12" i="505"/>
  <c r="N9" i="505"/>
  <c r="N4" i="505"/>
  <c r="Q8" i="505"/>
  <c r="Q15" i="505"/>
  <c r="P10" i="505"/>
  <c r="P20" i="505"/>
  <c r="O8" i="505"/>
  <c r="N10" i="505"/>
  <c r="O11" i="505"/>
  <c r="O7" i="505"/>
  <c r="P13" i="505"/>
  <c r="P8" i="505"/>
  <c r="O4" i="505"/>
  <c r="Q22" i="505"/>
  <c r="P12" i="505"/>
  <c r="N13" i="505"/>
  <c r="P23" i="505"/>
  <c r="Q23" i="505"/>
  <c r="P19" i="505"/>
  <c r="Q6" i="505"/>
  <c r="N15" i="505"/>
  <c r="P11" i="505"/>
  <c r="Q13" i="505"/>
  <c r="N20" i="505"/>
  <c r="Q20" i="505"/>
  <c r="O13" i="505"/>
  <c r="N7" i="505"/>
  <c r="N17" i="505"/>
  <c r="O21" i="505"/>
  <c r="P4" i="505"/>
  <c r="Q3" i="505"/>
  <c r="P9" i="505"/>
  <c r="O23" i="505"/>
  <c r="Q11" i="505"/>
  <c r="N14" i="505"/>
  <c r="O5" i="505"/>
  <c r="Q16" i="505"/>
  <c r="Q18" i="505"/>
  <c r="N16" i="505"/>
  <c r="P22" i="505"/>
  <c r="Q21" i="505"/>
  <c r="Q9" i="505"/>
  <c r="P15" i="505"/>
  <c r="N23" i="505"/>
  <c r="O10" i="505"/>
  <c r="P3" i="505"/>
  <c r="N8" i="505"/>
  <c r="P5" i="505"/>
  <c r="Q14" i="505"/>
  <c r="N12" i="505"/>
  <c r="N3" i="505"/>
  <c r="O20" i="505"/>
  <c r="N6" i="505"/>
  <c r="N21" i="505"/>
  <c r="O9" i="505"/>
  <c r="O15" i="505"/>
  <c r="O3" i="505"/>
  <c r="Q7" i="505"/>
  <c r="N5" i="505"/>
  <c r="P17" i="505"/>
  <c r="P18" i="505"/>
  <c r="P21" i="505"/>
  <c r="N18" i="505"/>
  <c r="O19" i="505"/>
  <c r="Q5" i="505"/>
  <c r="P7" i="505"/>
  <c r="T8" i="211"/>
  <c r="U11" i="211"/>
  <c r="T11" i="211"/>
  <c r="U10" i="211"/>
  <c r="T10" i="211"/>
  <c r="U9" i="211"/>
  <c r="T9" i="211"/>
  <c r="U8" i="211"/>
  <c r="H45" i="467"/>
  <c r="H44" i="467"/>
  <c r="K43" i="467"/>
  <c r="N45" i="467"/>
  <c r="K45" i="467"/>
  <c r="J45" i="467"/>
  <c r="M44" i="467"/>
  <c r="H43" i="467"/>
  <c r="M43" i="467"/>
  <c r="I44" i="467"/>
  <c r="L45" i="467"/>
  <c r="M45" i="467"/>
  <c r="J43" i="467"/>
  <c r="J44" i="467"/>
  <c r="L43" i="467"/>
  <c r="L44" i="467"/>
  <c r="K44" i="467"/>
  <c r="I45" i="467"/>
  <c r="N43" i="467"/>
  <c r="I43" i="467"/>
  <c r="N44" i="467"/>
  <c r="T22" i="86"/>
  <c r="T21" i="86"/>
  <c r="T24" i="86"/>
  <c r="T23" i="86"/>
  <c r="N19" i="635"/>
  <c r="N18" i="635"/>
  <c r="M19" i="635"/>
  <c r="N20" i="635"/>
  <c r="M20" i="635"/>
  <c r="M18" i="635"/>
  <c r="J16" i="506"/>
  <c r="K20" i="506"/>
  <c r="K23" i="506"/>
  <c r="J22" i="506"/>
  <c r="J10" i="506"/>
  <c r="J6" i="506"/>
  <c r="H15" i="506"/>
  <c r="I4" i="506"/>
  <c r="H7" i="506"/>
  <c r="H11" i="506"/>
  <c r="I17" i="506"/>
  <c r="H8" i="506"/>
  <c r="I12" i="506"/>
  <c r="K11" i="506"/>
  <c r="I6" i="506"/>
  <c r="J7" i="506"/>
  <c r="J23" i="506"/>
  <c r="H4" i="506"/>
  <c r="I18" i="506"/>
  <c r="I8" i="506"/>
  <c r="K19" i="506"/>
  <c r="H19" i="506"/>
  <c r="J12" i="506"/>
  <c r="K18" i="506"/>
  <c r="I9" i="506"/>
  <c r="H16" i="506"/>
  <c r="J5" i="506"/>
  <c r="K13" i="506"/>
  <c r="I19" i="506"/>
  <c r="I10" i="506"/>
  <c r="K9" i="506"/>
  <c r="J11" i="506"/>
  <c r="K15" i="506"/>
  <c r="K12" i="506"/>
  <c r="H12" i="506"/>
  <c r="H23" i="506"/>
  <c r="J13" i="506"/>
  <c r="J14" i="506"/>
  <c r="H6" i="506"/>
  <c r="I21" i="506"/>
  <c r="K10" i="506"/>
  <c r="K21" i="506"/>
  <c r="I5" i="506"/>
  <c r="I16" i="506"/>
  <c r="H10" i="506"/>
  <c r="J4" i="506"/>
  <c r="J20" i="506"/>
  <c r="H9" i="506"/>
  <c r="I14" i="506"/>
  <c r="H18" i="506"/>
  <c r="H20" i="506"/>
  <c r="H13" i="506"/>
  <c r="K14" i="506"/>
  <c r="J19" i="506"/>
  <c r="J17" i="506"/>
  <c r="H17" i="506"/>
  <c r="H22" i="506"/>
  <c r="K4" i="506"/>
  <c r="J8" i="506"/>
  <c r="I15" i="506"/>
  <c r="H21" i="506"/>
  <c r="J21" i="506"/>
  <c r="I13" i="506"/>
  <c r="I20" i="506"/>
  <c r="K22" i="506"/>
  <c r="K6" i="506"/>
  <c r="J9" i="506"/>
  <c r="I22" i="506"/>
  <c r="H14" i="506"/>
  <c r="K5" i="506"/>
  <c r="J18" i="506"/>
  <c r="I11" i="506"/>
  <c r="I7" i="506"/>
  <c r="I23" i="506"/>
  <c r="K16" i="506"/>
  <c r="K17" i="506"/>
  <c r="H5" i="506"/>
  <c r="K7" i="506"/>
  <c r="K8" i="506"/>
  <c r="J15" i="506"/>
  <c r="K54" i="462"/>
  <c r="K57" i="462"/>
  <c r="I56" i="462"/>
  <c r="K56" i="462"/>
  <c r="J54" i="462"/>
  <c r="K60" i="462"/>
  <c r="L59" i="462"/>
  <c r="I55" i="462"/>
  <c r="J60" i="462"/>
  <c r="L60" i="462"/>
  <c r="J56" i="462"/>
  <c r="I58" i="462"/>
  <c r="J58" i="462"/>
  <c r="J59" i="462"/>
  <c r="K55" i="462"/>
  <c r="J57" i="462"/>
  <c r="I59" i="462"/>
  <c r="L55" i="462"/>
  <c r="K59" i="462"/>
  <c r="L54" i="462"/>
  <c r="I60" i="462"/>
  <c r="K58" i="462"/>
  <c r="I54" i="462"/>
  <c r="J55" i="462"/>
  <c r="I57" i="462"/>
  <c r="L56" i="462"/>
  <c r="L58" i="462"/>
  <c r="L57" i="462"/>
  <c r="Z5" i="585"/>
  <c r="Z6" i="585"/>
  <c r="Y5" i="585"/>
  <c r="Z8" i="585"/>
  <c r="Z7" i="585"/>
  <c r="Y7" i="585"/>
  <c r="Y6" i="585"/>
  <c r="Y8" i="585"/>
  <c r="N16" i="620"/>
  <c r="L16" i="620"/>
  <c r="M16" i="620"/>
  <c r="J23" i="467"/>
  <c r="I23" i="467"/>
  <c r="K22" i="467"/>
  <c r="J22" i="467"/>
  <c r="K23" i="467"/>
  <c r="I22" i="467"/>
  <c r="M23" i="467"/>
  <c r="M24" i="467"/>
  <c r="H22" i="467"/>
  <c r="H23" i="467"/>
  <c r="L22" i="467"/>
  <c r="I24" i="467"/>
  <c r="N23" i="467"/>
  <c r="J24" i="467"/>
  <c r="L24" i="467"/>
  <c r="N22" i="467"/>
  <c r="L23" i="467"/>
  <c r="M22" i="467"/>
  <c r="K24" i="467"/>
  <c r="H24" i="467"/>
  <c r="N24" i="467"/>
  <c r="R6" i="472"/>
  <c r="X7" i="472"/>
  <c r="V8" i="472"/>
  <c r="T5" i="472"/>
  <c r="V7" i="472"/>
  <c r="T6" i="472"/>
  <c r="S6" i="472"/>
  <c r="W7" i="472"/>
  <c r="Y5" i="472"/>
  <c r="S8" i="472"/>
  <c r="U7" i="472"/>
  <c r="S5" i="472"/>
  <c r="R8" i="472"/>
  <c r="X5" i="472"/>
  <c r="U6" i="472"/>
  <c r="U5" i="472"/>
  <c r="S7" i="472"/>
  <c r="W5" i="472"/>
  <c r="U8" i="472"/>
  <c r="X8" i="472"/>
  <c r="V5" i="472"/>
  <c r="Y6" i="472"/>
  <c r="W8" i="472"/>
  <c r="Y8" i="472"/>
  <c r="T7" i="472"/>
  <c r="X6" i="472"/>
  <c r="R5" i="472"/>
  <c r="W6" i="472"/>
  <c r="T8" i="472"/>
  <c r="R7" i="472"/>
  <c r="V6" i="472"/>
  <c r="Y7" i="472"/>
  <c r="H8" i="470"/>
  <c r="G7" i="470"/>
  <c r="F7" i="470"/>
  <c r="I6" i="470"/>
  <c r="E8" i="470"/>
  <c r="I7" i="470"/>
  <c r="F10" i="470"/>
  <c r="E5" i="470"/>
  <c r="I8" i="470"/>
  <c r="H9" i="470"/>
  <c r="F8" i="470"/>
  <c r="I10" i="470"/>
  <c r="E9" i="470"/>
  <c r="G6" i="470"/>
  <c r="E7" i="470"/>
  <c r="E6" i="470"/>
  <c r="G8" i="470"/>
  <c r="H6" i="470"/>
  <c r="F5" i="470"/>
  <c r="G5" i="470"/>
  <c r="F6" i="470"/>
  <c r="E10" i="470"/>
  <c r="I9" i="470"/>
  <c r="G10" i="470"/>
  <c r="G9" i="470"/>
  <c r="H5" i="470"/>
  <c r="H7" i="470"/>
  <c r="F9" i="470"/>
  <c r="H10" i="470"/>
  <c r="I5" i="470"/>
  <c r="K14" i="505"/>
  <c r="J23" i="505"/>
  <c r="J7" i="505"/>
  <c r="H16" i="505"/>
  <c r="H15" i="505"/>
  <c r="I10" i="505"/>
  <c r="J13" i="505"/>
  <c r="H17" i="505"/>
  <c r="I6" i="505"/>
  <c r="K17" i="505"/>
  <c r="J17" i="505"/>
  <c r="I21" i="505"/>
  <c r="J14" i="505"/>
  <c r="I3" i="505"/>
  <c r="H5" i="505"/>
  <c r="K15" i="505"/>
  <c r="H20" i="505"/>
  <c r="K12" i="505"/>
  <c r="I9" i="505"/>
  <c r="K4" i="505"/>
  <c r="J21" i="505"/>
  <c r="J3" i="505"/>
  <c r="K9" i="505"/>
  <c r="K5" i="505"/>
  <c r="H12" i="505"/>
  <c r="I4" i="505"/>
  <c r="H19" i="505"/>
  <c r="H6" i="505"/>
  <c r="I23" i="505"/>
  <c r="K11" i="505"/>
  <c r="I5" i="505"/>
  <c r="K18" i="505"/>
  <c r="I7" i="505"/>
  <c r="K23" i="505"/>
  <c r="J4" i="505"/>
  <c r="I14" i="505"/>
  <c r="I18" i="505"/>
  <c r="H22" i="505"/>
  <c r="J15" i="505"/>
  <c r="K10" i="505"/>
  <c r="H10" i="505"/>
  <c r="K21" i="505"/>
  <c r="K13" i="505"/>
  <c r="J12" i="505"/>
  <c r="H3" i="505"/>
  <c r="J8" i="505"/>
  <c r="K8" i="505"/>
  <c r="J9" i="505"/>
  <c r="H4" i="505"/>
  <c r="H13" i="505"/>
  <c r="K22" i="505"/>
  <c r="I19" i="505"/>
  <c r="J5" i="505"/>
  <c r="J6" i="505"/>
  <c r="I8" i="505"/>
  <c r="H9" i="505"/>
  <c r="J10" i="505"/>
  <c r="H14" i="505"/>
  <c r="J16" i="505"/>
  <c r="H11" i="505"/>
  <c r="K6" i="505"/>
  <c r="J22" i="505"/>
  <c r="K20" i="505"/>
  <c r="I13" i="505"/>
  <c r="J19" i="505"/>
  <c r="J11" i="505"/>
  <c r="K16" i="505"/>
  <c r="K3" i="505"/>
  <c r="H23" i="505"/>
  <c r="I16" i="505"/>
  <c r="H18" i="505"/>
  <c r="I12" i="505"/>
  <c r="J18" i="505"/>
  <c r="H21" i="505"/>
  <c r="I11" i="505"/>
  <c r="H7" i="505"/>
  <c r="I17" i="505"/>
  <c r="K19" i="505"/>
  <c r="J20" i="505"/>
  <c r="I15" i="505"/>
  <c r="K7" i="505"/>
  <c r="I22" i="505"/>
  <c r="I20" i="505"/>
  <c r="H8" i="505"/>
  <c r="X15" i="467"/>
  <c r="Y13" i="467"/>
  <c r="V14" i="467"/>
  <c r="Y7" i="467"/>
  <c r="W15" i="467"/>
  <c r="V8" i="467"/>
  <c r="V13" i="467"/>
  <c r="W7" i="467"/>
  <c r="V7" i="467"/>
  <c r="W4" i="467"/>
  <c r="X12" i="467"/>
  <c r="V16" i="467"/>
  <c r="V10" i="467"/>
  <c r="W14" i="467"/>
  <c r="X5" i="467"/>
  <c r="Y10" i="467"/>
  <c r="X11" i="467"/>
  <c r="W9" i="467"/>
  <c r="Y11" i="467"/>
  <c r="X7" i="467"/>
  <c r="V11" i="467"/>
  <c r="X4" i="467"/>
  <c r="X10" i="467"/>
  <c r="X6" i="467"/>
  <c r="X8" i="467"/>
  <c r="Y8" i="467"/>
  <c r="V12" i="467"/>
  <c r="Y5" i="467"/>
  <c r="W13" i="467"/>
  <c r="V6" i="467"/>
  <c r="Y6" i="467"/>
  <c r="V4" i="467"/>
  <c r="W5" i="467"/>
  <c r="X13" i="467"/>
  <c r="Y12" i="467"/>
  <c r="Y16" i="467"/>
  <c r="X14" i="467"/>
  <c r="W16" i="467"/>
  <c r="W8" i="467"/>
  <c r="Y9" i="467"/>
  <c r="W12" i="467"/>
  <c r="Y4" i="467"/>
  <c r="W6" i="467"/>
  <c r="Y15" i="467"/>
  <c r="X9" i="467"/>
  <c r="X16" i="467"/>
  <c r="V9" i="467"/>
  <c r="V15" i="467"/>
  <c r="V5" i="467"/>
  <c r="W10" i="467"/>
  <c r="W11" i="467"/>
  <c r="Y14" i="467"/>
  <c r="T8" i="467"/>
  <c r="S8" i="467"/>
  <c r="R8" i="467"/>
  <c r="O20" i="507"/>
  <c r="O16" i="507"/>
  <c r="O10" i="507"/>
  <c r="P3" i="507"/>
  <c r="N3" i="507"/>
  <c r="P19" i="507"/>
  <c r="P9" i="507"/>
  <c r="Q6" i="507"/>
  <c r="N17" i="507"/>
  <c r="Q5" i="507"/>
  <c r="O11" i="507"/>
  <c r="Q20" i="507"/>
  <c r="O4" i="507"/>
  <c r="O18" i="507"/>
  <c r="P15" i="507"/>
  <c r="Q18" i="507"/>
  <c r="O6" i="507"/>
  <c r="Q12" i="507"/>
  <c r="Q23" i="507"/>
  <c r="O14" i="507"/>
  <c r="P5" i="507"/>
  <c r="N6" i="507"/>
  <c r="Q21" i="507"/>
  <c r="O23" i="507"/>
  <c r="P12" i="507"/>
  <c r="Q9" i="507"/>
  <c r="N5" i="507"/>
  <c r="Q16" i="507"/>
  <c r="N16" i="507"/>
  <c r="N14" i="507"/>
  <c r="P10" i="507"/>
  <c r="O5" i="507"/>
  <c r="Q4" i="507"/>
  <c r="P4" i="507"/>
  <c r="N19" i="507"/>
  <c r="O21" i="507"/>
  <c r="Q13" i="507"/>
  <c r="Q19" i="507"/>
  <c r="P23" i="507"/>
  <c r="P18" i="507"/>
  <c r="Q22" i="507"/>
  <c r="O12" i="507"/>
  <c r="P7" i="507"/>
  <c r="N20" i="507"/>
  <c r="Q11" i="507"/>
  <c r="N15" i="507"/>
  <c r="N9" i="507"/>
  <c r="N13" i="507"/>
  <c r="O19" i="507"/>
  <c r="Q8" i="507"/>
  <c r="N23" i="507"/>
  <c r="Q17" i="507"/>
  <c r="N18" i="507"/>
  <c r="N10" i="507"/>
  <c r="P13" i="507"/>
  <c r="N12" i="507"/>
  <c r="O22" i="507"/>
  <c r="P17" i="507"/>
  <c r="O9" i="507"/>
  <c r="P14" i="507"/>
  <c r="P16" i="507"/>
  <c r="Q14" i="507"/>
  <c r="Q10" i="507"/>
  <c r="P11" i="507"/>
  <c r="P8" i="507"/>
  <c r="N21" i="507"/>
  <c r="N7" i="507"/>
  <c r="P21" i="507"/>
  <c r="N22" i="507"/>
  <c r="O17" i="507"/>
  <c r="O13" i="507"/>
  <c r="O8" i="507"/>
  <c r="P6" i="507"/>
  <c r="Q15" i="507"/>
  <c r="O7" i="507"/>
  <c r="P22" i="507"/>
  <c r="Q7" i="507"/>
  <c r="N11" i="507"/>
  <c r="O3" i="507"/>
  <c r="N8" i="507"/>
  <c r="P20" i="507"/>
  <c r="Q3" i="507"/>
  <c r="N4" i="507"/>
  <c r="O15" i="507"/>
  <c r="G8" i="584"/>
  <c r="G6" i="584"/>
  <c r="F7" i="584"/>
  <c r="F8" i="584"/>
  <c r="F6" i="584"/>
  <c r="F5" i="584"/>
  <c r="G5" i="584"/>
  <c r="G7" i="584"/>
  <c r="L3" i="298"/>
  <c r="H10" i="456"/>
  <c r="H8" i="456"/>
  <c r="H9" i="456"/>
  <c r="O21" i="474"/>
  <c r="N21" i="474"/>
  <c r="N19" i="474"/>
  <c r="P23" i="474"/>
  <c r="O23" i="474"/>
  <c r="O22" i="474"/>
  <c r="N23" i="474"/>
  <c r="P20" i="474"/>
  <c r="P22" i="474"/>
  <c r="N22" i="474"/>
  <c r="O20" i="474"/>
  <c r="P19" i="474"/>
  <c r="P21" i="474"/>
  <c r="N20" i="474"/>
  <c r="O19" i="474"/>
  <c r="S9" i="523"/>
  <c r="Q8" i="523"/>
  <c r="S18" i="523"/>
  <c r="P10" i="523"/>
  <c r="Q18" i="523"/>
  <c r="S12" i="523"/>
  <c r="R20" i="523"/>
  <c r="Q3" i="523"/>
  <c r="P22" i="523"/>
  <c r="R15" i="523"/>
  <c r="Q7" i="523"/>
  <c r="P20" i="523"/>
  <c r="R22" i="523"/>
  <c r="P17" i="523"/>
  <c r="P16" i="523"/>
  <c r="Q15" i="523"/>
  <c r="P19" i="523"/>
  <c r="Q20" i="523"/>
  <c r="P18" i="523"/>
  <c r="S15" i="523"/>
  <c r="R7" i="523"/>
  <c r="P12" i="523"/>
  <c r="R9" i="523"/>
  <c r="P14" i="523"/>
  <c r="R13" i="523"/>
  <c r="P9" i="523"/>
  <c r="S5" i="523"/>
  <c r="S19" i="523"/>
  <c r="S14" i="523"/>
  <c r="Q9" i="523"/>
  <c r="R18" i="523"/>
  <c r="R11" i="523"/>
  <c r="S11" i="523"/>
  <c r="P21" i="523"/>
  <c r="S16" i="523"/>
  <c r="P13" i="523"/>
  <c r="P11" i="523"/>
  <c r="S20" i="523"/>
  <c r="Q23" i="523"/>
  <c r="Q6" i="523"/>
  <c r="P6" i="523"/>
  <c r="P3" i="523"/>
  <c r="R14" i="523"/>
  <c r="P5" i="523"/>
  <c r="R23" i="523"/>
  <c r="R8" i="523"/>
  <c r="R21" i="523"/>
  <c r="S8" i="523"/>
  <c r="R16" i="523"/>
  <c r="S22" i="523"/>
  <c r="Q11" i="523"/>
  <c r="R5" i="523"/>
  <c r="S6" i="523"/>
  <c r="Q19" i="523"/>
  <c r="R6" i="523"/>
  <c r="Q12" i="523"/>
  <c r="R4" i="523"/>
  <c r="Q4" i="523"/>
  <c r="P15" i="523"/>
  <c r="Q13" i="523"/>
  <c r="P8" i="523"/>
  <c r="P4" i="523"/>
  <c r="S10" i="523"/>
  <c r="P23" i="523"/>
  <c r="S3" i="523"/>
  <c r="Q22" i="523"/>
  <c r="R19" i="523"/>
  <c r="R3" i="523"/>
  <c r="Q21" i="523"/>
  <c r="Q10" i="523"/>
  <c r="Q17" i="523"/>
  <c r="S21" i="523"/>
  <c r="R10" i="523"/>
  <c r="S7" i="523"/>
  <c r="S17" i="523"/>
  <c r="Q16" i="523"/>
  <c r="Q5" i="523"/>
  <c r="R17" i="523"/>
  <c r="R12" i="523"/>
  <c r="P7" i="523"/>
  <c r="Q14" i="523"/>
  <c r="S4" i="523"/>
  <c r="S23" i="523"/>
  <c r="S13" i="523"/>
  <c r="AR23" i="531"/>
  <c r="AQ18" i="531"/>
  <c r="AQ15" i="531"/>
  <c r="AO21" i="531"/>
  <c r="AR18" i="531"/>
  <c r="AR9" i="531"/>
  <c r="AO13" i="531"/>
  <c r="AO19" i="531"/>
  <c r="AO18" i="531"/>
  <c r="AP18" i="531"/>
  <c r="AR16" i="531"/>
  <c r="AR7" i="531"/>
  <c r="AO8" i="531"/>
  <c r="AR6" i="531"/>
  <c r="AO5" i="531"/>
  <c r="AP6" i="531"/>
  <c r="AO22" i="531"/>
  <c r="AR15" i="531"/>
  <c r="AQ20" i="531"/>
  <c r="AO14" i="531"/>
  <c r="AR14" i="531"/>
  <c r="AP14" i="531"/>
  <c r="AP22" i="531"/>
  <c r="AP21" i="531"/>
  <c r="AO11" i="531"/>
  <c r="AP15" i="531"/>
  <c r="AP19" i="531"/>
  <c r="AP17" i="531"/>
  <c r="AQ17" i="531"/>
  <c r="AP3" i="531"/>
  <c r="AR3" i="531"/>
  <c r="AO3" i="531"/>
  <c r="AR12" i="531"/>
  <c r="AP23" i="531"/>
  <c r="AQ12" i="531"/>
  <c r="AR11" i="531"/>
  <c r="AR19" i="531"/>
  <c r="AR5" i="531"/>
  <c r="AO16" i="531"/>
  <c r="AQ14" i="531"/>
  <c r="AP5" i="531"/>
  <c r="AP12" i="531"/>
  <c r="AR8" i="531"/>
  <c r="AO10" i="531"/>
  <c r="AR21" i="531"/>
  <c r="AP16" i="531"/>
  <c r="AO17" i="531"/>
  <c r="AQ5" i="531"/>
  <c r="AQ4" i="531"/>
  <c r="AP13" i="531"/>
  <c r="AR13" i="531"/>
  <c r="AQ11" i="531"/>
  <c r="AO4" i="531"/>
  <c r="AO20" i="531"/>
  <c r="AQ7" i="531"/>
  <c r="AO12" i="531"/>
  <c r="AQ13" i="531"/>
  <c r="AO6" i="531"/>
  <c r="AQ16" i="531"/>
  <c r="AO9" i="531"/>
  <c r="AQ10" i="531"/>
  <c r="AO7" i="531"/>
  <c r="AR4" i="531"/>
  <c r="AP8" i="531"/>
  <c r="AQ21" i="531"/>
  <c r="AR22" i="531"/>
  <c r="AO23" i="531"/>
  <c r="AR20" i="531"/>
  <c r="AP20" i="531"/>
  <c r="AP9" i="531"/>
  <c r="AQ19" i="531"/>
  <c r="AQ9" i="531"/>
  <c r="AP10" i="531"/>
  <c r="AP7" i="531"/>
  <c r="AO15" i="531"/>
  <c r="AQ23" i="531"/>
  <c r="AQ3" i="531"/>
  <c r="AQ22" i="531"/>
  <c r="AP11" i="531"/>
  <c r="AQ6" i="531"/>
  <c r="AP4" i="531"/>
  <c r="AQ8" i="531"/>
  <c r="AR17" i="531"/>
  <c r="AR10" i="531"/>
  <c r="G46" i="442"/>
  <c r="J43" i="442"/>
  <c r="J42" i="442"/>
  <c r="H43" i="442"/>
  <c r="H49" i="442"/>
  <c r="J49" i="442"/>
  <c r="H41" i="442"/>
  <c r="I41" i="442"/>
  <c r="G43" i="442"/>
  <c r="G41" i="442"/>
  <c r="G42" i="442"/>
  <c r="I40" i="442"/>
  <c r="H50" i="442"/>
  <c r="G44" i="442"/>
  <c r="H47" i="442"/>
  <c r="K44" i="442"/>
  <c r="H40" i="442"/>
  <c r="I43" i="442"/>
  <c r="J48" i="442"/>
  <c r="H48" i="442"/>
  <c r="K43" i="442"/>
  <c r="I49" i="442"/>
  <c r="I48" i="442"/>
  <c r="J46" i="442"/>
  <c r="I46" i="442"/>
  <c r="J41" i="442"/>
  <c r="K42" i="442"/>
  <c r="K49" i="442"/>
  <c r="F47" i="442"/>
  <c r="H44" i="442"/>
  <c r="I45" i="442"/>
  <c r="I42" i="442"/>
  <c r="K41" i="442"/>
  <c r="J50" i="442"/>
  <c r="H46" i="442"/>
  <c r="F48" i="442"/>
  <c r="J45" i="442"/>
  <c r="G49" i="442"/>
  <c r="F43" i="442"/>
  <c r="G45" i="442"/>
  <c r="J47" i="442"/>
  <c r="G47" i="442"/>
  <c r="I44" i="442"/>
  <c r="J44" i="442"/>
  <c r="I50" i="442"/>
  <c r="G40" i="442"/>
  <c r="F46" i="442"/>
  <c r="K47" i="442"/>
  <c r="F50" i="442"/>
  <c r="F42" i="442"/>
  <c r="F40" i="442"/>
  <c r="K45" i="442"/>
  <c r="K40" i="442"/>
  <c r="G50" i="442"/>
  <c r="K48" i="442"/>
  <c r="F44" i="442"/>
  <c r="J40" i="442"/>
  <c r="F49" i="442"/>
  <c r="H42" i="442"/>
  <c r="K46" i="442"/>
  <c r="F45" i="442"/>
  <c r="F41" i="442"/>
  <c r="I47" i="442"/>
  <c r="H45" i="442"/>
  <c r="G48" i="442"/>
  <c r="K50" i="442"/>
  <c r="L20" i="511"/>
  <c r="H18" i="511"/>
  <c r="I22" i="511"/>
  <c r="G21" i="511"/>
  <c r="K21" i="511"/>
  <c r="J22" i="511"/>
  <c r="I20" i="511"/>
  <c r="H19" i="511"/>
  <c r="H22" i="511"/>
  <c r="L24" i="511"/>
  <c r="K25" i="511"/>
  <c r="G24" i="511"/>
  <c r="H25" i="511"/>
  <c r="G18" i="511"/>
  <c r="G20" i="511"/>
  <c r="L25" i="511"/>
  <c r="G25" i="511"/>
  <c r="G22" i="511"/>
  <c r="K19" i="511"/>
  <c r="H21" i="511"/>
  <c r="K22" i="511"/>
  <c r="I23" i="511"/>
  <c r="J21" i="511"/>
  <c r="J24" i="511"/>
  <c r="K23" i="511"/>
  <c r="H24" i="511"/>
  <c r="H20" i="511"/>
  <c r="I24" i="511"/>
  <c r="K26" i="511"/>
  <c r="L23" i="511"/>
  <c r="J26" i="511"/>
  <c r="J20" i="511"/>
  <c r="G23" i="511"/>
  <c r="J25" i="511"/>
  <c r="G19" i="511"/>
  <c r="H23" i="511"/>
  <c r="I21" i="511"/>
  <c r="J23" i="511"/>
  <c r="I25" i="511"/>
  <c r="J18" i="511"/>
  <c r="H26" i="511"/>
  <c r="L18" i="511"/>
  <c r="L22" i="511"/>
  <c r="K20" i="511"/>
  <c r="K18" i="511"/>
  <c r="I19" i="511"/>
  <c r="K24" i="511"/>
  <c r="L19" i="511"/>
  <c r="G26" i="511"/>
  <c r="I26" i="511"/>
  <c r="I18" i="511"/>
  <c r="J19" i="511"/>
  <c r="L26" i="511"/>
  <c r="L21" i="511"/>
  <c r="J6" i="507"/>
  <c r="K16" i="507"/>
  <c r="K10" i="507"/>
  <c r="K13" i="507"/>
  <c r="K20" i="507"/>
  <c r="J13" i="507"/>
  <c r="J20" i="507"/>
  <c r="I21" i="507"/>
  <c r="H22" i="507"/>
  <c r="I5" i="507"/>
  <c r="I8" i="507"/>
  <c r="J21" i="507"/>
  <c r="H14" i="507"/>
  <c r="J16" i="507"/>
  <c r="H18" i="507"/>
  <c r="J22" i="507"/>
  <c r="H16" i="507"/>
  <c r="H8" i="507"/>
  <c r="K18" i="507"/>
  <c r="J23" i="507"/>
  <c r="K23" i="507"/>
  <c r="K15" i="507"/>
  <c r="H12" i="507"/>
  <c r="K6" i="507"/>
  <c r="I23" i="507"/>
  <c r="I4" i="507"/>
  <c r="H11" i="507"/>
  <c r="J10" i="507"/>
  <c r="J19" i="507"/>
  <c r="H4" i="507"/>
  <c r="K4" i="507"/>
  <c r="I12" i="507"/>
  <c r="H21" i="507"/>
  <c r="H10" i="507"/>
  <c r="J11" i="507"/>
  <c r="J15" i="507"/>
  <c r="J5" i="507"/>
  <c r="H15" i="507"/>
  <c r="I19" i="507"/>
  <c r="I17" i="507"/>
  <c r="J14" i="507"/>
  <c r="K14" i="507"/>
  <c r="H20" i="507"/>
  <c r="H23" i="507"/>
  <c r="J9" i="507"/>
  <c r="I14" i="507"/>
  <c r="H19" i="507"/>
  <c r="I10" i="507"/>
  <c r="K12" i="507"/>
  <c r="K17" i="507"/>
  <c r="I9" i="507"/>
  <c r="I11" i="507"/>
  <c r="I7" i="507"/>
  <c r="I18" i="507"/>
  <c r="I13" i="507"/>
  <c r="K11" i="507"/>
  <c r="K7" i="507"/>
  <c r="J8" i="507"/>
  <c r="I22" i="507"/>
  <c r="K22" i="507"/>
  <c r="I20" i="507"/>
  <c r="K5" i="507"/>
  <c r="H5" i="507"/>
  <c r="I6" i="507"/>
  <c r="I15" i="507"/>
  <c r="J17" i="507"/>
  <c r="J18" i="507"/>
  <c r="J12" i="507"/>
  <c r="K8" i="507"/>
  <c r="H6" i="507"/>
  <c r="H9" i="507"/>
  <c r="I16" i="507"/>
  <c r="J4" i="507"/>
  <c r="K9" i="507"/>
  <c r="K19" i="507"/>
  <c r="J7" i="507"/>
  <c r="H13" i="507"/>
  <c r="H7" i="507"/>
  <c r="K21" i="507"/>
  <c r="H17" i="507"/>
  <c r="W10" i="584"/>
  <c r="X9" i="584"/>
  <c r="X7" i="584"/>
  <c r="W9" i="584"/>
  <c r="W8" i="584"/>
  <c r="X8" i="584"/>
  <c r="W7" i="584"/>
  <c r="X10" i="584"/>
  <c r="G8" i="534"/>
  <c r="H8" i="534"/>
  <c r="G7" i="534"/>
  <c r="G6" i="534"/>
  <c r="H9" i="534"/>
  <c r="G5" i="534"/>
  <c r="G4" i="534"/>
  <c r="G9" i="534"/>
  <c r="H5" i="534"/>
  <c r="H4" i="534"/>
  <c r="H7" i="534"/>
  <c r="H6" i="534"/>
  <c r="U8" i="577"/>
  <c r="N8" i="577"/>
  <c r="R8" i="577"/>
  <c r="Q8" i="577"/>
  <c r="P8" i="577"/>
  <c r="O8" i="577"/>
  <c r="V8" i="577"/>
  <c r="M8" i="577"/>
  <c r="T8" i="577"/>
  <c r="S8" i="577"/>
  <c r="AK8" i="251"/>
  <c r="AK9" i="251"/>
  <c r="AK12" i="251"/>
  <c r="AK6" i="251"/>
  <c r="AK15" i="251"/>
  <c r="AK13" i="251"/>
  <c r="AK11" i="251"/>
  <c r="AK16" i="251"/>
  <c r="AK7" i="251"/>
  <c r="AK10" i="251"/>
  <c r="AK14" i="251"/>
  <c r="F7" i="523"/>
  <c r="F9" i="523"/>
  <c r="F13" i="523"/>
  <c r="G9" i="523"/>
  <c r="F8" i="523"/>
  <c r="I19" i="523"/>
  <c r="G17" i="523"/>
  <c r="H4" i="523"/>
  <c r="F18" i="523"/>
  <c r="G4" i="523"/>
  <c r="G13" i="523"/>
  <c r="H5" i="523"/>
  <c r="I15" i="523"/>
  <c r="F22" i="523"/>
  <c r="H11" i="523"/>
  <c r="H9" i="523"/>
  <c r="F10" i="523"/>
  <c r="G19" i="523"/>
  <c r="G14" i="523"/>
  <c r="I5" i="523"/>
  <c r="H20" i="523"/>
  <c r="I18" i="523"/>
  <c r="H17" i="523"/>
  <c r="F5" i="523"/>
  <c r="H6" i="523"/>
  <c r="I12" i="523"/>
  <c r="F17" i="523"/>
  <c r="G10" i="523"/>
  <c r="H12" i="523"/>
  <c r="G23" i="523"/>
  <c r="H19" i="523"/>
  <c r="F21" i="523"/>
  <c r="H18" i="523"/>
  <c r="I16" i="523"/>
  <c r="H16" i="523"/>
  <c r="G15" i="523"/>
  <c r="H22" i="523"/>
  <c r="H3" i="523"/>
  <c r="H23" i="523"/>
  <c r="H10" i="523"/>
  <c r="F12" i="523"/>
  <c r="I9" i="523"/>
  <c r="I8" i="523"/>
  <c r="I11" i="523"/>
  <c r="G6" i="523"/>
  <c r="I20" i="523"/>
  <c r="H7" i="523"/>
  <c r="I13" i="523"/>
  <c r="I14" i="523"/>
  <c r="I7" i="523"/>
  <c r="F23" i="523"/>
  <c r="G16" i="523"/>
  <c r="G18" i="523"/>
  <c r="H21" i="523"/>
  <c r="F15" i="523"/>
  <c r="F3" i="523"/>
  <c r="G12" i="523"/>
  <c r="G7" i="523"/>
  <c r="I21" i="523"/>
  <c r="G21" i="523"/>
  <c r="H15" i="523"/>
  <c r="I23" i="523"/>
  <c r="G8" i="523"/>
  <c r="F19" i="523"/>
  <c r="I17" i="523"/>
  <c r="F6" i="523"/>
  <c r="I22" i="523"/>
  <c r="F16" i="523"/>
  <c r="H14" i="523"/>
  <c r="G11" i="523"/>
  <c r="G22" i="523"/>
  <c r="H13" i="523"/>
  <c r="I3" i="523"/>
  <c r="H8" i="523"/>
  <c r="F20" i="523"/>
  <c r="I4" i="523"/>
  <c r="F11" i="523"/>
  <c r="G3" i="523"/>
  <c r="F14" i="523"/>
  <c r="F4" i="523"/>
  <c r="I10" i="523"/>
  <c r="G20" i="523"/>
  <c r="G5" i="523"/>
  <c r="I6" i="523"/>
  <c r="T60" i="459"/>
  <c r="S66" i="459"/>
  <c r="S87" i="459"/>
  <c r="T50" i="459"/>
  <c r="Q23" i="459"/>
  <c r="Q25" i="459"/>
  <c r="S63" i="459"/>
  <c r="S15" i="459"/>
  <c r="S29" i="459"/>
  <c r="R87" i="459"/>
  <c r="S7" i="459"/>
  <c r="T57" i="459"/>
  <c r="R68" i="459"/>
  <c r="R78" i="459"/>
  <c r="S82" i="459"/>
  <c r="Q88" i="459"/>
  <c r="S34" i="459"/>
  <c r="T54" i="459"/>
  <c r="T42" i="459"/>
  <c r="R35" i="459"/>
  <c r="Q76" i="459"/>
  <c r="R90" i="459"/>
  <c r="S64" i="459"/>
  <c r="S39" i="459"/>
  <c r="Q71" i="459"/>
  <c r="Q60" i="459"/>
  <c r="S74" i="459"/>
  <c r="T38" i="459"/>
  <c r="S3" i="459"/>
  <c r="S76" i="459"/>
  <c r="R15" i="459"/>
  <c r="Q34" i="459"/>
  <c r="Q69" i="459"/>
  <c r="R53" i="459"/>
  <c r="S11" i="459"/>
  <c r="Q13" i="459"/>
  <c r="S68" i="459"/>
  <c r="S60" i="459"/>
  <c r="R22" i="459"/>
  <c r="S77" i="459"/>
  <c r="R65" i="459"/>
  <c r="T73" i="459"/>
  <c r="Q79" i="459"/>
  <c r="T74" i="459"/>
  <c r="S70" i="459"/>
  <c r="S75" i="459"/>
  <c r="Q15" i="459"/>
  <c r="R82" i="459"/>
  <c r="S86" i="459"/>
  <c r="T43" i="459"/>
  <c r="T30" i="459"/>
  <c r="S67" i="459"/>
  <c r="T24" i="459"/>
  <c r="Q10" i="459"/>
  <c r="Q86" i="459"/>
  <c r="T66" i="459"/>
  <c r="T51" i="459"/>
  <c r="Q24" i="459"/>
  <c r="R33" i="459"/>
  <c r="S69" i="459"/>
  <c r="S31" i="459"/>
  <c r="S52" i="459"/>
  <c r="S55" i="459"/>
  <c r="T45" i="459"/>
  <c r="S71" i="459"/>
  <c r="T62" i="459"/>
  <c r="S14" i="459"/>
  <c r="T3" i="459"/>
  <c r="S48" i="459"/>
  <c r="Q67" i="459"/>
  <c r="Q82" i="459"/>
  <c r="R45" i="459"/>
  <c r="T12" i="459"/>
  <c r="R10" i="459"/>
  <c r="S53" i="459"/>
  <c r="R61" i="459"/>
  <c r="T21" i="459"/>
  <c r="Q73" i="459"/>
  <c r="T80" i="459"/>
  <c r="R43" i="459"/>
  <c r="R75" i="459"/>
  <c r="Q43" i="459"/>
  <c r="Q7" i="459"/>
  <c r="Q47" i="459"/>
  <c r="R13" i="459"/>
  <c r="R9" i="459"/>
  <c r="T23" i="459"/>
  <c r="T71" i="459"/>
  <c r="S23" i="459"/>
  <c r="T32" i="459"/>
  <c r="T5" i="459"/>
  <c r="R14" i="459"/>
  <c r="R48" i="459"/>
  <c r="R26" i="459"/>
  <c r="T22" i="459"/>
  <c r="R83" i="459"/>
  <c r="S26" i="459"/>
  <c r="R81" i="459"/>
  <c r="T67" i="459"/>
  <c r="S45" i="459"/>
  <c r="R37" i="459"/>
  <c r="Q63" i="459"/>
  <c r="Q26" i="459"/>
  <c r="R54" i="459"/>
  <c r="T35" i="459"/>
  <c r="S62" i="459"/>
  <c r="R6" i="459"/>
  <c r="R46" i="459"/>
  <c r="R28" i="459"/>
  <c r="Q42" i="459"/>
  <c r="R42" i="459"/>
  <c r="T56" i="459"/>
  <c r="Q51" i="459"/>
  <c r="T65" i="459"/>
  <c r="R30" i="459"/>
  <c r="R18" i="459"/>
  <c r="S58" i="459"/>
  <c r="T90" i="459"/>
  <c r="T83" i="459"/>
  <c r="R64" i="459"/>
  <c r="T36" i="459"/>
  <c r="S51" i="459"/>
  <c r="T40" i="459"/>
  <c r="S46" i="459"/>
  <c r="S65" i="459"/>
  <c r="R66" i="459"/>
  <c r="T61" i="459"/>
  <c r="Q87" i="459"/>
  <c r="T27" i="459"/>
  <c r="Q22" i="459"/>
  <c r="Q84" i="459"/>
  <c r="R17" i="459"/>
  <c r="Q77" i="459"/>
  <c r="R67" i="459"/>
  <c r="T59" i="459"/>
  <c r="Q17" i="459"/>
  <c r="Q40" i="459"/>
  <c r="S27" i="459"/>
  <c r="Q5" i="459"/>
  <c r="Q50" i="459"/>
  <c r="T8" i="459"/>
  <c r="R47" i="459"/>
  <c r="Q4" i="459"/>
  <c r="S88" i="459"/>
  <c r="Q20" i="459"/>
  <c r="Q74" i="459"/>
  <c r="T86" i="459"/>
  <c r="Q48" i="459"/>
  <c r="T44" i="459"/>
  <c r="R11" i="459"/>
  <c r="R21" i="459"/>
  <c r="T81" i="459"/>
  <c r="S30" i="459"/>
  <c r="T15" i="459"/>
  <c r="Q52" i="459"/>
  <c r="R86" i="459"/>
  <c r="T75" i="459"/>
  <c r="T10" i="459"/>
  <c r="T47" i="459"/>
  <c r="S73" i="459"/>
  <c r="S89" i="459"/>
  <c r="S42" i="459"/>
  <c r="Q16" i="459"/>
  <c r="S9" i="459"/>
  <c r="Q65" i="459"/>
  <c r="Q89" i="459"/>
  <c r="T52" i="459"/>
  <c r="Q8" i="459"/>
  <c r="R36" i="459"/>
  <c r="Q64" i="459"/>
  <c r="R39" i="459"/>
  <c r="Q33" i="459"/>
  <c r="T68" i="459"/>
  <c r="R41" i="459"/>
  <c r="Q35" i="459"/>
  <c r="T41" i="459"/>
  <c r="T6" i="459"/>
  <c r="R32" i="459"/>
  <c r="R40" i="459"/>
  <c r="R89" i="459"/>
  <c r="T77" i="459"/>
  <c r="T79" i="459"/>
  <c r="S32" i="459"/>
  <c r="Q3" i="459"/>
  <c r="S90" i="459"/>
  <c r="R69" i="459"/>
  <c r="T58" i="459"/>
  <c r="S16" i="459"/>
  <c r="S54" i="459"/>
  <c r="S24" i="459"/>
  <c r="R63" i="459"/>
  <c r="S59" i="459"/>
  <c r="T84" i="459"/>
  <c r="Q66" i="459"/>
  <c r="T20" i="459"/>
  <c r="S79" i="459"/>
  <c r="Q6" i="459"/>
  <c r="S83" i="459"/>
  <c r="R72" i="459"/>
  <c r="S80" i="459"/>
  <c r="T82" i="459"/>
  <c r="R5" i="459"/>
  <c r="Q14" i="459"/>
  <c r="Q90" i="459"/>
  <c r="T19" i="459"/>
  <c r="Q38" i="459"/>
  <c r="T91" i="459"/>
  <c r="Q44" i="459"/>
  <c r="Q59" i="459"/>
  <c r="S25" i="459"/>
  <c r="Q57" i="459"/>
  <c r="Q70" i="459"/>
  <c r="T33" i="459"/>
  <c r="Q75" i="459"/>
  <c r="Q18" i="459"/>
  <c r="R49" i="459"/>
  <c r="T31" i="459"/>
  <c r="Q29" i="459"/>
  <c r="Q27" i="459"/>
  <c r="S17" i="459"/>
  <c r="S10" i="459"/>
  <c r="S61" i="459"/>
  <c r="Q28" i="459"/>
  <c r="R57" i="459"/>
  <c r="R91" i="459"/>
  <c r="T34" i="459"/>
  <c r="Q91" i="459"/>
  <c r="T48" i="459"/>
  <c r="S85" i="459"/>
  <c r="S28" i="459"/>
  <c r="Q54" i="459"/>
  <c r="T55" i="459"/>
  <c r="R73" i="459"/>
  <c r="Q81" i="459"/>
  <c r="Q55" i="459"/>
  <c r="S81" i="459"/>
  <c r="R31" i="459"/>
  <c r="S47" i="459"/>
  <c r="S19" i="459"/>
  <c r="T89" i="459"/>
  <c r="S21" i="459"/>
  <c r="T64" i="459"/>
  <c r="T78" i="459"/>
  <c r="R8" i="459"/>
  <c r="Q32" i="459"/>
  <c r="T63" i="459"/>
  <c r="R88" i="459"/>
  <c r="T88" i="459"/>
  <c r="S41" i="459"/>
  <c r="R52" i="459"/>
  <c r="Q62" i="459"/>
  <c r="S12" i="459"/>
  <c r="Q19" i="459"/>
  <c r="T70" i="459"/>
  <c r="S84" i="459"/>
  <c r="R56" i="459"/>
  <c r="T39" i="459"/>
  <c r="S18" i="459"/>
  <c r="Q39" i="459"/>
  <c r="Q72" i="459"/>
  <c r="R76" i="459"/>
  <c r="R3" i="459"/>
  <c r="Q36" i="459"/>
  <c r="R84" i="459"/>
  <c r="R20" i="459"/>
  <c r="S4" i="459"/>
  <c r="T46" i="459"/>
  <c r="S72" i="459"/>
  <c r="S20" i="459"/>
  <c r="Q30" i="459"/>
  <c r="R80" i="459"/>
  <c r="Q45" i="459"/>
  <c r="S43" i="459"/>
  <c r="T69" i="459"/>
  <c r="R50" i="459"/>
  <c r="Q49" i="459"/>
  <c r="S33" i="459"/>
  <c r="T53" i="459"/>
  <c r="T17" i="459"/>
  <c r="S57" i="459"/>
  <c r="Q58" i="459"/>
  <c r="T11" i="459"/>
  <c r="R55" i="459"/>
  <c r="R79" i="459"/>
  <c r="T18" i="459"/>
  <c r="Q46" i="459"/>
  <c r="R25" i="459"/>
  <c r="Q83" i="459"/>
  <c r="T37" i="459"/>
  <c r="S37" i="459"/>
  <c r="R12" i="459"/>
  <c r="Q41" i="459"/>
  <c r="S44" i="459"/>
  <c r="S5" i="459"/>
  <c r="T25" i="459"/>
  <c r="S13" i="459"/>
  <c r="Q21" i="459"/>
  <c r="S6" i="459"/>
  <c r="R23" i="459"/>
  <c r="S56" i="459"/>
  <c r="S50" i="459"/>
  <c r="Q80" i="459"/>
  <c r="T28" i="459"/>
  <c r="R62" i="459"/>
  <c r="R34" i="459"/>
  <c r="Q68" i="459"/>
  <c r="T16" i="459"/>
  <c r="R7" i="459"/>
  <c r="Q85" i="459"/>
  <c r="R60" i="459"/>
  <c r="R77" i="459"/>
  <c r="T4" i="459"/>
  <c r="T26" i="459"/>
  <c r="Q31" i="459"/>
  <c r="T72" i="459"/>
  <c r="Q53" i="459"/>
  <c r="R74" i="459"/>
  <c r="R4" i="459"/>
  <c r="Q61" i="459"/>
  <c r="Q56" i="459"/>
  <c r="Q11" i="459"/>
  <c r="S8" i="459"/>
  <c r="R27" i="459"/>
  <c r="S35" i="459"/>
  <c r="T85" i="459"/>
  <c r="S78" i="459"/>
  <c r="S91" i="459"/>
  <c r="Q12" i="459"/>
  <c r="T49" i="459"/>
  <c r="R85" i="459"/>
  <c r="T9" i="459"/>
  <c r="R44" i="459"/>
  <c r="R38" i="459"/>
  <c r="R71" i="459"/>
  <c r="R51" i="459"/>
  <c r="R70" i="459"/>
  <c r="T13" i="459"/>
  <c r="T14" i="459"/>
  <c r="T7" i="459"/>
  <c r="S36" i="459"/>
  <c r="Q37" i="459"/>
  <c r="R24" i="459"/>
  <c r="S38" i="459"/>
  <c r="T29" i="459"/>
  <c r="T76" i="459"/>
  <c r="R59" i="459"/>
  <c r="R58" i="459"/>
  <c r="S22" i="459"/>
  <c r="R19" i="459"/>
  <c r="T87" i="459"/>
  <c r="Q9" i="459"/>
  <c r="R16" i="459"/>
  <c r="R29" i="459"/>
  <c r="S49" i="459"/>
  <c r="Q78" i="459"/>
  <c r="S40" i="459"/>
  <c r="F10" i="450"/>
  <c r="G10" i="450"/>
  <c r="H10" i="450"/>
  <c r="M9" i="341"/>
  <c r="M13" i="341"/>
  <c r="M7" i="341"/>
  <c r="M10" i="341"/>
  <c r="M4" i="341"/>
  <c r="M11" i="341"/>
  <c r="M12" i="341"/>
  <c r="M5" i="341"/>
  <c r="M8" i="341"/>
  <c r="M14" i="341"/>
  <c r="M6" i="341"/>
  <c r="O33" i="86"/>
  <c r="O32" i="86"/>
  <c r="O30" i="86"/>
  <c r="O31" i="86"/>
  <c r="B30" i="440"/>
  <c r="C34" i="440"/>
  <c r="C35" i="440"/>
  <c r="C33" i="440"/>
  <c r="B32" i="440"/>
  <c r="B34" i="440"/>
  <c r="B31" i="440"/>
  <c r="B33" i="440"/>
  <c r="C31" i="440"/>
  <c r="C30" i="440"/>
  <c r="B35" i="440"/>
  <c r="C32" i="440"/>
  <c r="T5" i="467"/>
  <c r="S5" i="467"/>
  <c r="R5" i="467"/>
  <c r="I19" i="341"/>
  <c r="I17" i="341"/>
  <c r="J18" i="341"/>
  <c r="K18" i="341"/>
  <c r="I18" i="341"/>
  <c r="J17" i="341"/>
  <c r="K17" i="341"/>
  <c r="K19" i="341"/>
  <c r="J19" i="341"/>
  <c r="N27" i="476"/>
  <c r="N28" i="476"/>
  <c r="N29" i="476"/>
  <c r="O26" i="476"/>
  <c r="N26" i="476"/>
  <c r="O27" i="476"/>
  <c r="O28" i="476"/>
  <c r="O25" i="476"/>
  <c r="O29" i="476"/>
  <c r="N25" i="476"/>
  <c r="N23" i="86"/>
  <c r="N21" i="86"/>
  <c r="N24" i="86"/>
  <c r="N22" i="86"/>
  <c r="V21" i="510"/>
  <c r="V15" i="510"/>
  <c r="U16" i="510"/>
  <c r="V8" i="510"/>
  <c r="T21" i="510"/>
  <c r="T4" i="510"/>
  <c r="V17" i="510"/>
  <c r="T10" i="510"/>
  <c r="U15" i="510"/>
  <c r="U12" i="510"/>
  <c r="V13" i="510"/>
  <c r="W15" i="510"/>
  <c r="T22" i="510"/>
  <c r="W4" i="510"/>
  <c r="W5" i="510"/>
  <c r="T6" i="510"/>
  <c r="W14" i="510"/>
  <c r="W12" i="510"/>
  <c r="W7" i="510"/>
  <c r="V14" i="510"/>
  <c r="V5" i="510"/>
  <c r="W23" i="510"/>
  <c r="W22" i="510"/>
  <c r="W16" i="510"/>
  <c r="T18" i="510"/>
  <c r="T16" i="510"/>
  <c r="T11" i="510"/>
  <c r="W11" i="510"/>
  <c r="U11" i="510"/>
  <c r="U14" i="510"/>
  <c r="U22" i="510"/>
  <c r="W20" i="510"/>
  <c r="U18" i="510"/>
  <c r="V10" i="510"/>
  <c r="U7" i="510"/>
  <c r="V7" i="510"/>
  <c r="W10" i="510"/>
  <c r="U4" i="510"/>
  <c r="V18" i="510"/>
  <c r="V23" i="510"/>
  <c r="U5" i="510"/>
  <c r="T15" i="510"/>
  <c r="U13" i="510"/>
  <c r="U8" i="510"/>
  <c r="V20" i="510"/>
  <c r="W8" i="510"/>
  <c r="U10" i="510"/>
  <c r="U19" i="510"/>
  <c r="W17" i="510"/>
  <c r="V9" i="510"/>
  <c r="V22" i="510"/>
  <c r="V4" i="510"/>
  <c r="T23" i="510"/>
  <c r="U23" i="510"/>
  <c r="T9" i="510"/>
  <c r="U17" i="510"/>
  <c r="T13" i="510"/>
  <c r="T17" i="510"/>
  <c r="U21" i="510"/>
  <c r="V19" i="510"/>
  <c r="V11" i="510"/>
  <c r="V6" i="510"/>
  <c r="W9" i="510"/>
  <c r="W6" i="510"/>
  <c r="W13" i="510"/>
  <c r="T14" i="510"/>
  <c r="V16" i="510"/>
  <c r="T5" i="510"/>
  <c r="T20" i="510"/>
  <c r="T12" i="510"/>
  <c r="U20" i="510"/>
  <c r="T8" i="510"/>
  <c r="W19" i="510"/>
  <c r="V12" i="510"/>
  <c r="T7" i="510"/>
  <c r="W21" i="510"/>
  <c r="T19" i="510"/>
  <c r="U6" i="510"/>
  <c r="W18" i="510"/>
  <c r="U9" i="510"/>
  <c r="N14" i="635"/>
  <c r="N15" i="635"/>
  <c r="N8" i="635"/>
  <c r="N11" i="635" s="1"/>
  <c r="J6" i="472"/>
  <c r="G8" i="472"/>
  <c r="I8" i="472"/>
  <c r="J8" i="472"/>
  <c r="G5" i="472"/>
  <c r="H8" i="472"/>
  <c r="I6" i="472"/>
  <c r="J5" i="472"/>
  <c r="L6" i="472"/>
  <c r="M7" i="472"/>
  <c r="M6" i="472"/>
  <c r="M8" i="472"/>
  <c r="L8" i="472"/>
  <c r="L7" i="472"/>
  <c r="L5" i="472"/>
  <c r="F6" i="472"/>
  <c r="F5" i="472"/>
  <c r="K8" i="472"/>
  <c r="H6" i="472"/>
  <c r="G6" i="472"/>
  <c r="M5" i="472"/>
  <c r="J7" i="472"/>
  <c r="K5" i="472"/>
  <c r="F8" i="472"/>
  <c r="H7" i="472"/>
  <c r="K6" i="472"/>
  <c r="H5" i="472"/>
  <c r="F7" i="472"/>
  <c r="I7" i="472"/>
  <c r="K7" i="472"/>
  <c r="G7" i="472"/>
  <c r="I5" i="472"/>
  <c r="O4" i="474"/>
  <c r="P8" i="474"/>
  <c r="N8" i="474"/>
  <c r="P5" i="474"/>
  <c r="O6" i="474"/>
  <c r="N7" i="474"/>
  <c r="P7" i="474"/>
  <c r="N6" i="474"/>
  <c r="N4" i="474"/>
  <c r="P4" i="474"/>
  <c r="O7" i="474"/>
  <c r="O5" i="474"/>
  <c r="N5" i="474"/>
  <c r="P6" i="474"/>
  <c r="O8" i="474"/>
  <c r="M8" i="467"/>
  <c r="M5" i="467"/>
  <c r="N6" i="467"/>
  <c r="N8" i="467"/>
  <c r="N7" i="467"/>
  <c r="M4" i="467"/>
  <c r="N4" i="467"/>
  <c r="N5" i="467"/>
  <c r="M7" i="467"/>
  <c r="M6" i="467"/>
  <c r="F5" i="456"/>
  <c r="F4" i="456"/>
  <c r="L21" i="616"/>
  <c r="L22" i="606"/>
  <c r="J22" i="616"/>
  <c r="K22" i="616" s="1"/>
  <c r="M22" i="606"/>
  <c r="J19" i="617"/>
  <c r="L35" i="592"/>
  <c r="N35" i="592" s="1"/>
  <c r="M34" i="592"/>
  <c r="M39" i="592"/>
  <c r="P8" i="601"/>
  <c r="Q8" i="601" s="1"/>
  <c r="R8" i="601" s="1"/>
  <c r="L33" i="592"/>
  <c r="M33" i="592" s="1"/>
  <c r="Q7" i="600"/>
  <c r="R6" i="600" s="1"/>
  <c r="S6" i="600" s="1"/>
  <c r="T6" i="600" s="1"/>
  <c r="U85" i="633"/>
  <c r="W84" i="633"/>
  <c r="O17" i="601"/>
  <c r="O9" i="601"/>
  <c r="P9" i="601" s="1"/>
  <c r="Q9" i="601" s="1"/>
  <c r="R9" i="601" s="1"/>
  <c r="M18" i="601"/>
  <c r="O18" i="601" s="1"/>
  <c r="P18" i="601" s="1"/>
  <c r="Q18" i="601" s="1"/>
  <c r="R18" i="601" s="1"/>
  <c r="P7" i="601"/>
  <c r="Q7" i="601" s="1"/>
  <c r="R7" i="601" s="1"/>
  <c r="J24" i="599"/>
  <c r="O10" i="599" s="1"/>
  <c r="H24" i="599"/>
  <c r="I24" i="599"/>
  <c r="G24" i="599"/>
  <c r="J23" i="599"/>
  <c r="H23" i="599"/>
  <c r="I23" i="599"/>
  <c r="G23" i="599"/>
  <c r="F23" i="599"/>
  <c r="J22" i="599"/>
  <c r="H22" i="599"/>
  <c r="I22" i="599"/>
  <c r="G22" i="599"/>
  <c r="F22" i="599"/>
  <c r="J21" i="599"/>
  <c r="H21" i="599"/>
  <c r="I21" i="599"/>
  <c r="G21" i="599"/>
  <c r="F21" i="599"/>
  <c r="H20" i="599"/>
  <c r="I20" i="599"/>
  <c r="G20" i="599"/>
  <c r="J17" i="599"/>
  <c r="H17" i="599"/>
  <c r="I17" i="599"/>
  <c r="G17" i="599"/>
  <c r="J16" i="599"/>
  <c r="H16" i="599"/>
  <c r="I16" i="599"/>
  <c r="G16" i="599"/>
  <c r="F16" i="599"/>
  <c r="J15" i="599"/>
  <c r="H15" i="599"/>
  <c r="I15" i="599"/>
  <c r="G15" i="599"/>
  <c r="F15" i="599"/>
  <c r="J14" i="599"/>
  <c r="H14" i="599"/>
  <c r="I14" i="599"/>
  <c r="G14" i="599"/>
  <c r="F14" i="599"/>
  <c r="H13" i="599"/>
  <c r="I13" i="599"/>
  <c r="G13" i="599"/>
  <c r="J10" i="599"/>
  <c r="N10" i="599" s="1"/>
  <c r="H10" i="599"/>
  <c r="I10" i="599"/>
  <c r="G10" i="599"/>
  <c r="J9" i="599"/>
  <c r="H9" i="599"/>
  <c r="I9" i="599"/>
  <c r="G9" i="599"/>
  <c r="F9" i="599"/>
  <c r="J8" i="599"/>
  <c r="H8" i="599"/>
  <c r="I8" i="599"/>
  <c r="G8" i="599"/>
  <c r="F8" i="599"/>
  <c r="J7" i="599"/>
  <c r="H7" i="599"/>
  <c r="I7" i="599"/>
  <c r="G7" i="599"/>
  <c r="F7" i="599"/>
  <c r="H6" i="599"/>
  <c r="I6" i="599"/>
  <c r="G6" i="599"/>
  <c r="B12" i="637"/>
  <c r="V4" i="458" a="1"/>
  <c r="I14" i="616"/>
  <c r="R7" i="462" a="1"/>
  <c r="X8" i="458" a="1"/>
  <c r="AE25" i="523" a="1"/>
  <c r="A25" i="531" a="1"/>
  <c r="G12" i="637"/>
  <c r="F25" i="523" a="1"/>
  <c r="W6" i="459" a="1"/>
  <c r="U25" i="523" a="1"/>
  <c r="F4" i="455" a="1"/>
  <c r="K16" i="448" a="1"/>
  <c r="H25" i="510" a="1"/>
  <c r="Z25" i="510" a="1"/>
  <c r="G6" i="455" a="1"/>
  <c r="Q5" i="448" a="1"/>
  <c r="AC14" i="522"/>
  <c r="R14" i="467" a="1"/>
  <c r="P44" i="462"/>
  <c r="AJ25" i="531" a="1"/>
  <c r="Z25" i="531" a="1"/>
  <c r="R16" i="467" a="1"/>
  <c r="H14" i="618"/>
  <c r="AO25" i="523" a="1"/>
  <c r="AC5" i="458" a="1"/>
  <c r="K25" i="531" a="1"/>
  <c r="P25" i="531" a="1"/>
  <c r="P50" i="462"/>
  <c r="G14" i="617"/>
  <c r="R13" i="467" a="1"/>
  <c r="P43" i="462"/>
  <c r="P49" i="462"/>
  <c r="F25" i="531" a="1"/>
  <c r="H9" i="586" a="1"/>
  <c r="H8" i="455" a="1"/>
  <c r="W6" i="458" a="1"/>
  <c r="AO25" i="531" a="1"/>
  <c r="P25" i="523" a="1"/>
  <c r="M5" i="455" a="1"/>
  <c r="S5" i="451" a="1"/>
  <c r="K4" i="448" a="1"/>
  <c r="K25" i="523" a="1"/>
  <c r="AT25" i="531" a="1"/>
  <c r="AC5" i="459" a="1"/>
  <c r="J11" i="448" a="1"/>
  <c r="U25" i="531" a="1"/>
  <c r="T25" i="510" a="1"/>
  <c r="J17" i="448" a="1"/>
  <c r="N25" i="510" a="1"/>
  <c r="R51" i="463" a="1"/>
  <c r="H14" i="470" a="1"/>
  <c r="K10" i="448" a="1"/>
  <c r="A25" i="523" a="1"/>
  <c r="AJ25" i="523" a="1"/>
  <c r="V4" i="459" a="1"/>
  <c r="J5" i="448" a="1"/>
  <c r="AE25" i="531" a="1"/>
  <c r="R15" i="467" a="1"/>
  <c r="K33" i="476" a="1"/>
  <c r="Z25" i="523" a="1"/>
  <c r="K26" i="472"/>
  <c r="AT25" i="523" a="1"/>
  <c r="K32" i="476" a="1"/>
  <c r="R30" i="463" a="1"/>
  <c r="K25" i="472"/>
  <c r="K14" i="499"/>
  <c r="X8" i="459" a="1"/>
  <c r="J19" i="607" l="1"/>
  <c r="K21" i="617"/>
  <c r="L19" i="616"/>
  <c r="M20" i="606"/>
  <c r="J20" i="607"/>
  <c r="G20" i="607"/>
  <c r="H20" i="607" s="1"/>
  <c r="L22" i="616"/>
  <c r="L20" i="606"/>
  <c r="H21" i="617"/>
  <c r="I21" i="617" s="1"/>
  <c r="P7" i="606"/>
  <c r="Q7" i="606" s="1"/>
  <c r="M19" i="606"/>
  <c r="M19" i="616"/>
  <c r="H20" i="617"/>
  <c r="I20" i="617" s="1"/>
  <c r="J19" i="616"/>
  <c r="K19" i="616" s="1"/>
  <c r="J20" i="606"/>
  <c r="K20" i="606" s="1"/>
  <c r="Q18" i="721" s="1"/>
  <c r="J21" i="617"/>
  <c r="W6" i="459"/>
  <c r="W7" i="459"/>
  <c r="Q27" i="523"/>
  <c r="S29" i="523"/>
  <c r="Q25" i="523"/>
  <c r="P25" i="523"/>
  <c r="S27" i="523"/>
  <c r="P29" i="523"/>
  <c r="P26" i="523"/>
  <c r="P28" i="523"/>
  <c r="R25" i="523"/>
  <c r="P27" i="523"/>
  <c r="R28" i="523"/>
  <c r="R26" i="523"/>
  <c r="S26" i="523"/>
  <c r="S28" i="523"/>
  <c r="Q26" i="523"/>
  <c r="Q28" i="523"/>
  <c r="R29" i="523"/>
  <c r="R27" i="523"/>
  <c r="Q29" i="523"/>
  <c r="S25" i="523"/>
  <c r="K27" i="510"/>
  <c r="J26" i="510"/>
  <c r="J27" i="510"/>
  <c r="J25" i="510"/>
  <c r="J28" i="510"/>
  <c r="H27" i="510"/>
  <c r="K26" i="510"/>
  <c r="J29" i="510"/>
  <c r="K25" i="510"/>
  <c r="K29" i="510"/>
  <c r="H29" i="510"/>
  <c r="I26" i="510"/>
  <c r="I29" i="510"/>
  <c r="H26" i="510"/>
  <c r="I27" i="510"/>
  <c r="H28" i="510"/>
  <c r="I28" i="510"/>
  <c r="K28" i="510"/>
  <c r="H25" i="510"/>
  <c r="I25" i="510"/>
  <c r="K27" i="523"/>
  <c r="L29" i="523"/>
  <c r="M28" i="523"/>
  <c r="N27" i="523"/>
  <c r="L26" i="523"/>
  <c r="N29" i="523"/>
  <c r="M25" i="523"/>
  <c r="K25" i="523"/>
  <c r="M27" i="523"/>
  <c r="K29" i="523"/>
  <c r="L25" i="523"/>
  <c r="L28" i="523"/>
  <c r="N26" i="523"/>
  <c r="K28" i="523"/>
  <c r="M26" i="523"/>
  <c r="K26" i="523"/>
  <c r="M29" i="523"/>
  <c r="L27" i="523"/>
  <c r="N28" i="523"/>
  <c r="N25" i="523"/>
  <c r="B28" i="523"/>
  <c r="C25" i="523"/>
  <c r="D29" i="523"/>
  <c r="C29" i="523"/>
  <c r="A28" i="523"/>
  <c r="A27" i="523"/>
  <c r="D26" i="523"/>
  <c r="D27" i="523"/>
  <c r="B25" i="523"/>
  <c r="A26" i="523"/>
  <c r="B26" i="523"/>
  <c r="B27" i="523"/>
  <c r="D25" i="523"/>
  <c r="B29" i="523"/>
  <c r="A25" i="523"/>
  <c r="D28" i="523"/>
  <c r="C27" i="523"/>
  <c r="C26" i="523"/>
  <c r="C28" i="523"/>
  <c r="A29" i="523"/>
  <c r="Q25" i="510"/>
  <c r="Q26" i="510"/>
  <c r="O28" i="510"/>
  <c r="N27" i="510"/>
  <c r="Q27" i="510"/>
  <c r="P26" i="510"/>
  <c r="O27" i="510"/>
  <c r="P29" i="510"/>
  <c r="O29" i="510"/>
  <c r="P25" i="510"/>
  <c r="P28" i="510"/>
  <c r="N29" i="510"/>
  <c r="N26" i="510"/>
  <c r="Q28" i="510"/>
  <c r="N25" i="510"/>
  <c r="P27" i="510"/>
  <c r="N28" i="510"/>
  <c r="O25" i="510"/>
  <c r="Q29" i="510"/>
  <c r="O26" i="510"/>
  <c r="V28" i="531"/>
  <c r="V29" i="531"/>
  <c r="V27" i="531"/>
  <c r="U27" i="531"/>
  <c r="X27" i="531"/>
  <c r="W25" i="531"/>
  <c r="U28" i="531"/>
  <c r="V26" i="531"/>
  <c r="V25" i="531"/>
  <c r="U25" i="531"/>
  <c r="U29" i="531"/>
  <c r="X28" i="531"/>
  <c r="X26" i="531"/>
  <c r="W26" i="531"/>
  <c r="W27" i="531"/>
  <c r="U26" i="531"/>
  <c r="X25" i="531"/>
  <c r="W29" i="531"/>
  <c r="X29" i="531"/>
  <c r="W28" i="531"/>
  <c r="AF29" i="531"/>
  <c r="AG29" i="531"/>
  <c r="AE28" i="531"/>
  <c r="AH29" i="531"/>
  <c r="AH27" i="531"/>
  <c r="AF28" i="531"/>
  <c r="AE25" i="531"/>
  <c r="AG28" i="531"/>
  <c r="AG27" i="531"/>
  <c r="AF26" i="531"/>
  <c r="AF25" i="531"/>
  <c r="AE26" i="531"/>
  <c r="AG26" i="531"/>
  <c r="AH25" i="531"/>
  <c r="AE27" i="531"/>
  <c r="AH26" i="531"/>
  <c r="AF27" i="531"/>
  <c r="AH28" i="531"/>
  <c r="AE29" i="531"/>
  <c r="AG25" i="531"/>
  <c r="AB29" i="531"/>
  <c r="Z29" i="531"/>
  <c r="AB27" i="531"/>
  <c r="AA26" i="531"/>
  <c r="AA28" i="531"/>
  <c r="Z26" i="531"/>
  <c r="AB25" i="531"/>
  <c r="AA27" i="531"/>
  <c r="AC26" i="531"/>
  <c r="AC25" i="531"/>
  <c r="AB28" i="531"/>
  <c r="AC28" i="531"/>
  <c r="AC27" i="531"/>
  <c r="Z28" i="531"/>
  <c r="AA29" i="531"/>
  <c r="Z25" i="531"/>
  <c r="AB26" i="531"/>
  <c r="AC29" i="531"/>
  <c r="AA25" i="531"/>
  <c r="Z27" i="531"/>
  <c r="AC5" i="458"/>
  <c r="AC12" i="458"/>
  <c r="AC9" i="458"/>
  <c r="AC7" i="458"/>
  <c r="AC11" i="458"/>
  <c r="AC10" i="458"/>
  <c r="AC8" i="458"/>
  <c r="AC6" i="458"/>
  <c r="X9" i="458"/>
  <c r="X8" i="458"/>
  <c r="G27" i="531"/>
  <c r="I29" i="531"/>
  <c r="G25" i="531"/>
  <c r="I26" i="531"/>
  <c r="I27" i="531"/>
  <c r="H25" i="531"/>
  <c r="F28" i="531"/>
  <c r="F26" i="531"/>
  <c r="G29" i="531"/>
  <c r="H29" i="531"/>
  <c r="G26" i="531"/>
  <c r="G28" i="531"/>
  <c r="H28" i="531"/>
  <c r="H26" i="531"/>
  <c r="F27" i="531"/>
  <c r="F29" i="531"/>
  <c r="I25" i="531"/>
  <c r="I28" i="531"/>
  <c r="F25" i="531"/>
  <c r="H27" i="531"/>
  <c r="G29" i="523"/>
  <c r="G28" i="523"/>
  <c r="I25" i="523"/>
  <c r="F29" i="523"/>
  <c r="H25" i="523"/>
  <c r="I29" i="523"/>
  <c r="F25" i="523"/>
  <c r="H28" i="523"/>
  <c r="I26" i="523"/>
  <c r="H29" i="523"/>
  <c r="I28" i="523"/>
  <c r="I27" i="523"/>
  <c r="H26" i="523"/>
  <c r="G25" i="523"/>
  <c r="G27" i="523"/>
  <c r="G26" i="523"/>
  <c r="F27" i="523"/>
  <c r="H27" i="523"/>
  <c r="F26" i="523"/>
  <c r="F28" i="523"/>
  <c r="AO27" i="531"/>
  <c r="AP28" i="531"/>
  <c r="AP27" i="531"/>
  <c r="AR26" i="531"/>
  <c r="AO28" i="531"/>
  <c r="AQ26" i="531"/>
  <c r="AQ25" i="531"/>
  <c r="AQ27" i="531"/>
  <c r="AQ28" i="531"/>
  <c r="AP26" i="531"/>
  <c r="AO29" i="531"/>
  <c r="AR29" i="531"/>
  <c r="AP25" i="531"/>
  <c r="AR25" i="531"/>
  <c r="AR28" i="531"/>
  <c r="AQ29" i="531"/>
  <c r="AR27" i="531"/>
  <c r="AO25" i="531"/>
  <c r="AP29" i="531"/>
  <c r="AO26" i="531"/>
  <c r="Q6" i="448"/>
  <c r="Q8" i="448"/>
  <c r="Q5" i="448"/>
  <c r="Q7" i="448"/>
  <c r="K16" i="448"/>
  <c r="M16" i="448"/>
  <c r="L16" i="448"/>
  <c r="M4" i="448"/>
  <c r="L4" i="448"/>
  <c r="K4" i="448"/>
  <c r="K10" i="448"/>
  <c r="L10" i="448"/>
  <c r="M10" i="448"/>
  <c r="J18" i="448"/>
  <c r="J17" i="448"/>
  <c r="J11" i="448"/>
  <c r="J12" i="448"/>
  <c r="J5" i="448"/>
  <c r="J6" i="448"/>
  <c r="AK26" i="531"/>
  <c r="AL27" i="531"/>
  <c r="AL29" i="531"/>
  <c r="AJ29" i="531"/>
  <c r="AJ28" i="531"/>
  <c r="AL26" i="531"/>
  <c r="AJ26" i="531"/>
  <c r="AK29" i="531"/>
  <c r="AM25" i="531"/>
  <c r="AM26" i="531"/>
  <c r="AK27" i="531"/>
  <c r="AL25" i="531"/>
  <c r="AM27" i="531"/>
  <c r="AJ27" i="531"/>
  <c r="AK28" i="531"/>
  <c r="AK25" i="531"/>
  <c r="AM28" i="531"/>
  <c r="AJ25" i="531"/>
  <c r="AL28" i="531"/>
  <c r="AM29" i="531"/>
  <c r="R30" i="463"/>
  <c r="R31" i="463"/>
  <c r="Z27" i="523"/>
  <c r="AB27" i="523"/>
  <c r="AA29" i="523"/>
  <c r="AA25" i="523"/>
  <c r="Z26" i="523"/>
  <c r="AC26" i="523"/>
  <c r="AC28" i="523"/>
  <c r="AA27" i="523"/>
  <c r="AC25" i="523"/>
  <c r="AA26" i="523"/>
  <c r="Z28" i="523"/>
  <c r="AB26" i="523"/>
  <c r="AB29" i="523"/>
  <c r="AA28" i="523"/>
  <c r="AB25" i="523"/>
  <c r="Z29" i="523"/>
  <c r="AC29" i="523"/>
  <c r="Z25" i="523"/>
  <c r="AC27" i="523"/>
  <c r="AB28" i="523"/>
  <c r="AQ29" i="523"/>
  <c r="AO25" i="523"/>
  <c r="AP25" i="523"/>
  <c r="AP26" i="523"/>
  <c r="AQ27" i="523"/>
  <c r="AQ28" i="523"/>
  <c r="AR29" i="523"/>
  <c r="AP28" i="523"/>
  <c r="AR25" i="523"/>
  <c r="AO27" i="523"/>
  <c r="AR27" i="523"/>
  <c r="AR28" i="523"/>
  <c r="AQ26" i="523"/>
  <c r="AO28" i="523"/>
  <c r="AP29" i="523"/>
  <c r="AQ25" i="523"/>
  <c r="AO29" i="523"/>
  <c r="AR26" i="523"/>
  <c r="AO26" i="523"/>
  <c r="AP27" i="523"/>
  <c r="R9" i="462"/>
  <c r="R7" i="462"/>
  <c r="R8" i="462"/>
  <c r="G7" i="455"/>
  <c r="G6" i="455"/>
  <c r="F5" i="455"/>
  <c r="F4" i="455"/>
  <c r="T6" i="451"/>
  <c r="S30" i="451"/>
  <c r="T32" i="451"/>
  <c r="S17" i="451"/>
  <c r="S23" i="451"/>
  <c r="S15" i="451"/>
  <c r="S20" i="451"/>
  <c r="S9" i="451"/>
  <c r="T24" i="451"/>
  <c r="T25" i="451"/>
  <c r="S14" i="451"/>
  <c r="T13" i="451"/>
  <c r="T14" i="451"/>
  <c r="T12" i="451"/>
  <c r="T8" i="451"/>
  <c r="T7" i="451"/>
  <c r="T9" i="451"/>
  <c r="S6" i="451"/>
  <c r="S21" i="451"/>
  <c r="S33" i="451"/>
  <c r="T33" i="451"/>
  <c r="T17" i="451"/>
  <c r="T19" i="451"/>
  <c r="T5" i="451"/>
  <c r="S35" i="451"/>
  <c r="S24" i="451"/>
  <c r="T31" i="451"/>
  <c r="S25" i="451"/>
  <c r="S32" i="451"/>
  <c r="S10" i="451"/>
  <c r="T20" i="451"/>
  <c r="T34" i="451"/>
  <c r="T26" i="451"/>
  <c r="T16" i="451"/>
  <c r="T21" i="451"/>
  <c r="T22" i="451"/>
  <c r="S12" i="451"/>
  <c r="T35" i="451"/>
  <c r="S8" i="451"/>
  <c r="S28" i="451"/>
  <c r="T10" i="451"/>
  <c r="S34" i="451"/>
  <c r="T15" i="451"/>
  <c r="S11" i="451"/>
  <c r="S27" i="451"/>
  <c r="S5" i="451"/>
  <c r="T18" i="451"/>
  <c r="S31" i="451"/>
  <c r="T27" i="451"/>
  <c r="S22" i="451"/>
  <c r="T23" i="451"/>
  <c r="T11" i="451"/>
  <c r="S7" i="451"/>
  <c r="S16" i="451"/>
  <c r="S29" i="451"/>
  <c r="S19" i="451"/>
  <c r="T30" i="451"/>
  <c r="T28" i="451"/>
  <c r="S26" i="451"/>
  <c r="S18" i="451"/>
  <c r="S13" i="451"/>
  <c r="T29" i="451"/>
  <c r="W6" i="458"/>
  <c r="W7" i="458"/>
  <c r="X9" i="459"/>
  <c r="X8" i="459"/>
  <c r="AC9" i="459"/>
  <c r="AC11" i="459"/>
  <c r="AC5" i="459"/>
  <c r="AC6" i="459"/>
  <c r="AC10" i="459"/>
  <c r="AC7" i="459"/>
  <c r="AC8" i="459"/>
  <c r="AC12" i="459"/>
  <c r="V4" i="459"/>
  <c r="V5" i="459"/>
  <c r="H14" i="470"/>
  <c r="H16" i="470"/>
  <c r="I14" i="470"/>
  <c r="H17" i="470"/>
  <c r="H18" i="470"/>
  <c r="I17" i="470"/>
  <c r="I18" i="470"/>
  <c r="I15" i="470"/>
  <c r="I16" i="470"/>
  <c r="H15" i="470"/>
  <c r="K32" i="476"/>
  <c r="N32" i="476"/>
  <c r="M32" i="476"/>
  <c r="L32" i="476"/>
  <c r="M33" i="476"/>
  <c r="L33" i="476"/>
  <c r="K33" i="476"/>
  <c r="N33" i="476"/>
  <c r="P29" i="531"/>
  <c r="S28" i="531"/>
  <c r="R29" i="531"/>
  <c r="P27" i="531"/>
  <c r="S25" i="531"/>
  <c r="P26" i="531"/>
  <c r="P25" i="531"/>
  <c r="Q26" i="531"/>
  <c r="R27" i="531"/>
  <c r="S29" i="531"/>
  <c r="S26" i="531"/>
  <c r="P28" i="531"/>
  <c r="Q29" i="531"/>
  <c r="Q28" i="531"/>
  <c r="Q27" i="531"/>
  <c r="Q25" i="531"/>
  <c r="R28" i="531"/>
  <c r="S27" i="531"/>
  <c r="R26" i="531"/>
  <c r="R25" i="531"/>
  <c r="C27" i="531"/>
  <c r="C29" i="531"/>
  <c r="B27" i="531"/>
  <c r="C25" i="531"/>
  <c r="A27" i="531"/>
  <c r="D25" i="531"/>
  <c r="A28" i="531"/>
  <c r="A29" i="531"/>
  <c r="C28" i="531"/>
  <c r="B29" i="531"/>
  <c r="D29" i="531"/>
  <c r="D27" i="531"/>
  <c r="B28" i="531"/>
  <c r="A25" i="531"/>
  <c r="D28" i="531"/>
  <c r="B25" i="531"/>
  <c r="A26" i="531"/>
  <c r="D26" i="531"/>
  <c r="B26" i="531"/>
  <c r="C26" i="531"/>
  <c r="I15" i="616"/>
  <c r="J15" i="616" s="1"/>
  <c r="H7" i="616"/>
  <c r="H8" i="616" s="1"/>
  <c r="U6" i="616"/>
  <c r="J14" i="616"/>
  <c r="P18" i="616"/>
  <c r="Z26" i="510"/>
  <c r="Z25" i="510"/>
  <c r="AB27" i="510"/>
  <c r="AA25" i="510"/>
  <c r="AA26" i="510"/>
  <c r="AA29" i="510"/>
  <c r="AB25" i="510"/>
  <c r="AB28" i="510"/>
  <c r="AC25" i="510"/>
  <c r="AC28" i="510"/>
  <c r="AB29" i="510"/>
  <c r="AC27" i="510"/>
  <c r="AA27" i="510"/>
  <c r="Z29" i="510"/>
  <c r="AA28" i="510"/>
  <c r="AB26" i="510"/>
  <c r="AC26" i="510"/>
  <c r="Z28" i="510"/>
  <c r="AC29" i="510"/>
  <c r="Z27" i="510"/>
  <c r="W28" i="523"/>
  <c r="W25" i="523"/>
  <c r="V27" i="523"/>
  <c r="V29" i="523"/>
  <c r="U29" i="523"/>
  <c r="V26" i="523"/>
  <c r="X28" i="523"/>
  <c r="X26" i="523"/>
  <c r="U26" i="523"/>
  <c r="U28" i="523"/>
  <c r="X29" i="523"/>
  <c r="W26" i="523"/>
  <c r="U27" i="523"/>
  <c r="W29" i="523"/>
  <c r="W27" i="523"/>
  <c r="V25" i="523"/>
  <c r="U25" i="523"/>
  <c r="X27" i="523"/>
  <c r="X25" i="523"/>
  <c r="V28" i="523"/>
  <c r="M11" i="455"/>
  <c r="M6" i="455"/>
  <c r="M8" i="455"/>
  <c r="M7" i="455"/>
  <c r="M10" i="455"/>
  <c r="M12" i="455"/>
  <c r="M5" i="455"/>
  <c r="M9" i="455"/>
  <c r="H8" i="455"/>
  <c r="H9" i="455"/>
  <c r="T27" i="510"/>
  <c r="U26" i="510"/>
  <c r="U25" i="510"/>
  <c r="T25" i="510"/>
  <c r="V29" i="510"/>
  <c r="W29" i="510"/>
  <c r="U29" i="510"/>
  <c r="U28" i="510"/>
  <c r="U27" i="510"/>
  <c r="T29" i="510"/>
  <c r="W28" i="510"/>
  <c r="V25" i="510"/>
  <c r="V27" i="510"/>
  <c r="T28" i="510"/>
  <c r="W26" i="510"/>
  <c r="V26" i="510"/>
  <c r="T26" i="510"/>
  <c r="V28" i="510"/>
  <c r="W27" i="510"/>
  <c r="W25" i="510"/>
  <c r="AU25" i="531"/>
  <c r="AT25" i="531"/>
  <c r="AW27" i="531"/>
  <c r="AU28" i="531"/>
  <c r="AW28" i="531"/>
  <c r="AW25" i="531"/>
  <c r="AV29" i="531"/>
  <c r="AV25" i="531"/>
  <c r="AT26" i="531"/>
  <c r="AU26" i="531"/>
  <c r="AV28" i="531"/>
  <c r="AT27" i="531"/>
  <c r="AW26" i="531"/>
  <c r="AU27" i="531"/>
  <c r="AV26" i="531"/>
  <c r="AW29" i="531"/>
  <c r="AU29" i="531"/>
  <c r="AT28" i="531"/>
  <c r="AV27" i="531"/>
  <c r="AT29" i="531"/>
  <c r="AK28" i="523"/>
  <c r="AJ27" i="523"/>
  <c r="AK27" i="523"/>
  <c r="AM27" i="523"/>
  <c r="AM29" i="523"/>
  <c r="AM26" i="523"/>
  <c r="AJ25" i="523"/>
  <c r="AK29" i="523"/>
  <c r="AM25" i="523"/>
  <c r="AL26" i="523"/>
  <c r="AM28" i="523"/>
  <c r="AK25" i="523"/>
  <c r="AJ26" i="523"/>
  <c r="AK26" i="523"/>
  <c r="AJ29" i="523"/>
  <c r="AJ28" i="523"/>
  <c r="AL27" i="523"/>
  <c r="AL25" i="523"/>
  <c r="AL28" i="523"/>
  <c r="AL29" i="523"/>
  <c r="R51" i="463"/>
  <c r="R52" i="463"/>
  <c r="AV29" i="523"/>
  <c r="AW27" i="523"/>
  <c r="AU26" i="523"/>
  <c r="AW28" i="523"/>
  <c r="AU28" i="523"/>
  <c r="AV26" i="523"/>
  <c r="AT28" i="523"/>
  <c r="AW29" i="523"/>
  <c r="AW26" i="523"/>
  <c r="AT29" i="523"/>
  <c r="AT25" i="523"/>
  <c r="AT27" i="523"/>
  <c r="AV28" i="523"/>
  <c r="AU29" i="523"/>
  <c r="AW25" i="523"/>
  <c r="AT26" i="523"/>
  <c r="AU27" i="523"/>
  <c r="AV27" i="523"/>
  <c r="AV25" i="523"/>
  <c r="AU25" i="523"/>
  <c r="T15" i="467"/>
  <c r="R15" i="467"/>
  <c r="S15" i="467"/>
  <c r="T16" i="467"/>
  <c r="R16" i="467"/>
  <c r="S16" i="467"/>
  <c r="T14" i="467"/>
  <c r="R14" i="467"/>
  <c r="S14" i="467"/>
  <c r="R13" i="467"/>
  <c r="T13" i="467"/>
  <c r="S13" i="467"/>
  <c r="L28" i="531"/>
  <c r="L26" i="531"/>
  <c r="N28" i="531"/>
  <c r="M28" i="531"/>
  <c r="M29" i="531"/>
  <c r="N27" i="531"/>
  <c r="M25" i="531"/>
  <c r="N26" i="531"/>
  <c r="N25" i="531"/>
  <c r="L29" i="531"/>
  <c r="M26" i="531"/>
  <c r="L25" i="531"/>
  <c r="L27" i="531"/>
  <c r="K25" i="531"/>
  <c r="K26" i="531"/>
  <c r="M27" i="531"/>
  <c r="K28" i="531"/>
  <c r="K27" i="531"/>
  <c r="N29" i="531"/>
  <c r="K29" i="531"/>
  <c r="AF28" i="523"/>
  <c r="AE27" i="523"/>
  <c r="AF25" i="523"/>
  <c r="AH29" i="523"/>
  <c r="AG27" i="523"/>
  <c r="AH28" i="523"/>
  <c r="AH27" i="523"/>
  <c r="AE25" i="523"/>
  <c r="AG28" i="523"/>
  <c r="AE28" i="523"/>
  <c r="AF26" i="523"/>
  <c r="AG25" i="523"/>
  <c r="AG29" i="523"/>
  <c r="AF27" i="523"/>
  <c r="AH26" i="523"/>
  <c r="AH25" i="523"/>
  <c r="AE26" i="523"/>
  <c r="AG26" i="523"/>
  <c r="AE29" i="523"/>
  <c r="AF29" i="523"/>
  <c r="V5" i="458"/>
  <c r="V4" i="458"/>
  <c r="H9" i="586"/>
  <c r="I12" i="586"/>
  <c r="I10" i="586"/>
  <c r="I11" i="586"/>
  <c r="H12" i="586"/>
  <c r="H10" i="586"/>
  <c r="I9" i="586"/>
  <c r="H11" i="586"/>
  <c r="L21" i="606"/>
  <c r="M21" i="606"/>
  <c r="J21" i="606"/>
  <c r="K21" i="606" s="1"/>
  <c r="Q19" i="721" s="1"/>
  <c r="I19" i="607"/>
  <c r="J22" i="606"/>
  <c r="K22" i="606" s="1"/>
  <c r="Q20" i="721" s="1"/>
  <c r="K19" i="617"/>
  <c r="H19" i="617"/>
  <c r="I19" i="617" s="1"/>
  <c r="J20" i="617"/>
  <c r="M7" i="607"/>
  <c r="N7" i="607" s="1"/>
  <c r="M21" i="616"/>
  <c r="J21" i="616"/>
  <c r="K21" i="616" s="1"/>
  <c r="G19" i="607"/>
  <c r="H19" i="607" s="1"/>
  <c r="J19" i="606"/>
  <c r="K19" i="606" s="1"/>
  <c r="Q17" i="721" s="1"/>
  <c r="J20" i="616"/>
  <c r="K20" i="616" s="1"/>
  <c r="M20" i="616"/>
  <c r="L20" i="616"/>
  <c r="N33" i="592"/>
  <c r="R7" i="600"/>
  <c r="S7" i="600" s="1"/>
  <c r="T7" i="600" s="1"/>
  <c r="M35" i="592"/>
  <c r="R5" i="600"/>
  <c r="S5" i="600" s="1"/>
  <c r="T5" i="600" s="1"/>
  <c r="W85" i="633"/>
  <c r="U86" i="633"/>
  <c r="N7" i="599"/>
  <c r="N8" i="599" s="1"/>
  <c r="M7" i="599"/>
  <c r="G5" i="599"/>
  <c r="M10" i="599"/>
  <c r="M9" i="599"/>
  <c r="P17" i="601"/>
  <c r="F14" i="607"/>
  <c r="T6" i="530" a="1"/>
  <c r="O4" i="511" a="1"/>
  <c r="I14" i="606"/>
  <c r="U14" i="616" l="1"/>
  <c r="H6" i="616"/>
  <c r="U7" i="616"/>
  <c r="P17" i="616"/>
  <c r="P19" i="616" s="1"/>
  <c r="P8" i="616"/>
  <c r="P9" i="616" s="1"/>
  <c r="P10" i="616" s="1"/>
  <c r="T9" i="530"/>
  <c r="T8" i="530"/>
  <c r="W7" i="530"/>
  <c r="T10" i="530"/>
  <c r="V7" i="530"/>
  <c r="U8" i="530"/>
  <c r="V6" i="530"/>
  <c r="W6" i="530"/>
  <c r="U6" i="530"/>
  <c r="W10" i="530"/>
  <c r="W8" i="530"/>
  <c r="T6" i="530"/>
  <c r="V10" i="530"/>
  <c r="W9" i="530"/>
  <c r="U10" i="530"/>
  <c r="V8" i="530"/>
  <c r="U9" i="530"/>
  <c r="U7" i="530"/>
  <c r="T7" i="530"/>
  <c r="V9" i="530"/>
  <c r="Q6" i="511"/>
  <c r="Q8" i="511"/>
  <c r="R6" i="511"/>
  <c r="P7" i="511"/>
  <c r="O8" i="511"/>
  <c r="Q7" i="511"/>
  <c r="R8" i="511"/>
  <c r="R7" i="511"/>
  <c r="Q4" i="511"/>
  <c r="O5" i="511"/>
  <c r="P5" i="511"/>
  <c r="O6" i="511"/>
  <c r="R5" i="511"/>
  <c r="P4" i="511"/>
  <c r="P6" i="511"/>
  <c r="P8" i="511"/>
  <c r="O7" i="511"/>
  <c r="Q5" i="511"/>
  <c r="R4" i="511"/>
  <c r="O4" i="511"/>
  <c r="H9" i="616"/>
  <c r="K14" i="616"/>
  <c r="U11" i="616"/>
  <c r="N9" i="599"/>
  <c r="O9" i="599" s="1"/>
  <c r="M8" i="599"/>
  <c r="O8" i="599" s="1"/>
  <c r="U87" i="633"/>
  <c r="W87" i="633" s="1"/>
  <c r="W86" i="633"/>
  <c r="O7" i="599"/>
  <c r="Q17" i="601"/>
  <c r="R17" i="601" s="1"/>
  <c r="U18" i="616"/>
  <c r="P14" i="616"/>
  <c r="P15" i="616" l="1"/>
  <c r="L14" i="616"/>
  <c r="M14" i="616" s="1"/>
  <c r="U3" i="616"/>
  <c r="P7" i="599"/>
  <c r="Q7" i="599" s="1"/>
  <c r="R7" i="599" s="1"/>
  <c r="P8" i="599"/>
  <c r="Q8" i="599" s="1"/>
  <c r="R8" i="599" s="1"/>
  <c r="M10" i="597"/>
  <c r="M21" i="597"/>
  <c r="M17" i="597"/>
  <c r="M7" i="597"/>
  <c r="M24" i="597"/>
  <c r="M14" i="597"/>
  <c r="L21" i="597"/>
  <c r="L17" i="597"/>
  <c r="L7" i="597"/>
  <c r="L24" i="597"/>
  <c r="L14" i="597"/>
  <c r="L10" i="597"/>
  <c r="K24" i="597"/>
  <c r="K14" i="597"/>
  <c r="N7" i="597"/>
  <c r="N24" i="597"/>
  <c r="S10" i="597" s="1"/>
  <c r="N14" i="597"/>
  <c r="K10" i="597"/>
  <c r="K21" i="597"/>
  <c r="K17" i="597"/>
  <c r="N10" i="597"/>
  <c r="R10" i="597" s="1"/>
  <c r="N21" i="597"/>
  <c r="N17" i="597"/>
  <c r="K7" i="597"/>
  <c r="J7" i="597"/>
  <c r="J14" i="597"/>
  <c r="J21" i="597"/>
  <c r="M20" i="597"/>
  <c r="M6" i="597"/>
  <c r="M13" i="597"/>
  <c r="L20" i="597"/>
  <c r="L6" i="597"/>
  <c r="L13" i="597"/>
  <c r="K13" i="597"/>
  <c r="K20" i="597"/>
  <c r="K6" i="597"/>
  <c r="M9" i="597"/>
  <c r="M16" i="597"/>
  <c r="M23" i="597"/>
  <c r="L16" i="597"/>
  <c r="L23" i="597"/>
  <c r="L9" i="597"/>
  <c r="K23" i="597"/>
  <c r="N23" i="597"/>
  <c r="K9" i="597"/>
  <c r="K16" i="597"/>
  <c r="N9" i="597"/>
  <c r="N16" i="597"/>
  <c r="J23" i="597"/>
  <c r="J9" i="597"/>
  <c r="J16" i="597"/>
  <c r="M22" i="597"/>
  <c r="M8" i="597"/>
  <c r="M15" i="597"/>
  <c r="L8" i="597"/>
  <c r="L15" i="597"/>
  <c r="L22" i="597"/>
  <c r="N15" i="597"/>
  <c r="K22" i="597"/>
  <c r="N22" i="597"/>
  <c r="K8" i="597"/>
  <c r="K15" i="597"/>
  <c r="N8" i="597"/>
  <c r="J15" i="597"/>
  <c r="J22" i="597"/>
  <c r="J8" i="597"/>
  <c r="U13" i="616"/>
  <c r="U12" i="616"/>
  <c r="U15" i="616" l="1"/>
  <c r="U16" i="616"/>
  <c r="Q10" i="597"/>
  <c r="Q7" i="597"/>
  <c r="R7" i="597"/>
  <c r="R8" i="597" s="1"/>
  <c r="R9" i="597" s="1"/>
  <c r="K5" i="597"/>
  <c r="Q9" i="597"/>
  <c r="U20" i="616"/>
  <c r="U19" i="616"/>
  <c r="S9" i="597" l="1"/>
  <c r="Q8" i="597"/>
  <c r="S8" i="597" s="1"/>
  <c r="S7" i="597"/>
  <c r="T8" i="597" l="1"/>
  <c r="U8" i="597" s="1"/>
  <c r="V8" i="597" s="1"/>
  <c r="T7" i="597"/>
  <c r="U7" i="597" s="1"/>
  <c r="V7" i="597" s="1"/>
  <c r="S6" i="595"/>
  <c r="T6" i="595"/>
  <c r="U6" i="595"/>
  <c r="V6" i="595"/>
  <c r="R6" i="595"/>
  <c r="H23" i="595"/>
  <c r="I15" i="595"/>
  <c r="H15" i="595"/>
  <c r="L9" i="595"/>
  <c r="K9" i="595"/>
  <c r="J9" i="595"/>
  <c r="I9" i="595"/>
  <c r="H9" i="595"/>
  <c r="G9" i="595"/>
  <c r="L8" i="595"/>
  <c r="K8" i="595"/>
  <c r="J8" i="595"/>
  <c r="I8" i="595"/>
  <c r="H8" i="595"/>
  <c r="G8" i="595"/>
  <c r="L7" i="595"/>
  <c r="K7" i="595"/>
  <c r="J7" i="595"/>
  <c r="I7" i="595"/>
  <c r="H7" i="595"/>
  <c r="G7" i="595"/>
  <c r="L6" i="595"/>
  <c r="K6" i="595"/>
  <c r="J6" i="595"/>
  <c r="I6" i="595"/>
  <c r="H6" i="595"/>
  <c r="G6" i="595"/>
  <c r="L5" i="595"/>
  <c r="K5" i="595"/>
  <c r="J5" i="595"/>
  <c r="I5" i="595"/>
  <c r="H5" i="595"/>
  <c r="G5" i="595"/>
  <c r="I13" i="595" l="1"/>
  <c r="J23" i="595" s="1"/>
  <c r="R10" i="595"/>
  <c r="V10" i="595"/>
  <c r="U10" i="595"/>
  <c r="T10" i="595"/>
  <c r="S10" i="595"/>
  <c r="H14" i="595"/>
  <c r="H13" i="595" s="1"/>
  <c r="J15" i="595"/>
  <c r="J17" i="594"/>
  <c r="I17" i="594"/>
  <c r="H17" i="594"/>
  <c r="G17" i="594"/>
  <c r="E17" i="594"/>
  <c r="D17" i="594"/>
  <c r="C17" i="594"/>
  <c r="B17" i="594"/>
  <c r="J16" i="594"/>
  <c r="I16" i="594"/>
  <c r="H16" i="594"/>
  <c r="G16" i="594"/>
  <c r="E16" i="594"/>
  <c r="D16" i="594"/>
  <c r="C16" i="594"/>
  <c r="B16" i="594"/>
  <c r="I14" i="595" l="1"/>
  <c r="I20" i="595" s="1"/>
  <c r="J13" i="595"/>
  <c r="I23" i="595" s="1"/>
  <c r="J20" i="595"/>
  <c r="K20" i="595"/>
  <c r="M13" i="595" l="1"/>
  <c r="J14" i="595"/>
  <c r="K13" i="595" s="1"/>
  <c r="L13" i="595" s="1"/>
  <c r="M6" i="595" l="1"/>
  <c r="N6" i="595" s="1"/>
  <c r="O13" i="595"/>
  <c r="M7" i="595"/>
  <c r="O7" i="595" s="1"/>
  <c r="M9" i="595"/>
  <c r="N9" i="595" s="1"/>
  <c r="N13" i="595"/>
  <c r="M5" i="595"/>
  <c r="O5" i="595" s="1"/>
  <c r="H19" i="595"/>
  <c r="M8" i="595"/>
  <c r="O8" i="595" s="1"/>
  <c r="H20" i="595"/>
  <c r="M20" i="595" s="1"/>
  <c r="O6" i="595"/>
  <c r="N7" i="595" l="1"/>
  <c r="L20" i="595"/>
  <c r="O9" i="595"/>
  <c r="N5" i="595"/>
  <c r="I19" i="595"/>
  <c r="N8" i="595"/>
  <c r="L24" i="592"/>
  <c r="Q11" i="592" s="1"/>
  <c r="I24" i="592"/>
  <c r="J24" i="592"/>
  <c r="K24" i="592"/>
  <c r="H24" i="592"/>
  <c r="L23" i="592"/>
  <c r="I23" i="592"/>
  <c r="J23" i="592"/>
  <c r="K23" i="592"/>
  <c r="H23" i="592"/>
  <c r="G23" i="592"/>
  <c r="L22" i="592"/>
  <c r="I22" i="592"/>
  <c r="J22" i="592"/>
  <c r="K22" i="592"/>
  <c r="H22" i="592"/>
  <c r="G22" i="592"/>
  <c r="L21" i="592"/>
  <c r="I21" i="592"/>
  <c r="J21" i="592"/>
  <c r="K21" i="592"/>
  <c r="H21" i="592"/>
  <c r="G21" i="592"/>
  <c r="I20" i="592"/>
  <c r="J20" i="592"/>
  <c r="K20" i="592"/>
  <c r="H20" i="592"/>
  <c r="L17" i="592"/>
  <c r="I17" i="592"/>
  <c r="J17" i="592"/>
  <c r="K17" i="592"/>
  <c r="H17" i="592"/>
  <c r="L16" i="592"/>
  <c r="I16" i="592"/>
  <c r="J16" i="592"/>
  <c r="K16" i="592"/>
  <c r="H16" i="592"/>
  <c r="G16" i="592"/>
  <c r="L15" i="592"/>
  <c r="I15" i="592"/>
  <c r="J15" i="592"/>
  <c r="K15" i="592"/>
  <c r="H15" i="592"/>
  <c r="G15" i="592"/>
  <c r="L14" i="592"/>
  <c r="I14" i="592"/>
  <c r="J14" i="592"/>
  <c r="K14" i="592"/>
  <c r="H14" i="592"/>
  <c r="G14" i="592"/>
  <c r="I13" i="592"/>
  <c r="J13" i="592"/>
  <c r="K13" i="592"/>
  <c r="H13" i="592"/>
  <c r="L10" i="592"/>
  <c r="P11" i="592" s="1"/>
  <c r="P21" i="592" s="1"/>
  <c r="I10" i="592"/>
  <c r="J10" i="592"/>
  <c r="K10" i="592"/>
  <c r="H10" i="592"/>
  <c r="L9" i="592"/>
  <c r="I9" i="592"/>
  <c r="J9" i="592"/>
  <c r="K9" i="592"/>
  <c r="H9" i="592"/>
  <c r="G9" i="592"/>
  <c r="L8" i="592"/>
  <c r="I8" i="592"/>
  <c r="J8" i="592"/>
  <c r="K8" i="592"/>
  <c r="H8" i="592"/>
  <c r="G8" i="592"/>
  <c r="L7" i="592"/>
  <c r="I7" i="592"/>
  <c r="J7" i="592"/>
  <c r="K7" i="592"/>
  <c r="H7" i="592"/>
  <c r="G7" i="592"/>
  <c r="I6" i="592"/>
  <c r="J6" i="592"/>
  <c r="K6" i="592"/>
  <c r="H6" i="592"/>
  <c r="AE10" i="592"/>
  <c r="AF10" i="592"/>
  <c r="AG10" i="592"/>
  <c r="K19" i="595"/>
  <c r="J19" i="595"/>
  <c r="L19" i="595" l="1"/>
  <c r="M19" i="595"/>
  <c r="L23" i="595"/>
  <c r="K23" i="595"/>
  <c r="H5" i="592"/>
  <c r="O8" i="592"/>
  <c r="O18" i="592" s="1"/>
  <c r="O10" i="592"/>
  <c r="O20" i="592" s="1"/>
  <c r="O7" i="592"/>
  <c r="O17" i="592" s="1"/>
  <c r="P7" i="592"/>
  <c r="P17" i="592" s="1"/>
  <c r="P8" i="592"/>
  <c r="P18" i="592" s="1"/>
  <c r="O11" i="592"/>
  <c r="O21" i="592" s="1"/>
  <c r="Q21" i="592" s="1"/>
  <c r="Q18" i="592" l="1"/>
  <c r="Q17" i="592"/>
  <c r="Q8" i="592"/>
  <c r="P9" i="592"/>
  <c r="P19" i="592" s="1"/>
  <c r="Q7" i="592"/>
  <c r="O9" i="592"/>
  <c r="O19" i="592" s="1"/>
  <c r="Q19" i="592" l="1"/>
  <c r="R17" i="592" s="1"/>
  <c r="P10" i="592"/>
  <c r="Q9" i="592"/>
  <c r="R18" i="592" l="1"/>
  <c r="Q10" i="592"/>
  <c r="R7" i="592" s="1"/>
  <c r="S7" i="592" s="1"/>
  <c r="T7" i="592" s="1"/>
  <c r="P20" i="592"/>
  <c r="Q20" i="592" s="1"/>
  <c r="R19" i="592" s="1"/>
  <c r="S19" i="592" s="1"/>
  <c r="T19" i="592" s="1"/>
  <c r="S18" i="592" l="1"/>
  <c r="T18" i="592" s="1"/>
  <c r="R9" i="592"/>
  <c r="S9" i="592" s="1"/>
  <c r="T9" i="592" s="1"/>
  <c r="R8" i="592"/>
  <c r="S8" i="592" s="1"/>
  <c r="T8" i="592" s="1"/>
  <c r="S17" i="592"/>
  <c r="T17" i="592" s="1"/>
  <c r="AD10" i="592"/>
  <c r="AC10" i="592"/>
  <c r="AB10" i="592"/>
  <c r="AA10" i="592"/>
  <c r="Z10" i="592"/>
  <c r="Y10" i="592"/>
  <c r="X10" i="592"/>
  <c r="W10" i="592"/>
  <c r="V10" i="592"/>
  <c r="O9" i="591"/>
  <c r="O8" i="591"/>
  <c r="O7" i="591"/>
  <c r="C15" i="591"/>
  <c r="I15" i="591"/>
  <c r="D15" i="591"/>
  <c r="H15" i="591"/>
  <c r="G15" i="591"/>
  <c r="B15" i="591"/>
  <c r="E15" i="591"/>
  <c r="F15" i="591"/>
  <c r="A15" i="591"/>
  <c r="N24" i="590"/>
  <c r="S14" i="590" s="1"/>
  <c r="J24" i="590"/>
  <c r="K24" i="590"/>
  <c r="L24" i="590"/>
  <c r="M24" i="590"/>
  <c r="I24" i="590"/>
  <c r="N23" i="590"/>
  <c r="J23" i="590"/>
  <c r="K23" i="590"/>
  <c r="L23" i="590"/>
  <c r="M23" i="590"/>
  <c r="I23" i="590"/>
  <c r="H23" i="590"/>
  <c r="N22" i="590"/>
  <c r="J22" i="590"/>
  <c r="K22" i="590"/>
  <c r="L22" i="590"/>
  <c r="M22" i="590"/>
  <c r="I22" i="590"/>
  <c r="H22" i="590"/>
  <c r="N21" i="590"/>
  <c r="J21" i="590"/>
  <c r="K21" i="590"/>
  <c r="L21" i="590"/>
  <c r="M21" i="590"/>
  <c r="I21" i="590"/>
  <c r="H21" i="590"/>
  <c r="J20" i="590"/>
  <c r="K20" i="590"/>
  <c r="L20" i="590"/>
  <c r="M20" i="590"/>
  <c r="I20" i="590"/>
  <c r="N17" i="590"/>
  <c r="J17" i="590"/>
  <c r="K17" i="590"/>
  <c r="L17" i="590"/>
  <c r="M17" i="590"/>
  <c r="I17" i="590"/>
  <c r="N16" i="590"/>
  <c r="J16" i="590"/>
  <c r="K16" i="590"/>
  <c r="L16" i="590"/>
  <c r="M16" i="590"/>
  <c r="I16" i="590"/>
  <c r="H16" i="590"/>
  <c r="N15" i="590"/>
  <c r="J15" i="590"/>
  <c r="K15" i="590"/>
  <c r="L15" i="590"/>
  <c r="M15" i="590"/>
  <c r="I15" i="590"/>
  <c r="H15" i="590"/>
  <c r="N14" i="590"/>
  <c r="J14" i="590"/>
  <c r="K14" i="590"/>
  <c r="L14" i="590"/>
  <c r="M14" i="590"/>
  <c r="I14" i="590"/>
  <c r="H14" i="590"/>
  <c r="J13" i="590"/>
  <c r="K13" i="590"/>
  <c r="L13" i="590"/>
  <c r="M13" i="590"/>
  <c r="I13" i="590"/>
  <c r="N10" i="590"/>
  <c r="R14" i="590" s="1"/>
  <c r="J10" i="590"/>
  <c r="K10" i="590"/>
  <c r="L10" i="590"/>
  <c r="M10" i="590"/>
  <c r="I10" i="590"/>
  <c r="R7" i="590" s="1"/>
  <c r="N9" i="590"/>
  <c r="J9" i="590"/>
  <c r="K9" i="590"/>
  <c r="L9" i="590"/>
  <c r="M9" i="590"/>
  <c r="I9" i="590"/>
  <c r="H9" i="590"/>
  <c r="N8" i="590"/>
  <c r="J8" i="590"/>
  <c r="K8" i="590"/>
  <c r="L8" i="590"/>
  <c r="M8" i="590"/>
  <c r="I8" i="590"/>
  <c r="H8" i="590"/>
  <c r="N7" i="590"/>
  <c r="J7" i="590"/>
  <c r="K7" i="590"/>
  <c r="L7" i="590"/>
  <c r="M7" i="590"/>
  <c r="I7" i="590"/>
  <c r="H7" i="590"/>
  <c r="J6" i="590"/>
  <c r="K6" i="590"/>
  <c r="L6" i="590"/>
  <c r="M6" i="590"/>
  <c r="I6" i="590"/>
  <c r="G6" i="589"/>
  <c r="H6" i="589"/>
  <c r="I6" i="589"/>
  <c r="J6" i="589"/>
  <c r="K6" i="589"/>
  <c r="H7" i="589"/>
  <c r="I7" i="589"/>
  <c r="J7" i="589"/>
  <c r="K7" i="589"/>
  <c r="H8" i="589"/>
  <c r="I8" i="589"/>
  <c r="J8" i="589"/>
  <c r="K8" i="589"/>
  <c r="H9" i="589"/>
  <c r="I9" i="589"/>
  <c r="J9" i="589"/>
  <c r="K9" i="589"/>
  <c r="H10" i="589"/>
  <c r="I10" i="589"/>
  <c r="J10" i="589"/>
  <c r="K10" i="589"/>
  <c r="H11" i="589"/>
  <c r="I11" i="589"/>
  <c r="J11" i="589"/>
  <c r="K11" i="589"/>
  <c r="H12" i="589"/>
  <c r="I12" i="589"/>
  <c r="J12" i="589"/>
  <c r="K12" i="589"/>
  <c r="H13" i="589"/>
  <c r="I13" i="589"/>
  <c r="J13" i="589"/>
  <c r="K13" i="589"/>
  <c r="H14" i="589"/>
  <c r="I14" i="589"/>
  <c r="J14" i="589"/>
  <c r="K14" i="589"/>
  <c r="H15" i="589"/>
  <c r="I15" i="589"/>
  <c r="J15" i="589"/>
  <c r="K15" i="589"/>
  <c r="H16" i="589"/>
  <c r="I16" i="589"/>
  <c r="J16" i="589"/>
  <c r="K16" i="589"/>
  <c r="H17" i="589"/>
  <c r="I17" i="589"/>
  <c r="J17" i="589"/>
  <c r="K17" i="589"/>
  <c r="H18" i="589"/>
  <c r="I18" i="589"/>
  <c r="J18" i="589"/>
  <c r="K18" i="589"/>
  <c r="H19" i="589"/>
  <c r="I19" i="589"/>
  <c r="J19" i="589"/>
  <c r="K19" i="589"/>
  <c r="H20" i="589"/>
  <c r="I20" i="589"/>
  <c r="J20" i="589"/>
  <c r="K20" i="589"/>
  <c r="H5" i="589"/>
  <c r="I5" i="589"/>
  <c r="J5" i="589"/>
  <c r="K5" i="589"/>
  <c r="G5" i="589"/>
  <c r="A5" i="589"/>
  <c r="A6" i="589" s="1"/>
  <c r="A7" i="589" s="1"/>
  <c r="A8" i="589" s="1"/>
  <c r="A9" i="589" s="1"/>
  <c r="A10" i="589" s="1"/>
  <c r="A11" i="589" s="1"/>
  <c r="A12" i="589" s="1"/>
  <c r="A13" i="589" s="1"/>
  <c r="A14" i="589" s="1"/>
  <c r="A15" i="589" s="1"/>
  <c r="A16" i="589" s="1"/>
  <c r="A17" i="589" s="1"/>
  <c r="A18" i="589" s="1"/>
  <c r="G20" i="589" s="1"/>
  <c r="H25" i="589"/>
  <c r="H24" i="589"/>
  <c r="Q8" i="590" l="1"/>
  <c r="K22" i="589"/>
  <c r="L20" i="589"/>
  <c r="L19" i="589"/>
  <c r="G13" i="589"/>
  <c r="L10" i="589"/>
  <c r="L18" i="589"/>
  <c r="L13" i="589"/>
  <c r="L12" i="589"/>
  <c r="L11" i="589"/>
  <c r="I22" i="589"/>
  <c r="L14" i="589"/>
  <c r="L9" i="589"/>
  <c r="G9" i="589"/>
  <c r="L8" i="589"/>
  <c r="L7" i="589"/>
  <c r="P5" i="589"/>
  <c r="R8" i="590"/>
  <c r="R11" i="590"/>
  <c r="L17" i="589"/>
  <c r="G17" i="589"/>
  <c r="L16" i="589"/>
  <c r="L15" i="589"/>
  <c r="J21" i="589"/>
  <c r="R10" i="590"/>
  <c r="Q14" i="590"/>
  <c r="G18" i="589"/>
  <c r="G14" i="589"/>
  <c r="G10" i="589"/>
  <c r="H21" i="589"/>
  <c r="I21" i="589"/>
  <c r="J22" i="589"/>
  <c r="Q13" i="591"/>
  <c r="L6" i="589"/>
  <c r="H22" i="589"/>
  <c r="G16" i="589"/>
  <c r="G12" i="589"/>
  <c r="G8" i="589"/>
  <c r="K21" i="589"/>
  <c r="P6" i="589"/>
  <c r="O8" i="589"/>
  <c r="I5" i="590"/>
  <c r="Q11" i="590"/>
  <c r="G19" i="589"/>
  <c r="G15" i="589"/>
  <c r="G11" i="589"/>
  <c r="G7" i="589"/>
  <c r="I27" i="590"/>
  <c r="Q7" i="590"/>
  <c r="I26" i="590"/>
  <c r="R9" i="590" l="1"/>
  <c r="V8" i="590" s="1"/>
  <c r="S8" i="590"/>
  <c r="R12" i="590"/>
  <c r="P8" i="589"/>
  <c r="P7" i="589" s="1"/>
  <c r="T5" i="589" s="1"/>
  <c r="O6" i="589"/>
  <c r="Q6" i="589" s="1"/>
  <c r="R19" i="590"/>
  <c r="Q9" i="590"/>
  <c r="Q10" i="590"/>
  <c r="P17" i="589"/>
  <c r="O5" i="589"/>
  <c r="Q5" i="589" s="1"/>
  <c r="P12" i="589"/>
  <c r="Q25" i="590"/>
  <c r="Q19" i="590"/>
  <c r="S11" i="590"/>
  <c r="L22" i="589"/>
  <c r="L21" i="589"/>
  <c r="P15" i="591"/>
  <c r="R7" i="591"/>
  <c r="T7" i="591"/>
  <c r="Q7" i="591"/>
  <c r="P7" i="591"/>
  <c r="Q15" i="591"/>
  <c r="Q14" i="591" s="1"/>
  <c r="U13" i="591" s="1"/>
  <c r="S7" i="591"/>
  <c r="R9" i="591"/>
  <c r="Q9" i="591"/>
  <c r="T9" i="591"/>
  <c r="P9" i="591"/>
  <c r="S9" i="591"/>
  <c r="T8" i="591"/>
  <c r="P8" i="591"/>
  <c r="S8" i="591"/>
  <c r="R8" i="591"/>
  <c r="Q8" i="591"/>
  <c r="R25" i="590" l="1"/>
  <c r="S25" i="590" s="1"/>
  <c r="R26" i="590"/>
  <c r="P18" i="589"/>
  <c r="T17" i="589" s="1"/>
  <c r="R13" i="590"/>
  <c r="V12" i="590" s="1"/>
  <c r="P13" i="589"/>
  <c r="T12" i="589" s="1"/>
  <c r="T6" i="589"/>
  <c r="R20" i="590"/>
  <c r="O12" i="589"/>
  <c r="Q12" i="589" s="1"/>
  <c r="O17" i="589"/>
  <c r="Q17" i="589" s="1"/>
  <c r="P14" i="591"/>
  <c r="R14" i="591" s="1"/>
  <c r="V13" i="591" s="1"/>
  <c r="S19" i="590"/>
  <c r="O7" i="589"/>
  <c r="S9" i="590"/>
  <c r="T8" i="590" s="1"/>
  <c r="U8" i="590" s="1"/>
  <c r="Q13" i="590"/>
  <c r="Q12" i="590" s="1"/>
  <c r="R15" i="591"/>
  <c r="V11" i="590" l="1"/>
  <c r="R21" i="590"/>
  <c r="V20" i="590" s="1"/>
  <c r="R27" i="590"/>
  <c r="V26" i="590" s="1"/>
  <c r="P13" i="591"/>
  <c r="R13" i="591" s="1"/>
  <c r="S13" i="591" s="1"/>
  <c r="T13" i="591" s="1"/>
  <c r="U7" i="591"/>
  <c r="W7" i="591" s="1"/>
  <c r="W13" i="591"/>
  <c r="U9" i="591"/>
  <c r="V9" i="591" s="1"/>
  <c r="U8" i="591"/>
  <c r="V8" i="591" s="1"/>
  <c r="S12" i="590"/>
  <c r="Q26" i="590"/>
  <c r="S26" i="590" s="1"/>
  <c r="Q20" i="590"/>
  <c r="S20" i="590" s="1"/>
  <c r="Q27" i="590"/>
  <c r="Q21" i="590"/>
  <c r="S13" i="590"/>
  <c r="T11" i="590" s="1"/>
  <c r="U11" i="590" s="1"/>
  <c r="Q7" i="589"/>
  <c r="O18" i="589"/>
  <c r="Q18" i="589" s="1"/>
  <c r="R17" i="589" s="1"/>
  <c r="S17" i="589" s="1"/>
  <c r="O13" i="589"/>
  <c r="Q13" i="589" s="1"/>
  <c r="R12" i="589" s="1"/>
  <c r="S12" i="589" s="1"/>
  <c r="S21" i="590" l="1"/>
  <c r="T20" i="590" s="1"/>
  <c r="U20" i="590" s="1"/>
  <c r="V19" i="590"/>
  <c r="S27" i="590"/>
  <c r="T25" i="590" s="1"/>
  <c r="U25" i="590" s="1"/>
  <c r="V25" i="590"/>
  <c r="V7" i="591"/>
  <c r="W8" i="591"/>
  <c r="W9" i="591"/>
  <c r="R6" i="589"/>
  <c r="S6" i="589" s="1"/>
  <c r="R5" i="589"/>
  <c r="S5" i="589" s="1"/>
  <c r="T12" i="590"/>
  <c r="U12" i="590" s="1"/>
  <c r="T19" i="590" l="1"/>
  <c r="U19" i="590" s="1"/>
  <c r="T26" i="590"/>
  <c r="U26" i="590" s="1"/>
  <c r="U12" i="211" l="1"/>
  <c r="X11" i="584"/>
  <c r="O19" i="584"/>
  <c r="N19" i="584"/>
  <c r="R13" i="584"/>
  <c r="Q13" i="584"/>
  <c r="P13" i="584"/>
  <c r="O13" i="584"/>
  <c r="N13" i="584"/>
  <c r="M13" i="584"/>
  <c r="R12" i="584"/>
  <c r="Q12" i="584"/>
  <c r="P12" i="584"/>
  <c r="O12" i="584"/>
  <c r="N12" i="584"/>
  <c r="M12" i="584"/>
  <c r="R11" i="584"/>
  <c r="Q11" i="584"/>
  <c r="P11" i="584"/>
  <c r="O11" i="584"/>
  <c r="N11" i="584"/>
  <c r="M11" i="584"/>
  <c r="O17" i="584" l="1"/>
  <c r="O18" i="584" s="1"/>
  <c r="S17" i="584" s="1"/>
  <c r="I13" i="586"/>
  <c r="N18" i="584"/>
  <c r="N17" i="584" s="1"/>
  <c r="P19" i="584"/>
  <c r="P17" i="584" l="1"/>
  <c r="P18" i="584"/>
  <c r="U17" i="584" s="1"/>
  <c r="S12" i="584" l="1"/>
  <c r="T12" i="584" s="1"/>
  <c r="T17" i="584"/>
  <c r="S13" i="584"/>
  <c r="U13" i="584" s="1"/>
  <c r="S11" i="584"/>
  <c r="U11" i="584" s="1"/>
  <c r="Q17" i="584"/>
  <c r="R17" i="584" s="1"/>
  <c r="T13" i="584" l="1"/>
  <c r="U12" i="584"/>
  <c r="T11" i="584"/>
  <c r="G33" i="584"/>
  <c r="F33" i="584"/>
  <c r="E33" i="584"/>
  <c r="G32" i="584"/>
  <c r="F32" i="584"/>
  <c r="E32" i="584"/>
  <c r="G31" i="584"/>
  <c r="F31" i="584"/>
  <c r="E31" i="584"/>
  <c r="E39" i="584"/>
  <c r="E41" i="584" s="1"/>
  <c r="J20" i="585"/>
  <c r="J22" i="585" s="1"/>
  <c r="F30" i="585"/>
  <c r="G30" i="585"/>
  <c r="F31" i="585"/>
  <c r="G31" i="585"/>
  <c r="F32" i="585"/>
  <c r="G32" i="585"/>
  <c r="E32" i="585"/>
  <c r="E31" i="585"/>
  <c r="E30" i="585"/>
  <c r="G15" i="585"/>
  <c r="F15" i="585"/>
  <c r="J9" i="585"/>
  <c r="I9" i="585"/>
  <c r="H9" i="585"/>
  <c r="G9" i="585"/>
  <c r="F9" i="585"/>
  <c r="E9" i="585"/>
  <c r="J8" i="585"/>
  <c r="I8" i="585"/>
  <c r="H8" i="585"/>
  <c r="G8" i="585"/>
  <c r="F8" i="585"/>
  <c r="E8" i="585"/>
  <c r="J7" i="585"/>
  <c r="I7" i="585"/>
  <c r="H7" i="585"/>
  <c r="G7" i="585"/>
  <c r="F7" i="585"/>
  <c r="E7" i="585"/>
  <c r="D15" i="584"/>
  <c r="C15" i="584"/>
  <c r="B15" i="584"/>
  <c r="D14" i="584"/>
  <c r="C14" i="584"/>
  <c r="B14" i="584"/>
  <c r="G33" i="585" l="1"/>
  <c r="G34" i="585" s="1"/>
  <c r="G13" i="585"/>
  <c r="G14" i="585" s="1"/>
  <c r="E33" i="585"/>
  <c r="F33" i="585"/>
  <c r="F34" i="585" s="1"/>
  <c r="F14" i="585"/>
  <c r="F13" i="585" s="1"/>
  <c r="H15" i="585"/>
  <c r="F34" i="584"/>
  <c r="F35" i="584" s="1"/>
  <c r="G34" i="584"/>
  <c r="G35" i="584" s="1"/>
  <c r="E34" i="584"/>
  <c r="H13" i="585" l="1"/>
  <c r="H33" i="585"/>
  <c r="E36" i="585" s="1"/>
  <c r="E34" i="585"/>
  <c r="H34" i="584"/>
  <c r="F37" i="584" s="1"/>
  <c r="E35" i="584"/>
  <c r="H14" i="585"/>
  <c r="K13" i="585"/>
  <c r="H34" i="585" l="1"/>
  <c r="E35" i="585" s="1"/>
  <c r="F36" i="585"/>
  <c r="G36" i="585"/>
  <c r="H35" i="584"/>
  <c r="F36" i="584" s="1"/>
  <c r="G37" i="584"/>
  <c r="E37" i="584"/>
  <c r="K7" i="585"/>
  <c r="K8" i="585"/>
  <c r="L13" i="585"/>
  <c r="K9" i="585"/>
  <c r="I13" i="585"/>
  <c r="J13" i="585" s="1"/>
  <c r="M13" i="585"/>
  <c r="G35" i="585" l="1"/>
  <c r="F35" i="585"/>
  <c r="H36" i="585"/>
  <c r="J23" i="585" s="1"/>
  <c r="G36" i="584"/>
  <c r="E36" i="584"/>
  <c r="H37" i="584"/>
  <c r="E42" i="584" s="1"/>
  <c r="L9" i="585"/>
  <c r="M9" i="585"/>
  <c r="M8" i="585"/>
  <c r="L8" i="585"/>
  <c r="M7" i="585"/>
  <c r="L7" i="585"/>
  <c r="H35" i="585" l="1"/>
  <c r="J21" i="585" s="1"/>
  <c r="J24" i="585" s="1"/>
  <c r="H36" i="584"/>
  <c r="E40" i="584" s="1"/>
  <c r="E43" i="584" s="1"/>
  <c r="E29" i="440" l="1"/>
  <c r="F29" i="440"/>
  <c r="G29" i="440"/>
  <c r="D29" i="440"/>
  <c r="N30" i="496" l="1"/>
  <c r="AC29" i="447"/>
  <c r="AC28" i="447"/>
  <c r="Z29" i="447"/>
  <c r="AA29" i="447"/>
  <c r="AB29" i="447"/>
  <c r="Y29" i="447"/>
  <c r="Z28" i="447"/>
  <c r="AA28" i="447"/>
  <c r="AB28" i="447"/>
  <c r="Y28" i="447"/>
  <c r="AH7" i="447"/>
  <c r="AI7" i="447"/>
  <c r="AJ7" i="447"/>
  <c r="AK7" i="447"/>
  <c r="AG7" i="447"/>
  <c r="AD22" i="447"/>
  <c r="AD5" i="447"/>
  <c r="AD6" i="447"/>
  <c r="AD7" i="447"/>
  <c r="AD8" i="447"/>
  <c r="AD9" i="447"/>
  <c r="AD10" i="447"/>
  <c r="AD11" i="447"/>
  <c r="AD12" i="447"/>
  <c r="AD13" i="447"/>
  <c r="AD14" i="447"/>
  <c r="AD15" i="447"/>
  <c r="AD16" i="447"/>
  <c r="AD17" i="447"/>
  <c r="AD18" i="447"/>
  <c r="AD19" i="447"/>
  <c r="AD20" i="447"/>
  <c r="AD21" i="447"/>
  <c r="AD4" i="447"/>
  <c r="X5" i="447"/>
  <c r="X6" i="447" s="1"/>
  <c r="X7" i="447" s="1"/>
  <c r="X8" i="447" s="1"/>
  <c r="X9" i="447" s="1"/>
  <c r="X10" i="447" s="1"/>
  <c r="X11" i="447" s="1"/>
  <c r="X12" i="447" s="1"/>
  <c r="X13" i="447" s="1"/>
  <c r="X14" i="447" s="1"/>
  <c r="X15" i="447" s="1"/>
  <c r="X16" i="447" s="1"/>
  <c r="X17" i="447" s="1"/>
  <c r="X18" i="447" s="1"/>
  <c r="X19" i="447" s="1"/>
  <c r="X20" i="447" s="1"/>
  <c r="X21" i="447" s="1"/>
  <c r="T25" i="447"/>
  <c r="S5" i="447"/>
  <c r="S6" i="447" s="1"/>
  <c r="S7" i="447" s="1"/>
  <c r="S8" i="447" s="1"/>
  <c r="S9" i="447" s="1"/>
  <c r="S10" i="447" s="1"/>
  <c r="S11" i="447" s="1"/>
  <c r="S12" i="447" s="1"/>
  <c r="S13" i="447" s="1"/>
  <c r="S14" i="447" s="1"/>
  <c r="S15" i="447" s="1"/>
  <c r="S16" i="447" s="1"/>
  <c r="S17" i="447" s="1"/>
  <c r="S18" i="447" s="1"/>
  <c r="S19" i="447" s="1"/>
  <c r="S20" i="447" s="1"/>
  <c r="S21" i="447" s="1"/>
  <c r="L23" i="578"/>
  <c r="AJ9" i="447"/>
  <c r="AI9" i="447"/>
  <c r="AA25" i="447"/>
  <c r="AD24" i="447"/>
  <c r="AB25" i="447"/>
  <c r="AH9" i="447"/>
  <c r="Y25" i="447"/>
  <c r="Z25" i="447"/>
  <c r="AC25" i="447"/>
  <c r="AG9" i="447"/>
  <c r="AK9" i="447"/>
  <c r="N31" i="496" l="1"/>
  <c r="N27" i="496"/>
  <c r="N28" i="496" s="1"/>
  <c r="Y30" i="447"/>
  <c r="AI10" i="447"/>
  <c r="AB30" i="447"/>
  <c r="AA30" i="447"/>
  <c r="AC30" i="447"/>
  <c r="AK10" i="447"/>
  <c r="AD28" i="447"/>
  <c r="Z30" i="447"/>
  <c r="AJ10" i="447"/>
  <c r="AG10" i="447"/>
  <c r="AH10" i="447"/>
  <c r="Z26" i="447"/>
  <c r="AC26" i="447"/>
  <c r="AB26" i="447"/>
  <c r="AA26" i="447"/>
  <c r="Y26" i="447"/>
  <c r="M37" i="578" l="1"/>
  <c r="L37" i="578"/>
  <c r="C37" i="578"/>
  <c r="B37" i="578"/>
  <c r="M36" i="578"/>
  <c r="L36" i="578"/>
  <c r="C36" i="578"/>
  <c r="B36" i="578"/>
  <c r="M35" i="578"/>
  <c r="L35" i="578"/>
  <c r="C35" i="578"/>
  <c r="B35" i="578"/>
  <c r="M34" i="578"/>
  <c r="L34" i="578"/>
  <c r="C34" i="578"/>
  <c r="B34" i="578"/>
  <c r="M33" i="578"/>
  <c r="L33" i="578"/>
  <c r="C33" i="578"/>
  <c r="B33" i="578"/>
  <c r="M32" i="578"/>
  <c r="L32" i="578"/>
  <c r="C32" i="578"/>
  <c r="B32" i="578"/>
  <c r="M31" i="578"/>
  <c r="L31" i="578"/>
  <c r="C31" i="578"/>
  <c r="B31" i="578"/>
  <c r="M30" i="578"/>
  <c r="L30" i="578"/>
  <c r="C30" i="578"/>
  <c r="B30" i="578"/>
  <c r="M29" i="578"/>
  <c r="L29" i="578"/>
  <c r="C29" i="578"/>
  <c r="B29" i="578"/>
  <c r="M28" i="578"/>
  <c r="L28" i="578"/>
  <c r="C28" i="578"/>
  <c r="B28" i="578"/>
  <c r="M27" i="578"/>
  <c r="L27" i="578"/>
  <c r="C27" i="578"/>
  <c r="B27" i="578"/>
  <c r="M26" i="578"/>
  <c r="L26" i="578"/>
  <c r="C26" i="578"/>
  <c r="B26" i="578"/>
  <c r="M25" i="578"/>
  <c r="L25" i="578"/>
  <c r="C25" i="578"/>
  <c r="B25" i="578"/>
  <c r="M24" i="578"/>
  <c r="L24" i="578"/>
  <c r="K24" i="578"/>
  <c r="K25" i="578" s="1"/>
  <c r="K26" i="578" s="1"/>
  <c r="K27" i="578" s="1"/>
  <c r="K28" i="578" s="1"/>
  <c r="K29" i="578" s="1"/>
  <c r="K30" i="578" s="1"/>
  <c r="K31" i="578" s="1"/>
  <c r="K32" i="578" s="1"/>
  <c r="K33" i="578" s="1"/>
  <c r="K34" i="578" s="1"/>
  <c r="K35" i="578" s="1"/>
  <c r="K36" i="578" s="1"/>
  <c r="K37" i="578" s="1"/>
  <c r="C24" i="578"/>
  <c r="B24" i="578"/>
  <c r="A24" i="578"/>
  <c r="A25" i="578" s="1"/>
  <c r="A26" i="578" s="1"/>
  <c r="A27" i="578" s="1"/>
  <c r="A28" i="578" s="1"/>
  <c r="A29" i="578" s="1"/>
  <c r="A30" i="578" s="1"/>
  <c r="A31" i="578" s="1"/>
  <c r="A32" i="578" s="1"/>
  <c r="A33" i="578" s="1"/>
  <c r="A34" i="578" s="1"/>
  <c r="A35" i="578" s="1"/>
  <c r="A36" i="578" s="1"/>
  <c r="A37" i="578" s="1"/>
  <c r="M23" i="578"/>
  <c r="C23" i="578"/>
  <c r="B23" i="578"/>
  <c r="A5" i="578"/>
  <c r="A6" i="578" s="1"/>
  <c r="A7" i="578" s="1"/>
  <c r="A8" i="578" s="1"/>
  <c r="A9" i="578" s="1"/>
  <c r="A10" i="578" s="1"/>
  <c r="A11" i="578" s="1"/>
  <c r="A12" i="578" s="1"/>
  <c r="A13" i="578" s="1"/>
  <c r="A14" i="578" s="1"/>
  <c r="A15" i="578" s="1"/>
  <c r="A16" i="578" s="1"/>
  <c r="A17" i="578" s="1"/>
  <c r="A18" i="578" s="1"/>
  <c r="N7" i="577"/>
  <c r="O7" i="577"/>
  <c r="P7" i="577"/>
  <c r="Q7" i="577"/>
  <c r="R7" i="577"/>
  <c r="S7" i="577"/>
  <c r="T7" i="577"/>
  <c r="U7" i="577"/>
  <c r="V7" i="577"/>
  <c r="M7" i="577"/>
  <c r="A5" i="577"/>
  <c r="A6" i="577" s="1"/>
  <c r="A7" i="577" s="1"/>
  <c r="A8" i="577" s="1"/>
  <c r="A9" i="577" s="1"/>
  <c r="A10" i="577" s="1"/>
  <c r="A11" i="577" s="1"/>
  <c r="A12" i="577" s="1"/>
  <c r="A13" i="577" s="1"/>
  <c r="A14" i="577" s="1"/>
  <c r="A15" i="577" s="1"/>
  <c r="A16" i="577" s="1"/>
  <c r="A17" i="577" s="1"/>
  <c r="A18" i="577" s="1"/>
  <c r="R23" i="578" l="1"/>
  <c r="R24" i="578" s="1"/>
  <c r="H23" i="578"/>
  <c r="H24" i="578" s="1"/>
  <c r="F3" i="576"/>
  <c r="G6" i="576" s="1"/>
  <c r="G7" i="576" s="1"/>
  <c r="F6" i="576" l="1"/>
  <c r="F7" i="576" s="1"/>
  <c r="H6" i="576"/>
  <c r="H7" i="576" s="1"/>
  <c r="F9" i="576"/>
  <c r="F10" i="576"/>
  <c r="K19" i="400" l="1"/>
  <c r="V6" i="550" l="1"/>
  <c r="V5" i="550"/>
  <c r="V13" i="550"/>
  <c r="Q15" i="550"/>
  <c r="H16" i="550"/>
  <c r="G16" i="550"/>
  <c r="K10" i="550"/>
  <c r="J10" i="550"/>
  <c r="I10" i="550"/>
  <c r="H10" i="550"/>
  <c r="G10" i="550"/>
  <c r="F10" i="550"/>
  <c r="K9" i="550"/>
  <c r="J9" i="550"/>
  <c r="I9" i="550"/>
  <c r="H9" i="550"/>
  <c r="G9" i="550"/>
  <c r="F9" i="550"/>
  <c r="K8" i="550"/>
  <c r="J8" i="550"/>
  <c r="I8" i="550"/>
  <c r="H8" i="550"/>
  <c r="G8" i="550"/>
  <c r="F8" i="550"/>
  <c r="K7" i="550"/>
  <c r="J7" i="550"/>
  <c r="I7" i="550"/>
  <c r="H7" i="550"/>
  <c r="G7" i="550"/>
  <c r="F7" i="550"/>
  <c r="I16" i="550" l="1"/>
  <c r="H14" i="550"/>
  <c r="G15" i="550"/>
  <c r="G14" i="550" s="1"/>
  <c r="AA8" i="550" s="1"/>
  <c r="V14" i="550"/>
  <c r="Q5" i="550" l="1"/>
  <c r="Q10" i="550" s="1"/>
  <c r="AA6" i="550"/>
  <c r="H15" i="550"/>
  <c r="I14" i="550"/>
  <c r="Q7" i="550"/>
  <c r="V11" i="550"/>
  <c r="V10" i="550"/>
  <c r="V15" i="550"/>
  <c r="Q6" i="550" l="1"/>
  <c r="Q9" i="550" s="1"/>
  <c r="AA7" i="550"/>
  <c r="AA11" i="550" s="1"/>
  <c r="AA10" i="550"/>
  <c r="L14" i="550"/>
  <c r="Q16" i="550"/>
  <c r="I15" i="550"/>
  <c r="AA9" i="550" s="1"/>
  <c r="V16" i="550"/>
  <c r="AA16" i="550" l="1"/>
  <c r="Q8" i="550"/>
  <c r="Q11" i="550" s="1"/>
  <c r="L8" i="550"/>
  <c r="M14" i="550"/>
  <c r="N14" i="550"/>
  <c r="L10" i="550"/>
  <c r="L7" i="550"/>
  <c r="L9" i="550"/>
  <c r="J14" i="550"/>
  <c r="AA23" i="550"/>
  <c r="Q20" i="550"/>
  <c r="AA13" i="550" l="1"/>
  <c r="AA19" i="550"/>
  <c r="K14" i="550"/>
  <c r="AA5" i="550"/>
  <c r="N7" i="550"/>
  <c r="M7" i="550"/>
  <c r="M9" i="550"/>
  <c r="N9" i="550"/>
  <c r="M8" i="550"/>
  <c r="N8" i="550"/>
  <c r="M10" i="550"/>
  <c r="N10" i="550"/>
  <c r="Q12" i="550"/>
  <c r="Q13" i="550"/>
  <c r="Q17" i="550"/>
  <c r="AA15" i="550"/>
  <c r="Q21" i="550"/>
  <c r="AA14" i="550"/>
  <c r="Q22" i="550"/>
  <c r="AA17" i="550" l="1"/>
  <c r="AA18" i="550"/>
  <c r="Q18" i="550"/>
  <c r="AA24" i="550"/>
  <c r="AA25" i="550"/>
  <c r="AA21" i="550" l="1"/>
  <c r="AA20" i="550"/>
  <c r="T10" i="517" l="1"/>
  <c r="J22" i="518" l="1"/>
  <c r="I22" i="518"/>
  <c r="H22" i="518"/>
  <c r="G22" i="518"/>
  <c r="M5" i="517" l="1"/>
  <c r="J22" i="516"/>
  <c r="I22" i="516"/>
  <c r="H22" i="516"/>
  <c r="G22" i="516"/>
  <c r="R7" i="516"/>
  <c r="Q7" i="516"/>
  <c r="AK39" i="508" l="1" a="1"/>
  <c r="AK41" i="508" s="1"/>
  <c r="AK39" i="508" l="1"/>
  <c r="AK40" i="508"/>
  <c r="AA10" i="514"/>
  <c r="U5" i="530" l="1"/>
  <c r="V5" i="530"/>
  <c r="W5" i="530"/>
  <c r="T5" i="530"/>
  <c r="E25" i="530"/>
  <c r="D25" i="530"/>
  <c r="C25" i="530"/>
  <c r="B25" i="530"/>
  <c r="E24" i="530"/>
  <c r="D24" i="530"/>
  <c r="C24" i="530"/>
  <c r="B24" i="530"/>
  <c r="A5" i="530"/>
  <c r="A6" i="530" s="1"/>
  <c r="A7" i="530" s="1"/>
  <c r="A8" i="530" s="1"/>
  <c r="A9" i="530" s="1"/>
  <c r="A10" i="530" s="1"/>
  <c r="A11" i="530" s="1"/>
  <c r="A12" i="530" s="1"/>
  <c r="A13" i="530" s="1"/>
  <c r="A14" i="530" s="1"/>
  <c r="A15" i="530" s="1"/>
  <c r="A16" i="530" s="1"/>
  <c r="A17" i="530" s="1"/>
  <c r="A18" i="530" s="1"/>
  <c r="A19" i="530" s="1"/>
  <c r="A20" i="530" s="1"/>
  <c r="A21" i="530" s="1"/>
  <c r="A22" i="530" s="1"/>
  <c r="A23" i="530" s="1"/>
  <c r="Y20" i="530" l="1" a="1"/>
  <c r="Y20" i="530" s="1"/>
  <c r="S7" i="529"/>
  <c r="U5" i="529" s="1"/>
  <c r="S5" i="529"/>
  <c r="U10" i="529"/>
  <c r="T10" i="529"/>
  <c r="S10" i="529"/>
  <c r="R10" i="529"/>
  <c r="U7" i="529"/>
  <c r="T7" i="529"/>
  <c r="U6" i="529" s="1"/>
  <c r="T6" i="529"/>
  <c r="S6" i="529"/>
  <c r="T5" i="529" s="1"/>
  <c r="R7" i="529"/>
  <c r="U4" i="529" s="1"/>
  <c r="R6" i="529"/>
  <c r="T4" i="529" s="1"/>
  <c r="R5" i="529"/>
  <c r="S4" i="529" s="1"/>
  <c r="R4" i="529"/>
  <c r="L4" i="529"/>
  <c r="M4" i="529"/>
  <c r="N4" i="529"/>
  <c r="O4" i="529"/>
  <c r="L5" i="529"/>
  <c r="M5" i="529"/>
  <c r="N5" i="529"/>
  <c r="O5" i="529"/>
  <c r="L6" i="529"/>
  <c r="M6" i="529"/>
  <c r="N6" i="529"/>
  <c r="O6" i="529"/>
  <c r="L7" i="529"/>
  <c r="M7" i="529"/>
  <c r="N7" i="529"/>
  <c r="O7" i="529"/>
  <c r="L8" i="529"/>
  <c r="M8" i="529"/>
  <c r="N8" i="529"/>
  <c r="O8" i="529"/>
  <c r="L9" i="529"/>
  <c r="M9" i="529"/>
  <c r="N9" i="529"/>
  <c r="O9" i="529"/>
  <c r="L10" i="529"/>
  <c r="M10" i="529"/>
  <c r="N10" i="529"/>
  <c r="O10" i="529"/>
  <c r="L11" i="529"/>
  <c r="M11" i="529"/>
  <c r="N11" i="529"/>
  <c r="O11" i="529"/>
  <c r="L12" i="529"/>
  <c r="M12" i="529"/>
  <c r="N12" i="529"/>
  <c r="O12" i="529"/>
  <c r="L13" i="529"/>
  <c r="M13" i="529"/>
  <c r="N13" i="529"/>
  <c r="O13" i="529"/>
  <c r="L14" i="529"/>
  <c r="M14" i="529"/>
  <c r="N14" i="529"/>
  <c r="O14" i="529"/>
  <c r="L15" i="529"/>
  <c r="M15" i="529"/>
  <c r="N15" i="529"/>
  <c r="O15" i="529"/>
  <c r="L16" i="529"/>
  <c r="M16" i="529"/>
  <c r="N16" i="529"/>
  <c r="O16" i="529"/>
  <c r="L17" i="529"/>
  <c r="M17" i="529"/>
  <c r="N17" i="529"/>
  <c r="O17" i="529"/>
  <c r="L18" i="529"/>
  <c r="M18" i="529"/>
  <c r="N18" i="529"/>
  <c r="O18" i="529"/>
  <c r="L19" i="529"/>
  <c r="M19" i="529"/>
  <c r="N19" i="529"/>
  <c r="O19" i="529"/>
  <c r="L20" i="529"/>
  <c r="M20" i="529"/>
  <c r="N20" i="529"/>
  <c r="O20" i="529"/>
  <c r="L21" i="529"/>
  <c r="M21" i="529"/>
  <c r="N21" i="529"/>
  <c r="O21" i="529"/>
  <c r="L22" i="529"/>
  <c r="M22" i="529"/>
  <c r="N22" i="529"/>
  <c r="O22" i="529"/>
  <c r="L23" i="529"/>
  <c r="M23" i="529"/>
  <c r="N23" i="529"/>
  <c r="O23" i="529"/>
  <c r="M3" i="529"/>
  <c r="N3" i="529"/>
  <c r="O3" i="529"/>
  <c r="L3" i="529"/>
  <c r="L4" i="528"/>
  <c r="M4" i="528"/>
  <c r="N4" i="528"/>
  <c r="O4" i="528"/>
  <c r="L5" i="528"/>
  <c r="M5" i="528"/>
  <c r="N5" i="528"/>
  <c r="O5" i="528"/>
  <c r="L6" i="528"/>
  <c r="M6" i="528"/>
  <c r="N6" i="528"/>
  <c r="O6" i="528"/>
  <c r="L7" i="528"/>
  <c r="M7" i="528"/>
  <c r="N7" i="528"/>
  <c r="O7" i="528"/>
  <c r="L8" i="528"/>
  <c r="M8" i="528"/>
  <c r="N8" i="528"/>
  <c r="O8" i="528"/>
  <c r="L9" i="528"/>
  <c r="M9" i="528"/>
  <c r="N9" i="528"/>
  <c r="O9" i="528"/>
  <c r="L10" i="528"/>
  <c r="M10" i="528"/>
  <c r="N10" i="528"/>
  <c r="O10" i="528"/>
  <c r="L11" i="528"/>
  <c r="M11" i="528"/>
  <c r="N11" i="528"/>
  <c r="O11" i="528"/>
  <c r="L12" i="528"/>
  <c r="M12" i="528"/>
  <c r="N12" i="528"/>
  <c r="O12" i="528"/>
  <c r="L13" i="528"/>
  <c r="M13" i="528"/>
  <c r="N13" i="528"/>
  <c r="O13" i="528"/>
  <c r="L14" i="528"/>
  <c r="M14" i="528"/>
  <c r="N14" i="528"/>
  <c r="O14" i="528"/>
  <c r="L15" i="528"/>
  <c r="M15" i="528"/>
  <c r="N15" i="528"/>
  <c r="O15" i="528"/>
  <c r="L16" i="528"/>
  <c r="M16" i="528"/>
  <c r="N16" i="528"/>
  <c r="O16" i="528"/>
  <c r="L17" i="528"/>
  <c r="M17" i="528"/>
  <c r="N17" i="528"/>
  <c r="O17" i="528"/>
  <c r="L18" i="528"/>
  <c r="M18" i="528"/>
  <c r="N18" i="528"/>
  <c r="O18" i="528"/>
  <c r="L19" i="528"/>
  <c r="M19" i="528"/>
  <c r="N19" i="528"/>
  <c r="O19" i="528"/>
  <c r="L20" i="528"/>
  <c r="M20" i="528"/>
  <c r="N20" i="528"/>
  <c r="O20" i="528"/>
  <c r="L21" i="528"/>
  <c r="M21" i="528"/>
  <c r="N21" i="528"/>
  <c r="O21" i="528"/>
  <c r="L22" i="528"/>
  <c r="M22" i="528"/>
  <c r="N22" i="528"/>
  <c r="O22" i="528"/>
  <c r="L23" i="528"/>
  <c r="M23" i="528"/>
  <c r="N23" i="528"/>
  <c r="O23" i="528"/>
  <c r="M3" i="528"/>
  <c r="N3" i="528"/>
  <c r="O3" i="528"/>
  <c r="L3" i="528"/>
  <c r="P11" i="529" a="1"/>
  <c r="P7" i="529" a="1"/>
  <c r="P15" i="529" a="1"/>
  <c r="P21" i="529" a="1"/>
  <c r="R13" i="528" a="1"/>
  <c r="R13" i="529" a="1"/>
  <c r="P14" i="529" a="1"/>
  <c r="P19" i="529" a="1"/>
  <c r="P23" i="529" a="1"/>
  <c r="P5" i="529" a="1"/>
  <c r="P6" i="529" a="1"/>
  <c r="P9" i="529" a="1"/>
  <c r="P13" i="529" a="1"/>
  <c r="P16" i="529" a="1"/>
  <c r="P17" i="529" a="1"/>
  <c r="P12" i="529" a="1"/>
  <c r="P22" i="529" a="1"/>
  <c r="P10" i="529" a="1"/>
  <c r="P8" i="529" a="1"/>
  <c r="P18" i="529" a="1"/>
  <c r="P20" i="529" a="1"/>
  <c r="P4" i="529" a="1"/>
  <c r="P22" i="529" l="1"/>
  <c r="P20" i="529"/>
  <c r="P13" i="529"/>
  <c r="P12" i="529"/>
  <c r="P10" i="529"/>
  <c r="P7" i="529"/>
  <c r="P4" i="529"/>
  <c r="P18" i="529"/>
  <c r="P16" i="529"/>
  <c r="P15" i="529"/>
  <c r="P6" i="529"/>
  <c r="T16" i="528"/>
  <c r="T13" i="528"/>
  <c r="T14" i="528"/>
  <c r="S15" i="528"/>
  <c r="R16" i="528"/>
  <c r="R15" i="528"/>
  <c r="U16" i="528"/>
  <c r="T15" i="528"/>
  <c r="U14" i="528"/>
  <c r="U15" i="528"/>
  <c r="R13" i="528"/>
  <c r="U13" i="528"/>
  <c r="S16" i="528"/>
  <c r="S13" i="528"/>
  <c r="S14" i="528"/>
  <c r="R14" i="528"/>
  <c r="P23" i="529"/>
  <c r="P21" i="529"/>
  <c r="P19" i="529"/>
  <c r="P17" i="529"/>
  <c r="P14" i="529"/>
  <c r="P11" i="529"/>
  <c r="P9" i="529"/>
  <c r="P8" i="529"/>
  <c r="P5" i="529"/>
  <c r="S13" i="529"/>
  <c r="S14" i="529"/>
  <c r="S15" i="529"/>
  <c r="T13" i="529"/>
  <c r="T16" i="529"/>
  <c r="T14" i="529"/>
  <c r="T15" i="529"/>
  <c r="U14" i="529"/>
  <c r="U15" i="529"/>
  <c r="U16" i="529"/>
  <c r="U13" i="529"/>
  <c r="R14" i="529"/>
  <c r="R15" i="529"/>
  <c r="R16" i="529"/>
  <c r="R13" i="529"/>
  <c r="S16" i="529"/>
  <c r="Y21" i="530"/>
  <c r="Y22" i="530"/>
  <c r="AE16" i="529"/>
  <c r="T19" i="529"/>
  <c r="U19" i="529"/>
  <c r="S19" i="529"/>
  <c r="Y6" i="528" a="1"/>
  <c r="Y6" i="528" s="1"/>
  <c r="AD14" i="528"/>
  <c r="Y6" i="529" a="1"/>
  <c r="Y6" i="529" s="1"/>
  <c r="R19" i="529"/>
  <c r="AE16" i="528"/>
  <c r="AD14" i="529"/>
  <c r="AD10" i="529"/>
  <c r="AD16" i="529" s="1"/>
  <c r="S19" i="528"/>
  <c r="S10" i="528" s="1"/>
  <c r="T19" i="528"/>
  <c r="T10" i="528" s="1"/>
  <c r="Z6" i="529" a="1"/>
  <c r="Z6" i="529" s="1"/>
  <c r="R19" i="528"/>
  <c r="R10" i="528" s="1"/>
  <c r="U19" i="528"/>
  <c r="U10" i="528" s="1"/>
  <c r="AD10" i="528"/>
  <c r="AD16" i="528" s="1"/>
  <c r="U16" i="527"/>
  <c r="J22" i="527"/>
  <c r="I22" i="527"/>
  <c r="H22" i="527"/>
  <c r="G22" i="527"/>
  <c r="S20" i="527" a="1"/>
  <c r="S22" i="527" s="1"/>
  <c r="J19" i="527"/>
  <c r="I19" i="527"/>
  <c r="H19" i="527"/>
  <c r="G19" i="527"/>
  <c r="T14" i="527"/>
  <c r="M13" i="527"/>
  <c r="M12" i="527"/>
  <c r="M11" i="527"/>
  <c r="M10" i="527"/>
  <c r="J10" i="527"/>
  <c r="I10" i="527"/>
  <c r="H10" i="527"/>
  <c r="G10" i="527"/>
  <c r="M9" i="527"/>
  <c r="M8" i="527"/>
  <c r="M7" i="527"/>
  <c r="J7" i="527"/>
  <c r="I7" i="527"/>
  <c r="J6" i="527" s="1"/>
  <c r="H7" i="527"/>
  <c r="J5" i="527" s="1"/>
  <c r="G7" i="527"/>
  <c r="J4" i="527" s="1"/>
  <c r="O6" i="527" a="1"/>
  <c r="O8" i="527" s="1"/>
  <c r="M6" i="527"/>
  <c r="I6" i="527"/>
  <c r="H6" i="527"/>
  <c r="I5" i="527" s="1"/>
  <c r="G6" i="527"/>
  <c r="I4" i="527" s="1"/>
  <c r="M5" i="527"/>
  <c r="H5" i="527"/>
  <c r="G5" i="527"/>
  <c r="H4" i="527" s="1"/>
  <c r="M4" i="527"/>
  <c r="G4" i="527"/>
  <c r="J22" i="517"/>
  <c r="I22" i="517"/>
  <c r="H22" i="517"/>
  <c r="G22" i="517"/>
  <c r="S20" i="517" a="1"/>
  <c r="S21" i="517" s="1"/>
  <c r="U16" i="517"/>
  <c r="T14" i="517"/>
  <c r="T16" i="517"/>
  <c r="P6" i="517" a="1"/>
  <c r="P8" i="517" s="1"/>
  <c r="H22" i="522"/>
  <c r="I22" i="522"/>
  <c r="J22" i="522"/>
  <c r="G22" i="522"/>
  <c r="J7" i="522"/>
  <c r="I7" i="522"/>
  <c r="J6" i="522" s="1"/>
  <c r="H7" i="522"/>
  <c r="J5" i="522" s="1"/>
  <c r="G7" i="522"/>
  <c r="J4" i="522" s="1"/>
  <c r="I6" i="522"/>
  <c r="H6" i="522"/>
  <c r="I5" i="522" s="1"/>
  <c r="G6" i="522"/>
  <c r="I4" i="522" s="1"/>
  <c r="H5" i="522"/>
  <c r="G5" i="522"/>
  <c r="H4" i="522" s="1"/>
  <c r="G4" i="522"/>
  <c r="AA20" i="522" a="1"/>
  <c r="AA20" i="522" s="1"/>
  <c r="S20" i="522" a="1"/>
  <c r="S20" i="522" s="1"/>
  <c r="J19" i="522"/>
  <c r="I19" i="522"/>
  <c r="H19" i="522"/>
  <c r="G19" i="522"/>
  <c r="AC16" i="522"/>
  <c r="U16" i="522"/>
  <c r="AB14" i="522"/>
  <c r="T14" i="522"/>
  <c r="M13" i="522"/>
  <c r="M12" i="522"/>
  <c r="M11" i="522"/>
  <c r="AB10" i="522"/>
  <c r="AB16" i="522" s="1"/>
  <c r="T10" i="522"/>
  <c r="T16" i="522" s="1"/>
  <c r="M10" i="522"/>
  <c r="J10" i="522"/>
  <c r="I10" i="522"/>
  <c r="H10" i="522"/>
  <c r="G10" i="522"/>
  <c r="M9" i="522"/>
  <c r="M8" i="522"/>
  <c r="M7" i="522"/>
  <c r="P6" i="522" a="1"/>
  <c r="P8" i="522" s="1"/>
  <c r="M6" i="522"/>
  <c r="M5" i="522"/>
  <c r="M4" i="522"/>
  <c r="E11" i="522"/>
  <c r="E5" i="522"/>
  <c r="E19" i="522"/>
  <c r="E15" i="522"/>
  <c r="E20" i="527" a="1"/>
  <c r="E21" i="522"/>
  <c r="E13" i="527" a="1"/>
  <c r="E8" i="527" a="1"/>
  <c r="E23" i="527" a="1"/>
  <c r="E13" i="522"/>
  <c r="E21" i="527" a="1"/>
  <c r="E14" i="522"/>
  <c r="E6" i="527" a="1"/>
  <c r="E11" i="527" a="1"/>
  <c r="E18" i="527" a="1"/>
  <c r="E10" i="527" a="1"/>
  <c r="E4" i="527" a="1"/>
  <c r="E6" i="522"/>
  <c r="E7" i="527" a="1"/>
  <c r="E9" i="527" a="1"/>
  <c r="E12" i="522"/>
  <c r="E7" i="522"/>
  <c r="E19" i="527" a="1"/>
  <c r="E5" i="527" a="1"/>
  <c r="E22" i="527" a="1"/>
  <c r="E4" i="522"/>
  <c r="E17" i="522"/>
  <c r="E10" i="522"/>
  <c r="E18" i="522"/>
  <c r="E20" i="522"/>
  <c r="E15" i="527" a="1"/>
  <c r="E23" i="522"/>
  <c r="E16" i="522"/>
  <c r="E22" i="522"/>
  <c r="E12" i="527" a="1"/>
  <c r="E9" i="522"/>
  <c r="E14" i="527" a="1"/>
  <c r="E17" i="527" a="1"/>
  <c r="E8" i="522"/>
  <c r="E16" i="527" a="1"/>
  <c r="E6" i="527" l="1"/>
  <c r="E16" i="527"/>
  <c r="E22" i="527"/>
  <c r="E8" i="527"/>
  <c r="E4" i="527"/>
  <c r="E5" i="527"/>
  <c r="E9" i="527"/>
  <c r="E15" i="527"/>
  <c r="E18" i="527"/>
  <c r="E19" i="527"/>
  <c r="E23" i="527"/>
  <c r="E11" i="527"/>
  <c r="E20" i="527"/>
  <c r="E14" i="527"/>
  <c r="E17" i="527"/>
  <c r="E12" i="527"/>
  <c r="E10" i="527"/>
  <c r="E7" i="527"/>
  <c r="E21" i="527"/>
  <c r="E13" i="527"/>
  <c r="AD15" i="528"/>
  <c r="Y8" i="528"/>
  <c r="AD15" i="529"/>
  <c r="Y7" i="528"/>
  <c r="O19" i="522" a="1"/>
  <c r="Y7" i="529"/>
  <c r="Y8" i="529"/>
  <c r="S21" i="522"/>
  <c r="S22" i="522"/>
  <c r="Z8" i="529"/>
  <c r="Z7" i="529"/>
  <c r="R4" i="528"/>
  <c r="AB15" i="522"/>
  <c r="P7" i="522"/>
  <c r="T15" i="522"/>
  <c r="O6" i="527"/>
  <c r="K22" i="527"/>
  <c r="T10" i="527" s="1"/>
  <c r="T16" i="527" s="1"/>
  <c r="T15" i="527" s="1"/>
  <c r="P6" i="527" a="1"/>
  <c r="P8" i="527" s="1"/>
  <c r="T22" i="527" s="1"/>
  <c r="O7" i="527"/>
  <c r="S20" i="527"/>
  <c r="S21" i="527"/>
  <c r="T15" i="517"/>
  <c r="P6" i="517"/>
  <c r="P7" i="517"/>
  <c r="S22" i="517"/>
  <c r="S20" i="517"/>
  <c r="Q6" i="522" a="1"/>
  <c r="AA21" i="522"/>
  <c r="P6" i="522"/>
  <c r="AA22" i="522"/>
  <c r="AC19" i="528" l="1" a="1"/>
  <c r="AC19" i="528" s="1"/>
  <c r="Z5" i="529" a="1"/>
  <c r="Z5" i="529" s="1"/>
  <c r="AD19" i="529" s="1"/>
  <c r="P6" i="527"/>
  <c r="T20" i="527" s="1"/>
  <c r="AC19" i="529" a="1"/>
  <c r="Q19" i="522"/>
  <c r="Q20" i="522"/>
  <c r="O19" i="522"/>
  <c r="P19" i="522"/>
  <c r="P21" i="522"/>
  <c r="Q21" i="522"/>
  <c r="O20" i="522"/>
  <c r="P20" i="522"/>
  <c r="O21" i="522"/>
  <c r="AD20" i="529" a="1"/>
  <c r="AD20" i="529" s="1"/>
  <c r="P7" i="527"/>
  <c r="T21" i="527" s="1"/>
  <c r="Q8" i="522"/>
  <c r="T22" i="522" s="1"/>
  <c r="Q7" i="522"/>
  <c r="T21" i="522" s="1"/>
  <c r="Q6" i="522"/>
  <c r="AC21" i="528" l="1"/>
  <c r="AC20" i="528"/>
  <c r="AC22" i="528"/>
  <c r="AD22" i="529"/>
  <c r="AC19" i="529"/>
  <c r="AC22" i="529"/>
  <c r="AC21" i="529"/>
  <c r="AC20" i="529"/>
  <c r="Q5" i="522"/>
  <c r="T19" i="522" s="1"/>
  <c r="AD21" i="529"/>
  <c r="P5" i="527"/>
  <c r="T19" i="527" s="1"/>
  <c r="T20" i="522"/>
  <c r="P3" i="511" l="1"/>
  <c r="Q3" i="511"/>
  <c r="R3" i="511"/>
  <c r="O3" i="511"/>
  <c r="T18" i="511" l="1" a="1"/>
  <c r="T18" i="511" s="1"/>
  <c r="T20" i="511" l="1"/>
  <c r="T19" i="511"/>
  <c r="M13" i="517" l="1"/>
  <c r="M12" i="517"/>
  <c r="M11" i="517"/>
  <c r="M10" i="517"/>
  <c r="M9" i="517"/>
  <c r="M8" i="517"/>
  <c r="M7" i="517"/>
  <c r="M6" i="517"/>
  <c r="M4" i="517"/>
  <c r="J19" i="517"/>
  <c r="I19" i="517"/>
  <c r="H19" i="517"/>
  <c r="G19" i="517"/>
  <c r="J10" i="517"/>
  <c r="I10" i="517"/>
  <c r="H10" i="517"/>
  <c r="G10" i="517"/>
  <c r="J7" i="517"/>
  <c r="I7" i="517"/>
  <c r="J6" i="517" s="1"/>
  <c r="H7" i="517"/>
  <c r="J5" i="517" s="1"/>
  <c r="G7" i="517"/>
  <c r="J4" i="517" s="1"/>
  <c r="I6" i="517"/>
  <c r="H6" i="517"/>
  <c r="I5" i="517" s="1"/>
  <c r="G6" i="517"/>
  <c r="I4" i="517" s="1"/>
  <c r="H5" i="517"/>
  <c r="G5" i="517"/>
  <c r="H4" i="517" s="1"/>
  <c r="G4" i="517"/>
  <c r="J19" i="516"/>
  <c r="I19" i="516"/>
  <c r="H19" i="516"/>
  <c r="G19" i="516"/>
  <c r="A5" i="515"/>
  <c r="A6" i="515" s="1"/>
  <c r="A7" i="515" s="1"/>
  <c r="A8" i="515" s="1"/>
  <c r="A9" i="515" s="1"/>
  <c r="A10" i="515" s="1"/>
  <c r="A11" i="515" s="1"/>
  <c r="A12" i="515" s="1"/>
  <c r="A13" i="515" s="1"/>
  <c r="A14" i="515" s="1"/>
  <c r="A15" i="515" s="1"/>
  <c r="A16" i="515" s="1"/>
  <c r="A17" i="515" s="1"/>
  <c r="A18" i="515" s="1"/>
  <c r="A19" i="515" s="1"/>
  <c r="A20" i="515" s="1"/>
  <c r="A21" i="515" s="1"/>
  <c r="A22" i="515" s="1"/>
  <c r="A23" i="515" s="1"/>
  <c r="AA11" i="514" a="1"/>
  <c r="AA11" i="514" s="1"/>
  <c r="AA12" i="514" a="1"/>
  <c r="AA12" i="514" s="1"/>
  <c r="AA13" i="514" a="1"/>
  <c r="AA13" i="514" s="1"/>
  <c r="E12" i="517" a="1"/>
  <c r="E13" i="517" a="1"/>
  <c r="E14" i="517" a="1"/>
  <c r="E4" i="517" a="1"/>
  <c r="E23" i="517" a="1"/>
  <c r="E19" i="517" a="1"/>
  <c r="E11" i="517" a="1"/>
  <c r="E15" i="517" a="1"/>
  <c r="E10" i="517" a="1"/>
  <c r="E7" i="517" a="1"/>
  <c r="E16" i="517" a="1"/>
  <c r="E8" i="517" a="1"/>
  <c r="E18" i="517" a="1"/>
  <c r="E20" i="517" a="1"/>
  <c r="E21" i="517" a="1"/>
  <c r="E9" i="517" a="1"/>
  <c r="E22" i="517" a="1"/>
  <c r="E17" i="517" a="1"/>
  <c r="E5" i="517" a="1"/>
  <c r="E6" i="517" a="1"/>
  <c r="E22" i="517" l="1"/>
  <c r="E4" i="517"/>
  <c r="E13" i="517"/>
  <c r="E12" i="517"/>
  <c r="E10" i="517"/>
  <c r="E19" i="517"/>
  <c r="E20" i="517"/>
  <c r="E23" i="517"/>
  <c r="E9" i="517"/>
  <c r="E6" i="517"/>
  <c r="E16" i="517"/>
  <c r="E17" i="517"/>
  <c r="E21" i="517"/>
  <c r="E15" i="517"/>
  <c r="E18" i="517"/>
  <c r="E8" i="517"/>
  <c r="E5" i="517"/>
  <c r="E7" i="517"/>
  <c r="E14" i="517"/>
  <c r="E11" i="517"/>
  <c r="L14" i="516" a="1"/>
  <c r="Q6" i="517" a="1"/>
  <c r="G4" i="514"/>
  <c r="AD4" i="514" s="1"/>
  <c r="G5" i="514"/>
  <c r="AD5" i="514" s="1"/>
  <c r="G6" i="514"/>
  <c r="AD6" i="514" s="1"/>
  <c r="G7" i="514"/>
  <c r="AD7" i="514" s="1"/>
  <c r="G8" i="514"/>
  <c r="AD8" i="514" s="1"/>
  <c r="G9" i="514"/>
  <c r="AD9" i="514" s="1"/>
  <c r="G10" i="514"/>
  <c r="AD10" i="514" s="1"/>
  <c r="G11" i="514"/>
  <c r="AD11" i="514" s="1"/>
  <c r="G12" i="514"/>
  <c r="AD12" i="514" s="1"/>
  <c r="G13" i="514"/>
  <c r="AD13" i="514" s="1"/>
  <c r="G14" i="514"/>
  <c r="AD14" i="514" s="1"/>
  <c r="G15" i="514"/>
  <c r="AD15" i="514" s="1"/>
  <c r="G16" i="514"/>
  <c r="AD16" i="514" s="1"/>
  <c r="G17" i="514"/>
  <c r="AD17" i="514" s="1"/>
  <c r="G18" i="514"/>
  <c r="AD18" i="514" s="1"/>
  <c r="G19" i="514"/>
  <c r="AD19" i="514" s="1"/>
  <c r="G20" i="514"/>
  <c r="AD20" i="514" s="1"/>
  <c r="G21" i="514"/>
  <c r="AD21" i="514" s="1"/>
  <c r="G22" i="514"/>
  <c r="AD22" i="514" s="1"/>
  <c r="G23" i="514"/>
  <c r="AD23" i="514" s="1"/>
  <c r="H3" i="514"/>
  <c r="AE3" i="514" s="1"/>
  <c r="I3" i="514"/>
  <c r="AF3" i="514" s="1"/>
  <c r="J3" i="514"/>
  <c r="AG3" i="514" s="1"/>
  <c r="K3" i="514"/>
  <c r="AH3" i="514" s="1"/>
  <c r="G3" i="514"/>
  <c r="AD3" i="514" s="1"/>
  <c r="E25" i="514"/>
  <c r="D25" i="514"/>
  <c r="C25" i="514"/>
  <c r="B25" i="514"/>
  <c r="E24" i="514"/>
  <c r="D24" i="514"/>
  <c r="C24" i="514"/>
  <c r="B24" i="514"/>
  <c r="A5" i="514"/>
  <c r="A6" i="514" s="1"/>
  <c r="A7" i="514" s="1"/>
  <c r="A8" i="514" s="1"/>
  <c r="A9" i="514" s="1"/>
  <c r="A10" i="514" s="1"/>
  <c r="A11" i="514" s="1"/>
  <c r="A12" i="514" s="1"/>
  <c r="A13" i="514" s="1"/>
  <c r="A14" i="514" s="1"/>
  <c r="A15" i="514" s="1"/>
  <c r="A16" i="514" s="1"/>
  <c r="A17" i="514" s="1"/>
  <c r="A18" i="514" s="1"/>
  <c r="A19" i="514" s="1"/>
  <c r="A20" i="514" s="1"/>
  <c r="A21" i="514" s="1"/>
  <c r="A22" i="514" s="1"/>
  <c r="A23" i="514" s="1"/>
  <c r="L15" i="516" l="1"/>
  <c r="H10" i="516" s="1"/>
  <c r="L14" i="516"/>
  <c r="G10" i="516" s="1"/>
  <c r="Q9" i="516" s="1"/>
  <c r="L17" i="516"/>
  <c r="J10" i="516" s="1"/>
  <c r="R9" i="516" s="1"/>
  <c r="L16" i="516"/>
  <c r="I10" i="516" s="1"/>
  <c r="M20" i="514" a="1"/>
  <c r="M20" i="514" s="1"/>
  <c r="Q8" i="517"/>
  <c r="T22" i="517" s="1"/>
  <c r="Q7" i="517"/>
  <c r="T21" i="517" s="1"/>
  <c r="Q6" i="517"/>
  <c r="M21" i="514" l="1"/>
  <c r="M22" i="514"/>
  <c r="Q5" i="517"/>
  <c r="T19" i="517" s="1"/>
  <c r="T20" i="517"/>
  <c r="E25" i="511"/>
  <c r="D25" i="511"/>
  <c r="C25" i="511"/>
  <c r="B25" i="511"/>
  <c r="E24" i="511"/>
  <c r="D24" i="511"/>
  <c r="C24" i="511"/>
  <c r="B24" i="511"/>
  <c r="A5" i="511"/>
  <c r="A6" i="511" s="1"/>
  <c r="A7" i="511" s="1"/>
  <c r="A8" i="511" s="1"/>
  <c r="A9" i="511" s="1"/>
  <c r="A10" i="511" s="1"/>
  <c r="A11" i="511" s="1"/>
  <c r="A12" i="511" s="1"/>
  <c r="A13" i="511" s="1"/>
  <c r="A14" i="511" s="1"/>
  <c r="A15" i="511" s="1"/>
  <c r="A16" i="511" s="1"/>
  <c r="A17" i="511" s="1"/>
  <c r="A18" i="511" s="1"/>
  <c r="A19" i="511" s="1"/>
  <c r="A20" i="511" s="1"/>
  <c r="A21" i="511" s="1"/>
  <c r="A22" i="511" s="1"/>
  <c r="A23" i="511" s="1"/>
  <c r="E26" i="510" l="1"/>
  <c r="D26" i="510"/>
  <c r="C26" i="510"/>
  <c r="B26" i="510"/>
  <c r="E25" i="510"/>
  <c r="D25" i="510"/>
  <c r="C25" i="510"/>
  <c r="B25" i="510"/>
  <c r="Y5" i="510"/>
  <c r="Y6" i="510" s="1"/>
  <c r="Y7" i="510" s="1"/>
  <c r="Y8" i="510" s="1"/>
  <c r="Y9" i="510" s="1"/>
  <c r="Y10" i="510" s="1"/>
  <c r="Y11" i="510" s="1"/>
  <c r="Y12" i="510" s="1"/>
  <c r="Y13" i="510" s="1"/>
  <c r="Y14" i="510" s="1"/>
  <c r="Y15" i="510" s="1"/>
  <c r="Y16" i="510" s="1"/>
  <c r="Y17" i="510" s="1"/>
  <c r="Y18" i="510" s="1"/>
  <c r="Y19" i="510" s="1"/>
  <c r="Y20" i="510" s="1"/>
  <c r="Y21" i="510" s="1"/>
  <c r="Y22" i="510" s="1"/>
  <c r="Y23" i="510" s="1"/>
  <c r="S5" i="510"/>
  <c r="S6" i="510" s="1"/>
  <c r="S7" i="510" s="1"/>
  <c r="S8" i="510" s="1"/>
  <c r="S9" i="510" s="1"/>
  <c r="S10" i="510" s="1"/>
  <c r="S11" i="510" s="1"/>
  <c r="S12" i="510" s="1"/>
  <c r="S13" i="510" s="1"/>
  <c r="S14" i="510" s="1"/>
  <c r="S15" i="510" s="1"/>
  <c r="S16" i="510" s="1"/>
  <c r="S17" i="510" s="1"/>
  <c r="S18" i="510" s="1"/>
  <c r="S19" i="510" s="1"/>
  <c r="S20" i="510" s="1"/>
  <c r="S21" i="510" s="1"/>
  <c r="S22" i="510" s="1"/>
  <c r="S23" i="510" s="1"/>
  <c r="M5" i="510"/>
  <c r="M6" i="510" s="1"/>
  <c r="M7" i="510" s="1"/>
  <c r="M8" i="510" s="1"/>
  <c r="M9" i="510" s="1"/>
  <c r="M10" i="510" s="1"/>
  <c r="M11" i="510" s="1"/>
  <c r="M12" i="510" s="1"/>
  <c r="M13" i="510" s="1"/>
  <c r="M14" i="510" s="1"/>
  <c r="M15" i="510" s="1"/>
  <c r="M16" i="510" s="1"/>
  <c r="M17" i="510" s="1"/>
  <c r="M18" i="510" s="1"/>
  <c r="M19" i="510" s="1"/>
  <c r="M20" i="510" s="1"/>
  <c r="M21" i="510" s="1"/>
  <c r="M22" i="510" s="1"/>
  <c r="M23" i="510" s="1"/>
  <c r="G5" i="510"/>
  <c r="G6" i="510" s="1"/>
  <c r="G7" i="510" s="1"/>
  <c r="G8" i="510" s="1"/>
  <c r="G9" i="510" s="1"/>
  <c r="G10" i="510" s="1"/>
  <c r="G11" i="510" s="1"/>
  <c r="G12" i="510" s="1"/>
  <c r="G13" i="510" s="1"/>
  <c r="G14" i="510" s="1"/>
  <c r="G15" i="510" s="1"/>
  <c r="G16" i="510" s="1"/>
  <c r="G17" i="510" s="1"/>
  <c r="G18" i="510" s="1"/>
  <c r="G19" i="510" s="1"/>
  <c r="G20" i="510" s="1"/>
  <c r="G21" i="510" s="1"/>
  <c r="G22" i="510" s="1"/>
  <c r="G23" i="510" s="1"/>
  <c r="A5" i="510"/>
  <c r="A6" i="510" s="1"/>
  <c r="A7" i="510" s="1"/>
  <c r="A8" i="510" s="1"/>
  <c r="A9" i="510" s="1"/>
  <c r="A10" i="510" s="1"/>
  <c r="A11" i="510" s="1"/>
  <c r="A12" i="510" s="1"/>
  <c r="A13" i="510" s="1"/>
  <c r="A14" i="510" s="1"/>
  <c r="A15" i="510" s="1"/>
  <c r="A16" i="510" s="1"/>
  <c r="A17" i="510" s="1"/>
  <c r="A18" i="510" s="1"/>
  <c r="A19" i="510" s="1"/>
  <c r="A20" i="510" s="1"/>
  <c r="A21" i="510" s="1"/>
  <c r="A22" i="510" s="1"/>
  <c r="A23" i="510" s="1"/>
  <c r="I19" i="518" l="1"/>
  <c r="G19" i="518"/>
  <c r="J19" i="518"/>
  <c r="H19" i="518"/>
  <c r="A4" i="509"/>
  <c r="B4" i="509"/>
  <c r="C4" i="509"/>
  <c r="D4" i="509"/>
  <c r="E4" i="509"/>
  <c r="B5" i="509"/>
  <c r="C5" i="509"/>
  <c r="D5" i="509"/>
  <c r="E5" i="509"/>
  <c r="B6" i="509"/>
  <c r="C6" i="509"/>
  <c r="D6" i="509"/>
  <c r="E6" i="509"/>
  <c r="B7" i="509"/>
  <c r="C7" i="509"/>
  <c r="D7" i="509"/>
  <c r="E7" i="509"/>
  <c r="B8" i="509"/>
  <c r="C8" i="509"/>
  <c r="D8" i="509"/>
  <c r="E8" i="509"/>
  <c r="B9" i="509"/>
  <c r="C9" i="509"/>
  <c r="D9" i="509"/>
  <c r="E9" i="509"/>
  <c r="B10" i="509"/>
  <c r="C10" i="509"/>
  <c r="D10" i="509"/>
  <c r="E10" i="509"/>
  <c r="B11" i="509"/>
  <c r="C11" i="509"/>
  <c r="D11" i="509"/>
  <c r="E11" i="509"/>
  <c r="B12" i="509"/>
  <c r="C12" i="509"/>
  <c r="D12" i="509"/>
  <c r="E12" i="509"/>
  <c r="B13" i="509"/>
  <c r="C13" i="509"/>
  <c r="D13" i="509"/>
  <c r="E13" i="509"/>
  <c r="B14" i="509"/>
  <c r="C14" i="509"/>
  <c r="D14" i="509"/>
  <c r="E14" i="509"/>
  <c r="B15" i="509"/>
  <c r="C15" i="509"/>
  <c r="D15" i="509"/>
  <c r="E15" i="509"/>
  <c r="B16" i="509"/>
  <c r="C16" i="509"/>
  <c r="D16" i="509"/>
  <c r="E16" i="509"/>
  <c r="B17" i="509"/>
  <c r="C17" i="509"/>
  <c r="D17" i="509"/>
  <c r="E17" i="509"/>
  <c r="B18" i="509"/>
  <c r="C18" i="509"/>
  <c r="D18" i="509"/>
  <c r="E18" i="509"/>
  <c r="B19" i="509"/>
  <c r="C19" i="509"/>
  <c r="D19" i="509"/>
  <c r="E19" i="509"/>
  <c r="B20" i="509"/>
  <c r="C20" i="509"/>
  <c r="D20" i="509"/>
  <c r="E20" i="509"/>
  <c r="B21" i="509"/>
  <c r="C21" i="509"/>
  <c r="D21" i="509"/>
  <c r="E21" i="509"/>
  <c r="B22" i="509"/>
  <c r="C22" i="509"/>
  <c r="D22" i="509"/>
  <c r="E22" i="509"/>
  <c r="B23" i="509"/>
  <c r="C23" i="509"/>
  <c r="D23" i="509"/>
  <c r="E23" i="509"/>
  <c r="B3" i="509"/>
  <c r="C3" i="509"/>
  <c r="D3" i="509"/>
  <c r="E3" i="509"/>
  <c r="A3" i="509"/>
  <c r="G5" i="509"/>
  <c r="G6" i="509" s="1"/>
  <c r="G7" i="509" s="1"/>
  <c r="G8" i="509" s="1"/>
  <c r="G9" i="509" s="1"/>
  <c r="G10" i="509" s="1"/>
  <c r="G11" i="509" s="1"/>
  <c r="G12" i="509" s="1"/>
  <c r="G13" i="509" s="1"/>
  <c r="G14" i="509" s="1"/>
  <c r="G15" i="509" s="1"/>
  <c r="G16" i="509" s="1"/>
  <c r="G17" i="509" s="1"/>
  <c r="G18" i="509" s="1"/>
  <c r="G19" i="509" s="1"/>
  <c r="G20" i="509" s="1"/>
  <c r="G21" i="509" s="1"/>
  <c r="G22" i="509" s="1"/>
  <c r="G23" i="509" s="1"/>
  <c r="Y5" i="508"/>
  <c r="Y6" i="508" s="1"/>
  <c r="Y7" i="508" s="1"/>
  <c r="Y8" i="508" s="1"/>
  <c r="Y9" i="508" s="1"/>
  <c r="Y10" i="508" s="1"/>
  <c r="Y11" i="508" s="1"/>
  <c r="Y12" i="508" s="1"/>
  <c r="Y13" i="508" s="1"/>
  <c r="Y14" i="508" s="1"/>
  <c r="Y15" i="508" s="1"/>
  <c r="Y16" i="508" s="1"/>
  <c r="Y17" i="508" s="1"/>
  <c r="Y18" i="508" s="1"/>
  <c r="Y19" i="508" s="1"/>
  <c r="Y20" i="508" s="1"/>
  <c r="Y21" i="508" s="1"/>
  <c r="Y22" i="508" s="1"/>
  <c r="Y23" i="508" s="1"/>
  <c r="S5" i="508"/>
  <c r="S6" i="508" s="1"/>
  <c r="S7" i="508" s="1"/>
  <c r="S8" i="508" s="1"/>
  <c r="S9" i="508" s="1"/>
  <c r="S10" i="508" s="1"/>
  <c r="S11" i="508" s="1"/>
  <c r="S12" i="508" s="1"/>
  <c r="S13" i="508" s="1"/>
  <c r="S14" i="508" s="1"/>
  <c r="S15" i="508" s="1"/>
  <c r="S16" i="508" s="1"/>
  <c r="S17" i="508" s="1"/>
  <c r="S18" i="508" s="1"/>
  <c r="S19" i="508" s="1"/>
  <c r="S20" i="508" s="1"/>
  <c r="S21" i="508" s="1"/>
  <c r="S22" i="508" s="1"/>
  <c r="S23" i="508" s="1"/>
  <c r="M5" i="508"/>
  <c r="M6" i="508" s="1"/>
  <c r="M7" i="508" s="1"/>
  <c r="M8" i="508" s="1"/>
  <c r="M9" i="508" s="1"/>
  <c r="M10" i="508" s="1"/>
  <c r="M11" i="508" s="1"/>
  <c r="M12" i="508" s="1"/>
  <c r="M13" i="508" s="1"/>
  <c r="M14" i="508" s="1"/>
  <c r="M15" i="508" s="1"/>
  <c r="M16" i="508" s="1"/>
  <c r="M17" i="508" s="1"/>
  <c r="M18" i="508" s="1"/>
  <c r="M19" i="508" s="1"/>
  <c r="M20" i="508" s="1"/>
  <c r="M21" i="508" s="1"/>
  <c r="M22" i="508" s="1"/>
  <c r="M23" i="508" s="1"/>
  <c r="E26" i="508"/>
  <c r="D26" i="508"/>
  <c r="C26" i="508"/>
  <c r="B26" i="508"/>
  <c r="E25" i="508"/>
  <c r="D25" i="508"/>
  <c r="C25" i="508"/>
  <c r="B25" i="508"/>
  <c r="G5" i="508"/>
  <c r="G6" i="508" s="1"/>
  <c r="G7" i="508" s="1"/>
  <c r="G8" i="508" s="1"/>
  <c r="G9" i="508" s="1"/>
  <c r="G10" i="508" s="1"/>
  <c r="G11" i="508" s="1"/>
  <c r="G12" i="508" s="1"/>
  <c r="G13" i="508" s="1"/>
  <c r="G14" i="508" s="1"/>
  <c r="G15" i="508" s="1"/>
  <c r="G16" i="508" s="1"/>
  <c r="G17" i="508" s="1"/>
  <c r="G18" i="508" s="1"/>
  <c r="G19" i="508" s="1"/>
  <c r="G20" i="508" s="1"/>
  <c r="G21" i="508" s="1"/>
  <c r="G22" i="508" s="1"/>
  <c r="G23" i="508" s="1"/>
  <c r="A5" i="508"/>
  <c r="A6" i="508" s="1"/>
  <c r="A7" i="508" s="1"/>
  <c r="A8" i="508" s="1"/>
  <c r="A9" i="508" s="1"/>
  <c r="A10" i="508" s="1"/>
  <c r="A11" i="508" s="1"/>
  <c r="A12" i="508" s="1"/>
  <c r="A13" i="508" s="1"/>
  <c r="A14" i="508" s="1"/>
  <c r="A15" i="508" s="1"/>
  <c r="A16" i="508" s="1"/>
  <c r="A17" i="508" s="1"/>
  <c r="A18" i="508" s="1"/>
  <c r="A19" i="508" s="1"/>
  <c r="A20" i="508" s="1"/>
  <c r="A21" i="508" s="1"/>
  <c r="A22" i="508" s="1"/>
  <c r="A23" i="508" s="1"/>
  <c r="B24" i="509" l="1"/>
  <c r="B25" i="509"/>
  <c r="L14" i="518" a="1"/>
  <c r="E24" i="509"/>
  <c r="D25" i="509"/>
  <c r="C25" i="509"/>
  <c r="E25" i="509"/>
  <c r="C24" i="509"/>
  <c r="D24" i="509"/>
  <c r="M5" i="507"/>
  <c r="M6" i="507" s="1"/>
  <c r="M7" i="507" s="1"/>
  <c r="M8" i="507" s="1"/>
  <c r="M9" i="507" s="1"/>
  <c r="M10" i="507" s="1"/>
  <c r="M11" i="507" s="1"/>
  <c r="M12" i="507" s="1"/>
  <c r="M13" i="507" s="1"/>
  <c r="M14" i="507" s="1"/>
  <c r="M15" i="507" s="1"/>
  <c r="M16" i="507" s="1"/>
  <c r="M17" i="507" s="1"/>
  <c r="M18" i="507" s="1"/>
  <c r="M19" i="507" s="1"/>
  <c r="M20" i="507" s="1"/>
  <c r="M21" i="507" s="1"/>
  <c r="M22" i="507" s="1"/>
  <c r="M23" i="507" s="1"/>
  <c r="G5" i="507"/>
  <c r="G6" i="507" s="1"/>
  <c r="G7" i="507" s="1"/>
  <c r="G8" i="507" s="1"/>
  <c r="G9" i="507" s="1"/>
  <c r="G10" i="507" s="1"/>
  <c r="G11" i="507" s="1"/>
  <c r="G12" i="507" s="1"/>
  <c r="G13" i="507" s="1"/>
  <c r="G14" i="507" s="1"/>
  <c r="G15" i="507" s="1"/>
  <c r="G16" i="507" s="1"/>
  <c r="G17" i="507" s="1"/>
  <c r="G18" i="507" s="1"/>
  <c r="G19" i="507" s="1"/>
  <c r="G20" i="507" s="1"/>
  <c r="G21" i="507" s="1"/>
  <c r="G22" i="507" s="1"/>
  <c r="G23" i="507" s="1"/>
  <c r="E25" i="507"/>
  <c r="D25" i="507"/>
  <c r="C25" i="507"/>
  <c r="B25" i="507"/>
  <c r="E24" i="507"/>
  <c r="D24" i="507"/>
  <c r="C24" i="507"/>
  <c r="B24" i="507"/>
  <c r="A5" i="507"/>
  <c r="E25" i="506"/>
  <c r="D25" i="506"/>
  <c r="C25" i="506"/>
  <c r="B25" i="506"/>
  <c r="E24" i="506"/>
  <c r="D24" i="506"/>
  <c r="C24" i="506"/>
  <c r="B24" i="506"/>
  <c r="L16" i="518" l="1"/>
  <c r="I10" i="518" s="1"/>
  <c r="L17" i="518"/>
  <c r="J10" i="518" s="1"/>
  <c r="L14" i="518"/>
  <c r="G10" i="518" s="1"/>
  <c r="L15" i="518"/>
  <c r="H10" i="518" s="1"/>
  <c r="A6" i="507"/>
  <c r="A5" i="509"/>
  <c r="G5" i="505"/>
  <c r="G6" i="505" s="1"/>
  <c r="G7" i="505" s="1"/>
  <c r="G8" i="505" s="1"/>
  <c r="G9" i="505" s="1"/>
  <c r="G10" i="505" s="1"/>
  <c r="G11" i="505" s="1"/>
  <c r="G12" i="505" s="1"/>
  <c r="G13" i="505" s="1"/>
  <c r="G14" i="505" s="1"/>
  <c r="G15" i="505" s="1"/>
  <c r="G16" i="505" s="1"/>
  <c r="G17" i="505" s="1"/>
  <c r="G18" i="505" s="1"/>
  <c r="G19" i="505" s="1"/>
  <c r="G20" i="505" s="1"/>
  <c r="G21" i="505" s="1"/>
  <c r="G22" i="505" s="1"/>
  <c r="G23" i="505" s="1"/>
  <c r="A7" i="507" l="1"/>
  <c r="A6" i="509"/>
  <c r="M5" i="505"/>
  <c r="M6" i="505" s="1"/>
  <c r="M7" i="505" s="1"/>
  <c r="M8" i="505" s="1"/>
  <c r="M9" i="505" s="1"/>
  <c r="M10" i="505" s="1"/>
  <c r="M11" i="505" s="1"/>
  <c r="M12" i="505" s="1"/>
  <c r="M13" i="505" s="1"/>
  <c r="M14" i="505" s="1"/>
  <c r="M15" i="505" s="1"/>
  <c r="M16" i="505" s="1"/>
  <c r="M17" i="505" s="1"/>
  <c r="M18" i="505" s="1"/>
  <c r="M19" i="505" s="1"/>
  <c r="M20" i="505" s="1"/>
  <c r="M21" i="505" s="1"/>
  <c r="M22" i="505" s="1"/>
  <c r="M23" i="505" s="1"/>
  <c r="E25" i="505"/>
  <c r="D25" i="505"/>
  <c r="C25" i="505"/>
  <c r="B25" i="505"/>
  <c r="E24" i="505"/>
  <c r="D24" i="505"/>
  <c r="C24" i="505"/>
  <c r="B24" i="505"/>
  <c r="A5" i="505"/>
  <c r="A6" i="505" s="1"/>
  <c r="A7" i="505" s="1"/>
  <c r="A8" i="505" s="1"/>
  <c r="A9" i="505" s="1"/>
  <c r="A10" i="505" s="1"/>
  <c r="A11" i="505" s="1"/>
  <c r="A12" i="505" s="1"/>
  <c r="A13" i="505" s="1"/>
  <c r="A14" i="505" s="1"/>
  <c r="A15" i="505" s="1"/>
  <c r="A16" i="505" s="1"/>
  <c r="A17" i="505" s="1"/>
  <c r="A18" i="505" s="1"/>
  <c r="A19" i="505" s="1"/>
  <c r="A20" i="505" s="1"/>
  <c r="A21" i="505" s="1"/>
  <c r="A22" i="505" s="1"/>
  <c r="A23" i="505" s="1"/>
  <c r="C24" i="504"/>
  <c r="D24" i="504"/>
  <c r="E24" i="504"/>
  <c r="C25" i="504"/>
  <c r="D25" i="504"/>
  <c r="E25" i="504"/>
  <c r="B25" i="504"/>
  <c r="B24" i="504"/>
  <c r="A5" i="504"/>
  <c r="A6" i="504" s="1"/>
  <c r="A7" i="504" s="1"/>
  <c r="A8" i="504" s="1"/>
  <c r="A9" i="504" s="1"/>
  <c r="A10" i="504" s="1"/>
  <c r="A11" i="504" s="1"/>
  <c r="A12" i="504" s="1"/>
  <c r="A13" i="504" s="1"/>
  <c r="A14" i="504" s="1"/>
  <c r="A15" i="504" s="1"/>
  <c r="A16" i="504" s="1"/>
  <c r="A17" i="504" s="1"/>
  <c r="A18" i="504" s="1"/>
  <c r="A19" i="504" s="1"/>
  <c r="A20" i="504" s="1"/>
  <c r="A21" i="504" s="1"/>
  <c r="A22" i="504" s="1"/>
  <c r="A23" i="504" s="1"/>
  <c r="A8" i="507" l="1"/>
  <c r="A7" i="509"/>
  <c r="A9" i="507" l="1"/>
  <c r="A8" i="509"/>
  <c r="B20" i="502"/>
  <c r="C19" i="502"/>
  <c r="B19" i="502"/>
  <c r="C18" i="502"/>
  <c r="B18" i="502"/>
  <c r="F17" i="502"/>
  <c r="J17" i="502" s="1"/>
  <c r="F16" i="502"/>
  <c r="J16" i="502" s="1"/>
  <c r="F15" i="502"/>
  <c r="J15" i="502" s="1"/>
  <c r="F14" i="502"/>
  <c r="J14" i="502" s="1"/>
  <c r="F13" i="502"/>
  <c r="J13" i="502" s="1"/>
  <c r="G12" i="502"/>
  <c r="K12" i="502" s="1"/>
  <c r="M12" i="502" s="1"/>
  <c r="F12" i="502"/>
  <c r="J12" i="502" s="1"/>
  <c r="G11" i="502"/>
  <c r="K11" i="502" s="1"/>
  <c r="M11" i="502" s="1"/>
  <c r="F11" i="502"/>
  <c r="J11" i="502" s="1"/>
  <c r="G10" i="502"/>
  <c r="K10" i="502" s="1"/>
  <c r="M10" i="502" s="1"/>
  <c r="F10" i="502"/>
  <c r="J10" i="502" s="1"/>
  <c r="G9" i="502"/>
  <c r="K9" i="502" s="1"/>
  <c r="M9" i="502" s="1"/>
  <c r="F9" i="502"/>
  <c r="J9" i="502" s="1"/>
  <c r="G8" i="502"/>
  <c r="K8" i="502" s="1"/>
  <c r="M8" i="502" s="1"/>
  <c r="F8" i="502"/>
  <c r="J8" i="502" s="1"/>
  <c r="I7" i="502"/>
  <c r="I8" i="502" s="1"/>
  <c r="I9" i="502" s="1"/>
  <c r="I10" i="502" s="1"/>
  <c r="I11" i="502" s="1"/>
  <c r="I12" i="502" s="1"/>
  <c r="I13" i="502" s="1"/>
  <c r="I14" i="502" s="1"/>
  <c r="I15" i="502" s="1"/>
  <c r="I16" i="502" s="1"/>
  <c r="I17" i="502" s="1"/>
  <c r="G7" i="502"/>
  <c r="K7" i="502" s="1"/>
  <c r="M7" i="502" s="1"/>
  <c r="F7" i="502"/>
  <c r="J7" i="502" s="1"/>
  <c r="E7" i="502"/>
  <c r="E8" i="502" s="1"/>
  <c r="E9" i="502" s="1"/>
  <c r="E10" i="502" s="1"/>
  <c r="E11" i="502" s="1"/>
  <c r="E12" i="502" s="1"/>
  <c r="E13" i="502" s="1"/>
  <c r="E14" i="502" s="1"/>
  <c r="E15" i="502" s="1"/>
  <c r="E16" i="502" s="1"/>
  <c r="E17" i="502" s="1"/>
  <c r="A7" i="502"/>
  <c r="A8" i="502" s="1"/>
  <c r="A9" i="502" s="1"/>
  <c r="A10" i="502" s="1"/>
  <c r="A11" i="502" s="1"/>
  <c r="A12" i="502" s="1"/>
  <c r="A13" i="502" s="1"/>
  <c r="A14" i="502" s="1"/>
  <c r="A15" i="502" s="1"/>
  <c r="A16" i="502" s="1"/>
  <c r="A17" i="502" s="1"/>
  <c r="G6" i="502"/>
  <c r="K6" i="502" s="1"/>
  <c r="F6" i="502"/>
  <c r="B20" i="499"/>
  <c r="B20" i="501"/>
  <c r="C19" i="501"/>
  <c r="B19" i="501"/>
  <c r="C18" i="501"/>
  <c r="B18" i="501"/>
  <c r="F17" i="501"/>
  <c r="J17" i="501" s="1"/>
  <c r="F16" i="501"/>
  <c r="J16" i="501" s="1"/>
  <c r="F15" i="501"/>
  <c r="J15" i="501" s="1"/>
  <c r="F14" i="501"/>
  <c r="J14" i="501" s="1"/>
  <c r="F13" i="501"/>
  <c r="J13" i="501" s="1"/>
  <c r="G12" i="501"/>
  <c r="K12" i="501" s="1"/>
  <c r="F12" i="501"/>
  <c r="J12" i="501" s="1"/>
  <c r="G11" i="501"/>
  <c r="K11" i="501" s="1"/>
  <c r="F11" i="501"/>
  <c r="J11" i="501" s="1"/>
  <c r="G10" i="501"/>
  <c r="K10" i="501" s="1"/>
  <c r="F10" i="501"/>
  <c r="J10" i="501" s="1"/>
  <c r="G9" i="501"/>
  <c r="K9" i="501" s="1"/>
  <c r="F9" i="501"/>
  <c r="J9" i="501" s="1"/>
  <c r="G8" i="501"/>
  <c r="K8" i="501" s="1"/>
  <c r="F8" i="501"/>
  <c r="J8" i="501" s="1"/>
  <c r="I7" i="501"/>
  <c r="I8" i="501" s="1"/>
  <c r="I9" i="501" s="1"/>
  <c r="I10" i="501" s="1"/>
  <c r="I11" i="501" s="1"/>
  <c r="I12" i="501" s="1"/>
  <c r="I13" i="501" s="1"/>
  <c r="I14" i="501" s="1"/>
  <c r="I15" i="501" s="1"/>
  <c r="I16" i="501" s="1"/>
  <c r="I17" i="501" s="1"/>
  <c r="G7" i="501"/>
  <c r="K7" i="501" s="1"/>
  <c r="F7" i="501"/>
  <c r="E7" i="501"/>
  <c r="E8" i="501" s="1"/>
  <c r="E9" i="501" s="1"/>
  <c r="E10" i="501" s="1"/>
  <c r="E11" i="501" s="1"/>
  <c r="E12" i="501" s="1"/>
  <c r="E13" i="501" s="1"/>
  <c r="E14" i="501" s="1"/>
  <c r="E15" i="501" s="1"/>
  <c r="E16" i="501" s="1"/>
  <c r="E17" i="501" s="1"/>
  <c r="A7" i="501"/>
  <c r="A8" i="501" s="1"/>
  <c r="A9" i="501" s="1"/>
  <c r="A10" i="501" s="1"/>
  <c r="A11" i="501" s="1"/>
  <c r="A12" i="501" s="1"/>
  <c r="A13" i="501" s="1"/>
  <c r="A14" i="501" s="1"/>
  <c r="A15" i="501" s="1"/>
  <c r="A16" i="501" s="1"/>
  <c r="A17" i="501" s="1"/>
  <c r="G6" i="501"/>
  <c r="F6" i="501"/>
  <c r="J6" i="501" s="1"/>
  <c r="I7" i="500"/>
  <c r="I8" i="500" s="1"/>
  <c r="I9" i="500" s="1"/>
  <c r="I10" i="500" s="1"/>
  <c r="I11" i="500" s="1"/>
  <c r="I12" i="500" s="1"/>
  <c r="I13" i="500" s="1"/>
  <c r="I14" i="500" s="1"/>
  <c r="I15" i="500" s="1"/>
  <c r="I16" i="500" s="1"/>
  <c r="I17" i="500" s="1"/>
  <c r="C19" i="500"/>
  <c r="B19" i="500"/>
  <c r="C18" i="500"/>
  <c r="B18" i="500"/>
  <c r="F17" i="500"/>
  <c r="J17" i="500" s="1"/>
  <c r="F16" i="500"/>
  <c r="J16" i="500" s="1"/>
  <c r="F15" i="500"/>
  <c r="J15" i="500" s="1"/>
  <c r="F14" i="500"/>
  <c r="F13" i="500"/>
  <c r="J13" i="500" s="1"/>
  <c r="G12" i="500"/>
  <c r="K12" i="500" s="1"/>
  <c r="F12" i="500"/>
  <c r="J12" i="500" s="1"/>
  <c r="G11" i="500"/>
  <c r="K11" i="500" s="1"/>
  <c r="F11" i="500"/>
  <c r="J11" i="500" s="1"/>
  <c r="G10" i="500"/>
  <c r="K10" i="500" s="1"/>
  <c r="F10" i="500"/>
  <c r="J10" i="500" s="1"/>
  <c r="G9" i="500"/>
  <c r="K9" i="500" s="1"/>
  <c r="F9" i="500"/>
  <c r="J9" i="500" s="1"/>
  <c r="G8" i="500"/>
  <c r="F8" i="500"/>
  <c r="J8" i="500" s="1"/>
  <c r="G7" i="500"/>
  <c r="K7" i="500" s="1"/>
  <c r="F7" i="500"/>
  <c r="J7" i="500" s="1"/>
  <c r="E7" i="500"/>
  <c r="E8" i="500" s="1"/>
  <c r="E9" i="500" s="1"/>
  <c r="E10" i="500" s="1"/>
  <c r="E11" i="500" s="1"/>
  <c r="E12" i="500" s="1"/>
  <c r="E13" i="500" s="1"/>
  <c r="E14" i="500" s="1"/>
  <c r="E15" i="500" s="1"/>
  <c r="E16" i="500" s="1"/>
  <c r="E17" i="500" s="1"/>
  <c r="A7" i="500"/>
  <c r="A8" i="500" s="1"/>
  <c r="A9" i="500" s="1"/>
  <c r="A10" i="500" s="1"/>
  <c r="A11" i="500" s="1"/>
  <c r="A12" i="500" s="1"/>
  <c r="A13" i="500" s="1"/>
  <c r="A14" i="500" s="1"/>
  <c r="A15" i="500" s="1"/>
  <c r="A16" i="500" s="1"/>
  <c r="A17" i="500" s="1"/>
  <c r="G6" i="500"/>
  <c r="F6" i="500"/>
  <c r="J6" i="500" s="1"/>
  <c r="Q20" i="499" a="1"/>
  <c r="Q20" i="499" s="1"/>
  <c r="I20" i="499" a="1"/>
  <c r="I20" i="499" s="1"/>
  <c r="K16" i="499"/>
  <c r="J14" i="499"/>
  <c r="J10" i="499"/>
  <c r="J16" i="499" s="1"/>
  <c r="F7" i="499"/>
  <c r="G7" i="499"/>
  <c r="F8" i="499"/>
  <c r="G8" i="499"/>
  <c r="F9" i="499"/>
  <c r="G9" i="499"/>
  <c r="F10" i="499"/>
  <c r="G10" i="499"/>
  <c r="F11" i="499"/>
  <c r="G11" i="499"/>
  <c r="F12" i="499"/>
  <c r="G12" i="499"/>
  <c r="F13" i="499"/>
  <c r="F14" i="499"/>
  <c r="F15" i="499"/>
  <c r="F16" i="499"/>
  <c r="F17" i="499"/>
  <c r="G6" i="499"/>
  <c r="F6" i="499"/>
  <c r="C19" i="499"/>
  <c r="B19" i="499"/>
  <c r="C18" i="499"/>
  <c r="B18" i="499"/>
  <c r="E7" i="499"/>
  <c r="E8" i="499" s="1"/>
  <c r="E9" i="499" s="1"/>
  <c r="E10" i="499" s="1"/>
  <c r="E11" i="499" s="1"/>
  <c r="E12" i="499" s="1"/>
  <c r="E13" i="499" s="1"/>
  <c r="E14" i="499" s="1"/>
  <c r="A7" i="499"/>
  <c r="A8" i="499" s="1"/>
  <c r="A9" i="499" s="1"/>
  <c r="A10" i="499" s="1"/>
  <c r="A11" i="499" s="1"/>
  <c r="A12" i="499" s="1"/>
  <c r="A13" i="499" s="1"/>
  <c r="A14" i="499" s="1"/>
  <c r="R19" i="499" a="1"/>
  <c r="S19" i="499" a="1"/>
  <c r="R19" i="499" l="1"/>
  <c r="R20" i="499"/>
  <c r="S20" i="499"/>
  <c r="S19" i="499"/>
  <c r="R14" i="499"/>
  <c r="G19" i="500"/>
  <c r="F18" i="501"/>
  <c r="F20" i="499"/>
  <c r="K6" i="500"/>
  <c r="G18" i="500"/>
  <c r="K13" i="500" s="1"/>
  <c r="K14" i="500" s="1"/>
  <c r="K15" i="500" s="1"/>
  <c r="K16" i="500" s="1"/>
  <c r="K17" i="500" s="1"/>
  <c r="K13" i="501" a="1"/>
  <c r="K17" i="501" s="1"/>
  <c r="F18" i="502"/>
  <c r="F19" i="500"/>
  <c r="K8" i="500"/>
  <c r="J14" i="500"/>
  <c r="J18" i="500" s="1"/>
  <c r="F19" i="501"/>
  <c r="J7" i="501"/>
  <c r="J19" i="501" s="1"/>
  <c r="K13" i="502" a="1"/>
  <c r="K15" i="502" s="1"/>
  <c r="M6" i="502"/>
  <c r="A10" i="507"/>
  <c r="A9" i="509"/>
  <c r="F19" i="502"/>
  <c r="J6" i="502"/>
  <c r="G19" i="502"/>
  <c r="F20" i="502"/>
  <c r="G18" i="502"/>
  <c r="F20" i="501"/>
  <c r="G18" i="501"/>
  <c r="S16" i="499"/>
  <c r="G19" i="501"/>
  <c r="K6" i="501"/>
  <c r="F18" i="500"/>
  <c r="J15" i="499"/>
  <c r="R10" i="499"/>
  <c r="R16" i="499" s="1"/>
  <c r="E15" i="499"/>
  <c r="E16" i="499" s="1"/>
  <c r="E17" i="499" s="1"/>
  <c r="F18" i="499"/>
  <c r="F19" i="499"/>
  <c r="A15" i="499"/>
  <c r="A16" i="499" s="1"/>
  <c r="A17" i="499" s="1"/>
  <c r="G18" i="499"/>
  <c r="E11" i="88"/>
  <c r="R15" i="499" l="1"/>
  <c r="K19" i="500"/>
  <c r="K15" i="501"/>
  <c r="J18" i="501"/>
  <c r="K17" i="502"/>
  <c r="K18" i="500"/>
  <c r="K16" i="502"/>
  <c r="K14" i="501"/>
  <c r="K16" i="501"/>
  <c r="K13" i="502"/>
  <c r="K13" i="501"/>
  <c r="J19" i="500"/>
  <c r="K14" i="502"/>
  <c r="A11" i="507"/>
  <c r="A10" i="509"/>
  <c r="J19" i="502"/>
  <c r="J18" i="502"/>
  <c r="G19" i="499"/>
  <c r="AA95" i="288"/>
  <c r="AF55" i="288" s="1"/>
  <c r="Q95" i="288"/>
  <c r="R95" i="288"/>
  <c r="S95" i="288"/>
  <c r="T95" i="288"/>
  <c r="U95" i="288"/>
  <c r="V95" i="288"/>
  <c r="W95" i="288"/>
  <c r="X95" i="288"/>
  <c r="Y95" i="288"/>
  <c r="Z95" i="288"/>
  <c r="P95" i="288"/>
  <c r="AA94" i="288"/>
  <c r="Q94" i="288"/>
  <c r="R94" i="288"/>
  <c r="S94" i="288"/>
  <c r="T94" i="288"/>
  <c r="U94" i="288"/>
  <c r="V94" i="288"/>
  <c r="W94" i="288"/>
  <c r="X94" i="288"/>
  <c r="Y94" i="288"/>
  <c r="Z94" i="288"/>
  <c r="P94" i="288"/>
  <c r="AA93" i="288"/>
  <c r="Q93" i="288"/>
  <c r="R93" i="288"/>
  <c r="S93" i="288"/>
  <c r="T93" i="288"/>
  <c r="U93" i="288"/>
  <c r="V93" i="288"/>
  <c r="W93" i="288"/>
  <c r="X93" i="288"/>
  <c r="Y93" i="288"/>
  <c r="Z93" i="288"/>
  <c r="P93" i="288"/>
  <c r="AA92" i="288"/>
  <c r="Q92" i="288"/>
  <c r="R92" i="288"/>
  <c r="S92" i="288"/>
  <c r="T92" i="288"/>
  <c r="U92" i="288"/>
  <c r="V92" i="288"/>
  <c r="W92" i="288"/>
  <c r="X92" i="288"/>
  <c r="Y92" i="288"/>
  <c r="Z92" i="288"/>
  <c r="P92" i="288"/>
  <c r="AA91" i="288"/>
  <c r="Q91" i="288"/>
  <c r="R91" i="288"/>
  <c r="S91" i="288"/>
  <c r="T91" i="288"/>
  <c r="U91" i="288"/>
  <c r="V91" i="288"/>
  <c r="W91" i="288"/>
  <c r="X91" i="288"/>
  <c r="Y91" i="288"/>
  <c r="Z91" i="288"/>
  <c r="P91" i="288"/>
  <c r="AA90" i="288"/>
  <c r="Q90" i="288"/>
  <c r="R90" i="288"/>
  <c r="S90" i="288"/>
  <c r="T90" i="288"/>
  <c r="U90" i="288"/>
  <c r="V90" i="288"/>
  <c r="W90" i="288"/>
  <c r="X90" i="288"/>
  <c r="Y90" i="288"/>
  <c r="Z90" i="288"/>
  <c r="P90" i="288"/>
  <c r="AA89" i="288"/>
  <c r="Q89" i="288"/>
  <c r="R89" i="288"/>
  <c r="S89" i="288"/>
  <c r="T89" i="288"/>
  <c r="U89" i="288"/>
  <c r="V89" i="288"/>
  <c r="W89" i="288"/>
  <c r="X89" i="288"/>
  <c r="Y89" i="288"/>
  <c r="Z89" i="288"/>
  <c r="P89" i="288"/>
  <c r="AA88" i="288"/>
  <c r="Q88" i="288"/>
  <c r="R88" i="288"/>
  <c r="S88" i="288"/>
  <c r="T88" i="288"/>
  <c r="U88" i="288"/>
  <c r="V88" i="288"/>
  <c r="W88" i="288"/>
  <c r="X88" i="288"/>
  <c r="Y88" i="288"/>
  <c r="Z88" i="288"/>
  <c r="P88" i="288"/>
  <c r="AA87" i="288"/>
  <c r="Q87" i="288"/>
  <c r="R87" i="288"/>
  <c r="S87" i="288"/>
  <c r="T87" i="288"/>
  <c r="U87" i="288"/>
  <c r="V87" i="288"/>
  <c r="W87" i="288"/>
  <c r="X87" i="288"/>
  <c r="Y87" i="288"/>
  <c r="Z87" i="288"/>
  <c r="P87" i="288"/>
  <c r="AA86" i="288"/>
  <c r="Q86" i="288"/>
  <c r="R86" i="288"/>
  <c r="S86" i="288"/>
  <c r="T86" i="288"/>
  <c r="U86" i="288"/>
  <c r="V86" i="288"/>
  <c r="W86" i="288"/>
  <c r="X86" i="288"/>
  <c r="Y86" i="288"/>
  <c r="Z86" i="288"/>
  <c r="P86" i="288"/>
  <c r="AA85" i="288"/>
  <c r="Q85" i="288"/>
  <c r="R85" i="288"/>
  <c r="S85" i="288"/>
  <c r="T85" i="288"/>
  <c r="U85" i="288"/>
  <c r="V85" i="288"/>
  <c r="W85" i="288"/>
  <c r="X85" i="288"/>
  <c r="Y85" i="288"/>
  <c r="Z85" i="288"/>
  <c r="P85" i="288"/>
  <c r="AA84" i="288"/>
  <c r="Q84" i="288"/>
  <c r="R84" i="288"/>
  <c r="S84" i="288"/>
  <c r="T84" i="288"/>
  <c r="U84" i="288"/>
  <c r="V84" i="288"/>
  <c r="W84" i="288"/>
  <c r="X84" i="288"/>
  <c r="Y84" i="288"/>
  <c r="Z84" i="288"/>
  <c r="P84" i="288"/>
  <c r="AA83" i="288"/>
  <c r="Q83" i="288"/>
  <c r="R83" i="288"/>
  <c r="S83" i="288"/>
  <c r="T83" i="288"/>
  <c r="U83" i="288"/>
  <c r="V83" i="288"/>
  <c r="W83" i="288"/>
  <c r="X83" i="288"/>
  <c r="Y83" i="288"/>
  <c r="Z83" i="288"/>
  <c r="P83" i="288"/>
  <c r="O83" i="288"/>
  <c r="Q82" i="288"/>
  <c r="R82" i="288"/>
  <c r="S82" i="288"/>
  <c r="T82" i="288"/>
  <c r="U82" i="288"/>
  <c r="V82" i="288"/>
  <c r="W82" i="288"/>
  <c r="X82" i="288"/>
  <c r="Y82" i="288"/>
  <c r="Z82" i="288"/>
  <c r="P82" i="288"/>
  <c r="AA79" i="288"/>
  <c r="Q79" i="288"/>
  <c r="R79" i="288"/>
  <c r="S79" i="288"/>
  <c r="T79" i="288"/>
  <c r="U79" i="288"/>
  <c r="V79" i="288"/>
  <c r="W79" i="288"/>
  <c r="X79" i="288"/>
  <c r="Y79" i="288"/>
  <c r="Z79" i="288"/>
  <c r="P79" i="288"/>
  <c r="AA78" i="288"/>
  <c r="Q78" i="288"/>
  <c r="R78" i="288"/>
  <c r="S78" i="288"/>
  <c r="T78" i="288"/>
  <c r="U78" i="288"/>
  <c r="V78" i="288"/>
  <c r="W78" i="288"/>
  <c r="X78" i="288"/>
  <c r="Y78" i="288"/>
  <c r="Z78" i="288"/>
  <c r="P78" i="288"/>
  <c r="AA77" i="288"/>
  <c r="Q77" i="288"/>
  <c r="R77" i="288"/>
  <c r="S77" i="288"/>
  <c r="T77" i="288"/>
  <c r="U77" i="288"/>
  <c r="V77" i="288"/>
  <c r="W77" i="288"/>
  <c r="X77" i="288"/>
  <c r="Y77" i="288"/>
  <c r="Z77" i="288"/>
  <c r="P77" i="288"/>
  <c r="AA76" i="288"/>
  <c r="Q76" i="288"/>
  <c r="R76" i="288"/>
  <c r="S76" i="288"/>
  <c r="T76" i="288"/>
  <c r="U76" i="288"/>
  <c r="V76" i="288"/>
  <c r="W76" i="288"/>
  <c r="X76" i="288"/>
  <c r="Y76" i="288"/>
  <c r="Z76" i="288"/>
  <c r="P76" i="288"/>
  <c r="AA75" i="288"/>
  <c r="Q75" i="288"/>
  <c r="R75" i="288"/>
  <c r="S75" i="288"/>
  <c r="T75" i="288"/>
  <c r="U75" i="288"/>
  <c r="V75" i="288"/>
  <c r="W75" i="288"/>
  <c r="X75" i="288"/>
  <c r="Y75" i="288"/>
  <c r="Z75" i="288"/>
  <c r="P75" i="288"/>
  <c r="AA74" i="288"/>
  <c r="Q74" i="288"/>
  <c r="R74" i="288"/>
  <c r="S74" i="288"/>
  <c r="T74" i="288"/>
  <c r="U74" i="288"/>
  <c r="V74" i="288"/>
  <c r="W74" i="288"/>
  <c r="X74" i="288"/>
  <c r="Y74" i="288"/>
  <c r="Z74" i="288"/>
  <c r="P74" i="288"/>
  <c r="AA73" i="288"/>
  <c r="Q73" i="288"/>
  <c r="R73" i="288"/>
  <c r="S73" i="288"/>
  <c r="T73" i="288"/>
  <c r="U73" i="288"/>
  <c r="V73" i="288"/>
  <c r="W73" i="288"/>
  <c r="X73" i="288"/>
  <c r="Y73" i="288"/>
  <c r="Z73" i="288"/>
  <c r="P73" i="288"/>
  <c r="AA72" i="288"/>
  <c r="Q72" i="288"/>
  <c r="R72" i="288"/>
  <c r="S72" i="288"/>
  <c r="T72" i="288"/>
  <c r="U72" i="288"/>
  <c r="V72" i="288"/>
  <c r="W72" i="288"/>
  <c r="X72" i="288"/>
  <c r="Y72" i="288"/>
  <c r="Z72" i="288"/>
  <c r="P72" i="288"/>
  <c r="AA71" i="288"/>
  <c r="Q71" i="288"/>
  <c r="R71" i="288"/>
  <c r="S71" i="288"/>
  <c r="T71" i="288"/>
  <c r="U71" i="288"/>
  <c r="V71" i="288"/>
  <c r="W71" i="288"/>
  <c r="X71" i="288"/>
  <c r="Y71" i="288"/>
  <c r="Z71" i="288"/>
  <c r="P71" i="288"/>
  <c r="AA70" i="288"/>
  <c r="Q70" i="288"/>
  <c r="R70" i="288"/>
  <c r="S70" i="288"/>
  <c r="T70" i="288"/>
  <c r="U70" i="288"/>
  <c r="V70" i="288"/>
  <c r="W70" i="288"/>
  <c r="X70" i="288"/>
  <c r="Y70" i="288"/>
  <c r="Z70" i="288"/>
  <c r="P70" i="288"/>
  <c r="AA69" i="288"/>
  <c r="Q69" i="288"/>
  <c r="R69" i="288"/>
  <c r="S69" i="288"/>
  <c r="T69" i="288"/>
  <c r="U69" i="288"/>
  <c r="V69" i="288"/>
  <c r="W69" i="288"/>
  <c r="X69" i="288"/>
  <c r="Y69" i="288"/>
  <c r="Z69" i="288"/>
  <c r="P69" i="288"/>
  <c r="AA68" i="288"/>
  <c r="Q68" i="288"/>
  <c r="R68" i="288"/>
  <c r="S68" i="288"/>
  <c r="T68" i="288"/>
  <c r="U68" i="288"/>
  <c r="V68" i="288"/>
  <c r="W68" i="288"/>
  <c r="X68" i="288"/>
  <c r="Y68" i="288"/>
  <c r="Z68" i="288"/>
  <c r="P68" i="288"/>
  <c r="AA67" i="288"/>
  <c r="AE51" i="288" s="1"/>
  <c r="Q67" i="288"/>
  <c r="R67" i="288"/>
  <c r="S67" i="288"/>
  <c r="T67" i="288"/>
  <c r="U67" i="288"/>
  <c r="V67" i="288"/>
  <c r="W67" i="288"/>
  <c r="X67" i="288"/>
  <c r="Y67" i="288"/>
  <c r="Z67" i="288"/>
  <c r="P67" i="288"/>
  <c r="O67" i="288"/>
  <c r="Q66" i="288"/>
  <c r="R66" i="288"/>
  <c r="S66" i="288"/>
  <c r="T66" i="288"/>
  <c r="U66" i="288"/>
  <c r="V66" i="288"/>
  <c r="W66" i="288"/>
  <c r="X66" i="288"/>
  <c r="Y66" i="288"/>
  <c r="Z66" i="288"/>
  <c r="P66" i="288"/>
  <c r="AA63" i="288"/>
  <c r="AE55" i="288" s="1"/>
  <c r="Q63" i="288"/>
  <c r="R63" i="288"/>
  <c r="S63" i="288"/>
  <c r="T63" i="288"/>
  <c r="U63" i="288"/>
  <c r="V63" i="288"/>
  <c r="W63" i="288"/>
  <c r="X63" i="288"/>
  <c r="Y63" i="288"/>
  <c r="Z63" i="288"/>
  <c r="P63" i="288"/>
  <c r="AA62" i="288"/>
  <c r="Q62" i="288"/>
  <c r="R62" i="288"/>
  <c r="S62" i="288"/>
  <c r="T62" i="288"/>
  <c r="U62" i="288"/>
  <c r="V62" i="288"/>
  <c r="W62" i="288"/>
  <c r="X62" i="288"/>
  <c r="Y62" i="288"/>
  <c r="Z62" i="288"/>
  <c r="P62" i="288"/>
  <c r="AA61" i="288"/>
  <c r="Q61" i="288"/>
  <c r="R61" i="288"/>
  <c r="S61" i="288"/>
  <c r="T61" i="288"/>
  <c r="U61" i="288"/>
  <c r="V61" i="288"/>
  <c r="W61" i="288"/>
  <c r="X61" i="288"/>
  <c r="Y61" i="288"/>
  <c r="Z61" i="288"/>
  <c r="P61" i="288"/>
  <c r="AA60" i="288"/>
  <c r="Q60" i="288"/>
  <c r="R60" i="288"/>
  <c r="S60" i="288"/>
  <c r="T60" i="288"/>
  <c r="U60" i="288"/>
  <c r="V60" i="288"/>
  <c r="W60" i="288"/>
  <c r="X60" i="288"/>
  <c r="Y60" i="288"/>
  <c r="Z60" i="288"/>
  <c r="P60" i="288"/>
  <c r="AA59" i="288"/>
  <c r="Q59" i="288"/>
  <c r="R59" i="288"/>
  <c r="S59" i="288"/>
  <c r="T59" i="288"/>
  <c r="U59" i="288"/>
  <c r="V59" i="288"/>
  <c r="W59" i="288"/>
  <c r="X59" i="288"/>
  <c r="Y59" i="288"/>
  <c r="Z59" i="288"/>
  <c r="P59" i="288"/>
  <c r="AA58" i="288"/>
  <c r="Q58" i="288"/>
  <c r="R58" i="288"/>
  <c r="S58" i="288"/>
  <c r="T58" i="288"/>
  <c r="U58" i="288"/>
  <c r="V58" i="288"/>
  <c r="W58" i="288"/>
  <c r="X58" i="288"/>
  <c r="Y58" i="288"/>
  <c r="Z58" i="288"/>
  <c r="P58" i="288"/>
  <c r="AA57" i="288"/>
  <c r="Q57" i="288"/>
  <c r="R57" i="288"/>
  <c r="S57" i="288"/>
  <c r="T57" i="288"/>
  <c r="U57" i="288"/>
  <c r="V57" i="288"/>
  <c r="W57" i="288"/>
  <c r="X57" i="288"/>
  <c r="Y57" i="288"/>
  <c r="Z57" i="288"/>
  <c r="P57" i="288"/>
  <c r="AA56" i="288"/>
  <c r="Q56" i="288"/>
  <c r="R56" i="288"/>
  <c r="S56" i="288"/>
  <c r="T56" i="288"/>
  <c r="U56" i="288"/>
  <c r="V56" i="288"/>
  <c r="W56" i="288"/>
  <c r="X56" i="288"/>
  <c r="Y56" i="288"/>
  <c r="Z56" i="288"/>
  <c r="P56" i="288"/>
  <c r="AA55" i="288"/>
  <c r="Q55" i="288"/>
  <c r="R55" i="288"/>
  <c r="S55" i="288"/>
  <c r="T55" i="288"/>
  <c r="U55" i="288"/>
  <c r="V55" i="288"/>
  <c r="W55" i="288"/>
  <c r="X55" i="288"/>
  <c r="Y55" i="288"/>
  <c r="Z55" i="288"/>
  <c r="P55" i="288"/>
  <c r="AA54" i="288"/>
  <c r="Q54" i="288"/>
  <c r="R54" i="288"/>
  <c r="S54" i="288"/>
  <c r="T54" i="288"/>
  <c r="U54" i="288"/>
  <c r="V54" i="288"/>
  <c r="W54" i="288"/>
  <c r="X54" i="288"/>
  <c r="Y54" i="288"/>
  <c r="Z54" i="288"/>
  <c r="P54" i="288"/>
  <c r="AA53" i="288"/>
  <c r="Q53" i="288"/>
  <c r="R53" i="288"/>
  <c r="S53" i="288"/>
  <c r="T53" i="288"/>
  <c r="U53" i="288"/>
  <c r="V53" i="288"/>
  <c r="W53" i="288"/>
  <c r="X53" i="288"/>
  <c r="Y53" i="288"/>
  <c r="Z53" i="288"/>
  <c r="P53" i="288"/>
  <c r="AA52" i="288"/>
  <c r="Q52" i="288"/>
  <c r="R52" i="288"/>
  <c r="S52" i="288"/>
  <c r="T52" i="288"/>
  <c r="U52" i="288"/>
  <c r="V52" i="288"/>
  <c r="W52" i="288"/>
  <c r="X52" i="288"/>
  <c r="Y52" i="288"/>
  <c r="Z52" i="288"/>
  <c r="P52" i="288"/>
  <c r="AA51" i="288"/>
  <c r="AD51" i="288" s="1"/>
  <c r="AF51" i="288" s="1"/>
  <c r="Q51" i="288"/>
  <c r="R51" i="288"/>
  <c r="S51" i="288"/>
  <c r="T51" i="288"/>
  <c r="U51" i="288"/>
  <c r="V51" i="288"/>
  <c r="W51" i="288"/>
  <c r="X51" i="288"/>
  <c r="Y51" i="288"/>
  <c r="Z51" i="288"/>
  <c r="P51" i="288"/>
  <c r="O51" i="288"/>
  <c r="Q50" i="288"/>
  <c r="R50" i="288"/>
  <c r="S50" i="288"/>
  <c r="T50" i="288"/>
  <c r="U50" i="288"/>
  <c r="V50" i="288"/>
  <c r="W50" i="288"/>
  <c r="X50" i="288"/>
  <c r="Y50" i="288"/>
  <c r="Z50" i="288"/>
  <c r="P50" i="288"/>
  <c r="K19" i="501" l="1"/>
  <c r="J20" i="501"/>
  <c r="K18" i="501"/>
  <c r="AD52" i="288"/>
  <c r="K19" i="502"/>
  <c r="AE52" i="288"/>
  <c r="A12" i="507"/>
  <c r="A11" i="509"/>
  <c r="K20" i="502"/>
  <c r="K18" i="502"/>
  <c r="AD55" i="288"/>
  <c r="AD53" i="288" l="1"/>
  <c r="AF52" i="288"/>
  <c r="AE53" i="288"/>
  <c r="A13" i="507"/>
  <c r="A12" i="509"/>
  <c r="AF53" i="288" l="1"/>
  <c r="AG51" i="288" s="1"/>
  <c r="AH51" i="288" s="1"/>
  <c r="AI51" i="288" s="1"/>
  <c r="A14" i="507"/>
  <c r="A13" i="509"/>
  <c r="AG52" i="288" l="1"/>
  <c r="AH52" i="288" s="1"/>
  <c r="AI52" i="288" s="1"/>
  <c r="A15" i="507"/>
  <c r="A14" i="509"/>
  <c r="A16" i="507" l="1"/>
  <c r="A15" i="509"/>
  <c r="U7" i="528" l="1"/>
  <c r="R6" i="528"/>
  <c r="T4" i="528" s="1"/>
  <c r="S5" i="528"/>
  <c r="T7" i="528"/>
  <c r="U6" i="528" s="1"/>
  <c r="R5" i="528"/>
  <c r="S4" i="528" s="1"/>
  <c r="S6" i="528"/>
  <c r="T5" i="528" s="1"/>
  <c r="R7" i="528"/>
  <c r="U4" i="528" s="1"/>
  <c r="S7" i="528"/>
  <c r="U5" i="528" s="1"/>
  <c r="T6" i="528"/>
  <c r="L5" i="516"/>
  <c r="G5" i="516" s="1"/>
  <c r="H4" i="516" s="1"/>
  <c r="L13" i="516"/>
  <c r="L12" i="516"/>
  <c r="I7" i="516" s="1"/>
  <c r="J6" i="516" s="1"/>
  <c r="L11" i="516"/>
  <c r="M11" i="516" s="1"/>
  <c r="L10" i="516"/>
  <c r="H7" i="516" s="1"/>
  <c r="J5" i="516" s="1"/>
  <c r="L9" i="516"/>
  <c r="H6" i="516" s="1"/>
  <c r="I5" i="516" s="1"/>
  <c r="L6" i="516"/>
  <c r="G6" i="516" s="1"/>
  <c r="I4" i="516" s="1"/>
  <c r="L7" i="516"/>
  <c r="G7" i="516" s="1"/>
  <c r="L8" i="516"/>
  <c r="H5" i="516" s="1"/>
  <c r="L4" i="516"/>
  <c r="G4" i="516" s="1"/>
  <c r="Q11" i="516" s="1"/>
  <c r="G16" i="515"/>
  <c r="G14" i="515"/>
  <c r="G13" i="515"/>
  <c r="G15" i="515"/>
  <c r="J20" i="514"/>
  <c r="AG20" i="514" s="1"/>
  <c r="J21" i="514"/>
  <c r="AG21" i="514" s="1"/>
  <c r="I19" i="514"/>
  <c r="AF19" i="514" s="1"/>
  <c r="I4" i="514"/>
  <c r="J7" i="514"/>
  <c r="AG7" i="514" s="1"/>
  <c r="K8" i="514"/>
  <c r="AH8" i="514" s="1"/>
  <c r="J10" i="514"/>
  <c r="AG10" i="514" s="1"/>
  <c r="J8" i="514"/>
  <c r="AG8" i="514" s="1"/>
  <c r="I9" i="514"/>
  <c r="AF9" i="514" s="1"/>
  <c r="I8" i="514"/>
  <c r="AF8" i="514" s="1"/>
  <c r="J4" i="514"/>
  <c r="AG4" i="514" s="1"/>
  <c r="H12" i="514"/>
  <c r="AE12" i="514" s="1"/>
  <c r="I23" i="514"/>
  <c r="AF23" i="514" s="1"/>
  <c r="J13" i="514"/>
  <c r="AG13" i="514" s="1"/>
  <c r="H23" i="514"/>
  <c r="AE23" i="514" s="1"/>
  <c r="H21" i="514"/>
  <c r="AE21" i="514" s="1"/>
  <c r="K10" i="514"/>
  <c r="AH10" i="514" s="1"/>
  <c r="I15" i="514"/>
  <c r="AF15" i="514" s="1"/>
  <c r="J12" i="514"/>
  <c r="AG12" i="514" s="1"/>
  <c r="H7" i="514"/>
  <c r="AE7" i="514" s="1"/>
  <c r="H9" i="514"/>
  <c r="AE9" i="514" s="1"/>
  <c r="J6" i="514"/>
  <c r="AG6" i="514" s="1"/>
  <c r="J17" i="514"/>
  <c r="AG17" i="514" s="1"/>
  <c r="H4" i="514"/>
  <c r="AE4" i="514" s="1"/>
  <c r="I21" i="514"/>
  <c r="AF21" i="514" s="1"/>
  <c r="J23" i="514"/>
  <c r="AG23" i="514" s="1"/>
  <c r="I18" i="514"/>
  <c r="AF18" i="514" s="1"/>
  <c r="I13" i="514"/>
  <c r="AF13" i="514" s="1"/>
  <c r="I11" i="514"/>
  <c r="AF11" i="514" s="1"/>
  <c r="I22" i="514"/>
  <c r="AF22" i="514" s="1"/>
  <c r="K7" i="514"/>
  <c r="AH7" i="514" s="1"/>
  <c r="I20" i="514"/>
  <c r="AF20" i="514" s="1"/>
  <c r="K18" i="514"/>
  <c r="AH18" i="514" s="1"/>
  <c r="K22" i="514"/>
  <c r="AH22" i="514" s="1"/>
  <c r="H17" i="514"/>
  <c r="H8" i="514"/>
  <c r="AE8" i="514" s="1"/>
  <c r="I5" i="514"/>
  <c r="AF5" i="514" s="1"/>
  <c r="H19" i="514"/>
  <c r="AE19" i="514" s="1"/>
  <c r="K21" i="514"/>
  <c r="AH21" i="514" s="1"/>
  <c r="I6" i="514"/>
  <c r="AF6" i="514" s="1"/>
  <c r="H5" i="514"/>
  <c r="AE5" i="514" s="1"/>
  <c r="I17" i="514"/>
  <c r="AF17" i="514" s="1"/>
  <c r="K9" i="514"/>
  <c r="AH9" i="514" s="1"/>
  <c r="H16" i="514"/>
  <c r="AE16" i="514" s="1"/>
  <c r="K13" i="514"/>
  <c r="AH13" i="514" s="1"/>
  <c r="H14" i="514"/>
  <c r="J11" i="514"/>
  <c r="AG11" i="514" s="1"/>
  <c r="I16" i="514"/>
  <c r="AF16" i="514" s="1"/>
  <c r="J18" i="514"/>
  <c r="AG18" i="514" s="1"/>
  <c r="J9" i="514"/>
  <c r="AG9" i="514" s="1"/>
  <c r="H20" i="514"/>
  <c r="AE20" i="514" s="1"/>
  <c r="K19" i="514"/>
  <c r="AH19" i="514" s="1"/>
  <c r="K4" i="514"/>
  <c r="AH4" i="514" s="1"/>
  <c r="H15" i="514"/>
  <c r="AE15" i="514" s="1"/>
  <c r="J5" i="514"/>
  <c r="AG5" i="514" s="1"/>
  <c r="I7" i="514"/>
  <c r="AF7" i="514" s="1"/>
  <c r="K16" i="514"/>
  <c r="AH16" i="514" s="1"/>
  <c r="H18" i="514"/>
  <c r="K17" i="514"/>
  <c r="AH17" i="514" s="1"/>
  <c r="J14" i="514"/>
  <c r="AG14" i="514" s="1"/>
  <c r="K12" i="514"/>
  <c r="AH12" i="514" s="1"/>
  <c r="K20" i="514"/>
  <c r="AH20" i="514" s="1"/>
  <c r="J15" i="514"/>
  <c r="AG15" i="514" s="1"/>
  <c r="H10" i="514"/>
  <c r="AE10" i="514" s="1"/>
  <c r="H6" i="514"/>
  <c r="K14" i="514"/>
  <c r="AH14" i="514" s="1"/>
  <c r="J19" i="514"/>
  <c r="AG19" i="514" s="1"/>
  <c r="I10" i="514"/>
  <c r="AF10" i="514" s="1"/>
  <c r="H11" i="514"/>
  <c r="AE11" i="514" s="1"/>
  <c r="K5" i="514"/>
  <c r="AH5" i="514" s="1"/>
  <c r="K11" i="514"/>
  <c r="AH11" i="514" s="1"/>
  <c r="K6" i="514"/>
  <c r="AH6" i="514" s="1"/>
  <c r="I14" i="514"/>
  <c r="AF14" i="514" s="1"/>
  <c r="H22" i="514"/>
  <c r="AE22" i="514" s="1"/>
  <c r="H13" i="514"/>
  <c r="J22" i="514"/>
  <c r="AG22" i="514" s="1"/>
  <c r="K15" i="514"/>
  <c r="AH15" i="514" s="1"/>
  <c r="K23" i="514"/>
  <c r="J16" i="514"/>
  <c r="AG16" i="514" s="1"/>
  <c r="I12" i="514"/>
  <c r="AF12" i="514" s="1"/>
  <c r="AB16" i="508"/>
  <c r="AC22" i="508"/>
  <c r="AC6" i="508"/>
  <c r="AB8" i="508"/>
  <c r="AA20" i="508"/>
  <c r="AC8" i="508"/>
  <c r="AA19" i="508"/>
  <c r="Z11" i="508"/>
  <c r="AA9" i="508"/>
  <c r="AB4" i="508"/>
  <c r="AC4" i="508"/>
  <c r="AC11" i="508"/>
  <c r="AC16" i="508"/>
  <c r="AA17" i="508"/>
  <c r="AA8" i="508"/>
  <c r="AB17" i="508"/>
  <c r="AB23" i="508"/>
  <c r="AB15" i="508"/>
  <c r="Z5" i="508"/>
  <c r="Z17" i="508"/>
  <c r="AB13" i="508"/>
  <c r="AB21" i="508"/>
  <c r="AA21" i="508"/>
  <c r="AA23" i="508"/>
  <c r="AC21" i="508"/>
  <c r="AB22" i="508"/>
  <c r="AA7" i="508"/>
  <c r="AB14" i="508"/>
  <c r="AA12" i="508"/>
  <c r="Z18" i="508"/>
  <c r="Z21" i="508"/>
  <c r="AB11" i="508"/>
  <c r="AC19" i="508"/>
  <c r="AB7" i="508"/>
  <c r="AA14" i="508"/>
  <c r="Z12" i="508"/>
  <c r="Z9" i="508"/>
  <c r="AC13" i="508"/>
  <c r="AA16" i="508"/>
  <c r="AA18" i="508"/>
  <c r="AC14" i="508"/>
  <c r="Z10" i="508"/>
  <c r="AC18" i="508"/>
  <c r="Z16" i="508"/>
  <c r="AA15" i="508"/>
  <c r="AB12" i="508"/>
  <c r="AC5" i="508"/>
  <c r="Z20" i="508"/>
  <c r="AA11" i="508"/>
  <c r="AB18" i="508"/>
  <c r="Z19" i="508"/>
  <c r="AC17" i="508"/>
  <c r="AC20" i="508"/>
  <c r="AA6" i="508"/>
  <c r="AA22" i="508"/>
  <c r="AA5" i="508"/>
  <c r="AA4" i="508"/>
  <c r="AB6" i="508"/>
  <c r="AC10" i="508"/>
  <c r="AA10" i="508"/>
  <c r="AB10" i="508"/>
  <c r="AB5" i="508"/>
  <c r="Z7" i="508"/>
  <c r="AB20" i="508"/>
  <c r="AB19" i="508"/>
  <c r="AB9" i="508"/>
  <c r="Z15" i="508"/>
  <c r="AC15" i="508"/>
  <c r="AA13" i="508"/>
  <c r="Z22" i="508"/>
  <c r="Z13" i="508"/>
  <c r="Z23" i="508"/>
  <c r="AC7" i="508"/>
  <c r="Z6" i="508"/>
  <c r="Z8" i="508"/>
  <c r="Z14" i="508"/>
  <c r="AC23" i="508"/>
  <c r="AC12" i="508"/>
  <c r="AC9" i="508"/>
  <c r="E24" i="522"/>
  <c r="N13" i="508"/>
  <c r="O10" i="508"/>
  <c r="N6" i="508"/>
  <c r="Q20" i="508"/>
  <c r="Q22" i="508"/>
  <c r="P6" i="508"/>
  <c r="O5" i="508"/>
  <c r="N10" i="508"/>
  <c r="P13" i="508"/>
  <c r="P8" i="508"/>
  <c r="N19" i="508"/>
  <c r="Q17" i="508"/>
  <c r="N14" i="508"/>
  <c r="Q15" i="508"/>
  <c r="P15" i="508"/>
  <c r="N9" i="508"/>
  <c r="P14" i="508"/>
  <c r="O18" i="508"/>
  <c r="Q8" i="508"/>
  <c r="O21" i="508"/>
  <c r="Q13" i="508"/>
  <c r="P22" i="508"/>
  <c r="Q14" i="508"/>
  <c r="O9" i="508"/>
  <c r="N11" i="508"/>
  <c r="P18" i="508"/>
  <c r="N8" i="508"/>
  <c r="O17" i="508"/>
  <c r="Q5" i="508"/>
  <c r="P12" i="508"/>
  <c r="N21" i="508"/>
  <c r="O7" i="508"/>
  <c r="O23" i="508"/>
  <c r="Q19" i="508"/>
  <c r="O14" i="508"/>
  <c r="P20" i="508"/>
  <c r="P19" i="508"/>
  <c r="Q12" i="508"/>
  <c r="P11" i="508"/>
  <c r="Q16" i="508"/>
  <c r="O13" i="508"/>
  <c r="N17" i="508"/>
  <c r="O20" i="508"/>
  <c r="P9" i="508"/>
  <c r="P21" i="508"/>
  <c r="Q9" i="508"/>
  <c r="N20" i="508"/>
  <c r="N16" i="508"/>
  <c r="O15" i="508"/>
  <c r="P7" i="508"/>
  <c r="O11" i="508"/>
  <c r="P17" i="508"/>
  <c r="O12" i="508"/>
  <c r="O19" i="508"/>
  <c r="N22" i="508"/>
  <c r="Q18" i="508"/>
  <c r="N15" i="508"/>
  <c r="N5" i="508"/>
  <c r="Q11" i="508"/>
  <c r="O16" i="508"/>
  <c r="Q10" i="508"/>
  <c r="O6" i="508"/>
  <c r="Q7" i="508"/>
  <c r="N12" i="508"/>
  <c r="N23" i="508"/>
  <c r="O4" i="508"/>
  <c r="Q6" i="508"/>
  <c r="Q4" i="508"/>
  <c r="Q21" i="508"/>
  <c r="N7" i="508"/>
  <c r="O8" i="508"/>
  <c r="N18" i="508"/>
  <c r="P4" i="508"/>
  <c r="P5" i="508"/>
  <c r="P16" i="508"/>
  <c r="P10" i="508"/>
  <c r="O22" i="508"/>
  <c r="Q23" i="508"/>
  <c r="P23" i="508"/>
  <c r="U5" i="508"/>
  <c r="U10" i="508"/>
  <c r="W14" i="508"/>
  <c r="V5" i="508"/>
  <c r="U12" i="508"/>
  <c r="V13" i="508"/>
  <c r="T9" i="508"/>
  <c r="W6" i="508"/>
  <c r="W15" i="508"/>
  <c r="U14" i="508"/>
  <c r="T6" i="508"/>
  <c r="T7" i="508"/>
  <c r="W10" i="508"/>
  <c r="W13" i="508"/>
  <c r="V21" i="508"/>
  <c r="V15" i="508"/>
  <c r="T16" i="508"/>
  <c r="U20" i="508"/>
  <c r="V20" i="508"/>
  <c r="W20" i="508"/>
  <c r="T17" i="508"/>
  <c r="V11" i="508"/>
  <c r="V19" i="508"/>
  <c r="V10" i="508"/>
  <c r="W23" i="508"/>
  <c r="V6" i="508"/>
  <c r="T12" i="508"/>
  <c r="T20" i="508"/>
  <c r="U17" i="508"/>
  <c r="U22" i="508"/>
  <c r="V9" i="508"/>
  <c r="T11" i="508"/>
  <c r="W11" i="508"/>
  <c r="U4" i="508"/>
  <c r="W9" i="508"/>
  <c r="V17" i="508"/>
  <c r="V8" i="508"/>
  <c r="V7" i="508"/>
  <c r="V4" i="508"/>
  <c r="V22" i="508"/>
  <c r="U18" i="508"/>
  <c r="U21" i="508"/>
  <c r="U16" i="508"/>
  <c r="V12" i="508"/>
  <c r="W4" i="508"/>
  <c r="W19" i="508"/>
  <c r="T8" i="508"/>
  <c r="U8" i="508"/>
  <c r="V14" i="508"/>
  <c r="V18" i="508"/>
  <c r="U7" i="508"/>
  <c r="W7" i="508"/>
  <c r="U15" i="508"/>
  <c r="T21" i="508"/>
  <c r="U9" i="508"/>
  <c r="V16" i="508"/>
  <c r="T23" i="508"/>
  <c r="T18" i="508"/>
  <c r="T19" i="508"/>
  <c r="U13" i="508"/>
  <c r="W12" i="508"/>
  <c r="T10" i="508"/>
  <c r="T15" i="508"/>
  <c r="T22" i="508"/>
  <c r="U11" i="508"/>
  <c r="U23" i="508"/>
  <c r="W21" i="508"/>
  <c r="T5" i="508"/>
  <c r="W18" i="508"/>
  <c r="U19" i="508"/>
  <c r="T14" i="508"/>
  <c r="W8" i="508"/>
  <c r="T13" i="508"/>
  <c r="W22" i="508"/>
  <c r="W17" i="508"/>
  <c r="W16" i="508"/>
  <c r="U6" i="508"/>
  <c r="W5" i="508"/>
  <c r="V23" i="508"/>
  <c r="L5" i="518"/>
  <c r="G5" i="518" s="1"/>
  <c r="H4" i="518" s="1"/>
  <c r="L8" i="518"/>
  <c r="M8" i="518" s="1"/>
  <c r="L11" i="518"/>
  <c r="M11" i="518" s="1"/>
  <c r="L7" i="518"/>
  <c r="G7" i="518" s="1"/>
  <c r="J4" i="518" s="1"/>
  <c r="L9" i="518"/>
  <c r="H6" i="518" s="1"/>
  <c r="I5" i="518" s="1"/>
  <c r="L12" i="518"/>
  <c r="I7" i="518" s="1"/>
  <c r="J6" i="518" s="1"/>
  <c r="L13" i="518"/>
  <c r="J7" i="518" s="1"/>
  <c r="L6" i="518"/>
  <c r="G6" i="518" s="1"/>
  <c r="I4" i="518" s="1"/>
  <c r="L10" i="518"/>
  <c r="H7" i="518" s="1"/>
  <c r="J5" i="518" s="1"/>
  <c r="L4" i="518"/>
  <c r="I14" i="508"/>
  <c r="K17" i="508"/>
  <c r="I12" i="508"/>
  <c r="K22" i="508"/>
  <c r="K14" i="508"/>
  <c r="I17" i="508"/>
  <c r="H5" i="508"/>
  <c r="J13" i="508"/>
  <c r="K15" i="508"/>
  <c r="J11" i="508"/>
  <c r="I22" i="508"/>
  <c r="K6" i="508"/>
  <c r="I4" i="508"/>
  <c r="I11" i="508"/>
  <c r="J14" i="508"/>
  <c r="K9" i="508"/>
  <c r="I18" i="508"/>
  <c r="K19" i="508"/>
  <c r="I7" i="508"/>
  <c r="H7" i="508"/>
  <c r="J4" i="508"/>
  <c r="J16" i="508"/>
  <c r="J18" i="508"/>
  <c r="J23" i="508"/>
  <c r="I6" i="508"/>
  <c r="I19" i="508"/>
  <c r="J19" i="508"/>
  <c r="I21" i="508"/>
  <c r="H21" i="508"/>
  <c r="J8" i="508"/>
  <c r="H16" i="508"/>
  <c r="J9" i="508"/>
  <c r="K8" i="508"/>
  <c r="H6" i="508"/>
  <c r="J21" i="508"/>
  <c r="H11" i="508"/>
  <c r="I13" i="508"/>
  <c r="H22" i="508"/>
  <c r="J20" i="508"/>
  <c r="J5" i="508"/>
  <c r="H9" i="508"/>
  <c r="K20" i="508"/>
  <c r="I23" i="508"/>
  <c r="H12" i="508"/>
  <c r="I8" i="508"/>
  <c r="H8" i="508"/>
  <c r="K12" i="508"/>
  <c r="H17" i="508"/>
  <c r="H10" i="508"/>
  <c r="J17" i="508"/>
  <c r="K5" i="508"/>
  <c r="I16" i="508"/>
  <c r="K16" i="508"/>
  <c r="K10" i="508"/>
  <c r="J6" i="508"/>
  <c r="J7" i="508"/>
  <c r="I10" i="508"/>
  <c r="I15" i="508"/>
  <c r="H15" i="508"/>
  <c r="J12" i="508"/>
  <c r="K11" i="508"/>
  <c r="K7" i="508"/>
  <c r="I20" i="508"/>
  <c r="H18" i="508"/>
  <c r="J15" i="508"/>
  <c r="K21" i="508"/>
  <c r="J10" i="508"/>
  <c r="H20" i="508"/>
  <c r="K4" i="508"/>
  <c r="K18" i="508"/>
  <c r="I5" i="508"/>
  <c r="J22" i="508"/>
  <c r="H4" i="508"/>
  <c r="H14" i="508"/>
  <c r="I9" i="508"/>
  <c r="H23" i="508"/>
  <c r="K13" i="508"/>
  <c r="K23" i="508"/>
  <c r="H13" i="508"/>
  <c r="H19" i="508"/>
  <c r="I6" i="518"/>
  <c r="A17" i="507"/>
  <c r="A16" i="509"/>
  <c r="P12" i="528"/>
  <c r="N19" i="514" a="1"/>
  <c r="P6" i="528"/>
  <c r="P20" i="528"/>
  <c r="P15" i="528"/>
  <c r="O19" i="514" a="1"/>
  <c r="P17" i="528"/>
  <c r="P9" i="528"/>
  <c r="H25" i="508" a="1"/>
  <c r="P21" i="528"/>
  <c r="P22" i="528"/>
  <c r="P7" i="528"/>
  <c r="P10" i="528"/>
  <c r="P11" i="528"/>
  <c r="P8" i="528"/>
  <c r="P4" i="528"/>
  <c r="P13" i="528"/>
  <c r="P16" i="528"/>
  <c r="U4" i="514" a="1"/>
  <c r="P18" i="528"/>
  <c r="P5" i="528"/>
  <c r="P19" i="528"/>
  <c r="P23" i="528"/>
  <c r="P14" i="528"/>
  <c r="X4" i="514" l="1"/>
  <c r="X5" i="514"/>
  <c r="X6" i="514"/>
  <c r="X7" i="514"/>
  <c r="U4" i="514"/>
  <c r="U5" i="514"/>
  <c r="U6" i="514"/>
  <c r="U7" i="514"/>
  <c r="V4" i="514"/>
  <c r="V5" i="514"/>
  <c r="V6" i="514"/>
  <c r="V7" i="514"/>
  <c r="W7" i="514"/>
  <c r="W5" i="514"/>
  <c r="W6" i="514"/>
  <c r="W4" i="514"/>
  <c r="I25" i="508"/>
  <c r="I26" i="508"/>
  <c r="I27" i="508"/>
  <c r="I28" i="508"/>
  <c r="I29" i="508"/>
  <c r="J25" i="508"/>
  <c r="J26" i="508"/>
  <c r="J27" i="508"/>
  <c r="J28" i="508"/>
  <c r="J29" i="508"/>
  <c r="K25" i="508"/>
  <c r="K26" i="508"/>
  <c r="K27" i="508"/>
  <c r="K28" i="508"/>
  <c r="K29" i="508"/>
  <c r="H28" i="508"/>
  <c r="H25" i="508"/>
  <c r="H29" i="508"/>
  <c r="H26" i="508"/>
  <c r="H27" i="508"/>
  <c r="O21" i="514"/>
  <c r="O22" i="514"/>
  <c r="O19" i="514"/>
  <c r="O20" i="514"/>
  <c r="N20" i="514"/>
  <c r="N21" i="514"/>
  <c r="N22" i="514"/>
  <c r="N19" i="514"/>
  <c r="Z11" i="514"/>
  <c r="M4" i="516"/>
  <c r="M5" i="516"/>
  <c r="P24" i="528"/>
  <c r="H4" i="509" a="1"/>
  <c r="J18" i="509" s="1"/>
  <c r="Z6" i="528" a="1"/>
  <c r="M7" i="518"/>
  <c r="AF22" i="522"/>
  <c r="Y12" i="528" a="1"/>
  <c r="AA14" i="528" s="1"/>
  <c r="AG21" i="522"/>
  <c r="W20" i="499"/>
  <c r="L20" i="499"/>
  <c r="M20" i="499" s="1"/>
  <c r="H24" i="506"/>
  <c r="AD21" i="522"/>
  <c r="AE21" i="522" s="1"/>
  <c r="AD7" i="529"/>
  <c r="AE14" i="529" s="1"/>
  <c r="AE15" i="529" s="1"/>
  <c r="AF15" i="529" s="1"/>
  <c r="AD9" i="529" s="1"/>
  <c r="J24" i="505"/>
  <c r="K24" i="505"/>
  <c r="V20" i="499"/>
  <c r="I6" i="516"/>
  <c r="M8" i="516"/>
  <c r="O20" i="499"/>
  <c r="P25" i="507"/>
  <c r="N25" i="506"/>
  <c r="N25" i="505"/>
  <c r="N24" i="507"/>
  <c r="M7" i="516"/>
  <c r="O16" i="514"/>
  <c r="M10" i="516"/>
  <c r="M13" i="518"/>
  <c r="M6" i="516"/>
  <c r="AF20" i="522"/>
  <c r="H25" i="507"/>
  <c r="M12" i="518"/>
  <c r="M6" i="518"/>
  <c r="Y12" i="529" a="1"/>
  <c r="AA12" i="529" s="1"/>
  <c r="P25" i="506"/>
  <c r="K25" i="505"/>
  <c r="T20" i="499"/>
  <c r="U20" i="499" s="1"/>
  <c r="P24" i="507"/>
  <c r="AF19" i="522"/>
  <c r="K24" i="514"/>
  <c r="J25" i="514"/>
  <c r="M9" i="516"/>
  <c r="M5" i="518"/>
  <c r="I25" i="507"/>
  <c r="AD19" i="522"/>
  <c r="AE19" i="522" s="1"/>
  <c r="P24" i="529"/>
  <c r="H24" i="507"/>
  <c r="T7" i="517"/>
  <c r="T6" i="517" s="1"/>
  <c r="O25" i="506"/>
  <c r="O12" i="522" a="1"/>
  <c r="P13" i="522" s="1"/>
  <c r="T7" i="522"/>
  <c r="U14" i="522" s="1"/>
  <c r="V14" i="522" s="1"/>
  <c r="Q24" i="507"/>
  <c r="P29" i="530"/>
  <c r="N10" i="514"/>
  <c r="N16" i="514" s="1"/>
  <c r="O12" i="527" a="1"/>
  <c r="O13" i="527" s="1"/>
  <c r="T7" i="527"/>
  <c r="T8" i="527" s="1"/>
  <c r="H25" i="514"/>
  <c r="AG19" i="522"/>
  <c r="J25" i="506"/>
  <c r="I25" i="506"/>
  <c r="H25" i="506"/>
  <c r="M12" i="516"/>
  <c r="E24" i="527"/>
  <c r="AF21" i="522"/>
  <c r="N20" i="499"/>
  <c r="E24" i="517"/>
  <c r="K25" i="507"/>
  <c r="I24" i="507"/>
  <c r="O12" i="517" a="1"/>
  <c r="Q12" i="517" s="1"/>
  <c r="P24" i="506"/>
  <c r="N24" i="506"/>
  <c r="Q24" i="506"/>
  <c r="J25" i="505"/>
  <c r="I24" i="505"/>
  <c r="H25" i="505"/>
  <c r="K27" i="511"/>
  <c r="W19" i="499"/>
  <c r="Q24" i="505"/>
  <c r="N24" i="505"/>
  <c r="O24" i="505"/>
  <c r="P24" i="505"/>
  <c r="N25" i="507"/>
  <c r="O24" i="507"/>
  <c r="L19" i="499"/>
  <c r="M19" i="499" s="1"/>
  <c r="AD22" i="522"/>
  <c r="AE22" i="522" s="1"/>
  <c r="K20" i="504"/>
  <c r="N14" i="514"/>
  <c r="K24" i="507"/>
  <c r="AG20" i="522"/>
  <c r="Q25" i="506"/>
  <c r="N19" i="499"/>
  <c r="O25" i="505"/>
  <c r="J24" i="507"/>
  <c r="I25" i="505"/>
  <c r="AD20" i="522"/>
  <c r="AE20" i="522" s="1"/>
  <c r="H24" i="505"/>
  <c r="P25" i="505"/>
  <c r="N4" i="508"/>
  <c r="AF4" i="514"/>
  <c r="AF24" i="514" s="1"/>
  <c r="J7" i="516"/>
  <c r="M13" i="516"/>
  <c r="H24" i="514"/>
  <c r="I24" i="514"/>
  <c r="K25" i="514"/>
  <c r="H11" i="509"/>
  <c r="I24" i="506"/>
  <c r="Q25" i="505"/>
  <c r="V19" i="499"/>
  <c r="J25" i="507"/>
  <c r="T19" i="499"/>
  <c r="U19" i="499" s="1"/>
  <c r="K24" i="506"/>
  <c r="Q25" i="507"/>
  <c r="O25" i="507"/>
  <c r="O24" i="506"/>
  <c r="O19" i="499"/>
  <c r="M4" i="518"/>
  <c r="G4" i="518"/>
  <c r="T4" i="508"/>
  <c r="Z4" i="508"/>
  <c r="AH23" i="514"/>
  <c r="AH25" i="514" s="1"/>
  <c r="J24" i="514"/>
  <c r="I25" i="514"/>
  <c r="AG22" i="522"/>
  <c r="J24" i="506"/>
  <c r="M10" i="518"/>
  <c r="K25" i="506"/>
  <c r="H5" i="518"/>
  <c r="M9" i="518"/>
  <c r="Q12" i="516"/>
  <c r="J4" i="516"/>
  <c r="AB7" i="522"/>
  <c r="AC15" i="522"/>
  <c r="AD15" i="522" s="1"/>
  <c r="AB9" i="522" s="1"/>
  <c r="AD14" i="522"/>
  <c r="AG25" i="514"/>
  <c r="AG24" i="514"/>
  <c r="A18" i="507"/>
  <c r="A17" i="509"/>
  <c r="E23" i="518" a="1"/>
  <c r="E20" i="518" a="1"/>
  <c r="E14" i="518" a="1"/>
  <c r="E5" i="518" a="1"/>
  <c r="E16" i="518" a="1"/>
  <c r="O14" i="514"/>
  <c r="Z25" i="508" a="1"/>
  <c r="E23" i="516" a="1"/>
  <c r="E15" i="516" a="1"/>
  <c r="E7" i="518" a="1"/>
  <c r="U10" i="514" a="1"/>
  <c r="E11" i="518" a="1"/>
  <c r="E16" i="516" a="1"/>
  <c r="E4" i="516" a="1"/>
  <c r="E20" i="516" a="1"/>
  <c r="E21" i="516" a="1"/>
  <c r="E22" i="518" a="1"/>
  <c r="E13" i="518" a="1"/>
  <c r="E10" i="518" a="1"/>
  <c r="E19" i="518" a="1"/>
  <c r="E17" i="516" a="1"/>
  <c r="E8" i="516" a="1"/>
  <c r="E19" i="516" a="1"/>
  <c r="E8" i="518" a="1"/>
  <c r="E9" i="516" a="1"/>
  <c r="E22" i="516" a="1"/>
  <c r="E18" i="516" a="1"/>
  <c r="E12" i="518" a="1"/>
  <c r="E18" i="518" a="1"/>
  <c r="N25" i="508" a="1"/>
  <c r="E11" i="516" a="1"/>
  <c r="E6" i="518" a="1"/>
  <c r="E12" i="516" a="1"/>
  <c r="E17" i="518" a="1"/>
  <c r="E13" i="516" a="1"/>
  <c r="E4" i="518" a="1"/>
  <c r="E15" i="518" a="1"/>
  <c r="T25" i="508" a="1"/>
  <c r="E21" i="518" a="1"/>
  <c r="E5" i="516" a="1"/>
  <c r="E10" i="516" a="1"/>
  <c r="E9" i="518" a="1"/>
  <c r="E6" i="516" a="1"/>
  <c r="E7" i="516" a="1"/>
  <c r="E14" i="516" a="1"/>
  <c r="AF15" i="508" a="1"/>
  <c r="V25" i="508" l="1"/>
  <c r="V26" i="508"/>
  <c r="V27" i="508"/>
  <c r="V28" i="508"/>
  <c r="V29" i="508"/>
  <c r="W25" i="508"/>
  <c r="W26" i="508"/>
  <c r="W27" i="508"/>
  <c r="W28" i="508"/>
  <c r="W29" i="508"/>
  <c r="T25" i="508"/>
  <c r="T26" i="508"/>
  <c r="T27" i="508"/>
  <c r="T28" i="508"/>
  <c r="T29" i="508"/>
  <c r="U25" i="508"/>
  <c r="U29" i="508"/>
  <c r="U26" i="508"/>
  <c r="U27" i="508"/>
  <c r="U28" i="508"/>
  <c r="N25" i="508"/>
  <c r="N26" i="508"/>
  <c r="N27" i="508"/>
  <c r="N28" i="508"/>
  <c r="N29" i="508"/>
  <c r="O25" i="508"/>
  <c r="O26" i="508"/>
  <c r="O27" i="508"/>
  <c r="O28" i="508"/>
  <c r="O29" i="508"/>
  <c r="P25" i="508"/>
  <c r="P26" i="508"/>
  <c r="P27" i="508"/>
  <c r="P28" i="508"/>
  <c r="P29" i="508"/>
  <c r="Q26" i="508"/>
  <c r="Q27" i="508"/>
  <c r="Q28" i="508"/>
  <c r="Q25" i="508"/>
  <c r="Q29" i="508"/>
  <c r="AH15" i="508"/>
  <c r="AH16" i="508"/>
  <c r="AH17" i="508"/>
  <c r="AH18" i="508"/>
  <c r="AH19" i="508"/>
  <c r="AH20" i="508"/>
  <c r="AI15" i="508"/>
  <c r="AI16" i="508"/>
  <c r="AI17" i="508"/>
  <c r="AI18" i="508"/>
  <c r="AI19" i="508"/>
  <c r="AI20" i="508"/>
  <c r="AF15" i="508"/>
  <c r="AF16" i="508"/>
  <c r="AF17" i="508"/>
  <c r="AF18" i="508"/>
  <c r="AF19" i="508"/>
  <c r="AF20" i="508"/>
  <c r="AG18" i="508"/>
  <c r="AG15" i="508"/>
  <c r="AG19" i="508"/>
  <c r="AG16" i="508"/>
  <c r="AG20" i="508"/>
  <c r="AG17" i="508"/>
  <c r="E13" i="516"/>
  <c r="E11" i="516"/>
  <c r="E15" i="516"/>
  <c r="E18" i="516"/>
  <c r="E22" i="516"/>
  <c r="E16" i="516"/>
  <c r="E20" i="516"/>
  <c r="E7" i="516"/>
  <c r="E5" i="516"/>
  <c r="E23" i="516"/>
  <c r="E10" i="516"/>
  <c r="E12" i="516"/>
  <c r="E19" i="516"/>
  <c r="E9" i="516"/>
  <c r="E14" i="516"/>
  <c r="E21" i="516"/>
  <c r="E17" i="516"/>
  <c r="E8" i="516"/>
  <c r="E6" i="516"/>
  <c r="E4" i="516"/>
  <c r="U10" i="514"/>
  <c r="U11" i="514"/>
  <c r="U12" i="514"/>
  <c r="U13" i="514"/>
  <c r="V10" i="514"/>
  <c r="V11" i="514"/>
  <c r="V12" i="514"/>
  <c r="V13" i="514"/>
  <c r="W10" i="514"/>
  <c r="W11" i="514"/>
  <c r="W12" i="514"/>
  <c r="W13" i="514"/>
  <c r="X13" i="514"/>
  <c r="X11" i="514"/>
  <c r="X10" i="514"/>
  <c r="X12" i="514"/>
  <c r="E6" i="518"/>
  <c r="E4" i="518"/>
  <c r="E18" i="518"/>
  <c r="E13" i="518"/>
  <c r="E14" i="518"/>
  <c r="E22" i="518"/>
  <c r="E23" i="518"/>
  <c r="E15" i="518"/>
  <c r="E10" i="518"/>
  <c r="E21" i="518"/>
  <c r="E7" i="518"/>
  <c r="E5" i="518"/>
  <c r="E19" i="518"/>
  <c r="E11" i="518"/>
  <c r="E16" i="518"/>
  <c r="E20" i="518"/>
  <c r="E12" i="518"/>
  <c r="E9" i="518"/>
  <c r="E17" i="518"/>
  <c r="E8" i="518"/>
  <c r="AC25" i="508"/>
  <c r="AC26" i="508"/>
  <c r="AC27" i="508"/>
  <c r="AC28" i="508"/>
  <c r="AC29" i="508"/>
  <c r="Z25" i="508"/>
  <c r="Z26" i="508"/>
  <c r="Z27" i="508"/>
  <c r="Z28" i="508"/>
  <c r="Z29" i="508"/>
  <c r="AA25" i="508"/>
  <c r="AA26" i="508"/>
  <c r="AA27" i="508"/>
  <c r="AA28" i="508"/>
  <c r="AA29" i="508"/>
  <c r="AB26" i="508"/>
  <c r="AB27" i="508"/>
  <c r="AB28" i="508"/>
  <c r="AB25" i="508"/>
  <c r="AB29" i="508"/>
  <c r="Z10" i="514"/>
  <c r="I5" i="509"/>
  <c r="J23" i="509"/>
  <c r="J6" i="509"/>
  <c r="K23" i="509"/>
  <c r="H14" i="509"/>
  <c r="H10" i="509"/>
  <c r="J16" i="509"/>
  <c r="H21" i="509"/>
  <c r="H4" i="509"/>
  <c r="K13" i="509"/>
  <c r="I21" i="509"/>
  <c r="J8" i="509"/>
  <c r="J10" i="509"/>
  <c r="J9" i="509"/>
  <c r="K5" i="509"/>
  <c r="H17" i="509"/>
  <c r="J7" i="509"/>
  <c r="I14" i="509"/>
  <c r="K15" i="509"/>
  <c r="K10" i="509"/>
  <c r="I10" i="509"/>
  <c r="I6" i="509"/>
  <c r="H5" i="509"/>
  <c r="K14" i="509"/>
  <c r="J21" i="509"/>
  <c r="H18" i="509"/>
  <c r="J17" i="509"/>
  <c r="I11" i="509"/>
  <c r="J20" i="509"/>
  <c r="J12" i="509"/>
  <c r="I16" i="509"/>
  <c r="J4" i="509"/>
  <c r="K16" i="509"/>
  <c r="K22" i="509"/>
  <c r="I22" i="509"/>
  <c r="K9" i="509"/>
  <c r="H9" i="509"/>
  <c r="H20" i="509"/>
  <c r="H8" i="509"/>
  <c r="J5" i="509"/>
  <c r="K21" i="509"/>
  <c r="J13" i="509"/>
  <c r="K6" i="509"/>
  <c r="I13" i="509"/>
  <c r="I17" i="509"/>
  <c r="K18" i="509"/>
  <c r="K7" i="509"/>
  <c r="H19" i="509"/>
  <c r="Y13" i="528"/>
  <c r="AA12" i="528"/>
  <c r="T6" i="522"/>
  <c r="H16" i="509"/>
  <c r="I7" i="509"/>
  <c r="K17" i="509"/>
  <c r="H15" i="509"/>
  <c r="H7" i="509"/>
  <c r="H13" i="509"/>
  <c r="I19" i="509"/>
  <c r="K20" i="509"/>
  <c r="I8" i="509"/>
  <c r="I9" i="509"/>
  <c r="K11" i="509"/>
  <c r="J11" i="509"/>
  <c r="H12" i="509"/>
  <c r="I4" i="509"/>
  <c r="J22" i="509"/>
  <c r="H22" i="509"/>
  <c r="K12" i="509"/>
  <c r="I12" i="509"/>
  <c r="Z6" i="528"/>
  <c r="Z8" i="528"/>
  <c r="Z7" i="528"/>
  <c r="K8" i="509"/>
  <c r="K19" i="509"/>
  <c r="H23" i="509"/>
  <c r="K4" i="509"/>
  <c r="I20" i="509"/>
  <c r="J19" i="509"/>
  <c r="I23" i="509"/>
  <c r="H6" i="509"/>
  <c r="J15" i="509"/>
  <c r="I18" i="509"/>
  <c r="J14" i="509"/>
  <c r="I15" i="509"/>
  <c r="P22" i="514"/>
  <c r="Y14" i="528"/>
  <c r="Y12" i="528"/>
  <c r="AA13" i="528"/>
  <c r="Z12" i="528"/>
  <c r="Z14" i="528"/>
  <c r="Z13" i="528"/>
  <c r="P12" i="522"/>
  <c r="U14" i="527"/>
  <c r="V14" i="527" s="1"/>
  <c r="Q14" i="527"/>
  <c r="AD8" i="529"/>
  <c r="AA14" i="529"/>
  <c r="AD6" i="529"/>
  <c r="AF14" i="529"/>
  <c r="AG14" i="529" s="1"/>
  <c r="AH14" i="529" s="1"/>
  <c r="AI14" i="529" s="1"/>
  <c r="O12" i="522"/>
  <c r="Z12" i="529"/>
  <c r="P13" i="527"/>
  <c r="O13" i="522"/>
  <c r="P14" i="522"/>
  <c r="P21" i="514"/>
  <c r="Q12" i="522"/>
  <c r="O14" i="522"/>
  <c r="Y13" i="529"/>
  <c r="Y14" i="529"/>
  <c r="Q12" i="527"/>
  <c r="P12" i="527"/>
  <c r="Z13" i="529"/>
  <c r="AA13" i="529"/>
  <c r="Z14" i="529"/>
  <c r="P20" i="514"/>
  <c r="Q14" i="517"/>
  <c r="Y12" i="529"/>
  <c r="T8" i="522"/>
  <c r="P19" i="514"/>
  <c r="T6" i="527"/>
  <c r="U14" i="517"/>
  <c r="V14" i="517" s="1"/>
  <c r="Z12" i="514"/>
  <c r="O14" i="527"/>
  <c r="P14" i="527"/>
  <c r="O12" i="527"/>
  <c r="O13" i="517"/>
  <c r="Q13" i="527"/>
  <c r="T8" i="517"/>
  <c r="N15" i="514"/>
  <c r="AA5" i="514" s="1"/>
  <c r="Q14" i="522"/>
  <c r="Q13" i="522"/>
  <c r="O14" i="517"/>
  <c r="P13" i="517"/>
  <c r="AH24" i="514"/>
  <c r="O12" i="517"/>
  <c r="P14" i="517"/>
  <c r="Q13" i="517"/>
  <c r="P12" i="517"/>
  <c r="AA19" i="530"/>
  <c r="Z7" i="530"/>
  <c r="Z6" i="530" s="1"/>
  <c r="Z19" i="530"/>
  <c r="Z10" i="530"/>
  <c r="Z16" i="530" s="1"/>
  <c r="U5" i="511"/>
  <c r="U4" i="511" s="1"/>
  <c r="V17" i="511"/>
  <c r="U17" i="511"/>
  <c r="U8" i="511"/>
  <c r="U14" i="511" s="1"/>
  <c r="AF25" i="514"/>
  <c r="Z13" i="514"/>
  <c r="R11" i="516"/>
  <c r="Q3" i="516" a="1"/>
  <c r="Q3" i="516" s="1"/>
  <c r="R12" i="516"/>
  <c r="U15" i="522"/>
  <c r="V15" i="522" s="1"/>
  <c r="T9" i="522" s="1"/>
  <c r="AE14" i="522"/>
  <c r="AF14" i="522" s="1"/>
  <c r="AG14" i="522" s="1"/>
  <c r="AB8" i="522"/>
  <c r="AB6" i="522"/>
  <c r="A19" i="507"/>
  <c r="A18" i="509"/>
  <c r="M21" i="509" a="1"/>
  <c r="S3" i="509" a="1"/>
  <c r="AF25" i="508" a="1"/>
  <c r="U20" i="522" a="1"/>
  <c r="N3" i="509" a="1"/>
  <c r="AE20" i="529" a="1"/>
  <c r="M12" i="509" a="1"/>
  <c r="U22" i="522" l="1"/>
  <c r="Y22" i="522" s="1"/>
  <c r="U20" i="522"/>
  <c r="Y20" i="522" s="1"/>
  <c r="U21" i="522"/>
  <c r="Y21" i="522" s="1"/>
  <c r="AE20" i="529"/>
  <c r="AI20" i="529" s="1"/>
  <c r="AE21" i="529"/>
  <c r="AF21" i="529" s="1"/>
  <c r="AG21" i="529" s="1"/>
  <c r="AE22" i="529"/>
  <c r="AH22" i="529" s="1"/>
  <c r="N3" i="509"/>
  <c r="N4" i="509"/>
  <c r="N5" i="509"/>
  <c r="N6" i="509"/>
  <c r="N7" i="509"/>
  <c r="N8" i="509"/>
  <c r="O3" i="509"/>
  <c r="O4" i="509"/>
  <c r="O5" i="509"/>
  <c r="O6" i="509"/>
  <c r="O7" i="509"/>
  <c r="O8" i="509"/>
  <c r="P3" i="509"/>
  <c r="P4" i="509"/>
  <c r="P5" i="509"/>
  <c r="P6" i="509"/>
  <c r="P7" i="509"/>
  <c r="P8" i="509"/>
  <c r="Q5" i="509"/>
  <c r="Q6" i="509"/>
  <c r="Q3" i="509"/>
  <c r="Q7" i="509"/>
  <c r="Q4" i="509"/>
  <c r="Q8" i="509"/>
  <c r="P21" i="509"/>
  <c r="O22" i="509"/>
  <c r="N23" i="509"/>
  <c r="M24" i="509"/>
  <c r="Q24" i="509"/>
  <c r="P25" i="509"/>
  <c r="O26" i="509"/>
  <c r="M21" i="509"/>
  <c r="Q21" i="509"/>
  <c r="P22" i="509"/>
  <c r="O23" i="509"/>
  <c r="N24" i="509"/>
  <c r="M25" i="509"/>
  <c r="Q25" i="509"/>
  <c r="P26" i="509"/>
  <c r="N21" i="509"/>
  <c r="M22" i="509"/>
  <c r="Q22" i="509"/>
  <c r="P23" i="509"/>
  <c r="O24" i="509"/>
  <c r="N25" i="509"/>
  <c r="M26" i="509"/>
  <c r="Q26" i="509"/>
  <c r="O21" i="509"/>
  <c r="P24" i="509"/>
  <c r="N22" i="509"/>
  <c r="O25" i="509"/>
  <c r="M23" i="509"/>
  <c r="N26" i="509"/>
  <c r="Q23" i="509"/>
  <c r="M12" i="509"/>
  <c r="Q12" i="509"/>
  <c r="P13" i="509"/>
  <c r="O14" i="509"/>
  <c r="N15" i="509"/>
  <c r="M16" i="509"/>
  <c r="Q16" i="509"/>
  <c r="P17" i="509"/>
  <c r="N12" i="509"/>
  <c r="M13" i="509"/>
  <c r="Q13" i="509"/>
  <c r="P14" i="509"/>
  <c r="O15" i="509"/>
  <c r="N16" i="509"/>
  <c r="M17" i="509"/>
  <c r="Q17" i="509"/>
  <c r="O12" i="509"/>
  <c r="N13" i="509"/>
  <c r="M14" i="509"/>
  <c r="Q14" i="509"/>
  <c r="P15" i="509"/>
  <c r="O16" i="509"/>
  <c r="N17" i="509"/>
  <c r="M15" i="509"/>
  <c r="P12" i="509"/>
  <c r="Q15" i="509"/>
  <c r="O13" i="509"/>
  <c r="P16" i="509"/>
  <c r="O17" i="509"/>
  <c r="N14" i="509"/>
  <c r="S3" i="509"/>
  <c r="S4" i="509"/>
  <c r="S5" i="509"/>
  <c r="S6" i="509"/>
  <c r="S7" i="509"/>
  <c r="S8" i="509"/>
  <c r="S9" i="509"/>
  <c r="S10" i="509"/>
  <c r="S11" i="509"/>
  <c r="S12" i="509"/>
  <c r="S13" i="509"/>
  <c r="S14" i="509"/>
  <c r="S15" i="509"/>
  <c r="S16" i="509"/>
  <c r="S17" i="509"/>
  <c r="S18" i="509"/>
  <c r="S19" i="509"/>
  <c r="S20" i="509"/>
  <c r="S21" i="509"/>
  <c r="S22" i="509"/>
  <c r="S23" i="509"/>
  <c r="T3" i="509"/>
  <c r="T4" i="509"/>
  <c r="T5" i="509"/>
  <c r="T6" i="509"/>
  <c r="T7" i="509"/>
  <c r="T8" i="509"/>
  <c r="T9" i="509"/>
  <c r="T10" i="509"/>
  <c r="T11" i="509"/>
  <c r="T12" i="509"/>
  <c r="T13" i="509"/>
  <c r="T14" i="509"/>
  <c r="T15" i="509"/>
  <c r="T16" i="509"/>
  <c r="T17" i="509"/>
  <c r="T18" i="509"/>
  <c r="T19" i="509"/>
  <c r="T20" i="509"/>
  <c r="T21" i="509"/>
  <c r="T22" i="509"/>
  <c r="T23" i="509"/>
  <c r="U3" i="509"/>
  <c r="U4" i="509"/>
  <c r="U5" i="509"/>
  <c r="U6" i="509"/>
  <c r="U7" i="509"/>
  <c r="U8" i="509"/>
  <c r="U9" i="509"/>
  <c r="U10" i="509"/>
  <c r="U11" i="509"/>
  <c r="U12" i="509"/>
  <c r="U13" i="509"/>
  <c r="U14" i="509"/>
  <c r="U15" i="509"/>
  <c r="U16" i="509"/>
  <c r="U17" i="509"/>
  <c r="U18" i="509"/>
  <c r="U19" i="509"/>
  <c r="U20" i="509"/>
  <c r="U21" i="509"/>
  <c r="U22" i="509"/>
  <c r="U23" i="509"/>
  <c r="V3" i="509"/>
  <c r="V7" i="509"/>
  <c r="V11" i="509"/>
  <c r="V15" i="509"/>
  <c r="V19" i="509"/>
  <c r="V23" i="509"/>
  <c r="V4" i="509"/>
  <c r="V8" i="509"/>
  <c r="V12" i="509"/>
  <c r="V16" i="509"/>
  <c r="V20" i="509"/>
  <c r="V5" i="509"/>
  <c r="V9" i="509"/>
  <c r="V13" i="509"/>
  <c r="V17" i="509"/>
  <c r="V21" i="509"/>
  <c r="V14" i="509"/>
  <c r="V6" i="509"/>
  <c r="V22" i="509"/>
  <c r="V10" i="509"/>
  <c r="V18" i="509"/>
  <c r="AI25" i="508"/>
  <c r="AI26" i="508"/>
  <c r="AI27" i="508"/>
  <c r="AL38" i="508" s="1"/>
  <c r="AI28" i="508"/>
  <c r="AM38" i="508" s="1"/>
  <c r="AI29" i="508"/>
  <c r="AF25" i="508"/>
  <c r="AF26" i="508"/>
  <c r="AF27" i="508"/>
  <c r="AF28" i="508"/>
  <c r="AF29" i="508"/>
  <c r="AL26" i="508" s="1"/>
  <c r="AL25" i="508" s="1"/>
  <c r="AG25" i="508"/>
  <c r="AG26" i="508"/>
  <c r="AG27" i="508"/>
  <c r="AG28" i="508"/>
  <c r="AG29" i="508"/>
  <c r="AL29" i="508" s="1"/>
  <c r="AL35" i="508" s="1"/>
  <c r="AH25" i="508"/>
  <c r="AH29" i="508"/>
  <c r="AH26" i="508"/>
  <c r="AH27" i="508"/>
  <c r="AH28" i="508"/>
  <c r="AB19" i="530"/>
  <c r="W17" i="511"/>
  <c r="H25" i="509"/>
  <c r="I25" i="509"/>
  <c r="I24" i="509"/>
  <c r="J25" i="509"/>
  <c r="K25" i="509"/>
  <c r="K24" i="509"/>
  <c r="J24" i="509"/>
  <c r="AD20" i="528" a="1"/>
  <c r="Z5" i="528" a="1"/>
  <c r="Z5" i="528" s="1"/>
  <c r="AD19" i="528" s="1"/>
  <c r="AD7" i="528"/>
  <c r="H24" i="509"/>
  <c r="S19" i="514"/>
  <c r="U15" i="527"/>
  <c r="V15" i="527" s="1"/>
  <c r="T9" i="527" s="1"/>
  <c r="U15" i="517"/>
  <c r="V15" i="517" s="1"/>
  <c r="T9" i="517" s="1"/>
  <c r="V14" i="511"/>
  <c r="V12" i="511" s="1"/>
  <c r="V13" i="511" s="1"/>
  <c r="Z20" i="530" a="1"/>
  <c r="Z20" i="530" s="1"/>
  <c r="R21" i="514"/>
  <c r="R19" i="514"/>
  <c r="Q14" i="516" a="1"/>
  <c r="Q14" i="516" s="1"/>
  <c r="U18" i="511" a="1"/>
  <c r="U18" i="511" s="1"/>
  <c r="V18" i="511" a="1"/>
  <c r="V18" i="511" s="1"/>
  <c r="Z14" i="530"/>
  <c r="Z15" i="530" s="1"/>
  <c r="AD19" i="530" s="1"/>
  <c r="R22" i="514"/>
  <c r="Q20" i="514"/>
  <c r="Q21" i="514"/>
  <c r="S21" i="514"/>
  <c r="S20" i="514"/>
  <c r="Q19" i="514"/>
  <c r="R20" i="514"/>
  <c r="Q22" i="514"/>
  <c r="S22" i="514"/>
  <c r="U12" i="511"/>
  <c r="U6" i="511" s="1"/>
  <c r="AA20" i="530" a="1"/>
  <c r="AA20" i="530" s="1"/>
  <c r="E24" i="516"/>
  <c r="E24" i="518"/>
  <c r="AA16" i="530"/>
  <c r="AA14" i="530" s="1"/>
  <c r="W14" i="522"/>
  <c r="X14" i="522" s="1"/>
  <c r="Y14" i="522" s="1"/>
  <c r="A20" i="507"/>
  <c r="A19" i="509"/>
  <c r="L5" i="495"/>
  <c r="C15" i="495"/>
  <c r="N11" i="495"/>
  <c r="P11" i="495"/>
  <c r="L6" i="495"/>
  <c r="M6" i="495"/>
  <c r="N6" i="495"/>
  <c r="O6" i="495"/>
  <c r="P6" i="495"/>
  <c r="Q6" i="495"/>
  <c r="R6" i="495"/>
  <c r="S6" i="495"/>
  <c r="L7" i="495"/>
  <c r="M7" i="495"/>
  <c r="N7" i="495"/>
  <c r="O7" i="495"/>
  <c r="P7" i="495"/>
  <c r="Q7" i="495"/>
  <c r="R7" i="495"/>
  <c r="S7" i="495"/>
  <c r="L8" i="495"/>
  <c r="M8" i="495"/>
  <c r="N8" i="495"/>
  <c r="O8" i="495"/>
  <c r="P8" i="495"/>
  <c r="Q8" i="495"/>
  <c r="R8" i="495"/>
  <c r="S8" i="495"/>
  <c r="L9" i="495"/>
  <c r="M9" i="495"/>
  <c r="N9" i="495"/>
  <c r="O9" i="495"/>
  <c r="P9" i="495"/>
  <c r="Q9" i="495"/>
  <c r="R9" i="495"/>
  <c r="S9" i="495"/>
  <c r="L10" i="495"/>
  <c r="M10" i="495"/>
  <c r="N10" i="495"/>
  <c r="O10" i="495"/>
  <c r="P10" i="495"/>
  <c r="Q10" i="495"/>
  <c r="R10" i="495"/>
  <c r="S10" i="495"/>
  <c r="L11" i="495"/>
  <c r="M11" i="495"/>
  <c r="O11" i="495"/>
  <c r="Q11" i="495"/>
  <c r="R11" i="495"/>
  <c r="S11" i="495"/>
  <c r="M5" i="495"/>
  <c r="N5" i="495"/>
  <c r="O5" i="495"/>
  <c r="P5" i="495"/>
  <c r="Q5" i="495"/>
  <c r="R5" i="495"/>
  <c r="S5" i="495"/>
  <c r="C14" i="495"/>
  <c r="C20" i="495" s="1"/>
  <c r="I12" i="495"/>
  <c r="H12" i="495"/>
  <c r="G12" i="495"/>
  <c r="F12" i="495"/>
  <c r="E12" i="495"/>
  <c r="D12" i="495"/>
  <c r="C12" i="495"/>
  <c r="B12" i="495"/>
  <c r="C15" i="496"/>
  <c r="C14" i="496"/>
  <c r="C19" i="496" s="1"/>
  <c r="I12" i="496"/>
  <c r="H12" i="496"/>
  <c r="G12" i="496"/>
  <c r="F12" i="496"/>
  <c r="E12" i="496"/>
  <c r="D12" i="496"/>
  <c r="C12" i="496"/>
  <c r="B12" i="496"/>
  <c r="J11" i="496"/>
  <c r="J10" i="496"/>
  <c r="J9" i="496"/>
  <c r="J8" i="496"/>
  <c r="J7" i="496"/>
  <c r="J6" i="496"/>
  <c r="J5" i="496"/>
  <c r="M30" i="509" a="1"/>
  <c r="U20" i="517" a="1"/>
  <c r="U20" i="527" a="1"/>
  <c r="U20" i="527" l="1"/>
  <c r="X20" i="527" s="1"/>
  <c r="U21" i="527"/>
  <c r="V21" i="527" s="1"/>
  <c r="W21" i="527" s="1"/>
  <c r="U22" i="527"/>
  <c r="X22" i="527" s="1"/>
  <c r="P30" i="509"/>
  <c r="O31" i="509"/>
  <c r="N32" i="509"/>
  <c r="M33" i="509"/>
  <c r="Q33" i="509"/>
  <c r="P34" i="509"/>
  <c r="O35" i="509"/>
  <c r="M30" i="509"/>
  <c r="Q30" i="509"/>
  <c r="P31" i="509"/>
  <c r="O32" i="509"/>
  <c r="N33" i="509"/>
  <c r="M34" i="509"/>
  <c r="Q34" i="509"/>
  <c r="P35" i="509"/>
  <c r="N30" i="509"/>
  <c r="M31" i="509"/>
  <c r="Q31" i="509"/>
  <c r="P32" i="509"/>
  <c r="O33" i="509"/>
  <c r="N34" i="509"/>
  <c r="M35" i="509"/>
  <c r="Q35" i="509"/>
  <c r="Q32" i="509"/>
  <c r="O30" i="509"/>
  <c r="P33" i="509"/>
  <c r="N31" i="509"/>
  <c r="O34" i="509"/>
  <c r="N35" i="509"/>
  <c r="M32" i="509"/>
  <c r="U20" i="517"/>
  <c r="Y20" i="517" s="1"/>
  <c r="U21" i="517"/>
  <c r="X21" i="517" s="1"/>
  <c r="U22" i="517"/>
  <c r="X22" i="517" s="1"/>
  <c r="AD20" i="528"/>
  <c r="AD21" i="528"/>
  <c r="AD22" i="528"/>
  <c r="AD8" i="528"/>
  <c r="AE14" i="528"/>
  <c r="AD6" i="528"/>
  <c r="Z21" i="530"/>
  <c r="Z8" i="530"/>
  <c r="W14" i="527"/>
  <c r="X14" i="527" s="1"/>
  <c r="Y14" i="527" s="1"/>
  <c r="W14" i="517"/>
  <c r="X14" i="517" s="1"/>
  <c r="Y14" i="517" s="1"/>
  <c r="U19" i="511"/>
  <c r="Z22" i="530"/>
  <c r="AB20" i="530"/>
  <c r="AC20" i="530" s="1"/>
  <c r="AH21" i="529"/>
  <c r="AM35" i="508"/>
  <c r="AM33" i="508" s="1"/>
  <c r="AM34" i="508" s="1"/>
  <c r="AI22" i="529"/>
  <c r="AA21" i="530"/>
  <c r="AA15" i="530"/>
  <c r="AB15" i="530" s="1"/>
  <c r="Z9" i="530" s="1"/>
  <c r="V19" i="511"/>
  <c r="AI21" i="529"/>
  <c r="V20" i="511"/>
  <c r="U20" i="511"/>
  <c r="AN38" i="508"/>
  <c r="AO38" i="508" s="1"/>
  <c r="AF22" i="529"/>
  <c r="AG22" i="529" s="1"/>
  <c r="AA22" i="530"/>
  <c r="W12" i="511"/>
  <c r="AH20" i="529"/>
  <c r="W18" i="511"/>
  <c r="AB14" i="530"/>
  <c r="AF20" i="529"/>
  <c r="AG20" i="529" s="1"/>
  <c r="U13" i="511"/>
  <c r="X17" i="511" s="1"/>
  <c r="AL33" i="508"/>
  <c r="AL34" i="508" s="1"/>
  <c r="AM39" i="508" a="1"/>
  <c r="AM41" i="508" s="1"/>
  <c r="AL39" i="508" a="1"/>
  <c r="AL40" i="508" s="1"/>
  <c r="X21" i="522"/>
  <c r="X20" i="522"/>
  <c r="V22" i="522"/>
  <c r="W22" i="522" s="1"/>
  <c r="X22" i="522"/>
  <c r="V20" i="522"/>
  <c r="W20" i="522" s="1"/>
  <c r="V21" i="522"/>
  <c r="W21" i="522" s="1"/>
  <c r="AD20" i="530"/>
  <c r="AC19" i="530"/>
  <c r="AE19" i="530"/>
  <c r="AE20" i="530"/>
  <c r="A21" i="507"/>
  <c r="A20" i="509"/>
  <c r="C16" i="496"/>
  <c r="C17" i="496" s="1"/>
  <c r="C22" i="496"/>
  <c r="C16" i="495"/>
  <c r="C17" i="495" s="1"/>
  <c r="C18" i="495" s="1"/>
  <c r="C23" i="496"/>
  <c r="Y20" i="527" l="1"/>
  <c r="X21" i="527"/>
  <c r="V21" i="517"/>
  <c r="W21" i="517" s="1"/>
  <c r="AB21" i="530"/>
  <c r="AC21" i="530" s="1"/>
  <c r="V20" i="527"/>
  <c r="W20" i="527" s="1"/>
  <c r="Y22" i="517"/>
  <c r="AE15" i="528"/>
  <c r="AF15" i="528" s="1"/>
  <c r="AD9" i="528" s="1"/>
  <c r="AF14" i="528"/>
  <c r="Y22" i="527"/>
  <c r="V22" i="527"/>
  <c r="W22" i="527" s="1"/>
  <c r="V20" i="517"/>
  <c r="W20" i="517" s="1"/>
  <c r="V22" i="517"/>
  <c r="W22" i="517" s="1"/>
  <c r="W19" i="511"/>
  <c r="Y21" i="517"/>
  <c r="Y21" i="527"/>
  <c r="AE22" i="530"/>
  <c r="X20" i="517"/>
  <c r="W20" i="511"/>
  <c r="X20" i="511" s="1"/>
  <c r="W13" i="511"/>
  <c r="U7" i="511" s="1"/>
  <c r="AE21" i="530"/>
  <c r="AD21" i="530"/>
  <c r="Y18" i="511"/>
  <c r="Y19" i="511"/>
  <c r="Z19" i="511"/>
  <c r="X19" i="511"/>
  <c r="Z20" i="511"/>
  <c r="Z17" i="511"/>
  <c r="Y20" i="511"/>
  <c r="Y17" i="511"/>
  <c r="Z18" i="511"/>
  <c r="AD22" i="530"/>
  <c r="AM40" i="508"/>
  <c r="AP40" i="508" s="1"/>
  <c r="AB22" i="530"/>
  <c r="AC22" i="530" s="1"/>
  <c r="X18" i="511"/>
  <c r="AN33" i="508"/>
  <c r="AM39" i="508"/>
  <c r="AL27" i="508"/>
  <c r="AQ38" i="508"/>
  <c r="AP38" i="508"/>
  <c r="AN34" i="508"/>
  <c r="AL28" i="508" s="1"/>
  <c r="AL39" i="508"/>
  <c r="AL41" i="508"/>
  <c r="AQ41" i="508" s="1"/>
  <c r="AC14" i="530"/>
  <c r="AD14" i="530" s="1"/>
  <c r="AE14" i="530" s="1"/>
  <c r="A22" i="507"/>
  <c r="A21" i="509"/>
  <c r="C18" i="496"/>
  <c r="C20" i="496" s="1"/>
  <c r="C19" i="495"/>
  <c r="C21" i="495" s="1"/>
  <c r="AE20" i="528" a="1"/>
  <c r="AE22" i="528" l="1"/>
  <c r="AE20" i="528"/>
  <c r="AE21" i="528"/>
  <c r="AG14" i="528"/>
  <c r="AH14" i="528" s="1"/>
  <c r="AI14" i="528" s="1"/>
  <c r="X12" i="511"/>
  <c r="Y12" i="511" s="1"/>
  <c r="Z12" i="511" s="1"/>
  <c r="AP39" i="508"/>
  <c r="AN40" i="508"/>
  <c r="AO40" i="508" s="1"/>
  <c r="AQ40" i="508"/>
  <c r="AQ39" i="508"/>
  <c r="AN39" i="508"/>
  <c r="AO39" i="508" s="1"/>
  <c r="AO33" i="508"/>
  <c r="AP33" i="508" s="1"/>
  <c r="AQ33" i="508" s="1"/>
  <c r="AN41" i="508"/>
  <c r="AO41" i="508" s="1"/>
  <c r="AP41" i="508"/>
  <c r="A23" i="507"/>
  <c r="A23" i="509" s="1"/>
  <c r="A22" i="509"/>
  <c r="AF20" i="528" l="1"/>
  <c r="AG20" i="528" s="1"/>
  <c r="AI20" i="528"/>
  <c r="AH20" i="528"/>
  <c r="AI22" i="528"/>
  <c r="AH22" i="528"/>
  <c r="AF22" i="528"/>
  <c r="AG22" i="528" s="1"/>
  <c r="AH21" i="528"/>
  <c r="AF21" i="528"/>
  <c r="AG21" i="528" s="1"/>
  <c r="AI21" i="528"/>
  <c r="X19" i="200" l="1"/>
  <c r="Y19" i="200"/>
  <c r="Z19" i="200"/>
  <c r="AA19" i="200"/>
  <c r="AB19" i="200"/>
  <c r="W19" i="200"/>
  <c r="X18" i="200"/>
  <c r="Y18" i="200"/>
  <c r="Z18" i="200"/>
  <c r="AA18" i="200"/>
  <c r="AB18" i="200"/>
  <c r="W18" i="200"/>
  <c r="Z11" i="200"/>
  <c r="AB17" i="200"/>
  <c r="AA17" i="200"/>
  <c r="Z17" i="200"/>
  <c r="Y17" i="200"/>
  <c r="X17" i="200"/>
  <c r="W17" i="200"/>
  <c r="Z10" i="200"/>
  <c r="AA8" i="200"/>
  <c r="AB8" i="200" s="1"/>
  <c r="AB10" i="200" s="1"/>
  <c r="Z12" i="200"/>
  <c r="AA11" i="200" l="1"/>
  <c r="Y20" i="200"/>
  <c r="AB20" i="200"/>
  <c r="X20" i="200"/>
  <c r="AA10" i="200"/>
  <c r="AA20" i="200"/>
  <c r="W20" i="200"/>
  <c r="Z20" i="200"/>
  <c r="Z13" i="200"/>
  <c r="W21" i="200" s="1"/>
  <c r="AA12" i="200"/>
  <c r="AB11" i="200" l="1"/>
  <c r="W22" i="200"/>
  <c r="AA13" i="200"/>
  <c r="X21" i="200" s="1"/>
  <c r="X22" i="200" s="1"/>
  <c r="AB12" i="200"/>
  <c r="AB13" i="200" l="1"/>
  <c r="Y21" i="200"/>
  <c r="Y22" i="200" s="1"/>
  <c r="AA21" i="200" l="1"/>
  <c r="AA22" i="200" s="1"/>
  <c r="AB21" i="200"/>
  <c r="AB22" i="200" s="1"/>
  <c r="Z21" i="200"/>
  <c r="Z22" i="200" s="1"/>
  <c r="I41" i="479" l="1"/>
  <c r="I34" i="478"/>
  <c r="I34" i="479" l="1"/>
  <c r="I33" i="479"/>
  <c r="I32" i="479"/>
  <c r="I35" i="479"/>
  <c r="I29" i="479"/>
  <c r="U39" i="479"/>
  <c r="T39" i="479"/>
  <c r="S39" i="479"/>
  <c r="R39" i="479"/>
  <c r="Q39" i="479"/>
  <c r="U38" i="479"/>
  <c r="T38" i="479"/>
  <c r="S38" i="479"/>
  <c r="R38" i="479"/>
  <c r="Q38" i="479"/>
  <c r="U37" i="479"/>
  <c r="T37" i="479"/>
  <c r="S37" i="479"/>
  <c r="R37" i="479"/>
  <c r="Q37" i="479"/>
  <c r="U36" i="479"/>
  <c r="T36" i="479"/>
  <c r="S36" i="479"/>
  <c r="R36" i="479"/>
  <c r="Q36" i="479"/>
  <c r="U35" i="479"/>
  <c r="T35" i="479"/>
  <c r="S35" i="479"/>
  <c r="R35" i="479"/>
  <c r="Q35" i="479"/>
  <c r="U34" i="479"/>
  <c r="T34" i="479"/>
  <c r="S34" i="479"/>
  <c r="R34" i="479"/>
  <c r="Q34" i="479"/>
  <c r="U33" i="479"/>
  <c r="T33" i="479"/>
  <c r="S33" i="479"/>
  <c r="R33" i="479"/>
  <c r="Q33" i="479"/>
  <c r="U32" i="479"/>
  <c r="T32" i="479"/>
  <c r="S32" i="479"/>
  <c r="R32" i="479"/>
  <c r="Q32" i="479"/>
  <c r="U31" i="479"/>
  <c r="T31" i="479"/>
  <c r="S31" i="479"/>
  <c r="R31" i="479"/>
  <c r="Q31" i="479"/>
  <c r="P31" i="479"/>
  <c r="T30" i="479"/>
  <c r="S30" i="479"/>
  <c r="R30" i="479"/>
  <c r="Q30" i="479"/>
  <c r="U27" i="479"/>
  <c r="T27" i="479"/>
  <c r="S27" i="479"/>
  <c r="R27" i="479"/>
  <c r="Q27" i="479"/>
  <c r="U26" i="479"/>
  <c r="T26" i="479"/>
  <c r="S26" i="479"/>
  <c r="R26" i="479"/>
  <c r="Q26" i="479"/>
  <c r="U25" i="479"/>
  <c r="T25" i="479"/>
  <c r="S25" i="479"/>
  <c r="R25" i="479"/>
  <c r="Q25" i="479"/>
  <c r="U24" i="479"/>
  <c r="T24" i="479"/>
  <c r="S24" i="479"/>
  <c r="R24" i="479"/>
  <c r="Q24" i="479"/>
  <c r="U23" i="479"/>
  <c r="T23" i="479"/>
  <c r="S23" i="479"/>
  <c r="R23" i="479"/>
  <c r="Q23" i="479"/>
  <c r="U22" i="479"/>
  <c r="T22" i="479"/>
  <c r="S22" i="479"/>
  <c r="R22" i="479"/>
  <c r="Q22" i="479"/>
  <c r="U21" i="479"/>
  <c r="T21" i="479"/>
  <c r="S21" i="479"/>
  <c r="R21" i="479"/>
  <c r="Q21" i="479"/>
  <c r="U20" i="479"/>
  <c r="T20" i="479"/>
  <c r="S20" i="479"/>
  <c r="R20" i="479"/>
  <c r="Q20" i="479"/>
  <c r="U19" i="479"/>
  <c r="T19" i="479"/>
  <c r="S19" i="479"/>
  <c r="R19" i="479"/>
  <c r="Q19" i="479"/>
  <c r="P19" i="479"/>
  <c r="T18" i="479"/>
  <c r="S18" i="479"/>
  <c r="R18" i="479"/>
  <c r="Q18" i="479"/>
  <c r="U15" i="479"/>
  <c r="Y11" i="479" s="1"/>
  <c r="T15" i="479"/>
  <c r="S15" i="479"/>
  <c r="R15" i="479"/>
  <c r="Q15" i="479"/>
  <c r="U14" i="479"/>
  <c r="T14" i="479"/>
  <c r="S14" i="479"/>
  <c r="R14" i="479"/>
  <c r="Q14" i="479"/>
  <c r="U13" i="479"/>
  <c r="T13" i="479"/>
  <c r="S13" i="479"/>
  <c r="R13" i="479"/>
  <c r="Q13" i="479"/>
  <c r="U12" i="479"/>
  <c r="T12" i="479"/>
  <c r="S12" i="479"/>
  <c r="R12" i="479"/>
  <c r="Q12" i="479"/>
  <c r="Z11" i="479"/>
  <c r="U11" i="479"/>
  <c r="T11" i="479"/>
  <c r="S11" i="479"/>
  <c r="R11" i="479"/>
  <c r="Q11" i="479"/>
  <c r="U10" i="479"/>
  <c r="T10" i="479"/>
  <c r="S10" i="479"/>
  <c r="R10" i="479"/>
  <c r="Q10" i="479"/>
  <c r="U9" i="479"/>
  <c r="T9" i="479"/>
  <c r="S9" i="479"/>
  <c r="R9" i="479"/>
  <c r="Q9" i="479"/>
  <c r="U8" i="479"/>
  <c r="T8" i="479"/>
  <c r="S8" i="479"/>
  <c r="R8" i="479"/>
  <c r="Q8" i="479"/>
  <c r="U7" i="479"/>
  <c r="T7" i="479"/>
  <c r="S7" i="479"/>
  <c r="R7" i="479"/>
  <c r="Q7" i="479"/>
  <c r="P7" i="479"/>
  <c r="T6" i="479"/>
  <c r="S6" i="479"/>
  <c r="R6" i="479"/>
  <c r="Q6" i="479"/>
  <c r="A6" i="479"/>
  <c r="P32" i="479" s="1"/>
  <c r="I25" i="478"/>
  <c r="I28" i="478"/>
  <c r="I27" i="478"/>
  <c r="I26" i="478"/>
  <c r="I22" i="478"/>
  <c r="P25" i="478"/>
  <c r="P26" i="478" s="1"/>
  <c r="P24" i="478"/>
  <c r="P18" i="478"/>
  <c r="P4" i="478"/>
  <c r="Q4" i="478" s="1"/>
  <c r="R4" i="478" s="1"/>
  <c r="S4" i="478" s="1"/>
  <c r="T4" i="478" s="1"/>
  <c r="U4" i="478" s="1"/>
  <c r="V4" i="478" s="1"/>
  <c r="X7" i="479" l="1"/>
  <c r="I37" i="479"/>
  <c r="X8" i="479"/>
  <c r="P27" i="478"/>
  <c r="P30" i="478" s="1"/>
  <c r="P32" i="478" s="1"/>
  <c r="Y7" i="479"/>
  <c r="AB16" i="479" s="1"/>
  <c r="X11" i="479"/>
  <c r="I30" i="478"/>
  <c r="I36" i="479"/>
  <c r="Y8" i="479"/>
  <c r="P8" i="479"/>
  <c r="A7" i="479"/>
  <c r="P20" i="479"/>
  <c r="P19" i="478"/>
  <c r="I29" i="478"/>
  <c r="A6" i="478"/>
  <c r="A7" i="478" s="1"/>
  <c r="A8" i="478" s="1"/>
  <c r="A9" i="478" s="1"/>
  <c r="A10" i="478" s="1"/>
  <c r="A11" i="478" s="1"/>
  <c r="A12" i="478" s="1"/>
  <c r="I39" i="479" l="1"/>
  <c r="I43" i="479"/>
  <c r="Z7" i="479"/>
  <c r="I38" i="479"/>
  <c r="I42" i="479"/>
  <c r="P29" i="478"/>
  <c r="P31" i="478" s="1"/>
  <c r="I32" i="478"/>
  <c r="I36" i="478"/>
  <c r="X9" i="479"/>
  <c r="I31" i="478"/>
  <c r="I35" i="478"/>
  <c r="P21" i="479"/>
  <c r="P33" i="479"/>
  <c r="A8" i="479"/>
  <c r="P9" i="479"/>
  <c r="Y9" i="479"/>
  <c r="AB17" i="479"/>
  <c r="Z8" i="479"/>
  <c r="Z9" i="479" l="1"/>
  <c r="Y18" i="479" s="1"/>
  <c r="P34" i="479"/>
  <c r="A9" i="479"/>
  <c r="P22" i="479"/>
  <c r="P10" i="479"/>
  <c r="Y13" i="479" l="1"/>
  <c r="AB18" i="479" s="1"/>
  <c r="Y16" i="479"/>
  <c r="Y17" i="479"/>
  <c r="AA8" i="479"/>
  <c r="AB19" i="479" s="1"/>
  <c r="AA7" i="479"/>
  <c r="AB7" i="479" s="1"/>
  <c r="AC7" i="479" s="1"/>
  <c r="AB20" i="479"/>
  <c r="P11" i="479"/>
  <c r="A10" i="479"/>
  <c r="P23" i="479"/>
  <c r="P35" i="479"/>
  <c r="AB8" i="479" l="1"/>
  <c r="AC8" i="479" s="1"/>
  <c r="AB21" i="479"/>
  <c r="AB22" i="479" s="1"/>
  <c r="AB23" i="479" s="1"/>
  <c r="AB24" i="479" s="1"/>
  <c r="AB27" i="479" s="1"/>
  <c r="Y19" i="479"/>
  <c r="Y20" i="479" s="1"/>
  <c r="P36" i="479"/>
  <c r="A11" i="479"/>
  <c r="P12" i="479"/>
  <c r="P24" i="479"/>
  <c r="AB26" i="479" l="1"/>
  <c r="P25" i="479"/>
  <c r="P13" i="479"/>
  <c r="P37" i="479"/>
  <c r="A12" i="479"/>
  <c r="P38" i="479" l="1"/>
  <c r="P26" i="479"/>
  <c r="P14" i="479"/>
  <c r="E9" i="88" l="1"/>
  <c r="L35" i="290" l="1"/>
  <c r="L33" i="290"/>
  <c r="L32" i="290"/>
  <c r="L36" i="290" l="1"/>
  <c r="F34" i="476" l="1"/>
  <c r="E34" i="476"/>
  <c r="D34" i="476"/>
  <c r="C34" i="476"/>
  <c r="G33" i="476"/>
  <c r="G32" i="476"/>
  <c r="G31" i="476"/>
  <c r="G30" i="476"/>
  <c r="G29" i="476"/>
  <c r="G28" i="476"/>
  <c r="G27" i="476"/>
  <c r="G26" i="476"/>
  <c r="L12" i="477"/>
  <c r="G34" i="476" l="1"/>
  <c r="D53" i="442" l="1"/>
  <c r="C53" i="442"/>
  <c r="AG7" i="475"/>
  <c r="AI7" i="475" s="1"/>
  <c r="AG6" i="475"/>
  <c r="AH6" i="475" s="1"/>
  <c r="AI5" i="475"/>
  <c r="AH5" i="475"/>
  <c r="AG5" i="475"/>
  <c r="F13" i="475"/>
  <c r="E13" i="475"/>
  <c r="D13" i="475"/>
  <c r="C13" i="475"/>
  <c r="N12" i="475"/>
  <c r="M12" i="475"/>
  <c r="K12" i="475"/>
  <c r="J12" i="475"/>
  <c r="I12" i="475"/>
  <c r="G12" i="475"/>
  <c r="N11" i="475"/>
  <c r="M11" i="475"/>
  <c r="L11" i="475"/>
  <c r="K11" i="475"/>
  <c r="J11" i="475"/>
  <c r="I11" i="475"/>
  <c r="G11" i="475"/>
  <c r="N10" i="475"/>
  <c r="M10" i="475"/>
  <c r="L10" i="475"/>
  <c r="K10" i="475"/>
  <c r="J10" i="475"/>
  <c r="I10" i="475"/>
  <c r="G10" i="475"/>
  <c r="N9" i="475"/>
  <c r="M9" i="475"/>
  <c r="L9" i="475"/>
  <c r="K9" i="475"/>
  <c r="J9" i="475"/>
  <c r="I9" i="475"/>
  <c r="G9" i="475"/>
  <c r="N8" i="475"/>
  <c r="M8" i="475"/>
  <c r="L8" i="475"/>
  <c r="K8" i="475"/>
  <c r="J8" i="475"/>
  <c r="I8" i="475"/>
  <c r="G8" i="475"/>
  <c r="N7" i="475"/>
  <c r="M7" i="475"/>
  <c r="L7" i="475"/>
  <c r="K7" i="475"/>
  <c r="J7" i="475"/>
  <c r="I7" i="475"/>
  <c r="G7" i="475"/>
  <c r="N6" i="475"/>
  <c r="M6" i="475"/>
  <c r="L6" i="475"/>
  <c r="K6" i="475"/>
  <c r="J6" i="475"/>
  <c r="I6" i="475"/>
  <c r="G6" i="475"/>
  <c r="N5" i="475"/>
  <c r="M5" i="475"/>
  <c r="L5" i="475"/>
  <c r="K5" i="475"/>
  <c r="J5" i="475"/>
  <c r="I5" i="475"/>
  <c r="G5" i="475"/>
  <c r="N4" i="475"/>
  <c r="Y4" i="475" s="1"/>
  <c r="AC4" i="475" s="1"/>
  <c r="M4" i="475"/>
  <c r="U4" i="475" s="1"/>
  <c r="L4" i="475"/>
  <c r="Q4" i="475" s="1"/>
  <c r="K4" i="475"/>
  <c r="P4" i="475" s="1"/>
  <c r="J4" i="475"/>
  <c r="I4" i="475"/>
  <c r="F13" i="476"/>
  <c r="E13" i="476"/>
  <c r="D13" i="476"/>
  <c r="C13" i="476"/>
  <c r="N12" i="476"/>
  <c r="M12" i="476"/>
  <c r="K12" i="476"/>
  <c r="J12" i="476"/>
  <c r="I12" i="476"/>
  <c r="G12" i="476"/>
  <c r="N11" i="476"/>
  <c r="M11" i="476"/>
  <c r="L11" i="476"/>
  <c r="K11" i="476"/>
  <c r="J11" i="476"/>
  <c r="I11" i="476"/>
  <c r="G11" i="476"/>
  <c r="N10" i="476"/>
  <c r="M10" i="476"/>
  <c r="L10" i="476"/>
  <c r="K10" i="476"/>
  <c r="J10" i="476"/>
  <c r="I10" i="476"/>
  <c r="G10" i="476"/>
  <c r="N9" i="476"/>
  <c r="M9" i="476"/>
  <c r="L9" i="476"/>
  <c r="K9" i="476"/>
  <c r="J9" i="476"/>
  <c r="I9" i="476"/>
  <c r="G9" i="476"/>
  <c r="N8" i="476"/>
  <c r="M8" i="476"/>
  <c r="L8" i="476"/>
  <c r="K8" i="476"/>
  <c r="J8" i="476"/>
  <c r="I8" i="476"/>
  <c r="G8" i="476"/>
  <c r="N7" i="476"/>
  <c r="M7" i="476"/>
  <c r="L7" i="476"/>
  <c r="K7" i="476"/>
  <c r="J7" i="476"/>
  <c r="I7" i="476"/>
  <c r="G7" i="476"/>
  <c r="N6" i="476"/>
  <c r="M6" i="476"/>
  <c r="L6" i="476"/>
  <c r="K6" i="476"/>
  <c r="J6" i="476"/>
  <c r="I6" i="476"/>
  <c r="G6" i="476"/>
  <c r="N5" i="476"/>
  <c r="M5" i="476"/>
  <c r="L5" i="476"/>
  <c r="K5" i="476"/>
  <c r="J5" i="476"/>
  <c r="I5" i="476"/>
  <c r="G5" i="476"/>
  <c r="N4" i="476"/>
  <c r="Y4" i="476" s="1"/>
  <c r="AC4" i="476" s="1"/>
  <c r="M4" i="476"/>
  <c r="L4" i="476"/>
  <c r="T4" i="476" s="1"/>
  <c r="K4" i="476"/>
  <c r="P4" i="476" s="1"/>
  <c r="J4" i="476"/>
  <c r="I4" i="476"/>
  <c r="R27" i="477"/>
  <c r="Q27" i="477"/>
  <c r="K27" i="477"/>
  <c r="J27" i="477"/>
  <c r="D27" i="477"/>
  <c r="R23" i="477"/>
  <c r="J23" i="477"/>
  <c r="C23" i="477"/>
  <c r="R22" i="477"/>
  <c r="J22" i="477"/>
  <c r="C22" i="477"/>
  <c r="R21" i="477"/>
  <c r="J21" i="477"/>
  <c r="C21" i="477"/>
  <c r="R20" i="477"/>
  <c r="J20" i="477"/>
  <c r="C20" i="477"/>
  <c r="R19" i="477"/>
  <c r="J19" i="477"/>
  <c r="C19" i="477"/>
  <c r="R18" i="477"/>
  <c r="J18" i="477"/>
  <c r="C18" i="477"/>
  <c r="R17" i="477"/>
  <c r="J17" i="477"/>
  <c r="C17" i="477"/>
  <c r="R16" i="477"/>
  <c r="J16" i="477"/>
  <c r="C16" i="477"/>
  <c r="C15" i="477"/>
  <c r="C27" i="477" s="1"/>
  <c r="F13" i="477"/>
  <c r="E13" i="477"/>
  <c r="D13" i="477"/>
  <c r="C13" i="477"/>
  <c r="N12" i="477"/>
  <c r="M12" i="477"/>
  <c r="K12" i="477"/>
  <c r="J12" i="477"/>
  <c r="I12" i="477"/>
  <c r="G12" i="477"/>
  <c r="N11" i="477"/>
  <c r="M11" i="477"/>
  <c r="L11" i="477"/>
  <c r="K11" i="477"/>
  <c r="J11" i="477"/>
  <c r="I11" i="477"/>
  <c r="G11" i="477"/>
  <c r="N10" i="477"/>
  <c r="M10" i="477"/>
  <c r="L10" i="477"/>
  <c r="K10" i="477"/>
  <c r="J10" i="477"/>
  <c r="I10" i="477"/>
  <c r="G10" i="477"/>
  <c r="N9" i="477"/>
  <c r="M9" i="477"/>
  <c r="L9" i="477"/>
  <c r="K9" i="477"/>
  <c r="J9" i="477"/>
  <c r="I9" i="477"/>
  <c r="G9" i="477"/>
  <c r="N8" i="477"/>
  <c r="M8" i="477"/>
  <c r="L8" i="477"/>
  <c r="K8" i="477"/>
  <c r="J8" i="477"/>
  <c r="I8" i="477"/>
  <c r="G8" i="477"/>
  <c r="N7" i="477"/>
  <c r="M7" i="477"/>
  <c r="L7" i="477"/>
  <c r="K7" i="477"/>
  <c r="J7" i="477"/>
  <c r="I7" i="477"/>
  <c r="G7" i="477"/>
  <c r="N6" i="477"/>
  <c r="M6" i="477"/>
  <c r="L6" i="477"/>
  <c r="K6" i="477"/>
  <c r="J6" i="477"/>
  <c r="I6" i="477"/>
  <c r="G6" i="477"/>
  <c r="N5" i="477"/>
  <c r="M5" i="477"/>
  <c r="L5" i="477"/>
  <c r="K5" i="477"/>
  <c r="J5" i="477"/>
  <c r="I5" i="477"/>
  <c r="G5" i="477"/>
  <c r="D16" i="477" s="1"/>
  <c r="N4" i="477"/>
  <c r="Y4" i="477" s="1"/>
  <c r="AC4" i="477" s="1"/>
  <c r="M4" i="477"/>
  <c r="X4" i="477" s="1"/>
  <c r="AB4" i="477" s="1"/>
  <c r="L4" i="477"/>
  <c r="K4" i="477"/>
  <c r="P4" i="477" s="1"/>
  <c r="J4" i="477"/>
  <c r="I4" i="477"/>
  <c r="K21" i="477" l="1"/>
  <c r="K18" i="477"/>
  <c r="K22" i="477"/>
  <c r="K23" i="477"/>
  <c r="O9" i="475"/>
  <c r="AE9" i="475" s="1"/>
  <c r="G13" i="475"/>
  <c r="L13" i="475"/>
  <c r="O12" i="475"/>
  <c r="AE12" i="475" s="1"/>
  <c r="O6" i="475"/>
  <c r="AE6" i="475" s="1"/>
  <c r="N13" i="475"/>
  <c r="O8" i="475"/>
  <c r="AE8" i="475" s="1"/>
  <c r="L13" i="477"/>
  <c r="O12" i="477"/>
  <c r="AE12" i="477" s="1"/>
  <c r="O7" i="475"/>
  <c r="AE7" i="475" s="1"/>
  <c r="M13" i="475"/>
  <c r="O11" i="475"/>
  <c r="AE11" i="475" s="1"/>
  <c r="D23" i="477"/>
  <c r="W4" i="475"/>
  <c r="AA4" i="475" s="1"/>
  <c r="O5" i="475"/>
  <c r="AL9" i="475" s="1"/>
  <c r="O10" i="475"/>
  <c r="AE10" i="475" s="1"/>
  <c r="S4" i="475"/>
  <c r="V4" i="475"/>
  <c r="Z4" i="475" s="1"/>
  <c r="V4" i="477"/>
  <c r="Z4" i="477" s="1"/>
  <c r="S4" i="477"/>
  <c r="E118" i="463"/>
  <c r="F118" i="463"/>
  <c r="M47" i="442"/>
  <c r="P12" i="475"/>
  <c r="S12" i="475" s="1"/>
  <c r="V12" i="475" s="1"/>
  <c r="P10" i="475"/>
  <c r="S10" i="475" s="1"/>
  <c r="V10" i="475" s="1"/>
  <c r="AH7" i="475"/>
  <c r="Q7" i="475" s="1"/>
  <c r="T7" i="475" s="1"/>
  <c r="AI6" i="475"/>
  <c r="R11" i="475" s="1"/>
  <c r="U11" i="475" s="1"/>
  <c r="Y11" i="475" s="1"/>
  <c r="P6" i="475"/>
  <c r="S6" i="475" s="1"/>
  <c r="V6" i="475" s="1"/>
  <c r="P9" i="475"/>
  <c r="S9" i="475" s="1"/>
  <c r="V9" i="475" s="1"/>
  <c r="P5" i="475"/>
  <c r="S5" i="475" s="1"/>
  <c r="V5" i="475" s="1"/>
  <c r="P11" i="475"/>
  <c r="S11" i="475" s="1"/>
  <c r="V11" i="475" s="1"/>
  <c r="R4" i="475"/>
  <c r="T4" i="475"/>
  <c r="X4" i="475"/>
  <c r="AB4" i="475" s="1"/>
  <c r="P7" i="475"/>
  <c r="S7" i="475" s="1"/>
  <c r="V7" i="475" s="1"/>
  <c r="P8" i="475"/>
  <c r="S8" i="475" s="1"/>
  <c r="V8" i="475" s="1"/>
  <c r="K13" i="475"/>
  <c r="S4" i="476"/>
  <c r="N13" i="476"/>
  <c r="O10" i="476"/>
  <c r="AE10" i="476" s="1"/>
  <c r="V4" i="476"/>
  <c r="Z4" i="476" s="1"/>
  <c r="L13" i="476"/>
  <c r="O12" i="476"/>
  <c r="AE12" i="476" s="1"/>
  <c r="Q4" i="476"/>
  <c r="O11" i="476"/>
  <c r="AE11" i="476" s="1"/>
  <c r="M13" i="476"/>
  <c r="K13" i="476"/>
  <c r="O6" i="476"/>
  <c r="AE6" i="476" s="1"/>
  <c r="X4" i="476"/>
  <c r="AB4" i="476" s="1"/>
  <c r="R4" i="476"/>
  <c r="U4" i="476"/>
  <c r="O7" i="476"/>
  <c r="AE7" i="476" s="1"/>
  <c r="G13" i="476"/>
  <c r="W4" i="476"/>
  <c r="AA4" i="476" s="1"/>
  <c r="O5" i="476"/>
  <c r="O8" i="476"/>
  <c r="AE8" i="476" s="1"/>
  <c r="O9" i="476"/>
  <c r="AE9" i="476" s="1"/>
  <c r="Q23" i="477"/>
  <c r="Q22" i="477"/>
  <c r="D22" i="477"/>
  <c r="O10" i="477"/>
  <c r="AE10" i="477" s="1"/>
  <c r="O8" i="477"/>
  <c r="AE8" i="477" s="1"/>
  <c r="D18" i="477"/>
  <c r="K16" i="477"/>
  <c r="N13" i="477"/>
  <c r="T4" i="477"/>
  <c r="Q4" i="477"/>
  <c r="W4" i="477"/>
  <c r="AA4" i="477" s="1"/>
  <c r="M13" i="477"/>
  <c r="U4" i="477"/>
  <c r="D19" i="477"/>
  <c r="Q19" i="477"/>
  <c r="K19" i="477"/>
  <c r="O5" i="477"/>
  <c r="AE5" i="477" s="1"/>
  <c r="D17" i="477"/>
  <c r="Q17" i="477"/>
  <c r="K17" i="477"/>
  <c r="O9" i="477"/>
  <c r="AE9" i="477" s="1"/>
  <c r="G13" i="477"/>
  <c r="K13" i="477"/>
  <c r="R4" i="477"/>
  <c r="Q16" i="477"/>
  <c r="K20" i="477"/>
  <c r="D20" i="477"/>
  <c r="O11" i="477"/>
  <c r="AE11" i="477" s="1"/>
  <c r="Q20" i="477"/>
  <c r="O7" i="477"/>
  <c r="AE7" i="477" s="1"/>
  <c r="D21" i="477"/>
  <c r="Q21" i="477"/>
  <c r="O6" i="477"/>
  <c r="AE6" i="477" s="1"/>
  <c r="Q18" i="477"/>
  <c r="T16" i="477" a="1"/>
  <c r="C28" i="477" a="1"/>
  <c r="J28" i="477" a="1"/>
  <c r="M16" i="477" a="1"/>
  <c r="Q28" i="477" a="1"/>
  <c r="F16" i="477" a="1"/>
  <c r="D34" i="477" l="1"/>
  <c r="C31" i="477"/>
  <c r="D33" i="477"/>
  <c r="C29" i="477"/>
  <c r="C28" i="477"/>
  <c r="C34" i="477"/>
  <c r="C32" i="477"/>
  <c r="C35" i="477"/>
  <c r="D31" i="477"/>
  <c r="D28" i="477"/>
  <c r="D30" i="477"/>
  <c r="D32" i="477"/>
  <c r="D29" i="477"/>
  <c r="C30" i="477"/>
  <c r="C33" i="477"/>
  <c r="D35" i="477"/>
  <c r="F16" i="477"/>
  <c r="AG5" i="477" s="1"/>
  <c r="F17" i="477"/>
  <c r="AG6" i="477" s="1"/>
  <c r="F18" i="477"/>
  <c r="AG7" i="477" s="1"/>
  <c r="K33" i="477"/>
  <c r="J35" i="477"/>
  <c r="K29" i="477"/>
  <c r="K31" i="477"/>
  <c r="J32" i="477"/>
  <c r="K35" i="477"/>
  <c r="J28" i="477"/>
  <c r="J30" i="477"/>
  <c r="K32" i="477"/>
  <c r="J34" i="477"/>
  <c r="K28" i="477"/>
  <c r="K30" i="477"/>
  <c r="J33" i="477"/>
  <c r="K34" i="477"/>
  <c r="J29" i="477"/>
  <c r="J31" i="477"/>
  <c r="M16" i="477"/>
  <c r="AH5" i="477" s="1"/>
  <c r="M17" i="477"/>
  <c r="AH6" i="477" s="1"/>
  <c r="M18" i="477"/>
  <c r="AH7" i="477" s="1"/>
  <c r="T16" i="477"/>
  <c r="AI5" i="477" s="1"/>
  <c r="T18" i="477"/>
  <c r="AI7" i="477" s="1"/>
  <c r="T17" i="477"/>
  <c r="AI6" i="477" s="1"/>
  <c r="R35" i="477"/>
  <c r="R29" i="477"/>
  <c r="R32" i="477"/>
  <c r="R34" i="477"/>
  <c r="Q34" i="477"/>
  <c r="Q30" i="477"/>
  <c r="R30" i="477"/>
  <c r="Q29" i="477"/>
  <c r="R33" i="477"/>
  <c r="Q28" i="477"/>
  <c r="Q31" i="477"/>
  <c r="Q32" i="477"/>
  <c r="Q35" i="477"/>
  <c r="R31" i="477"/>
  <c r="R28" i="477"/>
  <c r="Q33" i="477"/>
  <c r="AE5" i="475"/>
  <c r="AE13" i="475" s="1"/>
  <c r="M45" i="442"/>
  <c r="M49" i="442"/>
  <c r="M43" i="442"/>
  <c r="Z12" i="475"/>
  <c r="Z11" i="475"/>
  <c r="AC11" i="475"/>
  <c r="Z6" i="475"/>
  <c r="Z9" i="475"/>
  <c r="O13" i="475"/>
  <c r="Z10" i="475"/>
  <c r="M44" i="442"/>
  <c r="L43" i="442"/>
  <c r="M46" i="442"/>
  <c r="L45" i="442"/>
  <c r="K51" i="442"/>
  <c r="M41" i="442"/>
  <c r="L44" i="442"/>
  <c r="J51" i="442"/>
  <c r="L46" i="442"/>
  <c r="I51" i="442"/>
  <c r="L47" i="442"/>
  <c r="L48" i="442"/>
  <c r="M48" i="442"/>
  <c r="L49" i="442"/>
  <c r="H51" i="442"/>
  <c r="L41" i="442"/>
  <c r="G51" i="442"/>
  <c r="L50" i="442"/>
  <c r="L42" i="442"/>
  <c r="M50" i="442"/>
  <c r="M42" i="442"/>
  <c r="Q8" i="475"/>
  <c r="T8" i="475" s="1"/>
  <c r="W8" i="475" s="1"/>
  <c r="AA8" i="475" s="1"/>
  <c r="R10" i="475"/>
  <c r="U10" i="475" s="1"/>
  <c r="Y10" i="475" s="1"/>
  <c r="AC10" i="475" s="1"/>
  <c r="Q12" i="475"/>
  <c r="T12" i="475" s="1"/>
  <c r="W12" i="475" s="1"/>
  <c r="AA12" i="475" s="1"/>
  <c r="Q9" i="475"/>
  <c r="T9" i="475" s="1"/>
  <c r="W9" i="475" s="1"/>
  <c r="AA9" i="475" s="1"/>
  <c r="Q5" i="475"/>
  <c r="T5" i="475" s="1"/>
  <c r="W5" i="475" s="1"/>
  <c r="AA5" i="475" s="1"/>
  <c r="R7" i="475"/>
  <c r="U7" i="475" s="1"/>
  <c r="X7" i="475" s="1"/>
  <c r="AB7" i="475" s="1"/>
  <c r="R12" i="475"/>
  <c r="U12" i="475" s="1"/>
  <c r="Y12" i="475" s="1"/>
  <c r="AC12" i="475" s="1"/>
  <c r="R6" i="475"/>
  <c r="U6" i="475" s="1"/>
  <c r="Y6" i="475" s="1"/>
  <c r="AC6" i="475" s="1"/>
  <c r="R8" i="475"/>
  <c r="U8" i="475" s="1"/>
  <c r="Z5" i="475"/>
  <c r="Q11" i="475"/>
  <c r="T11" i="475" s="1"/>
  <c r="W11" i="475" s="1"/>
  <c r="AA11" i="475" s="1"/>
  <c r="Q10" i="475"/>
  <c r="T10" i="475" s="1"/>
  <c r="W10" i="475" s="1"/>
  <c r="AA10" i="475" s="1"/>
  <c r="Q6" i="475"/>
  <c r="T6" i="475" s="1"/>
  <c r="W6" i="475" s="1"/>
  <c r="AA6" i="475" s="1"/>
  <c r="R9" i="475"/>
  <c r="U9" i="475" s="1"/>
  <c r="R5" i="475"/>
  <c r="U5" i="475" s="1"/>
  <c r="W7" i="475"/>
  <c r="AA7" i="475" s="1"/>
  <c r="Z8" i="475"/>
  <c r="Z7" i="475"/>
  <c r="AE5" i="476"/>
  <c r="AE13" i="476" s="1"/>
  <c r="O13" i="476"/>
  <c r="AL9" i="476"/>
  <c r="O13" i="477"/>
  <c r="AE13" i="477"/>
  <c r="AL9" i="477"/>
  <c r="AL5" i="475" l="1"/>
  <c r="AL5" i="477"/>
  <c r="P5" i="477"/>
  <c r="S5" i="477" s="1"/>
  <c r="V5" i="477" s="1"/>
  <c r="M51" i="442"/>
  <c r="L51" i="442"/>
  <c r="X8" i="475"/>
  <c r="AB8" i="475" s="1"/>
  <c r="Y7" i="475"/>
  <c r="AC7" i="475" s="1"/>
  <c r="X12" i="475"/>
  <c r="AB12" i="475" s="1"/>
  <c r="X5" i="475"/>
  <c r="AB5" i="475" s="1"/>
  <c r="X9" i="475"/>
  <c r="AB9" i="475" s="1"/>
  <c r="Y8" i="475"/>
  <c r="AC8" i="475" s="1"/>
  <c r="X10" i="475"/>
  <c r="AB10" i="475" s="1"/>
  <c r="Y5" i="475"/>
  <c r="AC5" i="475" s="1"/>
  <c r="X11" i="475"/>
  <c r="AB11" i="475" s="1"/>
  <c r="X6" i="475"/>
  <c r="AB6" i="475" s="1"/>
  <c r="Y9" i="475"/>
  <c r="AC9" i="475" s="1"/>
  <c r="Z13" i="475"/>
  <c r="AA13" i="475"/>
  <c r="Q12" i="476"/>
  <c r="T12" i="476" s="1"/>
  <c r="Q10" i="476"/>
  <c r="T10" i="476" s="1"/>
  <c r="Q7" i="476"/>
  <c r="T7" i="476" s="1"/>
  <c r="Q11" i="476"/>
  <c r="T11" i="476" s="1"/>
  <c r="Q9" i="476"/>
  <c r="T9" i="476" s="1"/>
  <c r="Q6" i="476"/>
  <c r="T6" i="476" s="1"/>
  <c r="Q8" i="476"/>
  <c r="T8" i="476" s="1"/>
  <c r="Q5" i="476"/>
  <c r="T5" i="476" s="1"/>
  <c r="P11" i="476"/>
  <c r="S11" i="476" s="1"/>
  <c r="V11" i="476" s="1"/>
  <c r="P8" i="476"/>
  <c r="S8" i="476" s="1"/>
  <c r="V8" i="476" s="1"/>
  <c r="P6" i="476"/>
  <c r="S6" i="476" s="1"/>
  <c r="V6" i="476" s="1"/>
  <c r="P7" i="476"/>
  <c r="S7" i="476" s="1"/>
  <c r="V7" i="476" s="1"/>
  <c r="P12" i="476"/>
  <c r="S12" i="476" s="1"/>
  <c r="V12" i="476" s="1"/>
  <c r="P5" i="476"/>
  <c r="S5" i="476" s="1"/>
  <c r="V5" i="476" s="1"/>
  <c r="P9" i="476"/>
  <c r="S9" i="476" s="1"/>
  <c r="V9" i="476" s="1"/>
  <c r="P10" i="476"/>
  <c r="S10" i="476" s="1"/>
  <c r="V10" i="476" s="1"/>
  <c r="AL5" i="476"/>
  <c r="R9" i="476"/>
  <c r="U9" i="476" s="1"/>
  <c r="R7" i="476"/>
  <c r="U7" i="476" s="1"/>
  <c r="R6" i="476"/>
  <c r="U6" i="476" s="1"/>
  <c r="R5" i="476"/>
  <c r="U5" i="476" s="1"/>
  <c r="R11" i="476"/>
  <c r="U11" i="476" s="1"/>
  <c r="R12" i="476"/>
  <c r="U12" i="476" s="1"/>
  <c r="R10" i="476"/>
  <c r="U10" i="476" s="1"/>
  <c r="R8" i="476"/>
  <c r="U8" i="476" s="1"/>
  <c r="Q10" i="477"/>
  <c r="T10" i="477" s="1"/>
  <c r="Q12" i="477"/>
  <c r="T12" i="477" s="1"/>
  <c r="Q11" i="477"/>
  <c r="T11" i="477" s="1"/>
  <c r="Q9" i="477"/>
  <c r="T9" i="477" s="1"/>
  <c r="Q7" i="477"/>
  <c r="T7" i="477" s="1"/>
  <c r="Q6" i="477"/>
  <c r="T6" i="477" s="1"/>
  <c r="Q8" i="477"/>
  <c r="T8" i="477" s="1"/>
  <c r="Q5" i="477"/>
  <c r="T5" i="477" s="1"/>
  <c r="R9" i="477"/>
  <c r="U9" i="477" s="1"/>
  <c r="R7" i="477"/>
  <c r="U7" i="477" s="1"/>
  <c r="R6" i="477"/>
  <c r="U6" i="477" s="1"/>
  <c r="R5" i="477"/>
  <c r="U5" i="477" s="1"/>
  <c r="R10" i="477"/>
  <c r="U10" i="477" s="1"/>
  <c r="R8" i="477"/>
  <c r="U8" i="477" s="1"/>
  <c r="R11" i="477"/>
  <c r="U11" i="477" s="1"/>
  <c r="R12" i="477"/>
  <c r="U12" i="477" s="1"/>
  <c r="P12" i="477"/>
  <c r="S12" i="477" s="1"/>
  <c r="V12" i="477" s="1"/>
  <c r="P11" i="477"/>
  <c r="S11" i="477" s="1"/>
  <c r="V11" i="477" s="1"/>
  <c r="P7" i="477"/>
  <c r="S7" i="477" s="1"/>
  <c r="V7" i="477" s="1"/>
  <c r="P10" i="477"/>
  <c r="S10" i="477" s="1"/>
  <c r="V10" i="477" s="1"/>
  <c r="P9" i="477"/>
  <c r="S9" i="477" s="1"/>
  <c r="V9" i="477" s="1"/>
  <c r="P6" i="477"/>
  <c r="S6" i="477" s="1"/>
  <c r="V6" i="477" s="1"/>
  <c r="P8" i="477"/>
  <c r="S8" i="477" s="1"/>
  <c r="V8" i="477" s="1"/>
  <c r="W5" i="477" l="1"/>
  <c r="AA5" i="477" s="1"/>
  <c r="AD7" i="475"/>
  <c r="AD12" i="475"/>
  <c r="AD8" i="475"/>
  <c r="AD10" i="475"/>
  <c r="AC13" i="475"/>
  <c r="AD5" i="475"/>
  <c r="AB13" i="475"/>
  <c r="AD6" i="475"/>
  <c r="AD9" i="475"/>
  <c r="AD11" i="475"/>
  <c r="W8" i="476"/>
  <c r="AA8" i="476" s="1"/>
  <c r="W5" i="476"/>
  <c r="AA5" i="476" s="1"/>
  <c r="W11" i="476"/>
  <c r="AA11" i="476" s="1"/>
  <c r="Y10" i="476"/>
  <c r="AC10" i="476" s="1"/>
  <c r="X10" i="476"/>
  <c r="AB10" i="476" s="1"/>
  <c r="Y6" i="476"/>
  <c r="AC6" i="476" s="1"/>
  <c r="X6" i="476"/>
  <c r="AB6" i="476" s="1"/>
  <c r="Z10" i="476"/>
  <c r="Z7" i="476"/>
  <c r="Y12" i="476"/>
  <c r="AC12" i="476" s="1"/>
  <c r="X12" i="476"/>
  <c r="AB12" i="476" s="1"/>
  <c r="Y7" i="476"/>
  <c r="AC7" i="476" s="1"/>
  <c r="X7" i="476"/>
  <c r="AB7" i="476" s="1"/>
  <c r="Z9" i="476"/>
  <c r="Z6" i="476"/>
  <c r="W7" i="476"/>
  <c r="AA7" i="476" s="1"/>
  <c r="X11" i="476"/>
  <c r="AB11" i="476" s="1"/>
  <c r="Y11" i="476"/>
  <c r="AC11" i="476" s="1"/>
  <c r="Y9" i="476"/>
  <c r="AC9" i="476" s="1"/>
  <c r="X9" i="476"/>
  <c r="AB9" i="476" s="1"/>
  <c r="Z5" i="476"/>
  <c r="Z8" i="476"/>
  <c r="W6" i="476"/>
  <c r="AA6" i="476" s="1"/>
  <c r="W10" i="476"/>
  <c r="AA10" i="476" s="1"/>
  <c r="Y8" i="476"/>
  <c r="AC8" i="476" s="1"/>
  <c r="X8" i="476"/>
  <c r="AB8" i="476" s="1"/>
  <c r="Y5" i="476"/>
  <c r="AC5" i="476" s="1"/>
  <c r="X5" i="476"/>
  <c r="AB5" i="476" s="1"/>
  <c r="Z12" i="476"/>
  <c r="Z11" i="476"/>
  <c r="W9" i="476"/>
  <c r="AA9" i="476" s="1"/>
  <c r="W12" i="476"/>
  <c r="AA12" i="476" s="1"/>
  <c r="W8" i="477"/>
  <c r="AA8" i="477" s="1"/>
  <c r="W6" i="477"/>
  <c r="AA6" i="477" s="1"/>
  <c r="Z11" i="477"/>
  <c r="Y6" i="477"/>
  <c r="AC6" i="477" s="1"/>
  <c r="X6" i="477"/>
  <c r="AB6" i="477" s="1"/>
  <c r="Z9" i="477"/>
  <c r="Z12" i="477"/>
  <c r="Y7" i="477"/>
  <c r="AC7" i="477" s="1"/>
  <c r="X7" i="477"/>
  <c r="AB7" i="477" s="1"/>
  <c r="W12" i="477"/>
  <c r="AA12" i="477" s="1"/>
  <c r="Z8" i="477"/>
  <c r="Z10" i="477"/>
  <c r="Y10" i="477"/>
  <c r="AC10" i="477" s="1"/>
  <c r="X10" i="477"/>
  <c r="AB10" i="477" s="1"/>
  <c r="X9" i="477"/>
  <c r="AB9" i="477" s="1"/>
  <c r="Y9" i="477"/>
  <c r="AC9" i="477" s="1"/>
  <c r="W7" i="477"/>
  <c r="AA7" i="477" s="1"/>
  <c r="W10" i="477"/>
  <c r="AA10" i="477" s="1"/>
  <c r="Z5" i="477"/>
  <c r="X11" i="477"/>
  <c r="AB11" i="477" s="1"/>
  <c r="Y11" i="477"/>
  <c r="AC11" i="477" s="1"/>
  <c r="W11" i="477"/>
  <c r="AA11" i="477" s="1"/>
  <c r="Y8" i="477"/>
  <c r="AC8" i="477" s="1"/>
  <c r="X8" i="477"/>
  <c r="AB8" i="477" s="1"/>
  <c r="Z6" i="477"/>
  <c r="Z7" i="477"/>
  <c r="X12" i="477"/>
  <c r="AB12" i="477" s="1"/>
  <c r="Y12" i="477"/>
  <c r="AC12" i="477" s="1"/>
  <c r="X5" i="477"/>
  <c r="AB5" i="477" s="1"/>
  <c r="Y5" i="477"/>
  <c r="AC5" i="477" s="1"/>
  <c r="W9" i="477"/>
  <c r="AA9" i="477" s="1"/>
  <c r="AD13" i="475" l="1"/>
  <c r="AL6" i="475" s="1"/>
  <c r="AL8" i="475" s="1"/>
  <c r="AL10" i="475" s="1"/>
  <c r="AL12" i="475" s="1"/>
  <c r="AA13" i="476"/>
  <c r="AD6" i="476"/>
  <c r="AD10" i="476"/>
  <c r="AB13" i="476"/>
  <c r="AD5" i="476"/>
  <c r="AD7" i="476"/>
  <c r="AD11" i="476"/>
  <c r="AC13" i="476"/>
  <c r="Z13" i="476"/>
  <c r="AD9" i="476"/>
  <c r="AD12" i="476"/>
  <c r="AD8" i="476"/>
  <c r="AA13" i="477"/>
  <c r="AC13" i="477"/>
  <c r="AD7" i="477"/>
  <c r="AD12" i="477"/>
  <c r="AB13" i="477"/>
  <c r="AD5" i="477"/>
  <c r="AD8" i="477"/>
  <c r="AD6" i="477"/>
  <c r="Z13" i="477"/>
  <c r="AD10" i="477"/>
  <c r="AD9" i="477"/>
  <c r="AD11" i="477"/>
  <c r="AL15" i="475" l="1"/>
  <c r="AL16" i="475" s="1"/>
  <c r="AL14" i="475"/>
  <c r="AD13" i="476"/>
  <c r="AL6" i="476" s="1"/>
  <c r="AL15" i="476" s="1"/>
  <c r="AL16" i="476" s="1"/>
  <c r="AD13" i="477"/>
  <c r="AL6" i="477" s="1"/>
  <c r="AL14" i="477" l="1"/>
  <c r="AL15" i="477"/>
  <c r="AL16" i="477" s="1"/>
  <c r="AL14" i="476"/>
  <c r="AL8" i="476"/>
  <c r="AL10" i="476" s="1"/>
  <c r="AL12" i="476" s="1"/>
  <c r="AL8" i="477"/>
  <c r="AL10" i="477" l="1"/>
  <c r="AL12" i="477" s="1"/>
  <c r="E17" i="474"/>
  <c r="D17" i="474"/>
  <c r="C17" i="474"/>
  <c r="F4" i="473" l="1" a="1"/>
  <c r="F7" i="473" s="1"/>
  <c r="G7" i="473" s="1"/>
  <c r="F14" i="473" l="1"/>
  <c r="G14" i="473" s="1"/>
  <c r="F10" i="473"/>
  <c r="G10" i="473" s="1"/>
  <c r="F6" i="473"/>
  <c r="G6" i="473" s="1"/>
  <c r="F13" i="473"/>
  <c r="G13" i="473" s="1"/>
  <c r="F9" i="473"/>
  <c r="G9" i="473" s="1"/>
  <c r="F5" i="473"/>
  <c r="G5" i="473" s="1"/>
  <c r="F12" i="473"/>
  <c r="G12" i="473" s="1"/>
  <c r="F8" i="473"/>
  <c r="G8" i="473" s="1"/>
  <c r="F4" i="473"/>
  <c r="G4" i="473" s="1"/>
  <c r="F11" i="473"/>
  <c r="G11" i="473" s="1"/>
  <c r="J3" i="473" l="1"/>
  <c r="X7" i="468"/>
  <c r="Y7" i="468"/>
  <c r="X8" i="468"/>
  <c r="Y8" i="468"/>
  <c r="Y6" i="468"/>
  <c r="X6" i="468"/>
  <c r="J6" i="473" l="1"/>
  <c r="O8" i="473"/>
  <c r="D16" i="472"/>
  <c r="C16" i="472"/>
  <c r="I29" i="290"/>
  <c r="U39" i="290"/>
  <c r="Z11" i="290" s="1"/>
  <c r="R39" i="290"/>
  <c r="S39" i="290"/>
  <c r="T39" i="290"/>
  <c r="Q39" i="290"/>
  <c r="U38" i="290"/>
  <c r="R38" i="290"/>
  <c r="S38" i="290"/>
  <c r="T38" i="290"/>
  <c r="Q38" i="290"/>
  <c r="U37" i="290"/>
  <c r="R37" i="290"/>
  <c r="S37" i="290"/>
  <c r="T37" i="290"/>
  <c r="Q37" i="290"/>
  <c r="U36" i="290"/>
  <c r="R36" i="290"/>
  <c r="S36" i="290"/>
  <c r="T36" i="290"/>
  <c r="Q36" i="290"/>
  <c r="U35" i="290"/>
  <c r="R35" i="290"/>
  <c r="S35" i="290"/>
  <c r="T35" i="290"/>
  <c r="Q35" i="290"/>
  <c r="U34" i="290"/>
  <c r="R34" i="290"/>
  <c r="S34" i="290"/>
  <c r="T34" i="290"/>
  <c r="Q34" i="290"/>
  <c r="U33" i="290"/>
  <c r="R33" i="290"/>
  <c r="S33" i="290"/>
  <c r="T33" i="290"/>
  <c r="Q33" i="290"/>
  <c r="U32" i="290"/>
  <c r="R32" i="290"/>
  <c r="S32" i="290"/>
  <c r="T32" i="290"/>
  <c r="Q32" i="290"/>
  <c r="U31" i="290"/>
  <c r="R31" i="290"/>
  <c r="S31" i="290"/>
  <c r="T31" i="290"/>
  <c r="Q31" i="290"/>
  <c r="P31" i="290"/>
  <c r="R30" i="290"/>
  <c r="S30" i="290"/>
  <c r="T30" i="290"/>
  <c r="Q30" i="290"/>
  <c r="U27" i="290"/>
  <c r="R27" i="290"/>
  <c r="S27" i="290"/>
  <c r="T27" i="290"/>
  <c r="Q27" i="290"/>
  <c r="U26" i="290"/>
  <c r="R26" i="290"/>
  <c r="S26" i="290"/>
  <c r="T26" i="290"/>
  <c r="Q26" i="290"/>
  <c r="U25" i="290"/>
  <c r="R25" i="290"/>
  <c r="S25" i="290"/>
  <c r="T25" i="290"/>
  <c r="Q25" i="290"/>
  <c r="U24" i="290"/>
  <c r="R24" i="290"/>
  <c r="S24" i="290"/>
  <c r="T24" i="290"/>
  <c r="Q24" i="290"/>
  <c r="U23" i="290"/>
  <c r="R23" i="290"/>
  <c r="S23" i="290"/>
  <c r="T23" i="290"/>
  <c r="Q23" i="290"/>
  <c r="U22" i="290"/>
  <c r="R22" i="290"/>
  <c r="S22" i="290"/>
  <c r="T22" i="290"/>
  <c r="Q22" i="290"/>
  <c r="U21" i="290"/>
  <c r="R21" i="290"/>
  <c r="S21" i="290"/>
  <c r="T21" i="290"/>
  <c r="Q21" i="290"/>
  <c r="U20" i="290"/>
  <c r="R20" i="290"/>
  <c r="S20" i="290"/>
  <c r="T20" i="290"/>
  <c r="Q20" i="290"/>
  <c r="U19" i="290"/>
  <c r="R19" i="290"/>
  <c r="S19" i="290"/>
  <c r="T19" i="290"/>
  <c r="Q19" i="290"/>
  <c r="P19" i="290"/>
  <c r="R18" i="290"/>
  <c r="S18" i="290"/>
  <c r="T18" i="290"/>
  <c r="Q18" i="290"/>
  <c r="U15" i="290"/>
  <c r="Y11" i="290" s="1"/>
  <c r="R15" i="290"/>
  <c r="S15" i="290"/>
  <c r="T15" i="290"/>
  <c r="Q15" i="290"/>
  <c r="U14" i="290"/>
  <c r="R14" i="290"/>
  <c r="S14" i="290"/>
  <c r="T14" i="290"/>
  <c r="Q14" i="290"/>
  <c r="U13" i="290"/>
  <c r="R13" i="290"/>
  <c r="S13" i="290"/>
  <c r="T13" i="290"/>
  <c r="Q13" i="290"/>
  <c r="U12" i="290"/>
  <c r="R12" i="290"/>
  <c r="S12" i="290"/>
  <c r="T12" i="290"/>
  <c r="Q12" i="290"/>
  <c r="U11" i="290"/>
  <c r="R11" i="290"/>
  <c r="S11" i="290"/>
  <c r="T11" i="290"/>
  <c r="Q11" i="290"/>
  <c r="U10" i="290"/>
  <c r="R10" i="290"/>
  <c r="S10" i="290"/>
  <c r="T10" i="290"/>
  <c r="Q10" i="290"/>
  <c r="U9" i="290"/>
  <c r="R9" i="290"/>
  <c r="S9" i="290"/>
  <c r="T9" i="290"/>
  <c r="Q9" i="290"/>
  <c r="U8" i="290"/>
  <c r="R8" i="290"/>
  <c r="S8" i="290"/>
  <c r="T8" i="290"/>
  <c r="Q8" i="290"/>
  <c r="U7" i="290"/>
  <c r="R7" i="290"/>
  <c r="S7" i="290"/>
  <c r="T7" i="290"/>
  <c r="Q7" i="290"/>
  <c r="P7" i="290"/>
  <c r="R6" i="290"/>
  <c r="S6" i="290"/>
  <c r="T6" i="290"/>
  <c r="Q6" i="290"/>
  <c r="X8" i="290" l="1"/>
  <c r="X7" i="290"/>
  <c r="Y8" i="290"/>
  <c r="Y7" i="290"/>
  <c r="AB16" i="290" s="1"/>
  <c r="X11" i="290"/>
  <c r="L34" i="290"/>
  <c r="L37" i="290" s="1"/>
  <c r="L38" i="290" s="1"/>
  <c r="AI7" i="465"/>
  <c r="AH7" i="465"/>
  <c r="AH9" i="465"/>
  <c r="AH10" i="465"/>
  <c r="AH8" i="465"/>
  <c r="AI9" i="465"/>
  <c r="AI10" i="465"/>
  <c r="AI8" i="465"/>
  <c r="E17" i="471"/>
  <c r="D17" i="471"/>
  <c r="C17" i="471"/>
  <c r="K16" i="471"/>
  <c r="J16" i="471"/>
  <c r="I16" i="471"/>
  <c r="H16" i="471"/>
  <c r="G16" i="471"/>
  <c r="K15" i="471"/>
  <c r="J15" i="471"/>
  <c r="I15" i="471"/>
  <c r="H15" i="471"/>
  <c r="G15" i="471"/>
  <c r="K14" i="471"/>
  <c r="J14" i="471"/>
  <c r="I14" i="471"/>
  <c r="H14" i="471"/>
  <c r="G14" i="471"/>
  <c r="K13" i="471"/>
  <c r="J13" i="471"/>
  <c r="I13" i="471"/>
  <c r="H13" i="471"/>
  <c r="G13" i="471"/>
  <c r="K12" i="471"/>
  <c r="J12" i="471"/>
  <c r="I12" i="471"/>
  <c r="H12" i="471"/>
  <c r="G12" i="471"/>
  <c r="K11" i="471"/>
  <c r="J11" i="471"/>
  <c r="I11" i="471"/>
  <c r="H11" i="471"/>
  <c r="G11" i="471"/>
  <c r="K10" i="471"/>
  <c r="J10" i="471"/>
  <c r="I10" i="471"/>
  <c r="H10" i="471"/>
  <c r="G10" i="471"/>
  <c r="K9" i="471"/>
  <c r="J9" i="471"/>
  <c r="I9" i="471"/>
  <c r="H9" i="471"/>
  <c r="G9" i="471"/>
  <c r="K8" i="471"/>
  <c r="J8" i="471"/>
  <c r="I8" i="471"/>
  <c r="H8" i="471"/>
  <c r="G8" i="471"/>
  <c r="K7" i="471"/>
  <c r="J7" i="471"/>
  <c r="I7" i="471"/>
  <c r="H7" i="471"/>
  <c r="G7" i="471"/>
  <c r="K6" i="471"/>
  <c r="J6" i="471"/>
  <c r="I6" i="471"/>
  <c r="H6" i="471"/>
  <c r="G6" i="471"/>
  <c r="K5" i="471"/>
  <c r="J5" i="471"/>
  <c r="I5" i="471"/>
  <c r="H5" i="471"/>
  <c r="G5" i="471"/>
  <c r="K4" i="471"/>
  <c r="N4" i="471" s="1"/>
  <c r="J4" i="471"/>
  <c r="M4" i="471" s="1"/>
  <c r="I4" i="471"/>
  <c r="O4" i="471" s="1"/>
  <c r="R4" i="471" s="1"/>
  <c r="H4" i="471"/>
  <c r="G4" i="471"/>
  <c r="G17" i="467"/>
  <c r="G16" i="467"/>
  <c r="X10" i="468"/>
  <c r="X11" i="468"/>
  <c r="X12" i="468"/>
  <c r="X13" i="468"/>
  <c r="X14" i="468"/>
  <c r="X15" i="468"/>
  <c r="H30" i="468" a="1"/>
  <c r="H22" i="468" a="1"/>
  <c r="E17" i="468"/>
  <c r="D17" i="468"/>
  <c r="C17" i="468"/>
  <c r="K16" i="468"/>
  <c r="J16" i="468"/>
  <c r="I16" i="468"/>
  <c r="H16" i="468"/>
  <c r="G16" i="468"/>
  <c r="K15" i="468"/>
  <c r="J15" i="468"/>
  <c r="I15" i="468"/>
  <c r="H15" i="468"/>
  <c r="G15" i="468"/>
  <c r="K14" i="468"/>
  <c r="J14" i="468"/>
  <c r="I14" i="468"/>
  <c r="H14" i="468"/>
  <c r="G14" i="468"/>
  <c r="K13" i="468"/>
  <c r="J13" i="468"/>
  <c r="I13" i="468"/>
  <c r="H13" i="468"/>
  <c r="G13" i="468"/>
  <c r="K12" i="468"/>
  <c r="J12" i="468"/>
  <c r="I12" i="468"/>
  <c r="H12" i="468"/>
  <c r="G12" i="468"/>
  <c r="K11" i="468"/>
  <c r="J11" i="468"/>
  <c r="I11" i="468"/>
  <c r="H11" i="468"/>
  <c r="G11" i="468"/>
  <c r="K10" i="468"/>
  <c r="J10" i="468"/>
  <c r="I10" i="468"/>
  <c r="H10" i="468"/>
  <c r="G10" i="468"/>
  <c r="K9" i="468"/>
  <c r="J9" i="468"/>
  <c r="I9" i="468"/>
  <c r="H9" i="468"/>
  <c r="G9" i="468"/>
  <c r="K8" i="468"/>
  <c r="J8" i="468"/>
  <c r="I8" i="468"/>
  <c r="H8" i="468"/>
  <c r="G8" i="468"/>
  <c r="K7" i="468"/>
  <c r="J7" i="468"/>
  <c r="I7" i="468"/>
  <c r="H7" i="468"/>
  <c r="G7" i="468"/>
  <c r="K6" i="468"/>
  <c r="J6" i="468"/>
  <c r="I6" i="468"/>
  <c r="H6" i="468"/>
  <c r="G6" i="468"/>
  <c r="K5" i="468"/>
  <c r="J5" i="468"/>
  <c r="I5" i="468"/>
  <c r="H5" i="468"/>
  <c r="G5" i="468"/>
  <c r="K4" i="468"/>
  <c r="J4" i="468"/>
  <c r="I4" i="468"/>
  <c r="O4" i="468" s="1"/>
  <c r="R4" i="468" s="1"/>
  <c r="H4" i="468"/>
  <c r="G4" i="468"/>
  <c r="H29" i="466" a="1"/>
  <c r="H29" i="466" s="1"/>
  <c r="H22" i="466" a="1"/>
  <c r="H23" i="466" s="1"/>
  <c r="L23" i="466" s="1"/>
  <c r="AF8" i="466"/>
  <c r="AG8" i="466"/>
  <c r="AF9" i="466"/>
  <c r="AG9" i="466"/>
  <c r="AF10" i="466"/>
  <c r="AG10" i="466"/>
  <c r="AG7" i="466"/>
  <c r="AF7" i="466"/>
  <c r="E17" i="466"/>
  <c r="D17" i="466"/>
  <c r="C17" i="466"/>
  <c r="K16" i="466"/>
  <c r="J16" i="466"/>
  <c r="I16" i="466"/>
  <c r="H16" i="466"/>
  <c r="G16" i="466"/>
  <c r="K15" i="466"/>
  <c r="J15" i="466"/>
  <c r="I15" i="466"/>
  <c r="H15" i="466"/>
  <c r="G15" i="466"/>
  <c r="K14" i="466"/>
  <c r="J14" i="466"/>
  <c r="I14" i="466"/>
  <c r="H14" i="466"/>
  <c r="G14" i="466"/>
  <c r="K13" i="466"/>
  <c r="J13" i="466"/>
  <c r="I13" i="466"/>
  <c r="H13" i="466"/>
  <c r="G13" i="466"/>
  <c r="K12" i="466"/>
  <c r="J12" i="466"/>
  <c r="I12" i="466"/>
  <c r="H12" i="466"/>
  <c r="G12" i="466"/>
  <c r="K11" i="466"/>
  <c r="J11" i="466"/>
  <c r="I11" i="466"/>
  <c r="H11" i="466"/>
  <c r="G11" i="466"/>
  <c r="K10" i="466"/>
  <c r="J10" i="466"/>
  <c r="I10" i="466"/>
  <c r="H10" i="466"/>
  <c r="G10" i="466"/>
  <c r="K9" i="466"/>
  <c r="J9" i="466"/>
  <c r="I9" i="466"/>
  <c r="H9" i="466"/>
  <c r="G9" i="466"/>
  <c r="K8" i="466"/>
  <c r="J8" i="466"/>
  <c r="I8" i="466"/>
  <c r="H8" i="466"/>
  <c r="G8" i="466"/>
  <c r="K7" i="466"/>
  <c r="J7" i="466"/>
  <c r="I7" i="466"/>
  <c r="H7" i="466"/>
  <c r="G7" i="466"/>
  <c r="K6" i="466"/>
  <c r="J6" i="466"/>
  <c r="I6" i="466"/>
  <c r="H6" i="466"/>
  <c r="G6" i="466"/>
  <c r="K5" i="466"/>
  <c r="J5" i="466"/>
  <c r="I5" i="466"/>
  <c r="H5" i="466"/>
  <c r="G5" i="466"/>
  <c r="K4" i="466"/>
  <c r="J4" i="466"/>
  <c r="I4" i="466"/>
  <c r="O4" i="466" s="1"/>
  <c r="R4" i="466" s="1"/>
  <c r="H4" i="466"/>
  <c r="G4" i="466"/>
  <c r="D98" i="463"/>
  <c r="D99" i="463"/>
  <c r="D100" i="463"/>
  <c r="D97" i="463"/>
  <c r="L39" i="290" l="1"/>
  <c r="L42" i="290" s="1"/>
  <c r="L40" i="290"/>
  <c r="AB17" i="290"/>
  <c r="L14" i="471"/>
  <c r="V14" i="471" s="1"/>
  <c r="Z7" i="290"/>
  <c r="Z8" i="290"/>
  <c r="L16" i="471"/>
  <c r="V16" i="471" s="1"/>
  <c r="X9" i="290"/>
  <c r="L13" i="468"/>
  <c r="V13" i="468" s="1"/>
  <c r="Q4" i="471"/>
  <c r="T4" i="471" s="1"/>
  <c r="L12" i="471"/>
  <c r="V12" i="471" s="1"/>
  <c r="Y9" i="290"/>
  <c r="L43" i="290"/>
  <c r="K17" i="471"/>
  <c r="H22" i="466"/>
  <c r="L22" i="466" s="1"/>
  <c r="G31" i="471" a="1"/>
  <c r="AB8" i="471"/>
  <c r="AJ7" i="465"/>
  <c r="AK7" i="465" s="1"/>
  <c r="AJ9" i="465"/>
  <c r="AK9" i="465" s="1"/>
  <c r="AJ8" i="465"/>
  <c r="P4" i="471"/>
  <c r="S4" i="471" s="1"/>
  <c r="P4" i="468"/>
  <c r="S4" i="468" s="1"/>
  <c r="M4" i="468"/>
  <c r="Q4" i="468"/>
  <c r="T4" i="468" s="1"/>
  <c r="N4" i="468"/>
  <c r="Q4" i="466"/>
  <c r="T4" i="466" s="1"/>
  <c r="N4" i="466"/>
  <c r="P4" i="466"/>
  <c r="S4" i="466" s="1"/>
  <c r="M4" i="466"/>
  <c r="X15" i="471"/>
  <c r="X11" i="471"/>
  <c r="X14" i="471"/>
  <c r="X12" i="471"/>
  <c r="J17" i="471"/>
  <c r="L5" i="471"/>
  <c r="L10" i="471"/>
  <c r="V10" i="471" s="1"/>
  <c r="L6" i="471"/>
  <c r="V6" i="471" s="1"/>
  <c r="L7" i="471"/>
  <c r="V7" i="471" s="1"/>
  <c r="L8" i="471"/>
  <c r="V8" i="471" s="1"/>
  <c r="L9" i="471"/>
  <c r="V9" i="471" s="1"/>
  <c r="L11" i="471"/>
  <c r="V11" i="471" s="1"/>
  <c r="L13" i="471"/>
  <c r="V13" i="471" s="1"/>
  <c r="L15" i="471"/>
  <c r="V15" i="471" s="1"/>
  <c r="I17" i="471"/>
  <c r="G23" i="471" a="1"/>
  <c r="N13" i="466"/>
  <c r="N8" i="468"/>
  <c r="N12" i="468"/>
  <c r="L11" i="468"/>
  <c r="V11" i="468" s="1"/>
  <c r="L16" i="468"/>
  <c r="V16" i="468" s="1"/>
  <c r="G31" i="468" a="1"/>
  <c r="G31" i="468" s="1"/>
  <c r="N6" i="468"/>
  <c r="L12" i="468"/>
  <c r="V12" i="468" s="1"/>
  <c r="N11" i="468"/>
  <c r="K17" i="468"/>
  <c r="G23" i="468" a="1"/>
  <c r="G24" i="468" s="1"/>
  <c r="M8" i="468"/>
  <c r="M10" i="468"/>
  <c r="M16" i="468"/>
  <c r="L10" i="468"/>
  <c r="V10" i="468" s="1"/>
  <c r="N14" i="468"/>
  <c r="N15" i="468"/>
  <c r="G30" i="466" a="1"/>
  <c r="G30" i="466" s="1"/>
  <c r="M14" i="468"/>
  <c r="N5" i="468"/>
  <c r="M5" i="468"/>
  <c r="L7" i="468"/>
  <c r="V7" i="468" s="1"/>
  <c r="L9" i="468"/>
  <c r="V9" i="468" s="1"/>
  <c r="L15" i="468"/>
  <c r="V15" i="468" s="1"/>
  <c r="M6" i="468"/>
  <c r="L6" i="468"/>
  <c r="V6" i="468" s="1"/>
  <c r="M9" i="468"/>
  <c r="M15" i="468"/>
  <c r="H23" i="468"/>
  <c r="H24" i="468"/>
  <c r="I17" i="468"/>
  <c r="L5" i="468"/>
  <c r="J17" i="468"/>
  <c r="M7" i="468"/>
  <c r="N7" i="468"/>
  <c r="H22" i="468"/>
  <c r="M12" i="468"/>
  <c r="H31" i="468"/>
  <c r="H30" i="468"/>
  <c r="L8" i="468"/>
  <c r="V8" i="468" s="1"/>
  <c r="N9" i="468"/>
  <c r="M11" i="468"/>
  <c r="N13" i="468"/>
  <c r="M13" i="468"/>
  <c r="L14" i="468"/>
  <c r="V14" i="468" s="1"/>
  <c r="H32" i="468"/>
  <c r="N10" i="468"/>
  <c r="N16" i="468"/>
  <c r="G23" i="466" a="1"/>
  <c r="G23" i="466" s="1"/>
  <c r="M16" i="466"/>
  <c r="N5" i="466"/>
  <c r="M9" i="466"/>
  <c r="M13" i="466"/>
  <c r="L15" i="466"/>
  <c r="V15" i="466" s="1"/>
  <c r="H31" i="466"/>
  <c r="H30" i="466"/>
  <c r="L30" i="466" s="1"/>
  <c r="H24" i="466"/>
  <c r="L24" i="466" s="1"/>
  <c r="M6" i="466"/>
  <c r="M10" i="466"/>
  <c r="M14" i="466"/>
  <c r="M5" i="466"/>
  <c r="N7" i="466"/>
  <c r="M8" i="466"/>
  <c r="N11" i="466"/>
  <c r="M12" i="466"/>
  <c r="N15" i="466"/>
  <c r="N9" i="466"/>
  <c r="M15" i="466"/>
  <c r="M11" i="466"/>
  <c r="M7" i="466"/>
  <c r="N16" i="466"/>
  <c r="N14" i="466"/>
  <c r="N12" i="466"/>
  <c r="N10" i="466"/>
  <c r="N8" i="466"/>
  <c r="N6" i="466"/>
  <c r="I17" i="466"/>
  <c r="L13" i="466"/>
  <c r="V13" i="466" s="1"/>
  <c r="L16" i="466"/>
  <c r="V16" i="466" s="1"/>
  <c r="AH10" i="466"/>
  <c r="AI10" i="466" s="1"/>
  <c r="AH8" i="466"/>
  <c r="AI8" i="466" s="1"/>
  <c r="AH7" i="466"/>
  <c r="AJ7" i="466" s="1"/>
  <c r="AH9" i="466"/>
  <c r="AI9" i="466" s="1"/>
  <c r="L12" i="466"/>
  <c r="V12" i="466" s="1"/>
  <c r="J17" i="466"/>
  <c r="L14" i="466"/>
  <c r="V14" i="466" s="1"/>
  <c r="L5" i="466"/>
  <c r="V5" i="466" s="1"/>
  <c r="AB8" i="466"/>
  <c r="L6" i="466"/>
  <c r="V6" i="466" s="1"/>
  <c r="K17" i="466"/>
  <c r="L7" i="466"/>
  <c r="V7" i="466" s="1"/>
  <c r="L8" i="466"/>
  <c r="V8" i="466" s="1"/>
  <c r="L9" i="466"/>
  <c r="V9" i="466" s="1"/>
  <c r="L10" i="466"/>
  <c r="V10" i="466" s="1"/>
  <c r="L11" i="466"/>
  <c r="V11" i="466" s="1"/>
  <c r="O6" i="468" l="1"/>
  <c r="Q6" i="468" s="1"/>
  <c r="O14" i="468"/>
  <c r="Q14" i="468" s="1"/>
  <c r="T14" i="468" s="1"/>
  <c r="G31" i="466"/>
  <c r="Z9" i="290"/>
  <c r="AB20" i="290" s="1"/>
  <c r="H22" i="471" a="1"/>
  <c r="H22" i="471" s="1"/>
  <c r="L22" i="471" s="1"/>
  <c r="H30" i="471" a="1"/>
  <c r="H31" i="471" s="1"/>
  <c r="L31" i="471" s="1"/>
  <c r="O8" i="468"/>
  <c r="P8" i="468" s="1"/>
  <c r="S8" i="468" s="1"/>
  <c r="G32" i="468"/>
  <c r="G32" i="471"/>
  <c r="G31" i="471"/>
  <c r="AL7" i="465"/>
  <c r="AL8" i="465"/>
  <c r="AK8" i="465"/>
  <c r="AJ10" i="465"/>
  <c r="AK10" i="465" s="1"/>
  <c r="AL9" i="465"/>
  <c r="M10" i="471"/>
  <c r="M13" i="471"/>
  <c r="N16" i="471"/>
  <c r="N8" i="471"/>
  <c r="M7" i="471"/>
  <c r="M6" i="471"/>
  <c r="M14" i="471"/>
  <c r="N12" i="471"/>
  <c r="M5" i="471"/>
  <c r="M15" i="471"/>
  <c r="M12" i="471"/>
  <c r="M11" i="471"/>
  <c r="M8" i="471"/>
  <c r="N14" i="471"/>
  <c r="N11" i="471"/>
  <c r="N7" i="471"/>
  <c r="N15" i="471"/>
  <c r="N6" i="471"/>
  <c r="M16" i="471"/>
  <c r="N13" i="471"/>
  <c r="N9" i="471"/>
  <c r="M9" i="471"/>
  <c r="X10" i="471"/>
  <c r="N10" i="471"/>
  <c r="X13" i="471"/>
  <c r="N5" i="471"/>
  <c r="V5" i="471"/>
  <c r="V17" i="471" s="1"/>
  <c r="L17" i="471"/>
  <c r="G23" i="471"/>
  <c r="G24" i="471"/>
  <c r="O15" i="468"/>
  <c r="Q15" i="468" s="1"/>
  <c r="T15" i="468" s="1"/>
  <c r="O13" i="466"/>
  <c r="R13" i="466" s="1"/>
  <c r="G23" i="468"/>
  <c r="O5" i="468"/>
  <c r="R5" i="468" s="1"/>
  <c r="P14" i="468"/>
  <c r="S14" i="468" s="1"/>
  <c r="T6" i="468"/>
  <c r="O9" i="468"/>
  <c r="R9" i="468" s="1"/>
  <c r="V17" i="466"/>
  <c r="AJ10" i="466"/>
  <c r="L30" i="468"/>
  <c r="L24" i="468"/>
  <c r="L32" i="468"/>
  <c r="O11" i="468"/>
  <c r="L31" i="468"/>
  <c r="O12" i="468"/>
  <c r="P12" i="468" s="1"/>
  <c r="S12" i="468" s="1"/>
  <c r="L23" i="468"/>
  <c r="O7" i="468"/>
  <c r="Q7" i="468" s="1"/>
  <c r="T7" i="468" s="1"/>
  <c r="V5" i="468"/>
  <c r="L17" i="468"/>
  <c r="O16" i="468"/>
  <c r="Q16" i="468" s="1"/>
  <c r="T16" i="468" s="1"/>
  <c r="O13" i="468"/>
  <c r="Q13" i="468" s="1"/>
  <c r="T13" i="468" s="1"/>
  <c r="R6" i="468"/>
  <c r="P6" i="468"/>
  <c r="L22" i="468"/>
  <c r="O10" i="468"/>
  <c r="G24" i="466"/>
  <c r="AJ8" i="466"/>
  <c r="AI7" i="466"/>
  <c r="AJ9" i="466"/>
  <c r="L31" i="466"/>
  <c r="O14" i="466"/>
  <c r="L29" i="466"/>
  <c r="O8" i="466"/>
  <c r="O9" i="466"/>
  <c r="O11" i="466"/>
  <c r="O6" i="466"/>
  <c r="L17" i="466"/>
  <c r="O16" i="466"/>
  <c r="H6" i="463"/>
  <c r="R14" i="468" l="1"/>
  <c r="Q5" i="468"/>
  <c r="T5" i="468" s="1"/>
  <c r="R15" i="468"/>
  <c r="O14" i="471"/>
  <c r="P14" i="471" s="1"/>
  <c r="S14" i="471" s="1"/>
  <c r="H24" i="471"/>
  <c r="L24" i="471" s="1"/>
  <c r="H23" i="471"/>
  <c r="L23" i="471" s="1"/>
  <c r="AB29" i="290"/>
  <c r="R8" i="468"/>
  <c r="Q8" i="468"/>
  <c r="T8" i="468" s="1"/>
  <c r="H30" i="471"/>
  <c r="L30" i="471" s="1"/>
  <c r="Y18" i="290"/>
  <c r="Y16" i="290"/>
  <c r="Y17" i="290"/>
  <c r="Y13" i="290"/>
  <c r="AB18" i="290" s="1"/>
  <c r="AA8" i="290"/>
  <c r="AB8" i="290" s="1"/>
  <c r="AC8" i="290" s="1"/>
  <c r="AA7" i="290"/>
  <c r="AB7" i="290" s="1"/>
  <c r="AC7" i="290" s="1"/>
  <c r="H32" i="471"/>
  <c r="L32" i="471" s="1"/>
  <c r="V17" i="468"/>
  <c r="AB4" i="471"/>
  <c r="AL10" i="465"/>
  <c r="O13" i="471"/>
  <c r="O12" i="471"/>
  <c r="O16" i="471"/>
  <c r="O9" i="471"/>
  <c r="O6" i="471"/>
  <c r="O11" i="471"/>
  <c r="O15" i="471"/>
  <c r="O8" i="471"/>
  <c r="O10" i="471"/>
  <c r="O7" i="471"/>
  <c r="O5" i="471"/>
  <c r="P13" i="466"/>
  <c r="S13" i="466" s="1"/>
  <c r="Q13" i="466"/>
  <c r="T13" i="466" s="1"/>
  <c r="Q9" i="468"/>
  <c r="T9" i="468" s="1"/>
  <c r="P5" i="468"/>
  <c r="P15" i="468"/>
  <c r="S15" i="468" s="1"/>
  <c r="P9" i="468"/>
  <c r="S9" i="468" s="1"/>
  <c r="P7" i="468"/>
  <c r="S7" i="468" s="1"/>
  <c r="AB4" i="466"/>
  <c r="U14" i="468"/>
  <c r="P16" i="466"/>
  <c r="S16" i="466" s="1"/>
  <c r="P11" i="466"/>
  <c r="S11" i="466" s="1"/>
  <c r="Q14" i="466"/>
  <c r="T14" i="466" s="1"/>
  <c r="P8" i="466"/>
  <c r="S8" i="466" s="1"/>
  <c r="R11" i="468"/>
  <c r="Q11" i="468"/>
  <c r="T11" i="468" s="1"/>
  <c r="R10" i="468"/>
  <c r="P10" i="468"/>
  <c r="S10" i="468" s="1"/>
  <c r="S6" i="468"/>
  <c r="U6" i="468"/>
  <c r="Q10" i="468"/>
  <c r="T10" i="468" s="1"/>
  <c r="R13" i="468"/>
  <c r="R16" i="468"/>
  <c r="P16" i="468"/>
  <c r="S16" i="468" s="1"/>
  <c r="R7" i="468"/>
  <c r="R12" i="468"/>
  <c r="Q12" i="468"/>
  <c r="T12" i="468" s="1"/>
  <c r="P13" i="468"/>
  <c r="S13" i="468" s="1"/>
  <c r="P11" i="468"/>
  <c r="S11" i="468" s="1"/>
  <c r="P14" i="466"/>
  <c r="S14" i="466" s="1"/>
  <c r="Q6" i="466"/>
  <c r="T6" i="466" s="1"/>
  <c r="R6" i="466"/>
  <c r="R9" i="466"/>
  <c r="Q9" i="466"/>
  <c r="T9" i="466" s="1"/>
  <c r="O5" i="466"/>
  <c r="R16" i="466"/>
  <c r="P6" i="466"/>
  <c r="S6" i="466" s="1"/>
  <c r="P9" i="466"/>
  <c r="S9" i="466" s="1"/>
  <c r="R14" i="466"/>
  <c r="Q16" i="466"/>
  <c r="T16" i="466" s="1"/>
  <c r="O7" i="466"/>
  <c r="O12" i="466"/>
  <c r="O10" i="466"/>
  <c r="R11" i="466"/>
  <c r="Q11" i="466"/>
  <c r="T11" i="466" s="1"/>
  <c r="O15" i="466"/>
  <c r="R8" i="466"/>
  <c r="Q8" i="466"/>
  <c r="T8" i="466" s="1"/>
  <c r="E17" i="467"/>
  <c r="D17" i="467"/>
  <c r="C17" i="467"/>
  <c r="U5" i="468" l="1"/>
  <c r="R14" i="471"/>
  <c r="Q14" i="471"/>
  <c r="T14" i="471" s="1"/>
  <c r="S5" i="468"/>
  <c r="U8" i="468"/>
  <c r="Y19" i="290"/>
  <c r="Y20" i="290" s="1"/>
  <c r="AB19" i="290"/>
  <c r="AB21" i="290" s="1"/>
  <c r="AB22" i="290" s="1"/>
  <c r="Q7" i="471"/>
  <c r="T7" i="471" s="1"/>
  <c r="R11" i="471"/>
  <c r="P12" i="471"/>
  <c r="S12" i="471" s="1"/>
  <c r="Q10" i="471"/>
  <c r="T10" i="471" s="1"/>
  <c r="R6" i="471"/>
  <c r="P13" i="471"/>
  <c r="S13" i="471" s="1"/>
  <c r="R9" i="471"/>
  <c r="R16" i="471"/>
  <c r="U9" i="468"/>
  <c r="U7" i="468"/>
  <c r="T17" i="468"/>
  <c r="U13" i="466"/>
  <c r="R13" i="471"/>
  <c r="Q13" i="471"/>
  <c r="T13" i="471" s="1"/>
  <c r="Q12" i="471"/>
  <c r="T12" i="471" s="1"/>
  <c r="R12" i="471"/>
  <c r="P9" i="471"/>
  <c r="S9" i="471" s="1"/>
  <c r="Q16" i="471"/>
  <c r="T16" i="471" s="1"/>
  <c r="P16" i="471"/>
  <c r="S16" i="471" s="1"/>
  <c r="Q9" i="471"/>
  <c r="T9" i="471" s="1"/>
  <c r="P7" i="471"/>
  <c r="S7" i="471" s="1"/>
  <c r="R15" i="471"/>
  <c r="P15" i="471"/>
  <c r="P6" i="471"/>
  <c r="Q11" i="471"/>
  <c r="T11" i="471" s="1"/>
  <c r="Q15" i="471"/>
  <c r="T15" i="471" s="1"/>
  <c r="P11" i="471"/>
  <c r="Q6" i="471"/>
  <c r="T6" i="471" s="1"/>
  <c r="Q8" i="471"/>
  <c r="T8" i="471" s="1"/>
  <c r="R8" i="471"/>
  <c r="P8" i="471"/>
  <c r="R7" i="471"/>
  <c r="P5" i="471"/>
  <c r="S5" i="471" s="1"/>
  <c r="R5" i="471"/>
  <c r="R10" i="471"/>
  <c r="P10" i="471"/>
  <c r="Q5" i="471"/>
  <c r="T5" i="471" s="1"/>
  <c r="U15" i="468"/>
  <c r="U14" i="466"/>
  <c r="U6" i="466"/>
  <c r="U11" i="466"/>
  <c r="U9" i="466"/>
  <c r="P15" i="466"/>
  <c r="S15" i="466" s="1"/>
  <c r="U16" i="466"/>
  <c r="U8" i="466"/>
  <c r="U10" i="468"/>
  <c r="R17" i="468"/>
  <c r="U13" i="468"/>
  <c r="S17" i="468"/>
  <c r="U12" i="468"/>
  <c r="U16" i="468"/>
  <c r="U11" i="468"/>
  <c r="Q15" i="466"/>
  <c r="T15" i="466" s="1"/>
  <c r="R10" i="466"/>
  <c r="Q10" i="466"/>
  <c r="T10" i="466" s="1"/>
  <c r="R12" i="466"/>
  <c r="P12" i="466"/>
  <c r="S12" i="466" s="1"/>
  <c r="R7" i="466"/>
  <c r="P7" i="466"/>
  <c r="S7" i="466" s="1"/>
  <c r="R5" i="466"/>
  <c r="Q5" i="466"/>
  <c r="T5" i="466" s="1"/>
  <c r="P10" i="466"/>
  <c r="S10" i="466" s="1"/>
  <c r="Q12" i="466"/>
  <c r="T12" i="466" s="1"/>
  <c r="P5" i="466"/>
  <c r="S5" i="466" s="1"/>
  <c r="R15" i="466"/>
  <c r="Q7" i="466"/>
  <c r="T7" i="466" s="1"/>
  <c r="G6" i="465"/>
  <c r="H6" i="465"/>
  <c r="I6" i="465"/>
  <c r="J6" i="465"/>
  <c r="K6" i="465"/>
  <c r="G7" i="465"/>
  <c r="H7" i="465"/>
  <c r="I7" i="465"/>
  <c r="J7" i="465"/>
  <c r="K7" i="465"/>
  <c r="G8" i="465"/>
  <c r="H8" i="465"/>
  <c r="I8" i="465"/>
  <c r="J8" i="465"/>
  <c r="K8" i="465"/>
  <c r="G9" i="465"/>
  <c r="H9" i="465"/>
  <c r="I9" i="465"/>
  <c r="G10" i="465"/>
  <c r="H10" i="465"/>
  <c r="I10" i="465"/>
  <c r="J10" i="465"/>
  <c r="K10" i="465"/>
  <c r="G11" i="465"/>
  <c r="H11" i="465"/>
  <c r="I11" i="465"/>
  <c r="J11" i="465"/>
  <c r="K11" i="465"/>
  <c r="G12" i="465"/>
  <c r="H12" i="465"/>
  <c r="I12" i="465"/>
  <c r="J12" i="465"/>
  <c r="K12" i="465"/>
  <c r="G13" i="465"/>
  <c r="H13" i="465"/>
  <c r="I13" i="465"/>
  <c r="J13" i="465"/>
  <c r="K13" i="465"/>
  <c r="G14" i="465"/>
  <c r="H14" i="465"/>
  <c r="I14" i="465"/>
  <c r="J14" i="465"/>
  <c r="K14" i="465"/>
  <c r="G15" i="465"/>
  <c r="H15" i="465"/>
  <c r="I15" i="465"/>
  <c r="G16" i="465"/>
  <c r="H16" i="465"/>
  <c r="I16" i="465"/>
  <c r="J16" i="465"/>
  <c r="K16" i="465"/>
  <c r="H5" i="465"/>
  <c r="I5" i="465"/>
  <c r="J5" i="465"/>
  <c r="K5" i="465"/>
  <c r="G5" i="465"/>
  <c r="H4" i="465"/>
  <c r="I4" i="465"/>
  <c r="O4" i="465" s="1"/>
  <c r="R4" i="465" s="1"/>
  <c r="J4" i="465"/>
  <c r="K4" i="465"/>
  <c r="G4" i="465"/>
  <c r="E17" i="465"/>
  <c r="D17" i="465"/>
  <c r="C17" i="465"/>
  <c r="AB23" i="290" l="1"/>
  <c r="AB24" i="290"/>
  <c r="U14" i="471"/>
  <c r="AB8" i="465"/>
  <c r="U5" i="471"/>
  <c r="U8" i="471"/>
  <c r="U11" i="471"/>
  <c r="U15" i="471"/>
  <c r="U7" i="471"/>
  <c r="U10" i="471"/>
  <c r="U6" i="471"/>
  <c r="U13" i="471"/>
  <c r="U16" i="471"/>
  <c r="U9" i="471"/>
  <c r="U12" i="471"/>
  <c r="M12" i="465"/>
  <c r="N12" i="465"/>
  <c r="M6" i="465"/>
  <c r="N6" i="465"/>
  <c r="M15" i="465"/>
  <c r="N15" i="465"/>
  <c r="M11" i="465"/>
  <c r="N11" i="465"/>
  <c r="N9" i="465"/>
  <c r="M9" i="465"/>
  <c r="M16" i="465"/>
  <c r="N16" i="465"/>
  <c r="M14" i="465"/>
  <c r="N14" i="465"/>
  <c r="M10" i="465"/>
  <c r="N10" i="465"/>
  <c r="M8" i="465"/>
  <c r="N8" i="465"/>
  <c r="N13" i="465"/>
  <c r="M13" i="465"/>
  <c r="M7" i="465"/>
  <c r="N7" i="465"/>
  <c r="G23" i="465" a="1"/>
  <c r="G30" i="465" a="1"/>
  <c r="N5" i="465"/>
  <c r="M5" i="465"/>
  <c r="P4" i="465"/>
  <c r="S4" i="465" s="1"/>
  <c r="M4" i="465"/>
  <c r="Q4" i="465"/>
  <c r="T4" i="465" s="1"/>
  <c r="N4" i="465"/>
  <c r="S6" i="471"/>
  <c r="S15" i="471"/>
  <c r="S8" i="471"/>
  <c r="S11" i="471"/>
  <c r="T17" i="471"/>
  <c r="R17" i="471"/>
  <c r="S10" i="471"/>
  <c r="L11" i="465"/>
  <c r="V11" i="465" s="1"/>
  <c r="L15" i="465"/>
  <c r="V15" i="465" s="1"/>
  <c r="L7" i="465"/>
  <c r="V7" i="465" s="1"/>
  <c r="U5" i="466"/>
  <c r="U12" i="466"/>
  <c r="U7" i="466"/>
  <c r="U15" i="466"/>
  <c r="U10" i="466"/>
  <c r="L14" i="465"/>
  <c r="V14" i="465" s="1"/>
  <c r="L10" i="465"/>
  <c r="V10" i="465" s="1"/>
  <c r="L5" i="465"/>
  <c r="V5" i="465" s="1"/>
  <c r="L13" i="465"/>
  <c r="V13" i="465" s="1"/>
  <c r="L9" i="465"/>
  <c r="V9" i="465" s="1"/>
  <c r="U17" i="468"/>
  <c r="L6" i="465"/>
  <c r="V6" i="465" s="1"/>
  <c r="L16" i="465"/>
  <c r="V16" i="465" s="1"/>
  <c r="L12" i="465"/>
  <c r="V12" i="465" s="1"/>
  <c r="L8" i="465"/>
  <c r="V8" i="465" s="1"/>
  <c r="S17" i="466"/>
  <c r="T17" i="466"/>
  <c r="R17" i="466"/>
  <c r="J17" i="465"/>
  <c r="I17" i="465"/>
  <c r="K17" i="465"/>
  <c r="AB27" i="290" l="1"/>
  <c r="AB31" i="290" s="1"/>
  <c r="AB26" i="290"/>
  <c r="AB30" i="290" s="1"/>
  <c r="G30" i="465"/>
  <c r="G31" i="465"/>
  <c r="O5" i="465"/>
  <c r="Q5" i="465" s="1"/>
  <c r="G23" i="465"/>
  <c r="G24" i="465"/>
  <c r="U17" i="471"/>
  <c r="AB5" i="471" s="1"/>
  <c r="S17" i="471"/>
  <c r="O9" i="465"/>
  <c r="P9" i="465" s="1"/>
  <c r="S9" i="465" s="1"/>
  <c r="V17" i="465"/>
  <c r="O6" i="465"/>
  <c r="P6" i="465" s="1"/>
  <c r="S6" i="465" s="1"/>
  <c r="L17" i="465"/>
  <c r="O7" i="465"/>
  <c r="O15" i="465"/>
  <c r="O10" i="465"/>
  <c r="O16" i="465"/>
  <c r="O14" i="465"/>
  <c r="O13" i="465"/>
  <c r="U17" i="466"/>
  <c r="AB4" i="465" l="1"/>
  <c r="AB7" i="471"/>
  <c r="AB9" i="471" s="1"/>
  <c r="AB11" i="471" s="1"/>
  <c r="AB14" i="471"/>
  <c r="AB15" i="471" s="1"/>
  <c r="AB13" i="471"/>
  <c r="P5" i="465"/>
  <c r="S5" i="465" s="1"/>
  <c r="R5" i="465"/>
  <c r="R9" i="465"/>
  <c r="R6" i="465"/>
  <c r="Q9" i="465"/>
  <c r="T9" i="465" s="1"/>
  <c r="P16" i="465"/>
  <c r="S16" i="465" s="1"/>
  <c r="T5" i="465"/>
  <c r="P15" i="465"/>
  <c r="S15" i="465" s="1"/>
  <c r="Q6" i="465"/>
  <c r="T6" i="465" s="1"/>
  <c r="Q16" i="465"/>
  <c r="T16" i="465" s="1"/>
  <c r="Q13" i="465"/>
  <c r="T13" i="465" s="1"/>
  <c r="AB5" i="466"/>
  <c r="AB13" i="466" s="1"/>
  <c r="O11" i="465"/>
  <c r="Q10" i="465"/>
  <c r="T10" i="465" s="1"/>
  <c r="R10" i="465"/>
  <c r="P10" i="465"/>
  <c r="S10" i="465" s="1"/>
  <c r="R7" i="465"/>
  <c r="R13" i="465"/>
  <c r="P13" i="465"/>
  <c r="S13" i="465" s="1"/>
  <c r="Q7" i="465"/>
  <c r="T7" i="465" s="1"/>
  <c r="P7" i="465"/>
  <c r="S7" i="465" s="1"/>
  <c r="O12" i="465"/>
  <c r="O8" i="465"/>
  <c r="Q14" i="465"/>
  <c r="T14" i="465" s="1"/>
  <c r="R14" i="465"/>
  <c r="P14" i="465"/>
  <c r="S14" i="465" s="1"/>
  <c r="R16" i="465"/>
  <c r="R15" i="465"/>
  <c r="Q15" i="465"/>
  <c r="T15" i="465" s="1"/>
  <c r="U5" i="465" l="1"/>
  <c r="U9" i="465"/>
  <c r="U6" i="465"/>
  <c r="U14" i="465"/>
  <c r="U13" i="465"/>
  <c r="U16" i="465"/>
  <c r="U10" i="465"/>
  <c r="Q8" i="465"/>
  <c r="T8" i="465" s="1"/>
  <c r="Q12" i="465"/>
  <c r="T12" i="465" s="1"/>
  <c r="P11" i="465"/>
  <c r="S11" i="465" s="1"/>
  <c r="U15" i="465"/>
  <c r="U7" i="465"/>
  <c r="AB14" i="466"/>
  <c r="AB15" i="466" s="1"/>
  <c r="AB7" i="466"/>
  <c r="AB9" i="466" s="1"/>
  <c r="AB11" i="466" s="1"/>
  <c r="R11" i="465"/>
  <c r="Q11" i="465"/>
  <c r="T11" i="465" s="1"/>
  <c r="R12" i="465"/>
  <c r="P12" i="465"/>
  <c r="S12" i="465" s="1"/>
  <c r="R8" i="465"/>
  <c r="P8" i="465"/>
  <c r="S8" i="465" s="1"/>
  <c r="S17" i="465" l="1"/>
  <c r="T17" i="465"/>
  <c r="U12" i="465"/>
  <c r="U8" i="465"/>
  <c r="U11" i="465"/>
  <c r="R17" i="465"/>
  <c r="U17" i="465" l="1"/>
  <c r="AB5" i="465" s="1"/>
  <c r="AB7" i="465" l="1"/>
  <c r="AB9" i="465" s="1"/>
  <c r="AB11" i="465" s="1"/>
  <c r="AB14" i="465"/>
  <c r="AB15" i="465" s="1"/>
  <c r="AB13" i="465"/>
  <c r="Y86" i="463" l="1"/>
  <c r="I70" i="463"/>
  <c r="J70" i="463"/>
  <c r="K70" i="463"/>
  <c r="L70" i="463"/>
  <c r="H70" i="463"/>
  <c r="E72" i="463"/>
  <c r="K72" i="463" s="1"/>
  <c r="F72" i="463"/>
  <c r="L72" i="463" s="1"/>
  <c r="E73" i="463"/>
  <c r="K73" i="463" s="1"/>
  <c r="F73" i="463"/>
  <c r="E74" i="463"/>
  <c r="K74" i="463" s="1"/>
  <c r="F74" i="463"/>
  <c r="L74" i="463" s="1"/>
  <c r="E75" i="463"/>
  <c r="K75" i="463" s="1"/>
  <c r="F75" i="463"/>
  <c r="L75" i="463" s="1"/>
  <c r="E76" i="463"/>
  <c r="K76" i="463" s="1"/>
  <c r="F76" i="463"/>
  <c r="L76" i="463" s="1"/>
  <c r="E77" i="463"/>
  <c r="K77" i="463" s="1"/>
  <c r="F77" i="463"/>
  <c r="L77" i="463" s="1"/>
  <c r="E78" i="463"/>
  <c r="K78" i="463" s="1"/>
  <c r="F78" i="463"/>
  <c r="L78" i="463" s="1"/>
  <c r="E79" i="463"/>
  <c r="K79" i="463" s="1"/>
  <c r="F79" i="463"/>
  <c r="L79" i="463" s="1"/>
  <c r="E80" i="463"/>
  <c r="K80" i="463" s="1"/>
  <c r="F80" i="463"/>
  <c r="L80" i="463" s="1"/>
  <c r="E81" i="463"/>
  <c r="K81" i="463" s="1"/>
  <c r="F81" i="463"/>
  <c r="L81" i="463" s="1"/>
  <c r="E82" i="463"/>
  <c r="K82" i="463" s="1"/>
  <c r="F82" i="463"/>
  <c r="F71" i="463"/>
  <c r="L71" i="463" s="1"/>
  <c r="B72" i="463"/>
  <c r="C72" i="463"/>
  <c r="I72" i="463" s="1"/>
  <c r="B73" i="463"/>
  <c r="H73" i="463" s="1"/>
  <c r="C73" i="463"/>
  <c r="B74" i="463"/>
  <c r="H74" i="463" s="1"/>
  <c r="C74" i="463"/>
  <c r="I74" i="463" s="1"/>
  <c r="B75" i="463"/>
  <c r="C75" i="463"/>
  <c r="I75" i="463" s="1"/>
  <c r="B76" i="463"/>
  <c r="C76" i="463"/>
  <c r="I76" i="463" s="1"/>
  <c r="B77" i="463"/>
  <c r="H77" i="463" s="1"/>
  <c r="C77" i="463"/>
  <c r="B78" i="463"/>
  <c r="C78" i="463"/>
  <c r="I78" i="463" s="1"/>
  <c r="B79" i="463"/>
  <c r="C79" i="463"/>
  <c r="I79" i="463" s="1"/>
  <c r="B80" i="463"/>
  <c r="H80" i="463" s="1"/>
  <c r="C80" i="463"/>
  <c r="I80" i="463" s="1"/>
  <c r="B81" i="463"/>
  <c r="H81" i="463" s="1"/>
  <c r="C81" i="463"/>
  <c r="B82" i="463"/>
  <c r="H82" i="463" s="1"/>
  <c r="C82" i="463"/>
  <c r="I82" i="463" s="1"/>
  <c r="C71" i="463"/>
  <c r="B71" i="463"/>
  <c r="H71" i="463" s="1"/>
  <c r="E71" i="463"/>
  <c r="C51" i="463"/>
  <c r="D51" i="463"/>
  <c r="D50" i="463"/>
  <c r="C50" i="463"/>
  <c r="U44" i="463"/>
  <c r="C30" i="463"/>
  <c r="D30" i="463"/>
  <c r="C31" i="463"/>
  <c r="D31" i="463"/>
  <c r="C32" i="463"/>
  <c r="D32" i="463"/>
  <c r="C33" i="463"/>
  <c r="D33" i="463"/>
  <c r="C34" i="463"/>
  <c r="D34" i="463"/>
  <c r="D29" i="463"/>
  <c r="C29" i="463"/>
  <c r="V21" i="463"/>
  <c r="F6" i="463"/>
  <c r="G6" i="463"/>
  <c r="I6" i="463"/>
  <c r="J6" i="463" s="1"/>
  <c r="F7" i="463"/>
  <c r="G7" i="463"/>
  <c r="H7" i="463"/>
  <c r="I7" i="463"/>
  <c r="F8" i="463"/>
  <c r="G8" i="463"/>
  <c r="H8" i="463"/>
  <c r="I8" i="463"/>
  <c r="F9" i="463"/>
  <c r="G9" i="463"/>
  <c r="H9" i="463"/>
  <c r="I9" i="463"/>
  <c r="F10" i="463"/>
  <c r="G10" i="463"/>
  <c r="H10" i="463"/>
  <c r="I10" i="463"/>
  <c r="F11" i="463"/>
  <c r="G11" i="463"/>
  <c r="H11" i="463"/>
  <c r="I11" i="463"/>
  <c r="F12" i="463"/>
  <c r="G12" i="463"/>
  <c r="H12" i="463"/>
  <c r="I12" i="463"/>
  <c r="F13" i="463"/>
  <c r="G13" i="463"/>
  <c r="H13" i="463"/>
  <c r="I13" i="463"/>
  <c r="F14" i="463"/>
  <c r="G14" i="463"/>
  <c r="H14" i="463"/>
  <c r="I14" i="463"/>
  <c r="F15" i="463"/>
  <c r="G15" i="463"/>
  <c r="H15" i="463"/>
  <c r="I15" i="463"/>
  <c r="F16" i="463"/>
  <c r="G16" i="463"/>
  <c r="H16" i="463"/>
  <c r="I16" i="463"/>
  <c r="F17" i="463"/>
  <c r="G17" i="463"/>
  <c r="H17" i="463"/>
  <c r="I17" i="463"/>
  <c r="G5" i="463"/>
  <c r="H5" i="463"/>
  <c r="I5" i="463"/>
  <c r="F5" i="463"/>
  <c r="D16" i="463"/>
  <c r="C16" i="463"/>
  <c r="U21" i="462"/>
  <c r="F5" i="462"/>
  <c r="E5" i="462"/>
  <c r="AW7" i="462"/>
  <c r="AW8" i="462" s="1"/>
  <c r="AW9" i="462" s="1"/>
  <c r="AW10" i="462" s="1"/>
  <c r="AW11" i="462" s="1"/>
  <c r="AW12" i="462" s="1"/>
  <c r="AW13" i="462" s="1"/>
  <c r="AW14" i="462" s="1"/>
  <c r="AW15" i="462" s="1"/>
  <c r="AW16" i="462" s="1"/>
  <c r="AW17" i="462" s="1"/>
  <c r="AW18" i="462" s="1"/>
  <c r="AW19" i="462" s="1"/>
  <c r="AW20" i="462" s="1"/>
  <c r="AW21" i="462" s="1"/>
  <c r="AW22" i="462" s="1"/>
  <c r="AW23" i="462" s="1"/>
  <c r="AW24" i="462" s="1"/>
  <c r="AW25" i="462" s="1"/>
  <c r="AW26" i="462" s="1"/>
  <c r="AW27" i="462" s="1"/>
  <c r="AW28" i="462" s="1"/>
  <c r="AW29" i="462" s="1"/>
  <c r="AR7" i="462"/>
  <c r="AR8" i="462" s="1"/>
  <c r="AR9" i="462" s="1"/>
  <c r="AR10" i="462" s="1"/>
  <c r="AR11" i="462" s="1"/>
  <c r="AR12" i="462" s="1"/>
  <c r="AR13" i="462" s="1"/>
  <c r="AR14" i="462" s="1"/>
  <c r="AR15" i="462" s="1"/>
  <c r="AR16" i="462" s="1"/>
  <c r="AR17" i="462" s="1"/>
  <c r="AR18" i="462" s="1"/>
  <c r="AR19" i="462" s="1"/>
  <c r="AR20" i="462" s="1"/>
  <c r="AR21" i="462" s="1"/>
  <c r="AR22" i="462" s="1"/>
  <c r="AR23" i="462" s="1"/>
  <c r="AR24" i="462" s="1"/>
  <c r="AR25" i="462" s="1"/>
  <c r="AR26" i="462" s="1"/>
  <c r="AR27" i="462" s="1"/>
  <c r="AR28" i="462" s="1"/>
  <c r="AR29" i="462" s="1"/>
  <c r="AR30" i="462" s="1"/>
  <c r="T21" i="461"/>
  <c r="E6" i="461"/>
  <c r="T9" i="461" s="1"/>
  <c r="F6" i="461"/>
  <c r="G6" i="461"/>
  <c r="F7" i="461"/>
  <c r="G7" i="461"/>
  <c r="F8" i="461"/>
  <c r="G8" i="461"/>
  <c r="F9" i="461"/>
  <c r="G9" i="461"/>
  <c r="F10" i="461"/>
  <c r="G10" i="461"/>
  <c r="F11" i="461"/>
  <c r="G11" i="461"/>
  <c r="F12" i="461"/>
  <c r="G12" i="461"/>
  <c r="F13" i="461"/>
  <c r="G13" i="461"/>
  <c r="F14" i="461"/>
  <c r="G14" i="461"/>
  <c r="F15" i="461"/>
  <c r="G15" i="461"/>
  <c r="F5" i="461"/>
  <c r="G5" i="461"/>
  <c r="E5" i="461"/>
  <c r="E20" i="461" s="1" a="1"/>
  <c r="E20" i="461" s="1"/>
  <c r="C14" i="461"/>
  <c r="B14" i="461"/>
  <c r="A5" i="461"/>
  <c r="E7" i="461" s="1"/>
  <c r="F46" i="460" a="1"/>
  <c r="F47" i="460" s="1"/>
  <c r="J47" i="460" s="1"/>
  <c r="T48" i="460"/>
  <c r="E33" i="460"/>
  <c r="T36" i="460" s="1"/>
  <c r="F33" i="460"/>
  <c r="G33" i="460"/>
  <c r="F34" i="460"/>
  <c r="G34" i="460"/>
  <c r="F35" i="460"/>
  <c r="G35" i="460"/>
  <c r="F36" i="460"/>
  <c r="G36" i="460"/>
  <c r="F37" i="460"/>
  <c r="G37" i="460"/>
  <c r="F38" i="460"/>
  <c r="G38" i="460"/>
  <c r="F39" i="460"/>
  <c r="G39" i="460"/>
  <c r="F40" i="460"/>
  <c r="G40" i="460"/>
  <c r="F41" i="460"/>
  <c r="G41" i="460"/>
  <c r="F42" i="460"/>
  <c r="G42" i="460"/>
  <c r="F32" i="460"/>
  <c r="G32" i="460"/>
  <c r="E32" i="460"/>
  <c r="E47" i="460" s="1" a="1"/>
  <c r="E47" i="460" s="1"/>
  <c r="C41" i="460"/>
  <c r="B41" i="460"/>
  <c r="A32" i="460"/>
  <c r="A33" i="460" s="1"/>
  <c r="E35" i="460" s="1"/>
  <c r="J35" i="460" s="1"/>
  <c r="F19" i="460" a="1"/>
  <c r="F19" i="460" s="1"/>
  <c r="J19" i="460" s="1"/>
  <c r="T21" i="460"/>
  <c r="E6" i="460"/>
  <c r="T9" i="460" s="1"/>
  <c r="F6" i="460"/>
  <c r="G6" i="460"/>
  <c r="F7" i="460"/>
  <c r="G7" i="460"/>
  <c r="F8" i="460"/>
  <c r="G8" i="460"/>
  <c r="F9" i="460"/>
  <c r="G9" i="460"/>
  <c r="F10" i="460"/>
  <c r="G10" i="460"/>
  <c r="F11" i="460"/>
  <c r="G11" i="460"/>
  <c r="F12" i="460"/>
  <c r="G12" i="460"/>
  <c r="F13" i="460"/>
  <c r="G13" i="460"/>
  <c r="F14" i="460"/>
  <c r="G14" i="460"/>
  <c r="F15" i="460"/>
  <c r="G15" i="460"/>
  <c r="F5" i="460"/>
  <c r="G5" i="460"/>
  <c r="E5" i="460"/>
  <c r="E20" i="460" s="1" a="1"/>
  <c r="E20" i="460" s="1"/>
  <c r="C14" i="460"/>
  <c r="B14" i="460"/>
  <c r="A5" i="460"/>
  <c r="A6" i="460" s="1"/>
  <c r="AA24" i="215"/>
  <c r="AF11" i="215" s="1"/>
  <c r="X24" i="215"/>
  <c r="Y24" i="215"/>
  <c r="Z24" i="215"/>
  <c r="W24" i="215"/>
  <c r="AA23" i="215"/>
  <c r="X23" i="215"/>
  <c r="Y23" i="215"/>
  <c r="Z23" i="215"/>
  <c r="W23" i="215"/>
  <c r="V23" i="215"/>
  <c r="AA22" i="215"/>
  <c r="X22" i="215"/>
  <c r="Y22" i="215"/>
  <c r="Z22" i="215"/>
  <c r="W22" i="215"/>
  <c r="V22" i="215"/>
  <c r="AA21" i="215"/>
  <c r="X21" i="215"/>
  <c r="Y21" i="215"/>
  <c r="Z21" i="215"/>
  <c r="W21" i="215"/>
  <c r="V21" i="215"/>
  <c r="X20" i="215"/>
  <c r="Y20" i="215"/>
  <c r="Z20" i="215"/>
  <c r="W20" i="215"/>
  <c r="AA17" i="215"/>
  <c r="X17" i="215"/>
  <c r="Y17" i="215"/>
  <c r="Z17" i="215"/>
  <c r="W17" i="215"/>
  <c r="AA16" i="215"/>
  <c r="X16" i="215"/>
  <c r="Y16" i="215"/>
  <c r="Z16" i="215"/>
  <c r="W16" i="215"/>
  <c r="V16" i="215"/>
  <c r="AA15" i="215"/>
  <c r="X15" i="215"/>
  <c r="Y15" i="215"/>
  <c r="Z15" i="215"/>
  <c r="W15" i="215"/>
  <c r="V15" i="215"/>
  <c r="AA14" i="215"/>
  <c r="X14" i="215"/>
  <c r="Y14" i="215"/>
  <c r="Z14" i="215"/>
  <c r="W14" i="215"/>
  <c r="V14" i="215"/>
  <c r="X13" i="215"/>
  <c r="Y13" i="215"/>
  <c r="Z13" i="215"/>
  <c r="W13" i="215"/>
  <c r="AA10" i="215"/>
  <c r="AE11" i="215" s="1"/>
  <c r="X10" i="215"/>
  <c r="Y10" i="215"/>
  <c r="Z10" i="215"/>
  <c r="W10" i="215"/>
  <c r="AA9" i="215"/>
  <c r="X9" i="215"/>
  <c r="Y9" i="215"/>
  <c r="Z9" i="215"/>
  <c r="W9" i="215"/>
  <c r="V9" i="215"/>
  <c r="AA8" i="215"/>
  <c r="X8" i="215"/>
  <c r="Y8" i="215"/>
  <c r="Z8" i="215"/>
  <c r="W8" i="215"/>
  <c r="V8" i="215"/>
  <c r="AA7" i="215"/>
  <c r="X7" i="215"/>
  <c r="Y7" i="215"/>
  <c r="Z7" i="215"/>
  <c r="W7" i="215"/>
  <c r="V7" i="215"/>
  <c r="X6" i="215"/>
  <c r="Y6" i="215"/>
  <c r="Z6" i="215"/>
  <c r="W6" i="215"/>
  <c r="S7" i="463" a="1"/>
  <c r="S7" i="463" l="1"/>
  <c r="S8" i="463"/>
  <c r="S9" i="463"/>
  <c r="L82" i="463"/>
  <c r="V9" i="463"/>
  <c r="H15" i="460"/>
  <c r="I15" i="460" s="1"/>
  <c r="H11" i="460"/>
  <c r="I11" i="460" s="1"/>
  <c r="H9" i="460"/>
  <c r="I9" i="460" s="1"/>
  <c r="H7" i="460"/>
  <c r="I7" i="460" s="1"/>
  <c r="J6" i="460"/>
  <c r="H14" i="461"/>
  <c r="AE7" i="215"/>
  <c r="H9" i="461"/>
  <c r="I9" i="461" s="1"/>
  <c r="D76" i="463"/>
  <c r="J76" i="463" s="1"/>
  <c r="F46" i="460"/>
  <c r="J46" i="460" s="1"/>
  <c r="M81" i="463"/>
  <c r="N81" i="463" s="1"/>
  <c r="H87" i="463" a="1"/>
  <c r="H89" i="463" s="1"/>
  <c r="AE8" i="215"/>
  <c r="J15" i="463"/>
  <c r="K15" i="463" s="1"/>
  <c r="J13" i="463"/>
  <c r="K13" i="463" s="1"/>
  <c r="J11" i="463"/>
  <c r="K11" i="463" s="1"/>
  <c r="J9" i="463"/>
  <c r="K9" i="463" s="1"/>
  <c r="J7" i="463"/>
  <c r="K7" i="463" s="1"/>
  <c r="AD8" i="215"/>
  <c r="D75" i="463"/>
  <c r="J75" i="463" s="1"/>
  <c r="H14" i="460"/>
  <c r="I14" i="460" s="1"/>
  <c r="H10" i="460"/>
  <c r="I10" i="460" s="1"/>
  <c r="H8" i="460"/>
  <c r="I8" i="460" s="1"/>
  <c r="H6" i="460"/>
  <c r="I6" i="460" s="1"/>
  <c r="H18" i="463"/>
  <c r="AE8" i="463" s="1"/>
  <c r="G43" i="460"/>
  <c r="AA35" i="460" s="1"/>
  <c r="H41" i="460"/>
  <c r="I41" i="460" s="1"/>
  <c r="H39" i="460"/>
  <c r="I39" i="460" s="1"/>
  <c r="H37" i="460"/>
  <c r="I37" i="460" s="1"/>
  <c r="H35" i="460"/>
  <c r="I35" i="460" s="1"/>
  <c r="H13" i="461"/>
  <c r="I13" i="461" s="1"/>
  <c r="F22" i="463" a="1"/>
  <c r="F22" i="463" s="1"/>
  <c r="D71" i="463"/>
  <c r="J71" i="463" s="1"/>
  <c r="D79" i="463"/>
  <c r="J79" i="463" s="1"/>
  <c r="H42" i="460"/>
  <c r="I42" i="460" s="1"/>
  <c r="H40" i="460"/>
  <c r="I40" i="460" s="1"/>
  <c r="H36" i="460"/>
  <c r="I36" i="460" s="1"/>
  <c r="H6" i="461"/>
  <c r="I6" i="461" s="1"/>
  <c r="G16" i="461"/>
  <c r="AC8" i="461" s="1"/>
  <c r="H12" i="460"/>
  <c r="I12" i="460" s="1"/>
  <c r="G16" i="460"/>
  <c r="AA8" i="460" s="1"/>
  <c r="I14" i="461"/>
  <c r="H12" i="461"/>
  <c r="I12" i="461" s="1"/>
  <c r="H10" i="461"/>
  <c r="I10" i="461" s="1"/>
  <c r="D52" i="463"/>
  <c r="H79" i="463"/>
  <c r="H75" i="463"/>
  <c r="I71" i="463"/>
  <c r="AD7" i="215"/>
  <c r="H13" i="460"/>
  <c r="I13" i="460" s="1"/>
  <c r="H34" i="460"/>
  <c r="I34" i="460" s="1"/>
  <c r="J33" i="460"/>
  <c r="H15" i="461"/>
  <c r="I15" i="461" s="1"/>
  <c r="H7" i="461"/>
  <c r="I7" i="461" s="1"/>
  <c r="D82" i="463"/>
  <c r="M80" i="463"/>
  <c r="N80" i="463" s="1"/>
  <c r="M78" i="463"/>
  <c r="N78" i="463" s="1"/>
  <c r="M76" i="463"/>
  <c r="N76" i="463" s="1"/>
  <c r="M74" i="463"/>
  <c r="N74" i="463" s="1"/>
  <c r="M72" i="463"/>
  <c r="N72" i="463" s="1"/>
  <c r="I18" i="463"/>
  <c r="AF8" i="463" s="1"/>
  <c r="H11" i="461"/>
  <c r="I11" i="461" s="1"/>
  <c r="H8" i="461"/>
  <c r="I8" i="461" s="1"/>
  <c r="F16" i="461"/>
  <c r="J16" i="463"/>
  <c r="K16" i="463" s="1"/>
  <c r="J14" i="463"/>
  <c r="K14" i="463" s="1"/>
  <c r="J12" i="463"/>
  <c r="K12" i="463" s="1"/>
  <c r="J10" i="463"/>
  <c r="J8" i="463"/>
  <c r="K8" i="463" s="1"/>
  <c r="J17" i="463"/>
  <c r="K17" i="463" s="1"/>
  <c r="E83" i="463"/>
  <c r="K71" i="463"/>
  <c r="D80" i="463"/>
  <c r="J80" i="463" s="1"/>
  <c r="H78" i="463"/>
  <c r="D78" i="463"/>
  <c r="J78" i="463" s="1"/>
  <c r="D72" i="463"/>
  <c r="J72" i="463" s="1"/>
  <c r="F83" i="463"/>
  <c r="L73" i="463"/>
  <c r="H72" i="463"/>
  <c r="H38" i="460"/>
  <c r="I38" i="460" s="1"/>
  <c r="F43" i="460"/>
  <c r="H33" i="460"/>
  <c r="D74" i="463"/>
  <c r="J74" i="463" s="1"/>
  <c r="M79" i="463"/>
  <c r="N79" i="463" s="1"/>
  <c r="M75" i="463"/>
  <c r="M77" i="463"/>
  <c r="N77" i="463" s="1"/>
  <c r="H76" i="463"/>
  <c r="A7" i="460"/>
  <c r="E9" i="460" s="1"/>
  <c r="J9" i="460" s="1"/>
  <c r="E8" i="460"/>
  <c r="J8" i="460" s="1"/>
  <c r="E7" i="460"/>
  <c r="J7" i="460" s="1"/>
  <c r="F16" i="460"/>
  <c r="F20" i="460"/>
  <c r="J20" i="460" s="1"/>
  <c r="D81" i="463"/>
  <c r="D77" i="463"/>
  <c r="J77" i="463" s="1"/>
  <c r="D73" i="463"/>
  <c r="J73" i="463" s="1"/>
  <c r="I81" i="463"/>
  <c r="I77" i="463"/>
  <c r="I73" i="463"/>
  <c r="E34" i="460"/>
  <c r="J34" i="460" s="1"/>
  <c r="E16" i="462" a="1"/>
  <c r="K6" i="463"/>
  <c r="F56" i="463" a="1"/>
  <c r="F56" i="463" s="1"/>
  <c r="C52" i="463"/>
  <c r="F39" i="463" a="1"/>
  <c r="F39" i="463" s="1"/>
  <c r="D35" i="463"/>
  <c r="C35" i="463"/>
  <c r="A6" i="461"/>
  <c r="E8" i="461" s="1"/>
  <c r="A34" i="460"/>
  <c r="E36" i="460" s="1"/>
  <c r="J36" i="460" s="1"/>
  <c r="AD11" i="215"/>
  <c r="E97" i="463"/>
  <c r="E100" i="463"/>
  <c r="T96" i="463" a="1"/>
  <c r="H96" i="463" a="1"/>
  <c r="E99" i="463"/>
  <c r="Q96" i="463" a="1"/>
  <c r="E98" i="463"/>
  <c r="R100" i="463" l="1"/>
  <c r="R99" i="463"/>
  <c r="Q97" i="463"/>
  <c r="Q101" i="463"/>
  <c r="Q98" i="463"/>
  <c r="R96" i="463"/>
  <c r="R101" i="463"/>
  <c r="Q102" i="463"/>
  <c r="Q96" i="463"/>
  <c r="R98" i="463"/>
  <c r="R102" i="463"/>
  <c r="R97" i="463"/>
  <c r="Q99" i="463"/>
  <c r="Q100" i="463"/>
  <c r="I97" i="463"/>
  <c r="J98" i="463"/>
  <c r="M96" i="463"/>
  <c r="O97" i="463"/>
  <c r="K97" i="463"/>
  <c r="O96" i="463"/>
  <c r="H100" i="463"/>
  <c r="K100" i="463"/>
  <c r="K98" i="463"/>
  <c r="M99" i="463"/>
  <c r="I100" i="463"/>
  <c r="K99" i="463"/>
  <c r="I98" i="463"/>
  <c r="N96" i="463"/>
  <c r="I99" i="463"/>
  <c r="O100" i="463"/>
  <c r="L98" i="463"/>
  <c r="O99" i="463"/>
  <c r="L97" i="463"/>
  <c r="M100" i="463"/>
  <c r="J100" i="463"/>
  <c r="N97" i="463"/>
  <c r="L99" i="463"/>
  <c r="M97" i="463"/>
  <c r="H99" i="463"/>
  <c r="O98" i="463"/>
  <c r="H97" i="463"/>
  <c r="N98" i="463"/>
  <c r="K96" i="463"/>
  <c r="M98" i="463"/>
  <c r="N99" i="463"/>
  <c r="I96" i="463"/>
  <c r="H96" i="463"/>
  <c r="H98" i="463"/>
  <c r="J96" i="463"/>
  <c r="L96" i="463"/>
  <c r="J97" i="463"/>
  <c r="L100" i="463"/>
  <c r="J99" i="463"/>
  <c r="N100" i="463"/>
  <c r="T97" i="463"/>
  <c r="T96" i="463"/>
  <c r="U100" i="463"/>
  <c r="T99" i="463"/>
  <c r="U97" i="463"/>
  <c r="U98" i="463"/>
  <c r="T100" i="463"/>
  <c r="T98" i="463"/>
  <c r="U96" i="463"/>
  <c r="U99" i="463"/>
  <c r="M82" i="463"/>
  <c r="N82" i="463" s="1"/>
  <c r="J82" i="463"/>
  <c r="AE9" i="215"/>
  <c r="N7" i="460"/>
  <c r="M9" i="460"/>
  <c r="N8" i="460"/>
  <c r="AF7" i="215"/>
  <c r="N34" i="460"/>
  <c r="N6" i="460"/>
  <c r="M35" i="460"/>
  <c r="K35" i="460"/>
  <c r="Y74" i="463"/>
  <c r="AB83" i="463" s="1"/>
  <c r="AF8" i="215"/>
  <c r="N9" i="460"/>
  <c r="H88" i="463"/>
  <c r="H16" i="460"/>
  <c r="H87" i="463"/>
  <c r="A8" i="460"/>
  <c r="E10" i="460" s="1"/>
  <c r="J10" i="460" s="1"/>
  <c r="N10" i="460" s="1"/>
  <c r="M6" i="460"/>
  <c r="K6" i="460"/>
  <c r="L6" i="460" s="1"/>
  <c r="M8" i="460"/>
  <c r="K9" i="460"/>
  <c r="L9" i="460" s="1"/>
  <c r="O9" i="460" s="1"/>
  <c r="F23" i="463"/>
  <c r="K8" i="460"/>
  <c r="L8" i="460" s="1"/>
  <c r="O8" i="460" s="1"/>
  <c r="K34" i="460"/>
  <c r="L34" i="460" s="1"/>
  <c r="O34" i="460" s="1"/>
  <c r="T19" i="460"/>
  <c r="N35" i="460"/>
  <c r="T19" i="461"/>
  <c r="AD9" i="215"/>
  <c r="K7" i="460"/>
  <c r="L7" i="460" s="1"/>
  <c r="E16" i="462"/>
  <c r="E17" i="462"/>
  <c r="K83" i="463"/>
  <c r="M71" i="463"/>
  <c r="K10" i="463"/>
  <c r="J18" i="463"/>
  <c r="V5" i="463" s="1"/>
  <c r="AB8" i="461"/>
  <c r="AD8" i="461" s="1"/>
  <c r="V19" i="463"/>
  <c r="H43" i="460"/>
  <c r="T32" i="460" s="1"/>
  <c r="T46" i="460"/>
  <c r="K33" i="460"/>
  <c r="I33" i="460"/>
  <c r="M33" i="460" s="1"/>
  <c r="N33" i="460"/>
  <c r="N36" i="460"/>
  <c r="K36" i="460"/>
  <c r="L36" i="460" s="1"/>
  <c r="O36" i="460" s="1"/>
  <c r="M36" i="460"/>
  <c r="Z8" i="460"/>
  <c r="AB8" i="460" s="1"/>
  <c r="T5" i="460"/>
  <c r="N75" i="463"/>
  <c r="Z35" i="460"/>
  <c r="AB35" i="460" s="1"/>
  <c r="M34" i="460"/>
  <c r="H16" i="461"/>
  <c r="T5" i="461" s="1"/>
  <c r="M7" i="460"/>
  <c r="J81" i="463"/>
  <c r="M73" i="463"/>
  <c r="L83" i="463"/>
  <c r="AJ73" i="463" s="1"/>
  <c r="L6" i="463"/>
  <c r="L7" i="463"/>
  <c r="L9" i="463"/>
  <c r="L11" i="463"/>
  <c r="L13" i="463"/>
  <c r="L15" i="463"/>
  <c r="L17" i="463"/>
  <c r="G21" i="463" a="1"/>
  <c r="L10" i="463"/>
  <c r="P10" i="463" s="1"/>
  <c r="L8" i="463"/>
  <c r="L12" i="463"/>
  <c r="L16" i="463"/>
  <c r="L14" i="463"/>
  <c r="AG8" i="463"/>
  <c r="G35" i="463"/>
  <c r="I29" i="463"/>
  <c r="J29" i="463" s="1"/>
  <c r="H35" i="463"/>
  <c r="AD31" i="463" s="1"/>
  <c r="I30" i="463"/>
  <c r="I32" i="463"/>
  <c r="J32" i="463" s="1"/>
  <c r="I33" i="463"/>
  <c r="I34" i="463"/>
  <c r="J34" i="463" s="1"/>
  <c r="U32" i="463"/>
  <c r="X41" i="463" s="1"/>
  <c r="H52" i="463"/>
  <c r="AD52" i="463" s="1"/>
  <c r="U53" i="463"/>
  <c r="X62" i="463" s="1"/>
  <c r="I31" i="463"/>
  <c r="J31" i="463" s="1"/>
  <c r="G52" i="463"/>
  <c r="I50" i="463"/>
  <c r="J50" i="463" s="1"/>
  <c r="I51" i="463"/>
  <c r="J51" i="463" s="1"/>
  <c r="H12" i="462"/>
  <c r="AE8" i="462" s="1"/>
  <c r="I8" i="462"/>
  <c r="J8" i="462" s="1"/>
  <c r="I11" i="462"/>
  <c r="J11" i="462" s="1"/>
  <c r="I7" i="462"/>
  <c r="I10" i="462"/>
  <c r="J10" i="462" s="1"/>
  <c r="I6" i="462"/>
  <c r="G12" i="462"/>
  <c r="U9" i="462"/>
  <c r="I9" i="462"/>
  <c r="A7" i="461"/>
  <c r="E9" i="461" s="1"/>
  <c r="L35" i="460"/>
  <c r="O35" i="460" s="1"/>
  <c r="A35" i="460"/>
  <c r="E37" i="460" s="1"/>
  <c r="J37" i="460" s="1"/>
  <c r="AI7" i="463" a="1"/>
  <c r="V72" i="463" a="1"/>
  <c r="V74" i="463" l="1"/>
  <c r="V72" i="463"/>
  <c r="V73" i="463"/>
  <c r="V75" i="463"/>
  <c r="AI8" i="463"/>
  <c r="AJ9" i="463"/>
  <c r="AK10" i="463"/>
  <c r="AI12" i="463"/>
  <c r="AJ13" i="463"/>
  <c r="AK14" i="463"/>
  <c r="AI16" i="463"/>
  <c r="AJ17" i="463"/>
  <c r="AK18" i="463"/>
  <c r="AI7" i="463"/>
  <c r="AJ8" i="463"/>
  <c r="AK9" i="463"/>
  <c r="AI11" i="463"/>
  <c r="AJ12" i="463"/>
  <c r="AK13" i="463"/>
  <c r="AI15" i="463"/>
  <c r="AJ16" i="463"/>
  <c r="AK17" i="463"/>
  <c r="AJ7" i="463"/>
  <c r="AL7" i="463" s="1"/>
  <c r="AK8" i="463"/>
  <c r="AI10" i="463"/>
  <c r="AJ11" i="463"/>
  <c r="AK12" i="463"/>
  <c r="AI14" i="463"/>
  <c r="AJ15" i="463"/>
  <c r="AK16" i="463"/>
  <c r="AI18" i="463"/>
  <c r="AK7" i="463"/>
  <c r="AM7" i="463" s="1"/>
  <c r="AI9" i="463"/>
  <c r="AJ10" i="463"/>
  <c r="AK11" i="463"/>
  <c r="AI13" i="463"/>
  <c r="AJ14" i="463"/>
  <c r="AK15" i="463"/>
  <c r="AI17" i="463"/>
  <c r="AJ18" i="463"/>
  <c r="AF9" i="215"/>
  <c r="AG8" i="215" s="1"/>
  <c r="AH8" i="215" s="1"/>
  <c r="AI8" i="215" s="1"/>
  <c r="AE83" i="463"/>
  <c r="O6" i="460"/>
  <c r="A9" i="460"/>
  <c r="E11" i="460" s="1"/>
  <c r="J11" i="460" s="1"/>
  <c r="N11" i="460" s="1"/>
  <c r="M10" i="460"/>
  <c r="K10" i="460"/>
  <c r="L10" i="460" s="1"/>
  <c r="O10" i="460" s="1"/>
  <c r="F15" i="462" a="1"/>
  <c r="F15" i="462" s="1"/>
  <c r="J15" i="462" s="1"/>
  <c r="O7" i="460"/>
  <c r="O10" i="463"/>
  <c r="N37" i="460"/>
  <c r="M37" i="460"/>
  <c r="K37" i="460"/>
  <c r="L37" i="460" s="1"/>
  <c r="O37" i="460" s="1"/>
  <c r="G38" i="463" a="1"/>
  <c r="G39" i="463" s="1"/>
  <c r="K39" i="463" s="1"/>
  <c r="P8" i="463"/>
  <c r="O8" i="463"/>
  <c r="M8" i="463"/>
  <c r="N8" i="463" s="1"/>
  <c r="Q8" i="463" s="1"/>
  <c r="P15" i="463"/>
  <c r="O15" i="463"/>
  <c r="M15" i="463"/>
  <c r="N15" i="463" s="1"/>
  <c r="Q15" i="463" s="1"/>
  <c r="P7" i="463"/>
  <c r="O7" i="463"/>
  <c r="M7" i="463"/>
  <c r="N7" i="463" s="1"/>
  <c r="Q7" i="463" s="1"/>
  <c r="P14" i="463"/>
  <c r="O14" i="463"/>
  <c r="P13" i="463"/>
  <c r="O13" i="463"/>
  <c r="M13" i="463"/>
  <c r="N13" i="463" s="1"/>
  <c r="Q13" i="463" s="1"/>
  <c r="AF6" i="463"/>
  <c r="AF7" i="463" s="1"/>
  <c r="AF10" i="463" s="1"/>
  <c r="M6" i="463"/>
  <c r="AE6" i="463"/>
  <c r="P6" i="463"/>
  <c r="M83" i="463"/>
  <c r="Y70" i="463" s="1"/>
  <c r="Y84" i="463"/>
  <c r="G55" i="463" a="1"/>
  <c r="G55" i="463" s="1"/>
  <c r="K55" i="463" s="1"/>
  <c r="P16" i="463"/>
  <c r="O16" i="463"/>
  <c r="M16" i="463"/>
  <c r="N16" i="463" s="1"/>
  <c r="Q16" i="463" s="1"/>
  <c r="G21" i="463"/>
  <c r="K21" i="463" s="1"/>
  <c r="G22" i="463"/>
  <c r="K22" i="463" s="1"/>
  <c r="G23" i="463"/>
  <c r="K23" i="463" s="1"/>
  <c r="P11" i="463"/>
  <c r="M11" i="463"/>
  <c r="N11" i="463" s="1"/>
  <c r="Q11" i="463" s="1"/>
  <c r="O11" i="463"/>
  <c r="M14" i="463"/>
  <c r="N14" i="463" s="1"/>
  <c r="Q14" i="463" s="1"/>
  <c r="M10" i="463"/>
  <c r="N10" i="463" s="1"/>
  <c r="Q10" i="463" s="1"/>
  <c r="AI73" i="463"/>
  <c r="AK73" i="463" s="1"/>
  <c r="O6" i="463"/>
  <c r="P12" i="463"/>
  <c r="M12" i="463"/>
  <c r="N12" i="463" s="1"/>
  <c r="Q12" i="463" s="1"/>
  <c r="P17" i="463"/>
  <c r="M17" i="463"/>
  <c r="N17" i="463" s="1"/>
  <c r="Q17" i="463" s="1"/>
  <c r="P9" i="463"/>
  <c r="O9" i="463"/>
  <c r="M9" i="463"/>
  <c r="N9" i="463" s="1"/>
  <c r="Q9" i="463" s="1"/>
  <c r="N73" i="463"/>
  <c r="O17" i="463"/>
  <c r="O12" i="463"/>
  <c r="L33" i="460"/>
  <c r="N71" i="463"/>
  <c r="K34" i="463"/>
  <c r="K30" i="463"/>
  <c r="L30" i="463" s="1"/>
  <c r="M30" i="463" s="1"/>
  <c r="P30" i="463" s="1"/>
  <c r="K33" i="463"/>
  <c r="O33" i="463" s="1"/>
  <c r="K6" i="462"/>
  <c r="O6" i="462" s="1"/>
  <c r="K51" i="463"/>
  <c r="K8" i="462"/>
  <c r="O8" i="462" s="1"/>
  <c r="K9" i="462"/>
  <c r="O9" i="462" s="1"/>
  <c r="K10" i="462"/>
  <c r="N10" i="462" s="1"/>
  <c r="K7" i="462"/>
  <c r="K50" i="463"/>
  <c r="O50" i="463" s="1"/>
  <c r="K31" i="463"/>
  <c r="L31" i="463" s="1"/>
  <c r="M31" i="463" s="1"/>
  <c r="P31" i="463" s="1"/>
  <c r="K23" i="462"/>
  <c r="K24" i="462"/>
  <c r="K32" i="463"/>
  <c r="L32" i="463" s="1"/>
  <c r="M32" i="463" s="1"/>
  <c r="P32" i="463" s="1"/>
  <c r="K11" i="462"/>
  <c r="K29" i="463"/>
  <c r="O29" i="463" s="1"/>
  <c r="J33" i="463"/>
  <c r="AC52" i="463"/>
  <c r="I35" i="463"/>
  <c r="U28" i="463" s="1"/>
  <c r="U42" i="463"/>
  <c r="J30" i="463"/>
  <c r="AC31" i="463"/>
  <c r="I52" i="463"/>
  <c r="U49" i="463" s="1"/>
  <c r="I12" i="462"/>
  <c r="U5" i="462" s="1"/>
  <c r="U19" i="462"/>
  <c r="J9" i="462"/>
  <c r="AD8" i="462"/>
  <c r="J7" i="462"/>
  <c r="J6" i="462"/>
  <c r="A8" i="461"/>
  <c r="E10" i="461" s="1"/>
  <c r="A36" i="460"/>
  <c r="E38" i="460" s="1"/>
  <c r="J38" i="460" s="1"/>
  <c r="AG30" i="463" a="1"/>
  <c r="AH7" i="462" a="1"/>
  <c r="AG51" i="463" a="1"/>
  <c r="AI51" i="463" l="1"/>
  <c r="AK51" i="463" s="1"/>
  <c r="AH52" i="463"/>
  <c r="AG51" i="463"/>
  <c r="AI52" i="463"/>
  <c r="AH51" i="463"/>
  <c r="AJ51" i="463" s="1"/>
  <c r="AG52" i="463"/>
  <c r="AG31" i="463"/>
  <c r="AH32" i="463"/>
  <c r="AI33" i="463"/>
  <c r="AG35" i="463"/>
  <c r="AG30" i="463"/>
  <c r="AH31" i="463"/>
  <c r="AI32" i="463"/>
  <c r="AG34" i="463"/>
  <c r="AH35" i="463"/>
  <c r="AH30" i="463"/>
  <c r="AJ30" i="463" s="1"/>
  <c r="AI31" i="463"/>
  <c r="AG33" i="463"/>
  <c r="AH34" i="463"/>
  <c r="AI35" i="463"/>
  <c r="AI30" i="463"/>
  <c r="AK30" i="463" s="1"/>
  <c r="AG32" i="463"/>
  <c r="AH33" i="463"/>
  <c r="AI34" i="463"/>
  <c r="AJ7" i="462"/>
  <c r="AL7" i="462" s="1"/>
  <c r="AH9" i="462"/>
  <c r="AI10" i="462"/>
  <c r="AJ11" i="462"/>
  <c r="AH8" i="462"/>
  <c r="AI9" i="462"/>
  <c r="AJ10" i="462"/>
  <c r="AH12" i="462"/>
  <c r="AH7" i="462"/>
  <c r="AI8" i="462"/>
  <c r="AJ9" i="462"/>
  <c r="AH11" i="462"/>
  <c r="AI12" i="462"/>
  <c r="AI7" i="462"/>
  <c r="AK7" i="462" s="1"/>
  <c r="AJ8" i="462"/>
  <c r="AH10" i="462"/>
  <c r="AI11" i="462"/>
  <c r="AJ12" i="462"/>
  <c r="AG7" i="215"/>
  <c r="AH7" i="215" s="1"/>
  <c r="AI7" i="215" s="1"/>
  <c r="L11" i="462"/>
  <c r="M11" i="462" s="1"/>
  <c r="P11" i="462" s="1"/>
  <c r="O51" i="463"/>
  <c r="O52" i="463" s="1"/>
  <c r="N34" i="463"/>
  <c r="K11" i="460"/>
  <c r="L11" i="460" s="1"/>
  <c r="M11" i="460"/>
  <c r="A10" i="460"/>
  <c r="E12" i="460" s="1"/>
  <c r="J12" i="460" s="1"/>
  <c r="N12" i="460" s="1"/>
  <c r="F17" i="462"/>
  <c r="J17" i="462" s="1"/>
  <c r="L33" i="463"/>
  <c r="M33" i="463" s="1"/>
  <c r="P33" i="463" s="1"/>
  <c r="F16" i="462"/>
  <c r="J16" i="462" s="1"/>
  <c r="G56" i="463"/>
  <c r="K56" i="463" s="1"/>
  <c r="AL8" i="463"/>
  <c r="AL9" i="463" s="1"/>
  <c r="AL10" i="463" s="1"/>
  <c r="AM8" i="463"/>
  <c r="AM9" i="463" s="1"/>
  <c r="AM10" i="463" s="1"/>
  <c r="O33" i="460"/>
  <c r="P18" i="463"/>
  <c r="G38" i="463"/>
  <c r="K38" i="463" s="1"/>
  <c r="N38" i="460"/>
  <c r="K38" i="460"/>
  <c r="M38" i="460"/>
  <c r="AE10" i="463"/>
  <c r="AG6" i="463"/>
  <c r="AE7" i="463"/>
  <c r="AG7" i="463" s="1"/>
  <c r="AG10" i="463"/>
  <c r="O18" i="463"/>
  <c r="V6" i="463" s="1"/>
  <c r="M18" i="463"/>
  <c r="N6" i="463"/>
  <c r="I86" i="463" a="1"/>
  <c r="O71" i="463"/>
  <c r="O73" i="463"/>
  <c r="R73" i="463" s="1"/>
  <c r="O75" i="463"/>
  <c r="O77" i="463"/>
  <c r="O79" i="463"/>
  <c r="O81" i="463"/>
  <c r="O72" i="463"/>
  <c r="O80" i="463"/>
  <c r="O74" i="463"/>
  <c r="O82" i="463"/>
  <c r="O76" i="463"/>
  <c r="O78" i="463"/>
  <c r="L6" i="462"/>
  <c r="M6" i="462" s="1"/>
  <c r="N32" i="463"/>
  <c r="O11" i="462"/>
  <c r="L10" i="462"/>
  <c r="M10" i="462" s="1"/>
  <c r="P10" i="462" s="1"/>
  <c r="N31" i="463"/>
  <c r="L34" i="463"/>
  <c r="M34" i="463" s="1"/>
  <c r="P34" i="463" s="1"/>
  <c r="O34" i="463"/>
  <c r="O30" i="463"/>
  <c r="N33" i="463"/>
  <c r="L9" i="462"/>
  <c r="M9" i="462" s="1"/>
  <c r="P9" i="462" s="1"/>
  <c r="L51" i="463"/>
  <c r="M51" i="463" s="1"/>
  <c r="P51" i="463" s="1"/>
  <c r="N6" i="462"/>
  <c r="O31" i="463"/>
  <c r="O10" i="462"/>
  <c r="O32" i="463"/>
  <c r="AD50" i="463"/>
  <c r="AD51" i="463" s="1"/>
  <c r="AD54" i="463" s="1"/>
  <c r="N7" i="462"/>
  <c r="L8" i="462"/>
  <c r="M8" i="462" s="1"/>
  <c r="P8" i="462" s="1"/>
  <c r="N9" i="462"/>
  <c r="N51" i="463"/>
  <c r="N8" i="462"/>
  <c r="AE6" i="462"/>
  <c r="AE7" i="462" s="1"/>
  <c r="AE10" i="462" s="1"/>
  <c r="N11" i="462"/>
  <c r="L7" i="462"/>
  <c r="M7" i="462" s="1"/>
  <c r="P7" i="462" s="1"/>
  <c r="O7" i="462"/>
  <c r="AD6" i="462"/>
  <c r="AD7" i="462" s="1"/>
  <c r="N29" i="463"/>
  <c r="AC29" i="463"/>
  <c r="AC30" i="463" s="1"/>
  <c r="AD29" i="463"/>
  <c r="AD30" i="463" s="1"/>
  <c r="AD33" i="463" s="1"/>
  <c r="L50" i="463"/>
  <c r="M50" i="463" s="1"/>
  <c r="N50" i="463"/>
  <c r="L29" i="463"/>
  <c r="M29" i="463" s="1"/>
  <c r="AC50" i="463"/>
  <c r="AC51" i="463" s="1"/>
  <c r="N30" i="463"/>
  <c r="AE52" i="463"/>
  <c r="AE31" i="463"/>
  <c r="AF8" i="462"/>
  <c r="A9" i="461"/>
  <c r="E11" i="461" s="1"/>
  <c r="A37" i="460"/>
  <c r="E39" i="460" s="1"/>
  <c r="J39" i="460" s="1"/>
  <c r="AM72" i="463" a="1"/>
  <c r="AN72" i="463" l="1"/>
  <c r="AP72" i="463" s="1"/>
  <c r="AO73" i="463"/>
  <c r="AM75" i="463"/>
  <c r="AN76" i="463"/>
  <c r="AO77" i="463"/>
  <c r="AM79" i="463"/>
  <c r="AN80" i="463"/>
  <c r="AO81" i="463"/>
  <c r="AM83" i="463"/>
  <c r="AO72" i="463"/>
  <c r="AQ72" i="463" s="1"/>
  <c r="AM74" i="463"/>
  <c r="AN75" i="463"/>
  <c r="AO76" i="463"/>
  <c r="AM78" i="463"/>
  <c r="AN79" i="463"/>
  <c r="AO80" i="463"/>
  <c r="AM82" i="463"/>
  <c r="AN83" i="463"/>
  <c r="AM73" i="463"/>
  <c r="AN74" i="463"/>
  <c r="AO75" i="463"/>
  <c r="AM77" i="463"/>
  <c r="AN78" i="463"/>
  <c r="AO79" i="463"/>
  <c r="AM81" i="463"/>
  <c r="AN82" i="463"/>
  <c r="AO83" i="463"/>
  <c r="AM72" i="463"/>
  <c r="AN73" i="463"/>
  <c r="AO74" i="463"/>
  <c r="AM76" i="463"/>
  <c r="AN77" i="463"/>
  <c r="AO78" i="463"/>
  <c r="AM80" i="463"/>
  <c r="AN81" i="463"/>
  <c r="AO82" i="463"/>
  <c r="M12" i="460"/>
  <c r="K12" i="460"/>
  <c r="L12" i="460" s="1"/>
  <c r="O12" i="460" s="1"/>
  <c r="A11" i="460"/>
  <c r="E13" i="460" s="1"/>
  <c r="J13" i="460" s="1"/>
  <c r="N13" i="460" s="1"/>
  <c r="S78" i="463"/>
  <c r="P78" i="463"/>
  <c r="Q78" i="463" s="1"/>
  <c r="T78" i="463" s="1"/>
  <c r="R78" i="463"/>
  <c r="S77" i="463"/>
  <c r="R77" i="463"/>
  <c r="P77" i="463"/>
  <c r="Q77" i="463" s="1"/>
  <c r="T77" i="463" s="1"/>
  <c r="S76" i="463"/>
  <c r="R76" i="463"/>
  <c r="P76" i="463"/>
  <c r="Q76" i="463" s="1"/>
  <c r="T76" i="463" s="1"/>
  <c r="S75" i="463"/>
  <c r="P75" i="463"/>
  <c r="R75" i="463"/>
  <c r="N39" i="460"/>
  <c r="K39" i="460"/>
  <c r="L39" i="460" s="1"/>
  <c r="O39" i="460" s="1"/>
  <c r="M39" i="460"/>
  <c r="S82" i="463"/>
  <c r="R82" i="463"/>
  <c r="P82" i="463"/>
  <c r="Q82" i="463" s="1"/>
  <c r="T82" i="463" s="1"/>
  <c r="S81" i="463"/>
  <c r="P81" i="463"/>
  <c r="Q81" i="463" s="1"/>
  <c r="T81" i="463" s="1"/>
  <c r="R81" i="463"/>
  <c r="S73" i="463"/>
  <c r="P73" i="463"/>
  <c r="L38" i="460"/>
  <c r="S80" i="463"/>
  <c r="P80" i="463"/>
  <c r="Q80" i="463" s="1"/>
  <c r="T80" i="463" s="1"/>
  <c r="R80" i="463"/>
  <c r="I86" i="463"/>
  <c r="M86" i="463" s="1"/>
  <c r="I88" i="463"/>
  <c r="I89" i="463"/>
  <c r="I87" i="463"/>
  <c r="P72" i="463"/>
  <c r="S72" i="463"/>
  <c r="R72" i="463"/>
  <c r="N18" i="463"/>
  <c r="Q6" i="463"/>
  <c r="Q18" i="463" s="1"/>
  <c r="V18" i="463" s="1"/>
  <c r="V20" i="463" s="1"/>
  <c r="V22" i="463" s="1"/>
  <c r="X38" i="463"/>
  <c r="V15" i="463"/>
  <c r="V16" i="463" s="1"/>
  <c r="V14" i="463"/>
  <c r="AB79" i="463"/>
  <c r="V8" i="463"/>
  <c r="V10" i="463" s="1"/>
  <c r="V12" i="463" s="1"/>
  <c r="X59" i="463"/>
  <c r="S74" i="463"/>
  <c r="P74" i="463"/>
  <c r="R74" i="463"/>
  <c r="S79" i="463"/>
  <c r="P79" i="463"/>
  <c r="Q79" i="463" s="1"/>
  <c r="T79" i="463" s="1"/>
  <c r="R79" i="463"/>
  <c r="AJ71" i="463"/>
  <c r="AJ72" i="463" s="1"/>
  <c r="AJ75" i="463" s="1"/>
  <c r="S71" i="463"/>
  <c r="AI71" i="463"/>
  <c r="P71" i="463"/>
  <c r="R71" i="463"/>
  <c r="O11" i="460"/>
  <c r="AF7" i="462"/>
  <c r="AC54" i="463"/>
  <c r="N35" i="463"/>
  <c r="U29" i="463" s="1"/>
  <c r="U38" i="463" s="1"/>
  <c r="U39" i="463" s="1"/>
  <c r="AE30" i="463"/>
  <c r="AE50" i="463"/>
  <c r="N52" i="463"/>
  <c r="U50" i="463" s="1"/>
  <c r="U59" i="463" s="1"/>
  <c r="U60" i="463" s="1"/>
  <c r="N12" i="462"/>
  <c r="U6" i="462" s="1"/>
  <c r="U14" i="462" s="1"/>
  <c r="O35" i="463"/>
  <c r="O12" i="462"/>
  <c r="L12" i="462"/>
  <c r="AK52" i="463"/>
  <c r="AM51" i="463" s="1"/>
  <c r="AF10" i="462"/>
  <c r="AE51" i="463"/>
  <c r="AC33" i="463"/>
  <c r="AF6" i="462"/>
  <c r="L35" i="463"/>
  <c r="AD10" i="462"/>
  <c r="AJ52" i="463"/>
  <c r="AL51" i="463" s="1"/>
  <c r="L52" i="463"/>
  <c r="AE33" i="463"/>
  <c r="AE29" i="463"/>
  <c r="AE54" i="463"/>
  <c r="P6" i="462"/>
  <c r="P12" i="462" s="1"/>
  <c r="U18" i="462" s="1"/>
  <c r="U20" i="462" s="1"/>
  <c r="U22" i="462" s="1"/>
  <c r="M12" i="462"/>
  <c r="P29" i="463"/>
  <c r="P35" i="463" s="1"/>
  <c r="U41" i="463" s="1"/>
  <c r="U43" i="463" s="1"/>
  <c r="U45" i="463" s="1"/>
  <c r="M35" i="463"/>
  <c r="P50" i="463"/>
  <c r="P52" i="463" s="1"/>
  <c r="M52" i="463"/>
  <c r="AL11" i="463"/>
  <c r="AJ31" i="463"/>
  <c r="AM11" i="463"/>
  <c r="AK31" i="463"/>
  <c r="G29" i="462"/>
  <c r="G30" i="462"/>
  <c r="AK8" i="462"/>
  <c r="AL8" i="462"/>
  <c r="A10" i="461"/>
  <c r="E12" i="461" s="1"/>
  <c r="A38" i="460"/>
  <c r="E40" i="460" s="1"/>
  <c r="J40" i="460" s="1"/>
  <c r="J40" i="456"/>
  <c r="M13" i="456" s="1"/>
  <c r="U31" i="454"/>
  <c r="X13" i="454" s="1"/>
  <c r="T23" i="454"/>
  <c r="U23" i="454"/>
  <c r="T24" i="454"/>
  <c r="U24" i="454"/>
  <c r="T25" i="454"/>
  <c r="U25" i="454"/>
  <c r="T26" i="454"/>
  <c r="U26" i="454"/>
  <c r="T27" i="454"/>
  <c r="U27" i="454"/>
  <c r="T28" i="454"/>
  <c r="U28" i="454"/>
  <c r="T29" i="454"/>
  <c r="U29" i="454"/>
  <c r="U22" i="454"/>
  <c r="T22" i="454"/>
  <c r="Q23" i="454"/>
  <c r="R23" i="454"/>
  <c r="S23" i="454"/>
  <c r="Q24" i="454"/>
  <c r="R24" i="454"/>
  <c r="S24" i="454"/>
  <c r="Q25" i="454"/>
  <c r="R25" i="454"/>
  <c r="S25" i="454"/>
  <c r="Q26" i="454"/>
  <c r="R26" i="454"/>
  <c r="S26" i="454"/>
  <c r="Q27" i="454"/>
  <c r="R27" i="454"/>
  <c r="S27" i="454"/>
  <c r="Q28" i="454"/>
  <c r="R28" i="454"/>
  <c r="S28" i="454"/>
  <c r="Q29" i="454"/>
  <c r="R29" i="454"/>
  <c r="S29" i="454"/>
  <c r="R22" i="454"/>
  <c r="S22" i="454"/>
  <c r="Q22" i="454"/>
  <c r="M13" i="460" l="1"/>
  <c r="A12" i="460"/>
  <c r="E14" i="460" s="1"/>
  <c r="J14" i="460" s="1"/>
  <c r="M14" i="460" s="1"/>
  <c r="K13" i="460"/>
  <c r="L13" i="460" s="1"/>
  <c r="T30" i="454"/>
  <c r="Y13" i="454" s="1"/>
  <c r="Z13" i="454" s="1"/>
  <c r="U30" i="454"/>
  <c r="AQ73" i="463"/>
  <c r="AQ74" i="463" s="1"/>
  <c r="AQ75" i="463" s="1"/>
  <c r="AQ76" i="463" s="1"/>
  <c r="AQ77" i="463" s="1"/>
  <c r="R83" i="463"/>
  <c r="Y71" i="463" s="1"/>
  <c r="AB80" i="463" s="1"/>
  <c r="AB82" i="463" s="1"/>
  <c r="AB84" i="463" s="1"/>
  <c r="AB86" i="463" s="1"/>
  <c r="AP73" i="463"/>
  <c r="AP74" i="463" s="1"/>
  <c r="AP75" i="463" s="1"/>
  <c r="AP76" i="463" s="1"/>
  <c r="AP77" i="463" s="1"/>
  <c r="M88" i="463"/>
  <c r="Q73" i="463"/>
  <c r="T73" i="463" s="1"/>
  <c r="Q75" i="463"/>
  <c r="T75" i="463" s="1"/>
  <c r="P83" i="463"/>
  <c r="Q71" i="463"/>
  <c r="T71" i="463" s="1"/>
  <c r="Q74" i="463"/>
  <c r="T74" i="463" s="1"/>
  <c r="Q72" i="463"/>
  <c r="T72" i="463" s="1"/>
  <c r="AI72" i="463"/>
  <c r="AK72" i="463" s="1"/>
  <c r="AK71" i="463"/>
  <c r="AK75" i="463"/>
  <c r="AI75" i="463"/>
  <c r="M87" i="463"/>
  <c r="O38" i="460"/>
  <c r="N40" i="460"/>
  <c r="K40" i="460"/>
  <c r="M40" i="460"/>
  <c r="S83" i="463"/>
  <c r="M89" i="463"/>
  <c r="U8" i="462"/>
  <c r="U10" i="462" s="1"/>
  <c r="U12" i="462" s="1"/>
  <c r="U58" i="463"/>
  <c r="U52" i="463"/>
  <c r="U54" i="463" s="1"/>
  <c r="U56" i="463" s="1"/>
  <c r="U37" i="463"/>
  <c r="X37" i="463"/>
  <c r="X40" i="463" s="1"/>
  <c r="X42" i="463" s="1"/>
  <c r="X44" i="463" s="1"/>
  <c r="U31" i="463"/>
  <c r="U33" i="463" s="1"/>
  <c r="U35" i="463" s="1"/>
  <c r="AE79" i="463"/>
  <c r="X58" i="463"/>
  <c r="X61" i="463" s="1"/>
  <c r="X63" i="463" s="1"/>
  <c r="X65" i="463" s="1"/>
  <c r="AL50" i="463"/>
  <c r="U15" i="462"/>
  <c r="U16" i="462" s="1"/>
  <c r="AL52" i="463"/>
  <c r="AN51" i="463" s="1"/>
  <c r="AM50" i="463"/>
  <c r="AM52" i="463"/>
  <c r="AM12" i="463"/>
  <c r="AJ32" i="463"/>
  <c r="AL12" i="463"/>
  <c r="AK32" i="463"/>
  <c r="AL9" i="462"/>
  <c r="AK9" i="462"/>
  <c r="A11" i="461"/>
  <c r="E13" i="461" s="1"/>
  <c r="A39" i="460"/>
  <c r="E41" i="460" s="1"/>
  <c r="J41" i="460" s="1"/>
  <c r="D10" i="452"/>
  <c r="D19" i="452" s="1"/>
  <c r="C10" i="452"/>
  <c r="C19" i="452" s="1"/>
  <c r="B10" i="452"/>
  <c r="B19" i="452" s="1"/>
  <c r="E9" i="452"/>
  <c r="E18" i="452" s="1"/>
  <c r="E8" i="452"/>
  <c r="E17" i="452" s="1"/>
  <c r="E7" i="452"/>
  <c r="E16" i="452" s="1"/>
  <c r="O10" i="452"/>
  <c r="O19" i="452" s="1"/>
  <c r="N10" i="452"/>
  <c r="N19" i="452" s="1"/>
  <c r="M10" i="452"/>
  <c r="M19" i="452" s="1"/>
  <c r="P9" i="452"/>
  <c r="P18" i="452" s="1"/>
  <c r="P8" i="452"/>
  <c r="P17" i="452" s="1"/>
  <c r="P7" i="452"/>
  <c r="P16" i="452" s="1"/>
  <c r="A13" i="460" l="1"/>
  <c r="E15" i="460" s="1"/>
  <c r="K14" i="460"/>
  <c r="L14" i="460" s="1"/>
  <c r="O14" i="460" s="1"/>
  <c r="N14" i="460"/>
  <c r="Y73" i="463"/>
  <c r="Y75" i="463" s="1"/>
  <c r="Y77" i="463" s="1"/>
  <c r="Y79" i="463"/>
  <c r="Y80" i="463"/>
  <c r="Y81" i="463" s="1"/>
  <c r="AE80" i="463"/>
  <c r="AE82" i="463" s="1"/>
  <c r="AE84" i="463" s="1"/>
  <c r="AE86" i="463" s="1"/>
  <c r="N41" i="460"/>
  <c r="M41" i="460"/>
  <c r="K41" i="460"/>
  <c r="L41" i="460" s="1"/>
  <c r="O41" i="460" s="1"/>
  <c r="Q83" i="463"/>
  <c r="O13" i="460"/>
  <c r="J15" i="460"/>
  <c r="L40" i="460"/>
  <c r="T83" i="463"/>
  <c r="Y83" i="463" s="1"/>
  <c r="Y85" i="463" s="1"/>
  <c r="Y87" i="463" s="1"/>
  <c r="AN50" i="463"/>
  <c r="AN52" i="463"/>
  <c r="AP78" i="463"/>
  <c r="AQ78" i="463"/>
  <c r="AL13" i="463"/>
  <c r="AJ33" i="463"/>
  <c r="AK33" i="463"/>
  <c r="AM13" i="463"/>
  <c r="AK10" i="462"/>
  <c r="AL10" i="462"/>
  <c r="A12" i="461"/>
  <c r="E14" i="461" s="1"/>
  <c r="A40" i="460"/>
  <c r="E42" i="460" s="1"/>
  <c r="Z31" i="459"/>
  <c r="AC13" i="459" s="1"/>
  <c r="R18" i="454"/>
  <c r="R10" i="454"/>
  <c r="R19" i="454"/>
  <c r="T6" i="454"/>
  <c r="R12" i="454"/>
  <c r="G24" i="456"/>
  <c r="G14" i="456"/>
  <c r="G12" i="456"/>
  <c r="G26" i="456"/>
  <c r="G25" i="456"/>
  <c r="H21" i="456"/>
  <c r="H27" i="456" s="1"/>
  <c r="H33" i="456" s="1"/>
  <c r="H15" i="456"/>
  <c r="H24" i="456"/>
  <c r="H30" i="456" s="1"/>
  <c r="H36" i="456" s="1"/>
  <c r="H18" i="456"/>
  <c r="Q16" i="454"/>
  <c r="Q12" i="454"/>
  <c r="Q17" i="454"/>
  <c r="Q13" i="454"/>
  <c r="T5" i="454"/>
  <c r="U5" i="454" s="1"/>
  <c r="T9" i="454"/>
  <c r="U9" i="454" s="1"/>
  <c r="S21" i="454"/>
  <c r="S19" i="454"/>
  <c r="S17" i="454"/>
  <c r="S15" i="454"/>
  <c r="G22" i="456"/>
  <c r="G13" i="456"/>
  <c r="G11" i="456"/>
  <c r="G23" i="456"/>
  <c r="G21" i="456"/>
  <c r="T4" i="454"/>
  <c r="Q14" i="454"/>
  <c r="Q10" i="454"/>
  <c r="Q15" i="454"/>
  <c r="Q11" i="454"/>
  <c r="T8" i="454"/>
  <c r="S18" i="454"/>
  <c r="S14" i="454"/>
  <c r="S20" i="454"/>
  <c r="S16" i="454"/>
  <c r="J31" i="455"/>
  <c r="M13" i="455" s="1"/>
  <c r="F35" i="456"/>
  <c r="F33" i="456"/>
  <c r="F18" i="456"/>
  <c r="F36" i="456"/>
  <c r="F20" i="456"/>
  <c r="F37" i="456"/>
  <c r="F34" i="456"/>
  <c r="F38" i="456"/>
  <c r="F14" i="456"/>
  <c r="F13" i="456"/>
  <c r="F19" i="456"/>
  <c r="H23" i="456"/>
  <c r="H29" i="456" s="1"/>
  <c r="H35" i="456" s="1"/>
  <c r="H17" i="456"/>
  <c r="H20" i="456"/>
  <c r="H26" i="456"/>
  <c r="H32" i="456" s="1"/>
  <c r="H38" i="456" s="1"/>
  <c r="R20" i="454"/>
  <c r="T7" i="454"/>
  <c r="U7" i="454" s="1"/>
  <c r="R21" i="454"/>
  <c r="R13" i="454"/>
  <c r="R11" i="454"/>
  <c r="F31" i="456"/>
  <c r="F28" i="456"/>
  <c r="F32" i="456"/>
  <c r="F16" i="456"/>
  <c r="F27" i="456"/>
  <c r="F15" i="456"/>
  <c r="F11" i="456"/>
  <c r="F17" i="456"/>
  <c r="F29" i="456"/>
  <c r="F30" i="456"/>
  <c r="F12" i="456"/>
  <c r="H25" i="456"/>
  <c r="H31" i="456" s="1"/>
  <c r="H37" i="456" s="1"/>
  <c r="H19" i="456"/>
  <c r="H22" i="456"/>
  <c r="H28" i="456" s="1"/>
  <c r="H34" i="456" s="1"/>
  <c r="H16" i="456"/>
  <c r="Z31" i="458"/>
  <c r="AC13" i="458" s="1"/>
  <c r="E10" i="452"/>
  <c r="E19" i="452" s="1"/>
  <c r="P10" i="452"/>
  <c r="P19" i="452" s="1"/>
  <c r="M18" i="452" s="1"/>
  <c r="V6" i="460" a="1"/>
  <c r="AD7" i="460" a="1"/>
  <c r="AD12" i="460" l="1"/>
  <c r="AE9" i="460"/>
  <c r="AD15" i="460"/>
  <c r="AD8" i="460"/>
  <c r="AF13" i="460"/>
  <c r="AF11" i="460"/>
  <c r="AF9" i="460"/>
  <c r="AD16" i="460"/>
  <c r="AD13" i="460"/>
  <c r="AD10" i="460"/>
  <c r="AE13" i="460"/>
  <c r="AE10" i="460"/>
  <c r="AD14" i="460"/>
  <c r="AF14" i="460"/>
  <c r="AE15" i="460"/>
  <c r="AF10" i="460"/>
  <c r="AF12" i="460"/>
  <c r="AE8" i="460"/>
  <c r="AD9" i="460"/>
  <c r="AF15" i="460"/>
  <c r="AF16" i="460"/>
  <c r="AF8" i="460"/>
  <c r="AE12" i="460"/>
  <c r="AD7" i="460"/>
  <c r="AD11" i="460"/>
  <c r="AF7" i="460"/>
  <c r="AH7" i="460" s="1"/>
  <c r="AE11" i="460"/>
  <c r="AE14" i="460"/>
  <c r="AE16" i="460"/>
  <c r="AE7" i="460"/>
  <c r="AG7" i="460" s="1"/>
  <c r="W7" i="460"/>
  <c r="V6" i="460"/>
  <c r="W6" i="460"/>
  <c r="V7" i="460"/>
  <c r="J42" i="460"/>
  <c r="N15" i="460"/>
  <c r="N16" i="460" s="1"/>
  <c r="M15" i="460"/>
  <c r="M16" i="460" s="1"/>
  <c r="T6" i="460" s="1"/>
  <c r="K15" i="460"/>
  <c r="Z6" i="460"/>
  <c r="AA6" i="460"/>
  <c r="AA7" i="460" s="1"/>
  <c r="AA10" i="460" s="1"/>
  <c r="O40" i="460"/>
  <c r="AN53" i="463"/>
  <c r="AM14" i="463"/>
  <c r="AJ34" i="463"/>
  <c r="AQ79" i="463"/>
  <c r="AP79" i="463"/>
  <c r="AK34" i="463"/>
  <c r="AL14" i="463"/>
  <c r="AK11" i="462"/>
  <c r="AL11" i="462"/>
  <c r="A13" i="461"/>
  <c r="T21" i="454"/>
  <c r="U21" i="454" s="1"/>
  <c r="T14" i="454"/>
  <c r="U14" i="454" s="1"/>
  <c r="T12" i="454"/>
  <c r="U12" i="454" s="1"/>
  <c r="T10" i="454"/>
  <c r="U10" i="454" s="1"/>
  <c r="T20" i="454"/>
  <c r="U20" i="454" s="1"/>
  <c r="W19" i="459"/>
  <c r="W12" i="459"/>
  <c r="W10" i="459"/>
  <c r="W18" i="459"/>
  <c r="V16" i="459"/>
  <c r="V27" i="459"/>
  <c r="V28" i="459"/>
  <c r="V29" i="459"/>
  <c r="V26" i="459"/>
  <c r="V12" i="459"/>
  <c r="V17" i="459"/>
  <c r="V13" i="459"/>
  <c r="X21" i="459"/>
  <c r="X25" i="459" s="1"/>
  <c r="X29" i="459" s="1"/>
  <c r="X19" i="459"/>
  <c r="X23" i="459" s="1"/>
  <c r="X27" i="459" s="1"/>
  <c r="X17" i="459"/>
  <c r="X15" i="459"/>
  <c r="V22" i="459"/>
  <c r="V10" i="459"/>
  <c r="V23" i="459"/>
  <c r="V15" i="459"/>
  <c r="V11" i="459"/>
  <c r="V24" i="459"/>
  <c r="V25" i="459"/>
  <c r="V14" i="459"/>
  <c r="X20" i="459"/>
  <c r="X24" i="459" s="1"/>
  <c r="X28" i="459" s="1"/>
  <c r="X18" i="459"/>
  <c r="X22" i="459" s="1"/>
  <c r="X26" i="459" s="1"/>
  <c r="X16" i="459"/>
  <c r="X14" i="459"/>
  <c r="W13" i="459"/>
  <c r="W11" i="459"/>
  <c r="W20" i="459"/>
  <c r="W21" i="459"/>
  <c r="G32" i="456"/>
  <c r="G38" i="456" s="1"/>
  <c r="I38" i="456" s="1"/>
  <c r="J38" i="456" s="1"/>
  <c r="G30" i="456"/>
  <c r="G36" i="456" s="1"/>
  <c r="I36" i="456" s="1"/>
  <c r="J36" i="456" s="1"/>
  <c r="F22" i="455"/>
  <c r="F14" i="455"/>
  <c r="F10" i="455"/>
  <c r="F25" i="455"/>
  <c r="F11" i="455"/>
  <c r="F23" i="455"/>
  <c r="F15" i="455"/>
  <c r="F24" i="455"/>
  <c r="T18" i="454"/>
  <c r="F26" i="455"/>
  <c r="F16" i="455"/>
  <c r="F12" i="455"/>
  <c r="F28" i="455"/>
  <c r="F27" i="455"/>
  <c r="F17" i="455"/>
  <c r="F29" i="455"/>
  <c r="F13" i="455"/>
  <c r="G29" i="456"/>
  <c r="G35" i="456" s="1"/>
  <c r="I35" i="456" s="1"/>
  <c r="U4" i="454"/>
  <c r="Y5" i="454" s="1"/>
  <c r="T16" i="454"/>
  <c r="U16" i="454" s="1"/>
  <c r="T15" i="454"/>
  <c r="U15" i="454" s="1"/>
  <c r="G27" i="456"/>
  <c r="I27" i="456" s="1"/>
  <c r="T13" i="454"/>
  <c r="U13" i="454" s="1"/>
  <c r="U6" i="454"/>
  <c r="Y6" i="454" s="1"/>
  <c r="G20" i="455"/>
  <c r="G21" i="455"/>
  <c r="G11" i="455"/>
  <c r="G13" i="455"/>
  <c r="H14" i="455"/>
  <c r="H16" i="455"/>
  <c r="H18" i="455"/>
  <c r="H22" i="455" s="1"/>
  <c r="H26" i="455" s="1"/>
  <c r="H20" i="455"/>
  <c r="H24" i="455" s="1"/>
  <c r="H28" i="455" s="1"/>
  <c r="U8" i="454"/>
  <c r="Y7" i="454" s="1"/>
  <c r="T11" i="454"/>
  <c r="U11" i="454" s="1"/>
  <c r="G28" i="456"/>
  <c r="G34" i="456" s="1"/>
  <c r="I34" i="456" s="1"/>
  <c r="J34" i="456" s="1"/>
  <c r="T17" i="454"/>
  <c r="U17" i="454" s="1"/>
  <c r="G31" i="456"/>
  <c r="G37" i="456" s="1"/>
  <c r="I37" i="456" s="1"/>
  <c r="J37" i="456" s="1"/>
  <c r="T19" i="454"/>
  <c r="U19" i="454" s="1"/>
  <c r="G18" i="455"/>
  <c r="G19" i="455"/>
  <c r="G12" i="455"/>
  <c r="G10" i="455"/>
  <c r="H17" i="455"/>
  <c r="H19" i="455"/>
  <c r="H23" i="455" s="1"/>
  <c r="H27" i="455" s="1"/>
  <c r="H21" i="455"/>
  <c r="H25" i="455" s="1"/>
  <c r="H29" i="455" s="1"/>
  <c r="H15" i="455"/>
  <c r="W13" i="458"/>
  <c r="W20" i="458"/>
  <c r="W21" i="458"/>
  <c r="W11" i="458"/>
  <c r="W12" i="458"/>
  <c r="W10" i="458"/>
  <c r="W18" i="458"/>
  <c r="W19" i="458"/>
  <c r="X21" i="458"/>
  <c r="X25" i="458" s="1"/>
  <c r="X29" i="458" s="1"/>
  <c r="X17" i="458"/>
  <c r="X19" i="458"/>
  <c r="X23" i="458" s="1"/>
  <c r="X27" i="458" s="1"/>
  <c r="X15" i="458"/>
  <c r="V25" i="458"/>
  <c r="V22" i="458"/>
  <c r="V14" i="458"/>
  <c r="V10" i="458"/>
  <c r="V23" i="458"/>
  <c r="V15" i="458"/>
  <c r="V11" i="458"/>
  <c r="V24" i="458"/>
  <c r="X20" i="458"/>
  <c r="X24" i="458" s="1"/>
  <c r="X28" i="458" s="1"/>
  <c r="X18" i="458"/>
  <c r="X22" i="458" s="1"/>
  <c r="X26" i="458" s="1"/>
  <c r="X16" i="458"/>
  <c r="X14" i="458"/>
  <c r="V29" i="458"/>
  <c r="V28" i="458"/>
  <c r="V26" i="458"/>
  <c r="V16" i="458"/>
  <c r="V12" i="458"/>
  <c r="V27" i="458"/>
  <c r="V17" i="458"/>
  <c r="V13" i="458"/>
  <c r="C17" i="452"/>
  <c r="N17" i="452"/>
  <c r="C16" i="452"/>
  <c r="O18" i="452"/>
  <c r="O16" i="452"/>
  <c r="D17" i="452"/>
  <c r="D18" i="452"/>
  <c r="M16" i="452"/>
  <c r="B17" i="452"/>
  <c r="C18" i="452"/>
  <c r="B18" i="452"/>
  <c r="N16" i="452"/>
  <c r="M17" i="452"/>
  <c r="B16" i="452"/>
  <c r="D16" i="452"/>
  <c r="O17" i="452"/>
  <c r="N18" i="452"/>
  <c r="F33" i="461"/>
  <c r="G19" i="460" a="1"/>
  <c r="N25" i="461" a="1"/>
  <c r="V33" i="460" a="1"/>
  <c r="F32" i="461"/>
  <c r="E25" i="461" a="1"/>
  <c r="AD34" i="460" a="1"/>
  <c r="S25" i="461" a="1"/>
  <c r="H15" i="452" l="1"/>
  <c r="S15" i="452"/>
  <c r="O25" i="461"/>
  <c r="N25" i="461"/>
  <c r="O29" i="461"/>
  <c r="N26" i="461"/>
  <c r="N28" i="461"/>
  <c r="N29" i="461"/>
  <c r="N31" i="461"/>
  <c r="O27" i="461"/>
  <c r="O31" i="461"/>
  <c r="O28" i="461"/>
  <c r="N27" i="461"/>
  <c r="N30" i="461"/>
  <c r="O26" i="461"/>
  <c r="O30" i="461"/>
  <c r="S26" i="461"/>
  <c r="S29" i="461"/>
  <c r="T25" i="461"/>
  <c r="T29" i="461"/>
  <c r="S25" i="461"/>
  <c r="S28" i="461"/>
  <c r="T27" i="461"/>
  <c r="S27" i="461"/>
  <c r="T26" i="461"/>
  <c r="T28" i="461"/>
  <c r="K27" i="461"/>
  <c r="H25" i="461"/>
  <c r="J26" i="461"/>
  <c r="G25" i="461"/>
  <c r="L26" i="461"/>
  <c r="I26" i="461"/>
  <c r="E26" i="461"/>
  <c r="H27" i="461"/>
  <c r="J25" i="461"/>
  <c r="L25" i="461"/>
  <c r="F26" i="461"/>
  <c r="G26" i="461"/>
  <c r="E27" i="461"/>
  <c r="F25" i="461"/>
  <c r="G27" i="461"/>
  <c r="I27" i="461"/>
  <c r="K26" i="461"/>
  <c r="L27" i="461"/>
  <c r="J27" i="461"/>
  <c r="F27" i="461"/>
  <c r="E25" i="461"/>
  <c r="K25" i="461"/>
  <c r="H26" i="461"/>
  <c r="I25" i="461"/>
  <c r="AE39" i="460"/>
  <c r="AD43" i="460"/>
  <c r="AD35" i="460"/>
  <c r="AE35" i="460"/>
  <c r="AD42" i="460"/>
  <c r="AF40" i="460"/>
  <c r="AD39" i="460"/>
  <c r="AD41" i="460"/>
  <c r="AE42" i="460"/>
  <c r="AF37" i="460"/>
  <c r="AF36" i="460"/>
  <c r="AF41" i="460"/>
  <c r="AE40" i="460"/>
  <c r="AE41" i="460"/>
  <c r="AD36" i="460"/>
  <c r="AF38" i="460"/>
  <c r="AF34" i="460"/>
  <c r="AH34" i="460" s="1"/>
  <c r="AE34" i="460"/>
  <c r="AG34" i="460" s="1"/>
  <c r="AE38" i="460"/>
  <c r="AE43" i="460"/>
  <c r="AF42" i="460"/>
  <c r="AD40" i="460"/>
  <c r="AD38" i="460"/>
  <c r="AF39" i="460"/>
  <c r="AF43" i="460"/>
  <c r="AE37" i="460"/>
  <c r="AF35" i="460"/>
  <c r="AE36" i="460"/>
  <c r="AD37" i="460"/>
  <c r="AD34" i="460"/>
  <c r="V34" i="460"/>
  <c r="V33" i="460"/>
  <c r="W33" i="460"/>
  <c r="W34" i="460"/>
  <c r="G19" i="460"/>
  <c r="H19" i="460" s="1"/>
  <c r="I19" i="460" s="1"/>
  <c r="G20" i="460"/>
  <c r="AG8" i="460"/>
  <c r="AG9" i="460" s="1"/>
  <c r="AG10" i="460" s="1"/>
  <c r="AG11" i="460" s="1"/>
  <c r="AG12" i="460" s="1"/>
  <c r="AG13" i="460" s="1"/>
  <c r="AG14" i="460" s="1"/>
  <c r="AG15" i="460" s="1"/>
  <c r="Z10" i="460"/>
  <c r="AB10" i="460"/>
  <c r="AB6" i="460"/>
  <c r="Z7" i="460"/>
  <c r="AB7" i="460" s="1"/>
  <c r="N42" i="460"/>
  <c r="N43" i="460" s="1"/>
  <c r="M42" i="460"/>
  <c r="M43" i="460" s="1"/>
  <c r="T33" i="460" s="1"/>
  <c r="K42" i="460"/>
  <c r="AA33" i="460"/>
  <c r="AA34" i="460" s="1"/>
  <c r="AA37" i="460" s="1"/>
  <c r="Z33" i="460"/>
  <c r="E15" i="461"/>
  <c r="T8" i="460"/>
  <c r="T10" i="460" s="1"/>
  <c r="T12" i="460" s="1"/>
  <c r="T15" i="460"/>
  <c r="T16" i="460" s="1"/>
  <c r="T14" i="460"/>
  <c r="L15" i="460"/>
  <c r="K16" i="460"/>
  <c r="AH8" i="460"/>
  <c r="AH9" i="460" s="1"/>
  <c r="AH10" i="460" s="1"/>
  <c r="AH11" i="460" s="1"/>
  <c r="AH12" i="460" s="1"/>
  <c r="AH13" i="460" s="1"/>
  <c r="AH14" i="460" s="1"/>
  <c r="AH15" i="460" s="1"/>
  <c r="AL15" i="463"/>
  <c r="AQ80" i="463"/>
  <c r="AK35" i="463"/>
  <c r="AM34" i="463" s="1"/>
  <c r="AP80" i="463"/>
  <c r="AJ35" i="463"/>
  <c r="AL34" i="463" s="1"/>
  <c r="AM15" i="463"/>
  <c r="AK12" i="462"/>
  <c r="AL12" i="462"/>
  <c r="AN11" i="462" s="1"/>
  <c r="X6" i="454"/>
  <c r="Z6" i="454" s="1"/>
  <c r="Y12" i="454"/>
  <c r="W23" i="459"/>
  <c r="W27" i="459" s="1"/>
  <c r="Y27" i="459" s="1"/>
  <c r="W24" i="459"/>
  <c r="W28" i="459" s="1"/>
  <c r="Y28" i="459" s="1"/>
  <c r="Z28" i="459" s="1"/>
  <c r="W22" i="459"/>
  <c r="W25" i="459"/>
  <c r="W29" i="459" s="1"/>
  <c r="Y29" i="459" s="1"/>
  <c r="Z29" i="459" s="1"/>
  <c r="J35" i="456"/>
  <c r="G23" i="455"/>
  <c r="G27" i="455" s="1"/>
  <c r="I27" i="455" s="1"/>
  <c r="J27" i="455" s="1"/>
  <c r="I30" i="456"/>
  <c r="J30" i="456" s="1"/>
  <c r="Y10" i="454"/>
  <c r="Y9" i="454"/>
  <c r="Y11" i="454"/>
  <c r="G25" i="455"/>
  <c r="G29" i="455" s="1"/>
  <c r="I29" i="455" s="1"/>
  <c r="J29" i="455" s="1"/>
  <c r="Y8" i="454"/>
  <c r="I31" i="456"/>
  <c r="J31" i="456" s="1"/>
  <c r="J27" i="456"/>
  <c r="I29" i="456"/>
  <c r="G33" i="456"/>
  <c r="G22" i="455"/>
  <c r="I22" i="455" s="1"/>
  <c r="I28" i="456"/>
  <c r="X7" i="454"/>
  <c r="Z7" i="454" s="1"/>
  <c r="G24" i="455"/>
  <c r="G28" i="455" s="1"/>
  <c r="I28" i="455" s="1"/>
  <c r="J28" i="455" s="1"/>
  <c r="I32" i="456"/>
  <c r="J32" i="456" s="1"/>
  <c r="X5" i="454"/>
  <c r="U18" i="454"/>
  <c r="X10" i="454" s="1"/>
  <c r="W22" i="458"/>
  <c r="W24" i="458"/>
  <c r="W28" i="458" s="1"/>
  <c r="Y28" i="458" s="1"/>
  <c r="Z28" i="458" s="1"/>
  <c r="W23" i="458"/>
  <c r="W27" i="458" s="1"/>
  <c r="Y27" i="458" s="1"/>
  <c r="Z27" i="458" s="1"/>
  <c r="W25" i="458"/>
  <c r="W29" i="458" s="1"/>
  <c r="Y29" i="458" s="1"/>
  <c r="Z29" i="458" s="1"/>
  <c r="G46" i="460" a="1"/>
  <c r="Q7" i="461" a="1"/>
  <c r="AH35" i="460" l="1"/>
  <c r="AH36" i="460" s="1"/>
  <c r="AH37" i="460" s="1"/>
  <c r="AH38" i="460" s="1"/>
  <c r="AH39" i="460" s="1"/>
  <c r="AH40" i="460" s="1"/>
  <c r="AH41" i="460" s="1"/>
  <c r="AH42" i="460" s="1"/>
  <c r="AH43" i="460" s="1"/>
  <c r="AJ42" i="460" s="1"/>
  <c r="G46" i="460"/>
  <c r="G47" i="460"/>
  <c r="Q7" i="461"/>
  <c r="Q8" i="461"/>
  <c r="H46" i="460"/>
  <c r="I46" i="460" s="1"/>
  <c r="AG35" i="460"/>
  <c r="AG36" i="460" s="1"/>
  <c r="AG37" i="460" s="1"/>
  <c r="AG38" i="460" s="1"/>
  <c r="AG39" i="460" s="1"/>
  <c r="AG40" i="460" s="1"/>
  <c r="AG41" i="460" s="1"/>
  <c r="AG42" i="460" s="1"/>
  <c r="AG43" i="460" s="1"/>
  <c r="AI42" i="460" s="1"/>
  <c r="Z37" i="460"/>
  <c r="Z34" i="460"/>
  <c r="AB34" i="460" s="1"/>
  <c r="AB33" i="460"/>
  <c r="AB37" i="460"/>
  <c r="L42" i="460"/>
  <c r="K43" i="460"/>
  <c r="K20" i="460"/>
  <c r="H20" i="460"/>
  <c r="I20" i="460" s="1"/>
  <c r="L20" i="460"/>
  <c r="T41" i="460"/>
  <c r="T35" i="460"/>
  <c r="T37" i="460" s="1"/>
  <c r="T39" i="460" s="1"/>
  <c r="T42" i="460"/>
  <c r="T43" i="460" s="1"/>
  <c r="O15" i="460"/>
  <c r="O16" i="460" s="1"/>
  <c r="T18" i="460" s="1"/>
  <c r="T20" i="460" s="1"/>
  <c r="T22" i="460" s="1"/>
  <c r="L16" i="460"/>
  <c r="AM16" i="463"/>
  <c r="AP81" i="463"/>
  <c r="AQ81" i="463"/>
  <c r="AL16" i="463"/>
  <c r="AL35" i="463"/>
  <c r="AL29" i="463"/>
  <c r="AL30" i="463"/>
  <c r="AL31" i="463"/>
  <c r="AL32" i="463"/>
  <c r="AL33" i="463"/>
  <c r="AM29" i="463"/>
  <c r="AM35" i="463"/>
  <c r="AM30" i="463"/>
  <c r="AM31" i="463"/>
  <c r="AM32" i="463"/>
  <c r="AM33" i="463"/>
  <c r="AH16" i="460"/>
  <c r="AJ15" i="460" s="1"/>
  <c r="AG16" i="460"/>
  <c r="AM12" i="462"/>
  <c r="AM6" i="462"/>
  <c r="AM7" i="462"/>
  <c r="AM8" i="462"/>
  <c r="AM9" i="462"/>
  <c r="AM10" i="462"/>
  <c r="AN12" i="462"/>
  <c r="AN6" i="462"/>
  <c r="AN7" i="462"/>
  <c r="AN8" i="462"/>
  <c r="AN9" i="462"/>
  <c r="AN10" i="462"/>
  <c r="AM11" i="462"/>
  <c r="I25" i="455"/>
  <c r="J25" i="455" s="1"/>
  <c r="Y24" i="458"/>
  <c r="Z24" i="458" s="1"/>
  <c r="Y23" i="459"/>
  <c r="Z23" i="459" s="1"/>
  <c r="Z27" i="459"/>
  <c r="Y25" i="459"/>
  <c r="Z25" i="459" s="1"/>
  <c r="W26" i="459"/>
  <c r="Y24" i="459"/>
  <c r="Z24" i="459" s="1"/>
  <c r="Y22" i="459"/>
  <c r="J22" i="455"/>
  <c r="J29" i="456"/>
  <c r="I23" i="455"/>
  <c r="G26" i="455"/>
  <c r="I24" i="455"/>
  <c r="J24" i="455" s="1"/>
  <c r="Z10" i="454"/>
  <c r="Z5" i="454"/>
  <c r="X9" i="454"/>
  <c r="Z9" i="454" s="1"/>
  <c r="X8" i="454"/>
  <c r="Z8" i="454" s="1"/>
  <c r="J28" i="456"/>
  <c r="I33" i="456"/>
  <c r="I13" i="456" s="1"/>
  <c r="W26" i="458"/>
  <c r="Y22" i="458"/>
  <c r="Y23" i="458"/>
  <c r="Y25" i="458"/>
  <c r="AO11" i="462" l="1"/>
  <c r="I11" i="456"/>
  <c r="J11" i="456" s="1"/>
  <c r="I15" i="456"/>
  <c r="J15" i="456" s="1"/>
  <c r="I7" i="456"/>
  <c r="J7" i="456" s="1"/>
  <c r="I22" i="456"/>
  <c r="J22" i="456" s="1"/>
  <c r="I12" i="456"/>
  <c r="J12" i="456" s="1"/>
  <c r="I26" i="456"/>
  <c r="J26" i="456" s="1"/>
  <c r="I16" i="456"/>
  <c r="J16" i="456" s="1"/>
  <c r="I14" i="456"/>
  <c r="J14" i="456" s="1"/>
  <c r="I23" i="456"/>
  <c r="J23" i="456" s="1"/>
  <c r="I19" i="456"/>
  <c r="J19" i="456" s="1"/>
  <c r="O42" i="460"/>
  <c r="O43" i="460" s="1"/>
  <c r="T45" i="460" s="1"/>
  <c r="T47" i="460" s="1"/>
  <c r="T49" i="460" s="1"/>
  <c r="L43" i="460"/>
  <c r="H47" i="460"/>
  <c r="I47" i="460" s="1"/>
  <c r="K47" i="460"/>
  <c r="L47" i="460"/>
  <c r="J10" i="461"/>
  <c r="J14" i="461"/>
  <c r="J6" i="461"/>
  <c r="J9" i="461"/>
  <c r="J13" i="461"/>
  <c r="F19" i="461" a="1"/>
  <c r="J11" i="461"/>
  <c r="J12" i="461"/>
  <c r="J7" i="461"/>
  <c r="J15" i="461"/>
  <c r="J8" i="461"/>
  <c r="AN35" i="463"/>
  <c r="AN29" i="463"/>
  <c r="AN32" i="463"/>
  <c r="AI16" i="460"/>
  <c r="AI6" i="460"/>
  <c r="AI7" i="460"/>
  <c r="AI8" i="460"/>
  <c r="AI9" i="460"/>
  <c r="AI10" i="460"/>
  <c r="AI11" i="460"/>
  <c r="AI12" i="460"/>
  <c r="AI13" i="460"/>
  <c r="AI14" i="460"/>
  <c r="AQ82" i="463"/>
  <c r="AO9" i="462"/>
  <c r="AO12" i="462"/>
  <c r="AJ6" i="460"/>
  <c r="AJ16" i="460"/>
  <c r="AJ7" i="460"/>
  <c r="AJ8" i="460"/>
  <c r="AJ9" i="460"/>
  <c r="AJ10" i="460"/>
  <c r="AJ11" i="460"/>
  <c r="AJ12" i="460"/>
  <c r="AJ13" i="460"/>
  <c r="AJ14" i="460"/>
  <c r="AN30" i="463"/>
  <c r="AL17" i="463"/>
  <c r="AM17" i="463"/>
  <c r="AP82" i="463"/>
  <c r="AN31" i="463"/>
  <c r="AI15" i="460"/>
  <c r="AK15" i="460" s="1"/>
  <c r="AN33" i="463"/>
  <c r="AN34" i="463"/>
  <c r="AO8" i="462"/>
  <c r="AO7" i="462"/>
  <c r="AO10" i="462"/>
  <c r="AO6" i="462"/>
  <c r="AI43" i="460"/>
  <c r="AI33" i="460"/>
  <c r="AI34" i="460"/>
  <c r="AI35" i="460"/>
  <c r="AI36" i="460"/>
  <c r="AI37" i="460"/>
  <c r="AI38" i="460"/>
  <c r="AI39" i="460"/>
  <c r="AI40" i="460"/>
  <c r="AI41" i="460"/>
  <c r="AJ33" i="460"/>
  <c r="AJ43" i="460"/>
  <c r="AJ34" i="460"/>
  <c r="AJ35" i="460"/>
  <c r="AJ36" i="460"/>
  <c r="AJ37" i="460"/>
  <c r="AJ38" i="460"/>
  <c r="AJ39" i="460"/>
  <c r="AJ40" i="460"/>
  <c r="AJ41" i="460"/>
  <c r="I10" i="456"/>
  <c r="J10" i="456" s="1"/>
  <c r="I20" i="456"/>
  <c r="J20" i="456" s="1"/>
  <c r="I9" i="456"/>
  <c r="J9" i="456" s="1"/>
  <c r="I17" i="456"/>
  <c r="J17" i="456" s="1"/>
  <c r="I25" i="456"/>
  <c r="J25" i="456" s="1"/>
  <c r="I4" i="456"/>
  <c r="J4" i="456" s="1"/>
  <c r="I24" i="456"/>
  <c r="J24" i="456" s="1"/>
  <c r="Z22" i="459"/>
  <c r="Y26" i="459"/>
  <c r="Y17" i="459" s="1"/>
  <c r="X11" i="454"/>
  <c r="I26" i="455"/>
  <c r="I12" i="455" s="1"/>
  <c r="J23" i="455"/>
  <c r="J33" i="456"/>
  <c r="J39" i="456" s="1"/>
  <c r="I5" i="456"/>
  <c r="I18" i="456"/>
  <c r="I8" i="456"/>
  <c r="I21" i="456"/>
  <c r="I39" i="456"/>
  <c r="I6" i="456"/>
  <c r="Y26" i="458"/>
  <c r="Y8" i="458" s="1"/>
  <c r="Z22" i="458"/>
  <c r="Z25" i="458"/>
  <c r="Z23" i="458"/>
  <c r="AF7" i="461" a="1"/>
  <c r="AF8" i="461" l="1"/>
  <c r="AG9" i="461"/>
  <c r="AH10" i="461"/>
  <c r="AF12" i="461"/>
  <c r="AG13" i="461"/>
  <c r="AH14" i="461"/>
  <c r="AF16" i="461"/>
  <c r="AF7" i="461"/>
  <c r="AG8" i="461"/>
  <c r="AH9" i="461"/>
  <c r="AF11" i="461"/>
  <c r="AG12" i="461"/>
  <c r="AH13" i="461"/>
  <c r="AF15" i="461"/>
  <c r="AG16" i="461"/>
  <c r="AG7" i="461"/>
  <c r="AI7" i="461" s="1"/>
  <c r="AH8" i="461"/>
  <c r="AF10" i="461"/>
  <c r="AG11" i="461"/>
  <c r="AH12" i="461"/>
  <c r="AF14" i="461"/>
  <c r="AG15" i="461"/>
  <c r="AH16" i="461"/>
  <c r="AH7" i="461"/>
  <c r="AJ7" i="461" s="1"/>
  <c r="AF9" i="461"/>
  <c r="AG10" i="461"/>
  <c r="AH11" i="461"/>
  <c r="AF13" i="461"/>
  <c r="AG14" i="461"/>
  <c r="AH15" i="461"/>
  <c r="I21" i="455"/>
  <c r="J21" i="455" s="1"/>
  <c r="I7" i="455"/>
  <c r="J7" i="455" s="1"/>
  <c r="Y19" i="458"/>
  <c r="Z19" i="458" s="1"/>
  <c r="Y4" i="458"/>
  <c r="Z4" i="458" s="1"/>
  <c r="Y20" i="459"/>
  <c r="Z20" i="459" s="1"/>
  <c r="I19" i="455"/>
  <c r="J19" i="455" s="1"/>
  <c r="Y13" i="459"/>
  <c r="Z13" i="459" s="1"/>
  <c r="Y11" i="458"/>
  <c r="Z11" i="458" s="1"/>
  <c r="Y13" i="458"/>
  <c r="Z13" i="458" s="1"/>
  <c r="I13" i="455"/>
  <c r="J13" i="455" s="1"/>
  <c r="Z17" i="459"/>
  <c r="Y14" i="459"/>
  <c r="Z14" i="459" s="1"/>
  <c r="N8" i="461"/>
  <c r="M8" i="461"/>
  <c r="K8" i="461"/>
  <c r="L8" i="461" s="1"/>
  <c r="O8" i="461" s="1"/>
  <c r="N11" i="461"/>
  <c r="M11" i="461"/>
  <c r="K11" i="461"/>
  <c r="N6" i="461"/>
  <c r="AB6" i="461"/>
  <c r="AC6" i="461"/>
  <c r="AC7" i="461" s="1"/>
  <c r="AC10" i="461" s="1"/>
  <c r="K6" i="461"/>
  <c r="M6" i="461"/>
  <c r="N15" i="461"/>
  <c r="K15" i="461"/>
  <c r="L15" i="461" s="1"/>
  <c r="O15" i="461" s="1"/>
  <c r="M15" i="461"/>
  <c r="F19" i="461"/>
  <c r="J19" i="461" s="1"/>
  <c r="F20" i="461"/>
  <c r="N14" i="461"/>
  <c r="K14" i="461"/>
  <c r="L14" i="461" s="1"/>
  <c r="O14" i="461" s="1"/>
  <c r="M14" i="461"/>
  <c r="N7" i="461"/>
  <c r="M7" i="461"/>
  <c r="K7" i="461"/>
  <c r="L7" i="461" s="1"/>
  <c r="O7" i="461" s="1"/>
  <c r="N13" i="461"/>
  <c r="K13" i="461"/>
  <c r="L13" i="461" s="1"/>
  <c r="O13" i="461" s="1"/>
  <c r="M13" i="461"/>
  <c r="N10" i="461"/>
  <c r="K10" i="461"/>
  <c r="M10" i="461"/>
  <c r="N12" i="461"/>
  <c r="K12" i="461"/>
  <c r="M12" i="461"/>
  <c r="N9" i="461"/>
  <c r="K9" i="461"/>
  <c r="L9" i="461" s="1"/>
  <c r="O9" i="461" s="1"/>
  <c r="M9" i="461"/>
  <c r="AK16" i="460"/>
  <c r="AK11" i="460"/>
  <c r="AK7" i="460"/>
  <c r="AK14" i="460"/>
  <c r="AN36" i="463"/>
  <c r="AK12" i="460"/>
  <c r="AK8" i="460"/>
  <c r="AQ83" i="463"/>
  <c r="AS82" i="463" s="1"/>
  <c r="AP83" i="463"/>
  <c r="AM18" i="463"/>
  <c r="AL18" i="463"/>
  <c r="AK10" i="460"/>
  <c r="AK6" i="460"/>
  <c r="AK13" i="460"/>
  <c r="AK9" i="460"/>
  <c r="AO13" i="462"/>
  <c r="AK41" i="460"/>
  <c r="AK37" i="460"/>
  <c r="AK33" i="460"/>
  <c r="AK43" i="460"/>
  <c r="AK40" i="460"/>
  <c r="AK36" i="460"/>
  <c r="AK38" i="460"/>
  <c r="AK34" i="460"/>
  <c r="AK39" i="460"/>
  <c r="AK35" i="460"/>
  <c r="AK42" i="460"/>
  <c r="Y15" i="459"/>
  <c r="Z15" i="459" s="1"/>
  <c r="I14" i="455"/>
  <c r="J14" i="455" s="1"/>
  <c r="I17" i="455"/>
  <c r="J17" i="455" s="1"/>
  <c r="I10" i="455"/>
  <c r="J10" i="455" s="1"/>
  <c r="Y15" i="458"/>
  <c r="Z15" i="458" s="1"/>
  <c r="Y7" i="458"/>
  <c r="Z7" i="458" s="1"/>
  <c r="I9" i="455"/>
  <c r="J9" i="455" s="1"/>
  <c r="Y10" i="459"/>
  <c r="Z10" i="459" s="1"/>
  <c r="Y21" i="459"/>
  <c r="Z21" i="459" s="1"/>
  <c r="I11" i="455"/>
  <c r="J11" i="455" s="1"/>
  <c r="Y19" i="459"/>
  <c r="Z19" i="459" s="1"/>
  <c r="Y17" i="458"/>
  <c r="Z17" i="458" s="1"/>
  <c r="Y9" i="458"/>
  <c r="Z9" i="458" s="1"/>
  <c r="Y14" i="458"/>
  <c r="Z14" i="458" s="1"/>
  <c r="Y4" i="459"/>
  <c r="Z4" i="459" s="1"/>
  <c r="Y20" i="458"/>
  <c r="Z20" i="458" s="1"/>
  <c r="Y21" i="458"/>
  <c r="Z21" i="458" s="1"/>
  <c r="I4" i="455"/>
  <c r="J4" i="455" s="1"/>
  <c r="I15" i="455"/>
  <c r="J15" i="455" s="1"/>
  <c r="I20" i="455"/>
  <c r="J20" i="455" s="1"/>
  <c r="Y9" i="459"/>
  <c r="Z9" i="459" s="1"/>
  <c r="Y11" i="459"/>
  <c r="Z11" i="459" s="1"/>
  <c r="Y7" i="459"/>
  <c r="Z7" i="459" s="1"/>
  <c r="Y10" i="458"/>
  <c r="Z10" i="458" s="1"/>
  <c r="Y18" i="458"/>
  <c r="Y12" i="458"/>
  <c r="Y30" i="458"/>
  <c r="AD13" i="458" s="1"/>
  <c r="AE13" i="458" s="1"/>
  <c r="Y6" i="458"/>
  <c r="Z26" i="459"/>
  <c r="Z30" i="459" s="1"/>
  <c r="Y5" i="459"/>
  <c r="Y16" i="459"/>
  <c r="Y8" i="459"/>
  <c r="Y12" i="459"/>
  <c r="Y6" i="459"/>
  <c r="Y18" i="459"/>
  <c r="Y30" i="459"/>
  <c r="I18" i="455"/>
  <c r="Z11" i="454"/>
  <c r="X12" i="454"/>
  <c r="Z12" i="454" s="1"/>
  <c r="J18" i="456"/>
  <c r="J5" i="456"/>
  <c r="I30" i="455"/>
  <c r="I6" i="455"/>
  <c r="J21" i="456"/>
  <c r="J26" i="455"/>
  <c r="J30" i="455" s="1"/>
  <c r="I5" i="455"/>
  <c r="I16" i="455"/>
  <c r="I8" i="455"/>
  <c r="J6" i="456"/>
  <c r="N6" i="456" s="1"/>
  <c r="J8" i="456"/>
  <c r="N7" i="456" s="1"/>
  <c r="N13" i="456"/>
  <c r="O13" i="456" s="1"/>
  <c r="J13" i="456"/>
  <c r="Z26" i="458"/>
  <c r="Z8" i="458" s="1"/>
  <c r="Y16" i="458"/>
  <c r="Y5" i="458"/>
  <c r="I10" i="451"/>
  <c r="I11" i="451"/>
  <c r="I12" i="451"/>
  <c r="I9" i="451"/>
  <c r="I19" i="450"/>
  <c r="N9" i="450" s="1"/>
  <c r="Y20" i="449"/>
  <c r="Y21" i="449"/>
  <c r="Y22" i="449"/>
  <c r="Y23" i="449"/>
  <c r="Y19" i="449"/>
  <c r="X20" i="449"/>
  <c r="X21" i="449"/>
  <c r="X22" i="449"/>
  <c r="X23" i="449"/>
  <c r="X19" i="449"/>
  <c r="W20" i="449"/>
  <c r="W21" i="449"/>
  <c r="W22" i="449"/>
  <c r="W23" i="449"/>
  <c r="W19" i="449"/>
  <c r="Y15" i="449"/>
  <c r="Y16" i="449"/>
  <c r="Y17" i="449"/>
  <c r="Y18" i="449"/>
  <c r="Y14" i="449"/>
  <c r="X15" i="449"/>
  <c r="X16" i="449"/>
  <c r="X17" i="449"/>
  <c r="X18" i="449"/>
  <c r="X14" i="449"/>
  <c r="W15" i="449"/>
  <c r="W16" i="449"/>
  <c r="W17" i="449"/>
  <c r="W18" i="449"/>
  <c r="W14" i="449"/>
  <c r="Y10" i="449"/>
  <c r="Y11" i="449"/>
  <c r="Y12" i="449"/>
  <c r="Y13" i="449"/>
  <c r="Y9" i="449"/>
  <c r="X10" i="449"/>
  <c r="X11" i="449"/>
  <c r="X12" i="449"/>
  <c r="X13" i="449"/>
  <c r="X9" i="449"/>
  <c r="W10" i="449"/>
  <c r="W11" i="449"/>
  <c r="W12" i="449"/>
  <c r="W13" i="449"/>
  <c r="W9" i="449"/>
  <c r="Y5" i="449"/>
  <c r="Y6" i="449"/>
  <c r="Y7" i="449"/>
  <c r="Y8" i="449"/>
  <c r="Y4" i="449"/>
  <c r="X5" i="449"/>
  <c r="X6" i="449"/>
  <c r="X7" i="449"/>
  <c r="X8" i="449"/>
  <c r="X4" i="449"/>
  <c r="W5" i="449"/>
  <c r="W6" i="449"/>
  <c r="W7" i="449"/>
  <c r="W8" i="449"/>
  <c r="W4" i="449"/>
  <c r="Y3" i="449"/>
  <c r="X3" i="449"/>
  <c r="W3" i="449"/>
  <c r="V19" i="449"/>
  <c r="V14" i="449"/>
  <c r="V9" i="449"/>
  <c r="V4" i="449"/>
  <c r="L22" i="449"/>
  <c r="Q9" i="449" s="1"/>
  <c r="I22" i="449"/>
  <c r="J22" i="449"/>
  <c r="K22" i="449"/>
  <c r="H22" i="449"/>
  <c r="L21" i="449"/>
  <c r="I21" i="449"/>
  <c r="J21" i="449"/>
  <c r="K21" i="449"/>
  <c r="H21" i="449"/>
  <c r="G21" i="449"/>
  <c r="L20" i="449"/>
  <c r="I20" i="449"/>
  <c r="J20" i="449"/>
  <c r="K20" i="449"/>
  <c r="H20" i="449"/>
  <c r="G20" i="449"/>
  <c r="L19" i="449"/>
  <c r="I19" i="449"/>
  <c r="J19" i="449"/>
  <c r="K19" i="449"/>
  <c r="H19" i="449"/>
  <c r="G19" i="449"/>
  <c r="I18" i="449"/>
  <c r="J18" i="449"/>
  <c r="K18" i="449"/>
  <c r="H18" i="449"/>
  <c r="L15" i="449"/>
  <c r="I15" i="449"/>
  <c r="J15" i="449"/>
  <c r="K15" i="449"/>
  <c r="H15" i="449"/>
  <c r="L14" i="449"/>
  <c r="I14" i="449"/>
  <c r="J14" i="449"/>
  <c r="K14" i="449"/>
  <c r="H14" i="449"/>
  <c r="G14" i="449"/>
  <c r="L13" i="449"/>
  <c r="I13" i="449"/>
  <c r="J13" i="449"/>
  <c r="K13" i="449"/>
  <c r="H13" i="449"/>
  <c r="G13" i="449"/>
  <c r="L12" i="449"/>
  <c r="I12" i="449"/>
  <c r="J12" i="449"/>
  <c r="K12" i="449"/>
  <c r="H12" i="449"/>
  <c r="G12" i="449"/>
  <c r="I11" i="449"/>
  <c r="J11" i="449"/>
  <c r="K11" i="449"/>
  <c r="H11" i="449"/>
  <c r="L8" i="449"/>
  <c r="P9" i="449" s="1"/>
  <c r="I8" i="449"/>
  <c r="J8" i="449"/>
  <c r="K8" i="449"/>
  <c r="H8" i="449"/>
  <c r="L7" i="449"/>
  <c r="I7" i="449"/>
  <c r="J7" i="449"/>
  <c r="K7" i="449"/>
  <c r="H7" i="449"/>
  <c r="G7" i="449"/>
  <c r="L6" i="449"/>
  <c r="I6" i="449"/>
  <c r="J6" i="449"/>
  <c r="K6" i="449"/>
  <c r="H6" i="449"/>
  <c r="G6" i="449"/>
  <c r="L5" i="449"/>
  <c r="I5" i="449"/>
  <c r="J5" i="449"/>
  <c r="K5" i="449"/>
  <c r="H5" i="449"/>
  <c r="G5" i="449"/>
  <c r="I4" i="449"/>
  <c r="J4" i="449"/>
  <c r="K4" i="449"/>
  <c r="H4" i="449"/>
  <c r="Z15" i="448"/>
  <c r="Z16" i="448"/>
  <c r="Z17" i="448"/>
  <c r="Z18" i="448"/>
  <c r="Z14" i="448"/>
  <c r="Y15" i="448"/>
  <c r="Y16" i="448"/>
  <c r="Y17" i="448"/>
  <c r="Y18" i="448"/>
  <c r="Y14" i="448"/>
  <c r="Z10" i="448"/>
  <c r="Z11" i="448"/>
  <c r="Z12" i="448"/>
  <c r="Z13" i="448"/>
  <c r="Z9" i="448"/>
  <c r="Y10" i="448"/>
  <c r="Y11" i="448"/>
  <c r="Y12" i="448"/>
  <c r="Y13" i="448"/>
  <c r="Y9" i="448"/>
  <c r="Z5" i="448"/>
  <c r="Z6" i="448"/>
  <c r="Z7" i="448"/>
  <c r="Z8" i="448"/>
  <c r="Z4" i="448"/>
  <c r="Y5" i="448"/>
  <c r="Y6" i="448"/>
  <c r="Y7" i="448"/>
  <c r="Y8" i="448"/>
  <c r="Y4" i="448"/>
  <c r="Z3" i="448"/>
  <c r="Y3" i="448"/>
  <c r="X14" i="448"/>
  <c r="X9" i="448"/>
  <c r="X4" i="448"/>
  <c r="H3" i="449" l="1"/>
  <c r="O5" i="449"/>
  <c r="O6" i="449"/>
  <c r="P5" i="449"/>
  <c r="P6" i="449"/>
  <c r="O8" i="449"/>
  <c r="L12" i="461"/>
  <c r="O12" i="461" s="1"/>
  <c r="L6" i="461"/>
  <c r="K16" i="461"/>
  <c r="L11" i="461"/>
  <c r="O11" i="461" s="1"/>
  <c r="AJ8" i="461"/>
  <c r="J20" i="461"/>
  <c r="AB10" i="461"/>
  <c r="AD10" i="461"/>
  <c r="AD6" i="461"/>
  <c r="AB7" i="461"/>
  <c r="AD7" i="461" s="1"/>
  <c r="AI8" i="461"/>
  <c r="L10" i="461"/>
  <c r="O10" i="461" s="1"/>
  <c r="M16" i="461"/>
  <c r="T6" i="461" s="1"/>
  <c r="N16" i="461"/>
  <c r="AO17" i="463"/>
  <c r="AO8" i="463"/>
  <c r="AN17" i="463"/>
  <c r="AN8" i="463"/>
  <c r="AK17" i="460"/>
  <c r="AR71" i="463"/>
  <c r="AR83" i="463"/>
  <c r="AR72" i="463"/>
  <c r="AR73" i="463"/>
  <c r="AR74" i="463"/>
  <c r="AR75" i="463"/>
  <c r="AR76" i="463"/>
  <c r="AR77" i="463"/>
  <c r="AR78" i="463"/>
  <c r="AR79" i="463"/>
  <c r="AR80" i="463"/>
  <c r="AR81" i="463"/>
  <c r="AO6" i="463"/>
  <c r="AO18" i="463"/>
  <c r="AO7" i="463"/>
  <c r="AO9" i="463"/>
  <c r="AO10" i="463"/>
  <c r="AO11" i="463"/>
  <c r="AO12" i="463"/>
  <c r="AO13" i="463"/>
  <c r="AO14" i="463"/>
  <c r="AO15" i="463"/>
  <c r="AO16" i="463"/>
  <c r="AS83" i="463"/>
  <c r="AS71" i="463"/>
  <c r="AS72" i="463"/>
  <c r="AS73" i="463"/>
  <c r="AS74" i="463"/>
  <c r="AS75" i="463"/>
  <c r="AS76" i="463"/>
  <c r="AS77" i="463"/>
  <c r="AS78" i="463"/>
  <c r="AS79" i="463"/>
  <c r="AS80" i="463"/>
  <c r="AS81" i="463"/>
  <c r="AN18" i="463"/>
  <c r="AN6" i="463"/>
  <c r="AN7" i="463"/>
  <c r="AN9" i="463"/>
  <c r="AN10" i="463"/>
  <c r="AN11" i="463"/>
  <c r="AN12" i="463"/>
  <c r="AN13" i="463"/>
  <c r="AN14" i="463"/>
  <c r="AN15" i="463"/>
  <c r="AN16" i="463"/>
  <c r="AR82" i="463"/>
  <c r="AK44" i="460"/>
  <c r="Z12" i="459"/>
  <c r="J5" i="455"/>
  <c r="N5" i="455" s="1"/>
  <c r="Z6" i="458"/>
  <c r="AD6" i="458" s="1"/>
  <c r="AE6" i="458" s="1"/>
  <c r="Z16" i="458"/>
  <c r="M7" i="456"/>
  <c r="O7" i="456" s="1"/>
  <c r="J16" i="455"/>
  <c r="J6" i="455"/>
  <c r="N6" i="455" s="1"/>
  <c r="J12" i="455"/>
  <c r="AA11" i="454"/>
  <c r="AB11" i="454" s="1"/>
  <c r="AC11" i="454" s="1"/>
  <c r="J8" i="455"/>
  <c r="N7" i="455" s="1"/>
  <c r="O7" i="455" s="1"/>
  <c r="J18" i="455"/>
  <c r="Z16" i="459"/>
  <c r="AD13" i="459"/>
  <c r="AE13" i="459" s="1"/>
  <c r="Z5" i="459"/>
  <c r="AD5" i="459" s="1"/>
  <c r="AE5" i="459" s="1"/>
  <c r="Z18" i="459"/>
  <c r="Z6" i="459"/>
  <c r="AD6" i="459" s="1"/>
  <c r="Z8" i="459"/>
  <c r="AD7" i="459" s="1"/>
  <c r="M5" i="456"/>
  <c r="N5" i="456"/>
  <c r="N12" i="456" s="1"/>
  <c r="AD7" i="458"/>
  <c r="Z30" i="458"/>
  <c r="N10" i="456"/>
  <c r="Z18" i="458"/>
  <c r="Z5" i="458"/>
  <c r="AD5" i="458" s="1"/>
  <c r="M6" i="456"/>
  <c r="N13" i="455"/>
  <c r="O13" i="455" s="1"/>
  <c r="AA10" i="454"/>
  <c r="AB10" i="454" s="1"/>
  <c r="AC10" i="454" s="1"/>
  <c r="AA6" i="454"/>
  <c r="AB6" i="454" s="1"/>
  <c r="AC6" i="454" s="1"/>
  <c r="AA7" i="454"/>
  <c r="AB7" i="454" s="1"/>
  <c r="AC7" i="454" s="1"/>
  <c r="AA8" i="454"/>
  <c r="AB8" i="454" s="1"/>
  <c r="AC8" i="454" s="1"/>
  <c r="AA5" i="454"/>
  <c r="AB5" i="454" s="1"/>
  <c r="AC5" i="454" s="1"/>
  <c r="AA9" i="454"/>
  <c r="Z12" i="458"/>
  <c r="N9" i="451"/>
  <c r="J9" i="451"/>
  <c r="K18" i="451"/>
  <c r="M9" i="451"/>
  <c r="J18" i="451"/>
  <c r="L9" i="451"/>
  <c r="K9" i="451"/>
  <c r="N11" i="451"/>
  <c r="J11" i="451"/>
  <c r="M11" i="451"/>
  <c r="L11" i="451"/>
  <c r="K11" i="451"/>
  <c r="L10" i="451"/>
  <c r="K10" i="451"/>
  <c r="N10" i="451"/>
  <c r="J10" i="451"/>
  <c r="M10" i="451"/>
  <c r="K16" i="451"/>
  <c r="L12" i="451"/>
  <c r="K12" i="451"/>
  <c r="N12" i="451"/>
  <c r="J12" i="451"/>
  <c r="M12" i="451"/>
  <c r="F19" i="450" a="1"/>
  <c r="F19" i="450" s="1"/>
  <c r="G19" i="450" a="1"/>
  <c r="G19" i="450" s="1"/>
  <c r="H19" i="450" a="1"/>
  <c r="H19" i="450" s="1"/>
  <c r="O9" i="449"/>
  <c r="AB9" i="454" l="1"/>
  <c r="AC9" i="454" s="1"/>
  <c r="O7" i="449"/>
  <c r="P7" i="449"/>
  <c r="P8" i="449" s="1"/>
  <c r="Q8" i="449" s="1"/>
  <c r="Q5" i="449"/>
  <c r="Q6" i="449"/>
  <c r="L16" i="461"/>
  <c r="H6" i="450" a="1"/>
  <c r="H6" i="450" s="1"/>
  <c r="F6" i="450" a="1"/>
  <c r="F6" i="450" s="1"/>
  <c r="G6" i="450" a="1"/>
  <c r="G6" i="450" s="1"/>
  <c r="T14" i="461"/>
  <c r="T15" i="461"/>
  <c r="T16" i="461" s="1"/>
  <c r="T8" i="461"/>
  <c r="T10" i="461" s="1"/>
  <c r="T12" i="461" s="1"/>
  <c r="O6" i="461"/>
  <c r="O16" i="461" s="1"/>
  <c r="T18" i="461" s="1"/>
  <c r="T20" i="461" s="1"/>
  <c r="T22" i="461" s="1"/>
  <c r="AI9" i="461"/>
  <c r="G5" i="450" a="1"/>
  <c r="G5" i="450" s="1"/>
  <c r="H5" i="450" a="1"/>
  <c r="H5" i="450" s="1"/>
  <c r="F5" i="450" a="1"/>
  <c r="F5" i="450" s="1"/>
  <c r="H12" i="450" a="1"/>
  <c r="H12" i="450" s="1"/>
  <c r="F12" i="450" a="1"/>
  <c r="F12" i="450" s="1"/>
  <c r="G12" i="450" a="1"/>
  <c r="G12" i="450" s="1"/>
  <c r="G11" i="450" a="1"/>
  <c r="G11" i="450" s="1"/>
  <c r="H11" i="450" a="1"/>
  <c r="H11" i="450" s="1"/>
  <c r="F11" i="450" a="1"/>
  <c r="F11" i="450" s="1"/>
  <c r="AJ9" i="461"/>
  <c r="AP8" i="463"/>
  <c r="AP16" i="463"/>
  <c r="AT83" i="463"/>
  <c r="AP14" i="463"/>
  <c r="AP10" i="463"/>
  <c r="AP6" i="463"/>
  <c r="AP12" i="463"/>
  <c r="AP15" i="463"/>
  <c r="AP11" i="463"/>
  <c r="AP7" i="463"/>
  <c r="AT80" i="463"/>
  <c r="AT76" i="463"/>
  <c r="AT72" i="463"/>
  <c r="AT79" i="463"/>
  <c r="AT75" i="463"/>
  <c r="AT82" i="463"/>
  <c r="AP13" i="463"/>
  <c r="AP9" i="463"/>
  <c r="AP18" i="463"/>
  <c r="AT78" i="463"/>
  <c r="AT74" i="463"/>
  <c r="AT71" i="463"/>
  <c r="AT81" i="463"/>
  <c r="AT77" i="463"/>
  <c r="AT73" i="463"/>
  <c r="AP17" i="463"/>
  <c r="O5" i="455"/>
  <c r="N9" i="455"/>
  <c r="O9" i="455" s="1"/>
  <c r="AD8" i="458"/>
  <c r="AE8" i="458" s="1"/>
  <c r="AD10" i="458"/>
  <c r="AE10" i="458" s="1"/>
  <c r="N9" i="456"/>
  <c r="N11" i="455"/>
  <c r="O11" i="455" s="1"/>
  <c r="AD9" i="458"/>
  <c r="AE9" i="458" s="1"/>
  <c r="N12" i="455"/>
  <c r="O12" i="455" s="1"/>
  <c r="N10" i="455"/>
  <c r="O10" i="455" s="1"/>
  <c r="O6" i="455"/>
  <c r="N8" i="455"/>
  <c r="O8" i="455" s="1"/>
  <c r="AD11" i="459"/>
  <c r="AE11" i="459" s="1"/>
  <c r="AD9" i="459"/>
  <c r="AE9" i="459" s="1"/>
  <c r="AD10" i="459"/>
  <c r="AE10" i="459" s="1"/>
  <c r="AE7" i="459"/>
  <c r="AD12" i="459"/>
  <c r="AE12" i="459" s="1"/>
  <c r="AF5" i="459" s="1"/>
  <c r="AG5" i="459" s="1"/>
  <c r="AH5" i="459" s="1"/>
  <c r="AD8" i="459"/>
  <c r="AE8" i="459" s="1"/>
  <c r="AE6" i="459"/>
  <c r="O6" i="456"/>
  <c r="M10" i="456"/>
  <c r="AE7" i="458"/>
  <c r="N11" i="456"/>
  <c r="O5" i="456"/>
  <c r="M9" i="456"/>
  <c r="M8" i="456"/>
  <c r="N8" i="456"/>
  <c r="AE5" i="458"/>
  <c r="AD12" i="458"/>
  <c r="AE12" i="458" s="1"/>
  <c r="AD11" i="458"/>
  <c r="AE11" i="458" s="1"/>
  <c r="K17" i="451"/>
  <c r="O16" i="451" s="1"/>
  <c r="L18" i="451"/>
  <c r="J17" i="451"/>
  <c r="F18" i="450" a="1"/>
  <c r="F18" i="450" s="1"/>
  <c r="I18" i="450" a="1"/>
  <c r="I18" i="450" s="1"/>
  <c r="H18" i="450" a="1"/>
  <c r="H18" i="450" s="1"/>
  <c r="G18" i="450" a="1"/>
  <c r="G18" i="450" s="1"/>
  <c r="I17" i="450" a="1"/>
  <c r="I17" i="450" s="1"/>
  <c r="F17" i="450" a="1"/>
  <c r="F17" i="450" s="1"/>
  <c r="G17" i="450" a="1"/>
  <c r="G17" i="450" s="1"/>
  <c r="H17" i="450" a="1"/>
  <c r="H17" i="450" s="1"/>
  <c r="L19" i="448" a="1"/>
  <c r="L19" i="448" s="1"/>
  <c r="M19" i="448" a="1"/>
  <c r="M19" i="448" s="1"/>
  <c r="K19" i="448" a="1"/>
  <c r="K19" i="448" s="1"/>
  <c r="K18" i="448" a="1"/>
  <c r="K18" i="448" s="1"/>
  <c r="N19" i="448"/>
  <c r="S9" i="448" s="1"/>
  <c r="X40" i="179" a="1"/>
  <c r="Y41" i="179" s="1"/>
  <c r="F3" i="450" l="1"/>
  <c r="R5" i="449"/>
  <c r="S5" i="449" s="1"/>
  <c r="T5" i="449" s="1"/>
  <c r="Q7" i="449"/>
  <c r="R7" i="449" s="1"/>
  <c r="S7" i="449" s="1"/>
  <c r="T7" i="449" s="1"/>
  <c r="R6" i="449"/>
  <c r="S6" i="449" s="1"/>
  <c r="T6" i="449" s="1"/>
  <c r="H13" i="450" a="1"/>
  <c r="H13" i="450" s="1"/>
  <c r="G13" i="450" a="1"/>
  <c r="G13" i="450" s="1"/>
  <c r="I12" i="450" a="1"/>
  <c r="I12" i="450" s="1"/>
  <c r="G7" i="450" a="1"/>
  <c r="G7" i="450" s="1"/>
  <c r="I6" i="450" a="1"/>
  <c r="I6" i="450" s="1"/>
  <c r="L6" i="448" a="1"/>
  <c r="L6" i="448" s="1"/>
  <c r="M6" i="448" a="1"/>
  <c r="M6" i="448" s="1"/>
  <c r="K6" i="448" a="1"/>
  <c r="K6" i="448" s="1"/>
  <c r="I5" i="450" a="1"/>
  <c r="I5" i="450" s="1"/>
  <c r="F7" i="450" a="1"/>
  <c r="F7" i="450" s="1"/>
  <c r="L12" i="448" a="1"/>
  <c r="M12" i="448" a="1"/>
  <c r="M12" i="448" s="1"/>
  <c r="K12" i="448" a="1"/>
  <c r="K12" i="448" s="1"/>
  <c r="I11" i="450" a="1"/>
  <c r="I11" i="450" s="1"/>
  <c r="F13" i="450" a="1"/>
  <c r="F13" i="450" s="1"/>
  <c r="K5" i="448" a="1"/>
  <c r="K5" i="448" s="1"/>
  <c r="M5" i="448" a="1"/>
  <c r="M5" i="448" s="1"/>
  <c r="L5" i="448" a="1"/>
  <c r="L5" i="448" s="1"/>
  <c r="AI10" i="461"/>
  <c r="K11" i="448" a="1"/>
  <c r="K11" i="448" s="1"/>
  <c r="M11" i="448" a="1"/>
  <c r="M11" i="448" s="1"/>
  <c r="L11" i="448" a="1"/>
  <c r="L11" i="448" s="1"/>
  <c r="H7" i="450" a="1"/>
  <c r="H7" i="450" s="1"/>
  <c r="AJ10" i="461"/>
  <c r="AP19" i="463"/>
  <c r="AT84" i="463"/>
  <c r="AF9" i="458"/>
  <c r="AG9" i="458" s="1"/>
  <c r="AH9" i="458" s="1"/>
  <c r="O8" i="456"/>
  <c r="P5" i="455"/>
  <c r="Q5" i="455" s="1"/>
  <c r="R5" i="455" s="1"/>
  <c r="O9" i="456"/>
  <c r="P9" i="455"/>
  <c r="P10" i="455"/>
  <c r="Q10" i="455" s="1"/>
  <c r="R10" i="455" s="1"/>
  <c r="P8" i="455"/>
  <c r="Q8" i="455" s="1"/>
  <c r="R8" i="455" s="1"/>
  <c r="P6" i="455"/>
  <c r="Q6" i="455" s="1"/>
  <c r="R6" i="455" s="1"/>
  <c r="P11" i="455"/>
  <c r="Q11" i="455" s="1"/>
  <c r="R11" i="455" s="1"/>
  <c r="P7" i="455"/>
  <c r="Q7" i="455" s="1"/>
  <c r="R7" i="455" s="1"/>
  <c r="AF6" i="459"/>
  <c r="AG6" i="459" s="1"/>
  <c r="AH6" i="459" s="1"/>
  <c r="AF10" i="459"/>
  <c r="AG10" i="459" s="1"/>
  <c r="AH10" i="459" s="1"/>
  <c r="AF8" i="459"/>
  <c r="AG8" i="459" s="1"/>
  <c r="AH8" i="459" s="1"/>
  <c r="AF9" i="459"/>
  <c r="AG9" i="459" s="1"/>
  <c r="AH9" i="459" s="1"/>
  <c r="AF11" i="459"/>
  <c r="AG11" i="459" s="1"/>
  <c r="AH11" i="459" s="1"/>
  <c r="AF7" i="459"/>
  <c r="AG7" i="459" s="1"/>
  <c r="AH7" i="459" s="1"/>
  <c r="O10" i="456"/>
  <c r="M11" i="456"/>
  <c r="AF8" i="458"/>
  <c r="AG8" i="458" s="1"/>
  <c r="AH8" i="458" s="1"/>
  <c r="AF10" i="458"/>
  <c r="AG10" i="458" s="1"/>
  <c r="AH10" i="458" s="1"/>
  <c r="AF5" i="458"/>
  <c r="AG5" i="458" s="1"/>
  <c r="AH5" i="458" s="1"/>
  <c r="AF6" i="458"/>
  <c r="AG6" i="458" s="1"/>
  <c r="AH6" i="458" s="1"/>
  <c r="AF7" i="458"/>
  <c r="AG7" i="458" s="1"/>
  <c r="AH7" i="458" s="1"/>
  <c r="AF11" i="458"/>
  <c r="AG11" i="458" s="1"/>
  <c r="AH11" i="458" s="1"/>
  <c r="L17" i="451"/>
  <c r="O12" i="451" s="1"/>
  <c r="J16" i="451"/>
  <c r="L16" i="451" s="1"/>
  <c r="L17" i="448" a="1"/>
  <c r="L17" i="448" s="1"/>
  <c r="N17" i="448" a="1"/>
  <c r="N17" i="448" s="1"/>
  <c r="N18" i="448" a="1"/>
  <c r="N18" i="448" s="1"/>
  <c r="L8" i="450"/>
  <c r="M18" i="448" a="1"/>
  <c r="M18" i="448" s="1"/>
  <c r="L18" i="448" a="1"/>
  <c r="L18" i="448" s="1"/>
  <c r="L12" i="448"/>
  <c r="K17" i="448" a="1"/>
  <c r="K17" i="448" s="1"/>
  <c r="M17" i="448" a="1"/>
  <c r="M17" i="448" s="1"/>
  <c r="X43" i="179"/>
  <c r="X41" i="179"/>
  <c r="Y44" i="179"/>
  <c r="Y42" i="179"/>
  <c r="Y40" i="179"/>
  <c r="X44" i="179"/>
  <c r="X42" i="179"/>
  <c r="X40" i="179"/>
  <c r="Y43" i="179"/>
  <c r="Q9" i="455" l="1"/>
  <c r="R9" i="455" s="1"/>
  <c r="K3" i="448"/>
  <c r="L7" i="448" a="1"/>
  <c r="L7" i="448" s="1"/>
  <c r="I13" i="450" a="1"/>
  <c r="I13" i="450" s="1"/>
  <c r="M7" i="448" a="1"/>
  <c r="M7" i="448" s="1"/>
  <c r="N6" i="448" a="1"/>
  <c r="N6" i="448" s="1"/>
  <c r="N12" i="448" a="1"/>
  <c r="N12" i="448" s="1"/>
  <c r="L13" i="448" a="1"/>
  <c r="L13" i="448" s="1"/>
  <c r="K13" i="448" a="1"/>
  <c r="K13" i="448" s="1"/>
  <c r="N11" i="448" a="1"/>
  <c r="N11" i="448" s="1"/>
  <c r="M13" i="448" a="1"/>
  <c r="M13" i="448" s="1"/>
  <c r="I7" i="450" a="1"/>
  <c r="I7" i="450" s="1"/>
  <c r="M9" i="450" s="1"/>
  <c r="L9" i="450" s="1"/>
  <c r="AI11" i="461"/>
  <c r="AJ11" i="461"/>
  <c r="K7" i="448" a="1"/>
  <c r="K7" i="448" s="1"/>
  <c r="N5" i="448" a="1"/>
  <c r="N5" i="448" s="1"/>
  <c r="M12" i="456"/>
  <c r="O12" i="456" s="1"/>
  <c r="P10" i="456" s="1"/>
  <c r="Q10" i="456" s="1"/>
  <c r="R10" i="456" s="1"/>
  <c r="O11" i="456"/>
  <c r="O9" i="451"/>
  <c r="Q9" i="451" s="1"/>
  <c r="O10" i="451"/>
  <c r="Q10" i="451" s="1"/>
  <c r="P16" i="451"/>
  <c r="M16" i="451"/>
  <c r="N16" i="451" s="1"/>
  <c r="O11" i="451"/>
  <c r="P11" i="451" s="1"/>
  <c r="Q16" i="451"/>
  <c r="Q12" i="451"/>
  <c r="P12" i="451"/>
  <c r="M6" i="450"/>
  <c r="L6" i="450"/>
  <c r="M5" i="450"/>
  <c r="L5" i="450"/>
  <c r="G12" i="447"/>
  <c r="G11" i="447"/>
  <c r="N13" i="448" l="1" a="1"/>
  <c r="N13" i="448" s="1"/>
  <c r="N7" i="448" a="1"/>
  <c r="N7" i="448" s="1"/>
  <c r="R9" i="448" s="1"/>
  <c r="AJ12" i="461"/>
  <c r="AI12" i="461"/>
  <c r="P11" i="456"/>
  <c r="Q11" i="456" s="1"/>
  <c r="R11" i="456" s="1"/>
  <c r="P7" i="456"/>
  <c r="Q7" i="456" s="1"/>
  <c r="R7" i="456" s="1"/>
  <c r="P9" i="456"/>
  <c r="P6" i="456"/>
  <c r="Q6" i="456" s="1"/>
  <c r="R6" i="456" s="1"/>
  <c r="P8" i="456"/>
  <c r="Q8" i="456" s="1"/>
  <c r="R8" i="456" s="1"/>
  <c r="P5" i="456"/>
  <c r="Q5" i="456" s="1"/>
  <c r="R5" i="456" s="1"/>
  <c r="Q11" i="451"/>
  <c r="P9" i="451"/>
  <c r="P10" i="451"/>
  <c r="N6" i="450"/>
  <c r="N5" i="450"/>
  <c r="L7" i="450"/>
  <c r="M7" i="450"/>
  <c r="M8" i="450" s="1"/>
  <c r="N8" i="450" s="1"/>
  <c r="R5" i="448"/>
  <c r="S5" i="448" s="1"/>
  <c r="R6" i="448"/>
  <c r="O24" i="447"/>
  <c r="O23" i="447"/>
  <c r="K24" i="447"/>
  <c r="K23" i="447"/>
  <c r="G24" i="447"/>
  <c r="O12" i="447"/>
  <c r="K12" i="447"/>
  <c r="G23" i="447"/>
  <c r="P21" i="447"/>
  <c r="O21" i="447"/>
  <c r="L21" i="447"/>
  <c r="K21" i="447"/>
  <c r="H21" i="447"/>
  <c r="G21" i="447"/>
  <c r="O11" i="447"/>
  <c r="P9" i="447"/>
  <c r="O9" i="447"/>
  <c r="K11" i="447"/>
  <c r="L9" i="447"/>
  <c r="K9" i="447"/>
  <c r="H9" i="447"/>
  <c r="G9" i="447"/>
  <c r="B24" i="447"/>
  <c r="B25" i="447"/>
  <c r="B23" i="447"/>
  <c r="A5" i="447"/>
  <c r="A6" i="447" s="1"/>
  <c r="A7" i="447" s="1"/>
  <c r="A8" i="447" s="1"/>
  <c r="A9" i="447" s="1"/>
  <c r="A10" i="447" s="1"/>
  <c r="A11" i="447" s="1"/>
  <c r="A12" i="447" s="1"/>
  <c r="A13" i="447" s="1"/>
  <c r="A14" i="447" s="1"/>
  <c r="A15" i="447" s="1"/>
  <c r="A16" i="447" s="1"/>
  <c r="A17" i="447" s="1"/>
  <c r="A18" i="447" s="1"/>
  <c r="A19" i="447" s="1"/>
  <c r="A20" i="447" s="1"/>
  <c r="A21" i="447" s="1"/>
  <c r="Q9" i="456" l="1"/>
  <c r="R9" i="456" s="1"/>
  <c r="AI13" i="461"/>
  <c r="AJ13" i="461"/>
  <c r="O5" i="450"/>
  <c r="P5" i="450" s="1"/>
  <c r="Q5" i="450" s="1"/>
  <c r="N7" i="450"/>
  <c r="O7" i="450" s="1"/>
  <c r="P7" i="450" s="1"/>
  <c r="Q7" i="450" s="1"/>
  <c r="O6" i="450"/>
  <c r="P6" i="450" s="1"/>
  <c r="Q6" i="450" s="1"/>
  <c r="R7" i="448"/>
  <c r="S7" i="448" s="1"/>
  <c r="S6" i="448"/>
  <c r="Q9" i="448"/>
  <c r="I32" i="442"/>
  <c r="H32" i="442"/>
  <c r="G32" i="442"/>
  <c r="F32" i="442"/>
  <c r="I31" i="442"/>
  <c r="H31" i="442"/>
  <c r="G31" i="442"/>
  <c r="F31" i="442"/>
  <c r="D35" i="442"/>
  <c r="C35" i="442"/>
  <c r="I30" i="442"/>
  <c r="H30" i="442"/>
  <c r="G30" i="442"/>
  <c r="F30" i="442"/>
  <c r="I29" i="442"/>
  <c r="H29" i="442"/>
  <c r="G29" i="442"/>
  <c r="F29" i="442"/>
  <c r="G28" i="442"/>
  <c r="I27" i="442"/>
  <c r="H27" i="442"/>
  <c r="G27" i="442"/>
  <c r="F27" i="442"/>
  <c r="I26" i="442"/>
  <c r="H26" i="442"/>
  <c r="G26" i="442"/>
  <c r="F26" i="442"/>
  <c r="I25" i="442"/>
  <c r="H25" i="442"/>
  <c r="G25" i="442"/>
  <c r="F25" i="442"/>
  <c r="I24" i="442"/>
  <c r="H24" i="442"/>
  <c r="G24" i="442"/>
  <c r="F24" i="442"/>
  <c r="G23" i="442"/>
  <c r="I22" i="442"/>
  <c r="H22" i="442"/>
  <c r="G22" i="442"/>
  <c r="F22" i="442"/>
  <c r="I15" i="442"/>
  <c r="H15" i="442"/>
  <c r="G15" i="442"/>
  <c r="F15" i="442"/>
  <c r="I14" i="442"/>
  <c r="H14" i="442"/>
  <c r="G14" i="442"/>
  <c r="F14" i="442"/>
  <c r="D16" i="442"/>
  <c r="C16" i="442"/>
  <c r="I13" i="442"/>
  <c r="H13" i="442"/>
  <c r="G13" i="442"/>
  <c r="F13" i="442"/>
  <c r="I12" i="442"/>
  <c r="H12" i="442"/>
  <c r="G12" i="442"/>
  <c r="F12" i="442"/>
  <c r="I11" i="442"/>
  <c r="H11" i="442"/>
  <c r="G11" i="442"/>
  <c r="F11" i="442"/>
  <c r="I10" i="442"/>
  <c r="H10" i="442"/>
  <c r="G10" i="442"/>
  <c r="F10" i="442"/>
  <c r="I9" i="442"/>
  <c r="H9" i="442"/>
  <c r="G9" i="442"/>
  <c r="F9" i="442"/>
  <c r="I8" i="442"/>
  <c r="H8" i="442"/>
  <c r="G8" i="442"/>
  <c r="F8" i="442"/>
  <c r="I7" i="442"/>
  <c r="H7" i="442"/>
  <c r="G7" i="442"/>
  <c r="F7" i="442"/>
  <c r="I6" i="442"/>
  <c r="H6" i="442"/>
  <c r="G6" i="442"/>
  <c r="F6" i="442"/>
  <c r="I5" i="442"/>
  <c r="H5" i="442"/>
  <c r="G5" i="442"/>
  <c r="F5" i="442"/>
  <c r="I4" i="442"/>
  <c r="H4" i="442"/>
  <c r="G4" i="442"/>
  <c r="F4" i="442"/>
  <c r="I3" i="442"/>
  <c r="H3" i="442"/>
  <c r="G3" i="442"/>
  <c r="F3" i="442"/>
  <c r="Q5" i="442" a="1"/>
  <c r="I28" i="442" l="1"/>
  <c r="Q5" i="442"/>
  <c r="Q7" i="442"/>
  <c r="Q6" i="442"/>
  <c r="I23" i="442"/>
  <c r="I33" i="442" s="1"/>
  <c r="H28" i="442"/>
  <c r="J28" i="442" s="1"/>
  <c r="J27" i="442"/>
  <c r="J30" i="442"/>
  <c r="Q13" i="442"/>
  <c r="J31" i="442"/>
  <c r="AJ14" i="461"/>
  <c r="Q30" i="442"/>
  <c r="J4" i="442"/>
  <c r="H23" i="442"/>
  <c r="AI14" i="461"/>
  <c r="R8" i="448"/>
  <c r="S8" i="448" s="1"/>
  <c r="T5" i="448" s="1"/>
  <c r="U5" i="448" s="1"/>
  <c r="V5" i="448" s="1"/>
  <c r="J24" i="442"/>
  <c r="J26" i="442"/>
  <c r="J29" i="442"/>
  <c r="J32" i="442"/>
  <c r="J25" i="442"/>
  <c r="J5" i="442"/>
  <c r="J9" i="442"/>
  <c r="J12" i="442"/>
  <c r="I16" i="442"/>
  <c r="J6" i="442"/>
  <c r="H16" i="442"/>
  <c r="J11" i="442"/>
  <c r="J8" i="442"/>
  <c r="J14" i="442"/>
  <c r="J7" i="442"/>
  <c r="J10" i="442"/>
  <c r="J13" i="442"/>
  <c r="J15" i="442"/>
  <c r="AT9" i="251"/>
  <c r="AT7" i="251" s="1"/>
  <c r="AI6" i="251" a="1"/>
  <c r="AI6" i="251" s="1"/>
  <c r="AH5" i="251"/>
  <c r="AH6" i="251"/>
  <c r="AH7" i="251"/>
  <c r="AH8" i="251"/>
  <c r="AH9" i="251"/>
  <c r="AH10" i="251"/>
  <c r="AH11" i="251"/>
  <c r="AH12" i="251"/>
  <c r="AH13" i="251"/>
  <c r="AH14" i="251"/>
  <c r="AH15" i="251"/>
  <c r="AH16" i="251"/>
  <c r="AF6" i="251"/>
  <c r="AG6" i="251"/>
  <c r="AF7" i="251"/>
  <c r="AG7" i="251"/>
  <c r="AF8" i="251"/>
  <c r="AG8" i="251"/>
  <c r="AF9" i="251"/>
  <c r="AG9" i="251"/>
  <c r="AF10" i="251"/>
  <c r="AG10" i="251"/>
  <c r="AF11" i="251"/>
  <c r="AG11" i="251"/>
  <c r="AF12" i="251"/>
  <c r="AG12" i="251"/>
  <c r="AF13" i="251"/>
  <c r="AG13" i="251"/>
  <c r="AF14" i="251"/>
  <c r="AG14" i="251"/>
  <c r="AF15" i="251"/>
  <c r="AG15" i="251"/>
  <c r="AF16" i="251"/>
  <c r="AG16" i="251"/>
  <c r="AG5" i="251"/>
  <c r="AF5" i="251"/>
  <c r="AE7" i="251"/>
  <c r="AE8" i="251" s="1"/>
  <c r="AE9" i="251" s="1"/>
  <c r="AE10" i="251" s="1"/>
  <c r="AE11" i="251" s="1"/>
  <c r="AE12" i="251" s="1"/>
  <c r="AE13" i="251" s="1"/>
  <c r="AE14" i="251" s="1"/>
  <c r="AE15" i="251" s="1"/>
  <c r="AE16" i="251" s="1"/>
  <c r="H4" i="440"/>
  <c r="A5" i="440"/>
  <c r="A6" i="440" s="1"/>
  <c r="AJ17" i="440"/>
  <c r="AJ4" i="440"/>
  <c r="AJ8" i="440" s="1"/>
  <c r="AG8" i="440" s="1"/>
  <c r="AF25" i="440"/>
  <c r="AE25" i="440"/>
  <c r="AD25" i="440"/>
  <c r="AC25" i="440"/>
  <c r="AB25" i="440"/>
  <c r="AA25" i="440"/>
  <c r="Z25" i="440"/>
  <c r="Y25" i="440"/>
  <c r="X25" i="440"/>
  <c r="W25" i="440"/>
  <c r="V25" i="440"/>
  <c r="U18" i="440"/>
  <c r="W16" i="440"/>
  <c r="X16" i="440" s="1"/>
  <c r="Y16" i="440" s="1"/>
  <c r="Z16" i="440" s="1"/>
  <c r="AA16" i="440" s="1"/>
  <c r="AB16" i="440" s="1"/>
  <c r="AC16" i="440" s="1"/>
  <c r="AD16" i="440" s="1"/>
  <c r="AE16" i="440" s="1"/>
  <c r="AF16" i="440" s="1"/>
  <c r="N54" i="440"/>
  <c r="O54" i="440"/>
  <c r="M54" i="440"/>
  <c r="S4" i="440"/>
  <c r="S6" i="440"/>
  <c r="W12" i="440"/>
  <c r="X12" i="440"/>
  <c r="Y12" i="440"/>
  <c r="Z12" i="440"/>
  <c r="AA12" i="440"/>
  <c r="AB12" i="440"/>
  <c r="AC12" i="440"/>
  <c r="AD12" i="440"/>
  <c r="AE12" i="440"/>
  <c r="AF12" i="440"/>
  <c r="V12" i="440"/>
  <c r="U5" i="440"/>
  <c r="U6" i="440" s="1"/>
  <c r="U7" i="440" s="1"/>
  <c r="U8" i="440" s="1"/>
  <c r="U9" i="440" s="1"/>
  <c r="U10" i="440" s="1"/>
  <c r="U11" i="440" s="1"/>
  <c r="W3" i="440"/>
  <c r="X3" i="440" s="1"/>
  <c r="Y3" i="440" s="1"/>
  <c r="Z3" i="440" s="1"/>
  <c r="AA3" i="440" s="1"/>
  <c r="AB3" i="440" s="1"/>
  <c r="AC3" i="440" s="1"/>
  <c r="AD3" i="440" s="1"/>
  <c r="AE3" i="440" s="1"/>
  <c r="AF3" i="440" s="1"/>
  <c r="L5" i="440"/>
  <c r="L6" i="440" s="1"/>
  <c r="L7" i="440" s="1"/>
  <c r="L8" i="440" s="1"/>
  <c r="L9" i="440" s="1"/>
  <c r="L10" i="440" s="1"/>
  <c r="L11" i="440" s="1"/>
  <c r="L12" i="440" s="1"/>
  <c r="L13" i="440" s="1"/>
  <c r="L14" i="440" s="1"/>
  <c r="L15" i="440" s="1"/>
  <c r="L16" i="440" s="1"/>
  <c r="L17" i="440" s="1"/>
  <c r="L18" i="440" s="1"/>
  <c r="L19" i="440" s="1"/>
  <c r="L20" i="440" s="1"/>
  <c r="L21" i="440" s="1"/>
  <c r="L22" i="440" s="1"/>
  <c r="L23" i="440" s="1"/>
  <c r="L24" i="440" s="1"/>
  <c r="L25" i="440" s="1"/>
  <c r="L26" i="440" s="1"/>
  <c r="L27" i="440" s="1"/>
  <c r="L28" i="440" s="1"/>
  <c r="L29" i="440" s="1"/>
  <c r="L30" i="440" s="1"/>
  <c r="L31" i="440" s="1"/>
  <c r="L32" i="440" s="1"/>
  <c r="L33" i="440" s="1"/>
  <c r="L34" i="440" s="1"/>
  <c r="L35" i="440" s="1"/>
  <c r="L36" i="440" s="1"/>
  <c r="L37" i="440" s="1"/>
  <c r="L38" i="440" s="1"/>
  <c r="L39" i="440" s="1"/>
  <c r="L40" i="440" s="1"/>
  <c r="L41" i="440" s="1"/>
  <c r="L42" i="440" s="1"/>
  <c r="L43" i="440" s="1"/>
  <c r="L44" i="440" s="1"/>
  <c r="L45" i="440" s="1"/>
  <c r="L46" i="440" s="1"/>
  <c r="L47" i="440" s="1"/>
  <c r="L48" i="440" s="1"/>
  <c r="L49" i="440" s="1"/>
  <c r="L50" i="440" s="1"/>
  <c r="L51" i="440" s="1"/>
  <c r="L52" i="440" s="1"/>
  <c r="L53" i="440" s="1"/>
  <c r="J23" i="442" l="1"/>
  <c r="J33" i="442" s="1"/>
  <c r="H33" i="442"/>
  <c r="AG7" i="440"/>
  <c r="AG10" i="440"/>
  <c r="AJ6" i="251"/>
  <c r="AG5" i="440"/>
  <c r="K25" i="442"/>
  <c r="M25" i="442" s="1"/>
  <c r="K10" i="442"/>
  <c r="K7" i="442"/>
  <c r="L7" i="442" s="1"/>
  <c r="K5" i="442"/>
  <c r="M5" i="442" s="1"/>
  <c r="K8" i="442"/>
  <c r="L8" i="442" s="1"/>
  <c r="K4" i="442"/>
  <c r="L4" i="442" s="1"/>
  <c r="K15" i="442"/>
  <c r="L15" i="442" s="1"/>
  <c r="K11" i="442"/>
  <c r="L11" i="442" s="1"/>
  <c r="K12" i="442"/>
  <c r="M12" i="442" s="1"/>
  <c r="K14" i="442"/>
  <c r="L14" i="442" s="1"/>
  <c r="K31" i="442"/>
  <c r="L31" i="442" s="1"/>
  <c r="K6" i="442"/>
  <c r="L6" i="442" s="1"/>
  <c r="K27" i="442"/>
  <c r="K9" i="442"/>
  <c r="L9" i="442" s="1"/>
  <c r="K24" i="442"/>
  <c r="M24" i="442" s="1"/>
  <c r="K13" i="442"/>
  <c r="L13" i="442" s="1"/>
  <c r="A7" i="440"/>
  <c r="A8" i="440" s="1"/>
  <c r="A9" i="440" s="1"/>
  <c r="A10" i="440" s="1"/>
  <c r="A11" i="440" s="1"/>
  <c r="A12" i="440" s="1"/>
  <c r="A13" i="440" s="1"/>
  <c r="A14" i="440" s="1"/>
  <c r="A15" i="440" s="1"/>
  <c r="AJ5" i="440"/>
  <c r="AJ7" i="440" s="1"/>
  <c r="X26" i="440" s="1"/>
  <c r="AJ6" i="440"/>
  <c r="AG11" i="440"/>
  <c r="AG6" i="440"/>
  <c r="U19" i="440"/>
  <c r="U20" i="440" s="1"/>
  <c r="U21" i="440" s="1"/>
  <c r="U22" i="440" s="1"/>
  <c r="U23" i="440" s="1"/>
  <c r="U24" i="440" s="1"/>
  <c r="AI15" i="461"/>
  <c r="AJ15" i="461"/>
  <c r="AJ16" i="461" s="1"/>
  <c r="AL14" i="461" s="1"/>
  <c r="K32" i="442"/>
  <c r="M32" i="442" s="1"/>
  <c r="K26" i="442"/>
  <c r="M26" i="442" s="1"/>
  <c r="S8" i="440"/>
  <c r="P5" i="440" s="1"/>
  <c r="S5" i="440"/>
  <c r="S7" i="440" s="1"/>
  <c r="AG9" i="440"/>
  <c r="K29" i="442"/>
  <c r="M29" i="442" s="1"/>
  <c r="K30" i="442"/>
  <c r="T7" i="448"/>
  <c r="U7" i="448" s="1"/>
  <c r="V7" i="448" s="1"/>
  <c r="T6" i="448"/>
  <c r="U6" i="448" s="1"/>
  <c r="V6" i="448" s="1"/>
  <c r="J16" i="442"/>
  <c r="AI13" i="251"/>
  <c r="AJ13" i="251" s="1"/>
  <c r="AI9" i="251"/>
  <c r="AJ9" i="251" s="1"/>
  <c r="AI16" i="251"/>
  <c r="AJ16" i="251" s="1"/>
  <c r="AI12" i="251"/>
  <c r="AJ12" i="251" s="1"/>
  <c r="AI8" i="251"/>
  <c r="AJ8" i="251" s="1"/>
  <c r="AI15" i="251"/>
  <c r="AJ15" i="251" s="1"/>
  <c r="AI11" i="251"/>
  <c r="AJ11" i="251" s="1"/>
  <c r="AI7" i="251"/>
  <c r="AJ7" i="251" s="1"/>
  <c r="AI14" i="251"/>
  <c r="AJ14" i="251" s="1"/>
  <c r="AI10" i="251"/>
  <c r="AJ10" i="251" s="1"/>
  <c r="AG4" i="440"/>
  <c r="Y44" i="431" a="1"/>
  <c r="Y44" i="431" s="1"/>
  <c r="Y20" i="431" a="1"/>
  <c r="Y20" i="431" s="1"/>
  <c r="I52" i="431" a="1"/>
  <c r="I52" i="431" s="1"/>
  <c r="E37" i="431"/>
  <c r="F37" i="431"/>
  <c r="G37" i="431"/>
  <c r="E38" i="431"/>
  <c r="F38" i="431"/>
  <c r="G38" i="431"/>
  <c r="E39" i="431"/>
  <c r="F39" i="431"/>
  <c r="G39" i="431"/>
  <c r="E40" i="431"/>
  <c r="F40" i="431"/>
  <c r="G40" i="431"/>
  <c r="E41" i="431"/>
  <c r="F41" i="431"/>
  <c r="G41" i="431"/>
  <c r="E42" i="431"/>
  <c r="F42" i="431"/>
  <c r="G42" i="431"/>
  <c r="E43" i="431"/>
  <c r="F43" i="431"/>
  <c r="G43" i="431"/>
  <c r="E44" i="431"/>
  <c r="F44" i="431"/>
  <c r="G44" i="431"/>
  <c r="E45" i="431"/>
  <c r="F45" i="431"/>
  <c r="G45" i="431"/>
  <c r="E46" i="431"/>
  <c r="F46" i="431"/>
  <c r="G46" i="431"/>
  <c r="F36" i="431"/>
  <c r="G36" i="431"/>
  <c r="E36" i="431"/>
  <c r="Y8" i="431" a="1"/>
  <c r="Y8" i="431" s="1"/>
  <c r="I26" i="431"/>
  <c r="R7" i="431" a="1"/>
  <c r="S7" i="431" s="1"/>
  <c r="G7" i="431"/>
  <c r="G8" i="431"/>
  <c r="G9" i="431"/>
  <c r="G10" i="431"/>
  <c r="G11" i="431"/>
  <c r="G12" i="431"/>
  <c r="G13" i="431"/>
  <c r="G14" i="431"/>
  <c r="G15" i="431"/>
  <c r="G16" i="431"/>
  <c r="G6" i="431"/>
  <c r="E7" i="431"/>
  <c r="F7" i="431"/>
  <c r="E8" i="431"/>
  <c r="F8" i="431"/>
  <c r="E9" i="431"/>
  <c r="F9" i="431"/>
  <c r="E10" i="431"/>
  <c r="F10" i="431"/>
  <c r="E11" i="431"/>
  <c r="F11" i="431"/>
  <c r="E12" i="431"/>
  <c r="F12" i="431"/>
  <c r="E13" i="431"/>
  <c r="F13" i="431"/>
  <c r="E14" i="431"/>
  <c r="F14" i="431"/>
  <c r="E15" i="431"/>
  <c r="F15" i="431"/>
  <c r="E16" i="431"/>
  <c r="F16" i="431"/>
  <c r="F6" i="431"/>
  <c r="E6" i="431"/>
  <c r="I22" i="431" a="1"/>
  <c r="I22" i="431" s="1"/>
  <c r="I27" i="431" s="1"/>
  <c r="J51" i="431" a="1"/>
  <c r="K51" i="431" a="1"/>
  <c r="J21" i="431" a="1"/>
  <c r="J21" i="431" l="1"/>
  <c r="J26" i="431" s="1"/>
  <c r="J23" i="431"/>
  <c r="J28" i="431" s="1"/>
  <c r="J22" i="431"/>
  <c r="J27" i="431" s="1"/>
  <c r="K23" i="431"/>
  <c r="K22" i="431"/>
  <c r="K21" i="431"/>
  <c r="K51" i="431"/>
  <c r="K52" i="431"/>
  <c r="K53" i="431"/>
  <c r="J53" i="431"/>
  <c r="J51" i="431"/>
  <c r="J52" i="431"/>
  <c r="P45" i="440"/>
  <c r="P22" i="440"/>
  <c r="P29" i="440"/>
  <c r="P38" i="440"/>
  <c r="M10" i="442"/>
  <c r="K28" i="442"/>
  <c r="J16" i="431"/>
  <c r="P13" i="440"/>
  <c r="P6" i="440"/>
  <c r="L25" i="442"/>
  <c r="N25" i="442" s="1"/>
  <c r="L12" i="442"/>
  <c r="N12" i="442" s="1"/>
  <c r="J46" i="431"/>
  <c r="AB13" i="440"/>
  <c r="S9" i="431"/>
  <c r="AC26" i="440"/>
  <c r="T10" i="431"/>
  <c r="AA13" i="440"/>
  <c r="R8" i="431"/>
  <c r="L10" i="442"/>
  <c r="M13" i="442"/>
  <c r="N13" i="442" s="1"/>
  <c r="M11" i="442"/>
  <c r="N11" i="442" s="1"/>
  <c r="M6" i="442"/>
  <c r="N6" i="442" s="1"/>
  <c r="M7" i="442"/>
  <c r="N7" i="442" s="1"/>
  <c r="L5" i="442"/>
  <c r="N5" i="442" s="1"/>
  <c r="L32" i="442"/>
  <c r="N32" i="442" s="1"/>
  <c r="M8" i="442"/>
  <c r="N8" i="442" s="1"/>
  <c r="K23" i="442"/>
  <c r="L23" i="442" s="1"/>
  <c r="M9" i="442"/>
  <c r="N9" i="442" s="1"/>
  <c r="M15" i="442"/>
  <c r="M4" i="442"/>
  <c r="N4" i="442" s="1"/>
  <c r="L26" i="442"/>
  <c r="N26" i="442" s="1"/>
  <c r="M31" i="442"/>
  <c r="N31" i="442" s="1"/>
  <c r="M14" i="442"/>
  <c r="N14" i="442" s="1"/>
  <c r="L24" i="442"/>
  <c r="N24" i="442" s="1"/>
  <c r="M27" i="442"/>
  <c r="L27" i="442"/>
  <c r="L29" i="442"/>
  <c r="N29" i="442" s="1"/>
  <c r="AT6" i="251"/>
  <c r="AT8" i="251" s="1"/>
  <c r="AL6" i="251" s="1"/>
  <c r="N55" i="440"/>
  <c r="M55" i="440"/>
  <c r="O55" i="440"/>
  <c r="P20" i="440"/>
  <c r="P7" i="440"/>
  <c r="P23" i="440"/>
  <c r="P39" i="440"/>
  <c r="P32" i="440"/>
  <c r="AE26" i="440"/>
  <c r="Z26" i="440"/>
  <c r="Z13" i="440"/>
  <c r="Y13" i="440"/>
  <c r="T9" i="431"/>
  <c r="R7" i="431"/>
  <c r="AE13" i="440"/>
  <c r="Y26" i="440"/>
  <c r="AF13" i="440"/>
  <c r="P17" i="440"/>
  <c r="P33" i="440"/>
  <c r="P49" i="440"/>
  <c r="P10" i="440"/>
  <c r="P26" i="440"/>
  <c r="P42" i="440"/>
  <c r="P4" i="440"/>
  <c r="P28" i="440"/>
  <c r="AL15" i="461"/>
  <c r="AL16" i="461"/>
  <c r="AL6" i="461"/>
  <c r="AL7" i="461"/>
  <c r="AL8" i="461"/>
  <c r="AL9" i="461"/>
  <c r="AL10" i="461"/>
  <c r="AL11" i="461"/>
  <c r="AL12" i="461"/>
  <c r="AL13" i="461"/>
  <c r="P11" i="440"/>
  <c r="P27" i="440"/>
  <c r="P43" i="440"/>
  <c r="P40" i="440"/>
  <c r="AD13" i="440"/>
  <c r="AJ18" i="440"/>
  <c r="AC13" i="440"/>
  <c r="K48" i="431"/>
  <c r="W26" i="440"/>
  <c r="AD26" i="440"/>
  <c r="AJ9" i="440"/>
  <c r="P21" i="440"/>
  <c r="P37" i="440"/>
  <c r="P53" i="440"/>
  <c r="P14" i="440"/>
  <c r="P30" i="440"/>
  <c r="P46" i="440"/>
  <c r="P8" i="440"/>
  <c r="P36" i="440"/>
  <c r="AF26" i="440"/>
  <c r="P15" i="440"/>
  <c r="P31" i="440"/>
  <c r="P47" i="440"/>
  <c r="P16" i="440"/>
  <c r="P44" i="440"/>
  <c r="H5" i="440"/>
  <c r="V13" i="440"/>
  <c r="R11" i="431"/>
  <c r="S8" i="431"/>
  <c r="W13" i="440"/>
  <c r="V26" i="440"/>
  <c r="X13" i="440"/>
  <c r="M30" i="442"/>
  <c r="L30" i="442"/>
  <c r="P9" i="440"/>
  <c r="P25" i="440"/>
  <c r="P41" i="440"/>
  <c r="P18" i="440"/>
  <c r="P34" i="440"/>
  <c r="P50" i="440"/>
  <c r="P12" i="440"/>
  <c r="P48" i="440"/>
  <c r="AI16" i="461"/>
  <c r="AB26" i="440"/>
  <c r="P19" i="440"/>
  <c r="P35" i="440"/>
  <c r="P51" i="440"/>
  <c r="P24" i="440"/>
  <c r="P52" i="440"/>
  <c r="AA26" i="440"/>
  <c r="T11" i="431"/>
  <c r="S10" i="431"/>
  <c r="R9" i="431"/>
  <c r="T7" i="431"/>
  <c r="Y45" i="431"/>
  <c r="S11" i="431"/>
  <c r="R10" i="431"/>
  <c r="T8" i="431"/>
  <c r="J42" i="431"/>
  <c r="J48" i="431" s="1"/>
  <c r="Y21" i="431"/>
  <c r="I53" i="431"/>
  <c r="K18" i="431"/>
  <c r="Y9" i="431"/>
  <c r="J12" i="431"/>
  <c r="J18" i="431" s="1"/>
  <c r="I23" i="431"/>
  <c r="I28" i="431" s="1"/>
  <c r="J47" i="431" l="1"/>
  <c r="AP6" i="251"/>
  <c r="B20" i="440"/>
  <c r="J17" i="431"/>
  <c r="N22" i="431" s="1"/>
  <c r="N10" i="442"/>
  <c r="M28" i="442"/>
  <c r="L28" i="442"/>
  <c r="L33" i="442" s="1"/>
  <c r="N15" i="442"/>
  <c r="AM12" i="251"/>
  <c r="AN12" i="251" s="1"/>
  <c r="AQ12" i="251" s="1"/>
  <c r="L16" i="442"/>
  <c r="AM7" i="251"/>
  <c r="AN7" i="251" s="1"/>
  <c r="AO7" i="251" s="1"/>
  <c r="AM14" i="251"/>
  <c r="AN14" i="251" s="1"/>
  <c r="AO14" i="251" s="1"/>
  <c r="AM9" i="251"/>
  <c r="AN9" i="251" s="1"/>
  <c r="AO9" i="251" s="1"/>
  <c r="AM6" i="251"/>
  <c r="AN6" i="251" s="1"/>
  <c r="AQ6" i="251" s="1"/>
  <c r="AP14" i="251"/>
  <c r="AL12" i="251"/>
  <c r="AL14" i="251"/>
  <c r="AM15" i="251"/>
  <c r="AN15" i="251" s="1"/>
  <c r="AQ15" i="251" s="1"/>
  <c r="AM11" i="251"/>
  <c r="AN11" i="251" s="1"/>
  <c r="AQ11" i="251" s="1"/>
  <c r="AM8" i="251"/>
  <c r="AN8" i="251" s="1"/>
  <c r="AO8" i="251" s="1"/>
  <c r="AM10" i="251"/>
  <c r="AN10" i="251" s="1"/>
  <c r="AQ10" i="251" s="1"/>
  <c r="AM13" i="251"/>
  <c r="AN13" i="251" s="1"/>
  <c r="AQ13" i="251" s="1"/>
  <c r="AM16" i="251"/>
  <c r="AN16" i="251" s="1"/>
  <c r="AQ16" i="251" s="1"/>
  <c r="AL16" i="251"/>
  <c r="AL9" i="251"/>
  <c r="AL8" i="251"/>
  <c r="AL13" i="251"/>
  <c r="AL10" i="251"/>
  <c r="AP7" i="251"/>
  <c r="AP9" i="251"/>
  <c r="AP12" i="251"/>
  <c r="Y15" i="431"/>
  <c r="AP15" i="251"/>
  <c r="AP11" i="251"/>
  <c r="AP8" i="251"/>
  <c r="AP10" i="251"/>
  <c r="AP13" i="251"/>
  <c r="AP16" i="251"/>
  <c r="AL11" i="251"/>
  <c r="AL15" i="251"/>
  <c r="M23" i="442"/>
  <c r="N23" i="442" s="1"/>
  <c r="M16" i="442"/>
  <c r="N27" i="442"/>
  <c r="N30" i="442"/>
  <c r="D17" i="440"/>
  <c r="B17" i="440"/>
  <c r="B18" i="440" s="1"/>
  <c r="H6" i="440"/>
  <c r="E17" i="440"/>
  <c r="C17" i="440"/>
  <c r="AJ19" i="440"/>
  <c r="AJ20" i="440"/>
  <c r="AK6" i="461"/>
  <c r="AK16" i="461"/>
  <c r="AM16" i="461" s="1"/>
  <c r="AK7" i="461"/>
  <c r="AK8" i="461"/>
  <c r="AK9" i="461"/>
  <c r="AK10" i="461"/>
  <c r="AK11" i="461"/>
  <c r="AK12" i="461"/>
  <c r="AK13" i="461"/>
  <c r="AK14" i="461"/>
  <c r="AK15" i="461"/>
  <c r="AJ10" i="440"/>
  <c r="AJ11" i="440" s="1"/>
  <c r="S9" i="440"/>
  <c r="S10" i="440"/>
  <c r="AL7" i="251"/>
  <c r="Y14" i="431"/>
  <c r="N52" i="431"/>
  <c r="L52" i="431"/>
  <c r="M52" i="431" s="1"/>
  <c r="O52" i="431"/>
  <c r="L51" i="431"/>
  <c r="M51" i="431" s="1"/>
  <c r="O51" i="431"/>
  <c r="N51" i="431"/>
  <c r="O53" i="431"/>
  <c r="L53" i="431"/>
  <c r="M53" i="431" s="1"/>
  <c r="N53" i="431"/>
  <c r="J58" i="431"/>
  <c r="J56" i="431"/>
  <c r="J57" i="431"/>
  <c r="L23" i="431"/>
  <c r="L21" i="431"/>
  <c r="L22" i="431"/>
  <c r="P15" i="426"/>
  <c r="P12" i="426" a="1"/>
  <c r="P12" i="426" s="1"/>
  <c r="P27" i="89" a="1"/>
  <c r="P27" i="89" s="1"/>
  <c r="H23" i="426"/>
  <c r="H22" i="426"/>
  <c r="D7" i="426"/>
  <c r="D8" i="426"/>
  <c r="D9" i="426"/>
  <c r="D10" i="426"/>
  <c r="D11" i="426"/>
  <c r="D12" i="426"/>
  <c r="D13" i="426"/>
  <c r="D14" i="426"/>
  <c r="D15" i="426"/>
  <c r="D16" i="426"/>
  <c r="D6" i="426"/>
  <c r="E16" i="426"/>
  <c r="E15" i="426"/>
  <c r="E14" i="426"/>
  <c r="E13" i="426"/>
  <c r="E12" i="426"/>
  <c r="E11" i="426"/>
  <c r="E10" i="426"/>
  <c r="E9" i="426"/>
  <c r="E8" i="426"/>
  <c r="E7" i="426"/>
  <c r="E6" i="426"/>
  <c r="O22" i="431" l="1"/>
  <c r="M22" i="431"/>
  <c r="N23" i="431"/>
  <c r="N21" i="431"/>
  <c r="C20" i="440"/>
  <c r="D20" i="440" s="1"/>
  <c r="E20" i="440" s="1"/>
  <c r="B19" i="440"/>
  <c r="B21" i="440" s="1"/>
  <c r="B22" i="440" s="1"/>
  <c r="D19" i="440"/>
  <c r="D18" i="440"/>
  <c r="C19" i="440"/>
  <c r="C21" i="440" s="1"/>
  <c r="C22" i="440" s="1"/>
  <c r="C18" i="440"/>
  <c r="E19" i="440"/>
  <c r="E18" i="440"/>
  <c r="O21" i="431"/>
  <c r="O23" i="431"/>
  <c r="M21" i="431"/>
  <c r="M23" i="431"/>
  <c r="N16" i="442"/>
  <c r="Q12" i="442" s="1"/>
  <c r="Q14" i="442" s="1"/>
  <c r="Q16" i="442" s="1"/>
  <c r="AQ7" i="251"/>
  <c r="AO12" i="251"/>
  <c r="N28" i="442"/>
  <c r="N33" i="442" s="1"/>
  <c r="Q29" i="442" s="1"/>
  <c r="Q31" i="442" s="1"/>
  <c r="Q33" i="442" s="1"/>
  <c r="AQ14" i="251"/>
  <c r="AQ9" i="251"/>
  <c r="AO16" i="251"/>
  <c r="AO11" i="251"/>
  <c r="AO15" i="251"/>
  <c r="AO13" i="251"/>
  <c r="AO6" i="251"/>
  <c r="AO10" i="251"/>
  <c r="AJ21" i="440"/>
  <c r="P7" i="426"/>
  <c r="AQ8" i="251"/>
  <c r="M33" i="442"/>
  <c r="K23" i="426"/>
  <c r="P6" i="426"/>
  <c r="AM14" i="461"/>
  <c r="AM11" i="461"/>
  <c r="AM7" i="461"/>
  <c r="AM13" i="461"/>
  <c r="AM9" i="461"/>
  <c r="S11" i="440"/>
  <c r="AM10" i="461"/>
  <c r="AM6" i="461"/>
  <c r="AM15" i="461"/>
  <c r="AM12" i="461"/>
  <c r="AM8" i="461"/>
  <c r="H7" i="440"/>
  <c r="H8" i="440" s="1"/>
  <c r="Y39" i="431"/>
  <c r="Y38" i="431"/>
  <c r="P13" i="426"/>
  <c r="P28" i="89"/>
  <c r="B19" i="426"/>
  <c r="V10" i="387"/>
  <c r="W10" i="387"/>
  <c r="U10" i="387"/>
  <c r="U11" i="387" s="1"/>
  <c r="V8" i="387"/>
  <c r="W8" i="387"/>
  <c r="U8" i="387"/>
  <c r="V7" i="387"/>
  <c r="W7" i="387"/>
  <c r="U7" i="387"/>
  <c r="H16" i="423"/>
  <c r="G16" i="423"/>
  <c r="K10" i="423"/>
  <c r="J10" i="423"/>
  <c r="I10" i="423"/>
  <c r="H10" i="423"/>
  <c r="G10" i="423"/>
  <c r="F10" i="423"/>
  <c r="K9" i="423"/>
  <c r="J9" i="423"/>
  <c r="I9" i="423"/>
  <c r="H9" i="423"/>
  <c r="G9" i="423"/>
  <c r="F9" i="423"/>
  <c r="K8" i="423"/>
  <c r="J8" i="423"/>
  <c r="I8" i="423"/>
  <c r="H8" i="423"/>
  <c r="G8" i="423"/>
  <c r="F8" i="423"/>
  <c r="K7" i="423"/>
  <c r="J7" i="423"/>
  <c r="I7" i="423"/>
  <c r="H7" i="423"/>
  <c r="G7" i="423"/>
  <c r="F7" i="423"/>
  <c r="H9" i="440" l="1"/>
  <c r="H10" i="440" s="1"/>
  <c r="H11" i="440" s="1"/>
  <c r="E21" i="440"/>
  <c r="E22" i="440" s="1"/>
  <c r="D21" i="440"/>
  <c r="D22" i="440" s="1"/>
  <c r="X14" i="387"/>
  <c r="X10" i="387"/>
  <c r="AM17" i="461"/>
  <c r="G15" i="423"/>
  <c r="G14" i="423" s="1"/>
  <c r="H14" i="423"/>
  <c r="I16" i="423"/>
  <c r="V11" i="387"/>
  <c r="W11" i="387"/>
  <c r="H14" i="440" l="1"/>
  <c r="H15" i="440"/>
  <c r="I14" i="423"/>
  <c r="H15" i="423"/>
  <c r="L14" i="423" s="1"/>
  <c r="X11" i="387"/>
  <c r="X12" i="387" s="1"/>
  <c r="X13" i="387"/>
  <c r="X15" i="387" l="1"/>
  <c r="X17" i="387" s="1"/>
  <c r="I15" i="423"/>
  <c r="J14" i="423" s="1"/>
  <c r="K14" i="423" s="1"/>
  <c r="L9" i="423" l="1"/>
  <c r="L10" i="423"/>
  <c r="M10" i="423" s="1"/>
  <c r="M14" i="423"/>
  <c r="L7" i="423"/>
  <c r="L8" i="423"/>
  <c r="N8" i="423" s="1"/>
  <c r="N14" i="423"/>
  <c r="M8" i="423" l="1"/>
  <c r="N10" i="423"/>
  <c r="N9" i="423"/>
  <c r="M9" i="423"/>
  <c r="M7" i="423"/>
  <c r="N7" i="423"/>
  <c r="T5" i="303" l="1"/>
  <c r="U5" i="303" s="1"/>
  <c r="G13" i="303" a="1"/>
  <c r="T4" i="303"/>
  <c r="U4" i="303" s="1"/>
  <c r="T6" i="303"/>
  <c r="U6" i="303" s="1"/>
  <c r="H17" i="303" l="1"/>
  <c r="I16" i="303"/>
  <c r="J15" i="303"/>
  <c r="K14" i="303"/>
  <c r="G14" i="303"/>
  <c r="H13" i="303"/>
  <c r="J17" i="303"/>
  <c r="K16" i="303"/>
  <c r="G16" i="303"/>
  <c r="H15" i="303"/>
  <c r="I14" i="303"/>
  <c r="J13" i="303"/>
  <c r="I17" i="303"/>
  <c r="J16" i="303"/>
  <c r="K15" i="303"/>
  <c r="G15" i="303"/>
  <c r="H14" i="303"/>
  <c r="I13" i="303"/>
  <c r="H16" i="303"/>
  <c r="G13" i="303"/>
  <c r="I15" i="303"/>
  <c r="K17" i="303"/>
  <c r="J14" i="303"/>
  <c r="G17" i="303"/>
  <c r="K13" i="303"/>
  <c r="T7" i="303" l="1"/>
  <c r="U7" i="303" s="1"/>
  <c r="O42" i="418" l="1"/>
  <c r="L9" i="418" l="1"/>
  <c r="L10" i="418"/>
  <c r="L11" i="418"/>
  <c r="L12" i="418"/>
  <c r="B22" i="418"/>
  <c r="K20" i="418"/>
  <c r="J20" i="418"/>
  <c r="I20" i="418"/>
  <c r="H20" i="418"/>
  <c r="G20" i="418"/>
  <c r="F20" i="418"/>
  <c r="E20" i="418"/>
  <c r="D20" i="418"/>
  <c r="C20" i="418"/>
  <c r="B20" i="418"/>
  <c r="K19" i="418"/>
  <c r="J19" i="418"/>
  <c r="I19" i="418"/>
  <c r="H19" i="418"/>
  <c r="G19" i="418"/>
  <c r="F19" i="418"/>
  <c r="E19" i="418"/>
  <c r="D19" i="418"/>
  <c r="C19" i="418"/>
  <c r="B19" i="418"/>
  <c r="L18" i="418"/>
  <c r="L17" i="418"/>
  <c r="L16" i="418"/>
  <c r="L15" i="418"/>
  <c r="L14" i="418"/>
  <c r="L13" i="418"/>
  <c r="L8" i="418"/>
  <c r="L7" i="418"/>
  <c r="L6" i="418"/>
  <c r="L5" i="418"/>
  <c r="A5" i="418"/>
  <c r="A6" i="418" s="1"/>
  <c r="A7" i="418" s="1"/>
  <c r="A8" i="418" s="1"/>
  <c r="A9" i="418" s="1"/>
  <c r="A10" i="418" s="1"/>
  <c r="A11" i="418" s="1"/>
  <c r="A12" i="418" s="1"/>
  <c r="L4" i="418"/>
  <c r="A13" i="418" l="1"/>
  <c r="A14" i="418" s="1"/>
  <c r="A15" i="418" s="1"/>
  <c r="A16" i="418" s="1"/>
  <c r="A17" i="418" s="1"/>
  <c r="A18" i="418" s="1"/>
  <c r="L20" i="418"/>
  <c r="B23" i="418" s="1"/>
  <c r="L19" i="418"/>
  <c r="B24" i="418"/>
  <c r="B25" i="418" l="1"/>
  <c r="E4" i="401" l="1"/>
  <c r="M4" i="401" s="1"/>
  <c r="U4" i="401" s="1"/>
  <c r="F5" i="401"/>
  <c r="N5" i="401" s="1"/>
  <c r="F6" i="401"/>
  <c r="F7" i="401"/>
  <c r="N7" i="401" s="1"/>
  <c r="F8" i="401"/>
  <c r="N8" i="401" s="1"/>
  <c r="F9" i="401"/>
  <c r="N9" i="401" s="1"/>
  <c r="F10" i="401"/>
  <c r="N10" i="401" s="1"/>
  <c r="F11" i="401"/>
  <c r="N11" i="401" s="1"/>
  <c r="F12" i="401"/>
  <c r="N12" i="401" s="1"/>
  <c r="F13" i="401"/>
  <c r="N13" i="401" s="1"/>
  <c r="F4" i="401"/>
  <c r="C14" i="401"/>
  <c r="B14" i="401"/>
  <c r="A5" i="401"/>
  <c r="A6" i="401" s="1"/>
  <c r="E6" i="401" s="1"/>
  <c r="M6" i="401" s="1"/>
  <c r="U6" i="401" s="1"/>
  <c r="G4" i="401" l="1"/>
  <c r="H4" i="401" s="1"/>
  <c r="AC4" i="401"/>
  <c r="AK4" i="401" s="1"/>
  <c r="AS4" i="401" s="1"/>
  <c r="M20" i="401"/>
  <c r="U20" i="401" s="1"/>
  <c r="AC6" i="401"/>
  <c r="AK6" i="401" s="1"/>
  <c r="AS6" i="401" s="1"/>
  <c r="M22" i="401"/>
  <c r="U22" i="401" s="1"/>
  <c r="V9" i="401"/>
  <c r="V12" i="401"/>
  <c r="V8" i="401"/>
  <c r="G6" i="401"/>
  <c r="H6" i="401" s="1"/>
  <c r="V11" i="401"/>
  <c r="V7" i="401"/>
  <c r="V13" i="401"/>
  <c r="V5" i="401"/>
  <c r="V10" i="401"/>
  <c r="N6" i="401"/>
  <c r="N4" i="401"/>
  <c r="E5" i="401"/>
  <c r="A7" i="401"/>
  <c r="E7" i="401" s="1"/>
  <c r="AD5" i="401" l="1"/>
  <c r="AL5" i="401" s="1"/>
  <c r="AT5" i="401" s="1"/>
  <c r="N21" i="401"/>
  <c r="V21" i="401" s="1"/>
  <c r="AD13" i="401"/>
  <c r="AL13" i="401" s="1"/>
  <c r="AT13" i="401" s="1"/>
  <c r="N29" i="401"/>
  <c r="V29" i="401" s="1"/>
  <c r="AD8" i="401"/>
  <c r="AL8" i="401" s="1"/>
  <c r="AT8" i="401" s="1"/>
  <c r="N24" i="401"/>
  <c r="V24" i="401" s="1"/>
  <c r="AD10" i="401"/>
  <c r="AL10" i="401" s="1"/>
  <c r="AT10" i="401" s="1"/>
  <c r="N26" i="401"/>
  <c r="V26" i="401" s="1"/>
  <c r="AD7" i="401"/>
  <c r="AL7" i="401" s="1"/>
  <c r="AT7" i="401" s="1"/>
  <c r="N23" i="401"/>
  <c r="V23" i="401" s="1"/>
  <c r="AD12" i="401"/>
  <c r="AL12" i="401" s="1"/>
  <c r="AT12" i="401" s="1"/>
  <c r="N28" i="401"/>
  <c r="V28" i="401" s="1"/>
  <c r="AD11" i="401"/>
  <c r="AL11" i="401" s="1"/>
  <c r="AT11" i="401" s="1"/>
  <c r="N27" i="401"/>
  <c r="V27" i="401" s="1"/>
  <c r="AD9" i="401"/>
  <c r="AL9" i="401" s="1"/>
  <c r="AT9" i="401" s="1"/>
  <c r="N25" i="401"/>
  <c r="V25" i="401" s="1"/>
  <c r="V6" i="401"/>
  <c r="G7" i="401"/>
  <c r="H7" i="401" s="1"/>
  <c r="M7" i="401"/>
  <c r="U7" i="401" s="1"/>
  <c r="V4" i="401"/>
  <c r="G5" i="401"/>
  <c r="H5" i="401" s="1"/>
  <c r="M5" i="401"/>
  <c r="U5" i="401" s="1"/>
  <c r="A8" i="401"/>
  <c r="E8" i="401" s="1"/>
  <c r="AC7" i="401" l="1"/>
  <c r="AK7" i="401" s="1"/>
  <c r="AS7" i="401" s="1"/>
  <c r="M23" i="401"/>
  <c r="U23" i="401" s="1"/>
  <c r="AC5" i="401"/>
  <c r="AK5" i="401" s="1"/>
  <c r="AS5" i="401" s="1"/>
  <c r="M21" i="401"/>
  <c r="U21" i="401" s="1"/>
  <c r="AD6" i="401"/>
  <c r="AL6" i="401" s="1"/>
  <c r="AT6" i="401" s="1"/>
  <c r="N22" i="401"/>
  <c r="V22" i="401" s="1"/>
  <c r="AD4" i="401"/>
  <c r="AL4" i="401" s="1"/>
  <c r="AT4" i="401" s="1"/>
  <c r="N20" i="401"/>
  <c r="V20" i="401" s="1"/>
  <c r="G8" i="401"/>
  <c r="H8" i="401" s="1"/>
  <c r="M8" i="401"/>
  <c r="U8" i="401" s="1"/>
  <c r="A9" i="401"/>
  <c r="E9" i="401" s="1"/>
  <c r="AC8" i="401" l="1"/>
  <c r="AK8" i="401" s="1"/>
  <c r="AS8" i="401" s="1"/>
  <c r="M24" i="401"/>
  <c r="U24" i="401" s="1"/>
  <c r="G9" i="401"/>
  <c r="H9" i="401" s="1"/>
  <c r="M9" i="401"/>
  <c r="U9" i="401" s="1"/>
  <c r="A10" i="401"/>
  <c r="E10" i="401" s="1"/>
  <c r="AC9" i="401" l="1"/>
  <c r="AK9" i="401" s="1"/>
  <c r="AS9" i="401" s="1"/>
  <c r="M25" i="401"/>
  <c r="U25" i="401" s="1"/>
  <c r="G10" i="401"/>
  <c r="H10" i="401" s="1"/>
  <c r="M10" i="401"/>
  <c r="U10" i="401" s="1"/>
  <c r="A11" i="401"/>
  <c r="E11" i="401" s="1"/>
  <c r="AC10" i="401" l="1"/>
  <c r="AK10" i="401" s="1"/>
  <c r="AS10" i="401" s="1"/>
  <c r="M26" i="401"/>
  <c r="U26" i="401" s="1"/>
  <c r="G11" i="401"/>
  <c r="H11" i="401" s="1"/>
  <c r="M11" i="401"/>
  <c r="U11" i="401" s="1"/>
  <c r="A12" i="401"/>
  <c r="E12" i="401" s="1"/>
  <c r="AC11" i="401" l="1"/>
  <c r="AK11" i="401" s="1"/>
  <c r="AS11" i="401" s="1"/>
  <c r="M27" i="401"/>
  <c r="U27" i="401" s="1"/>
  <c r="G12" i="401"/>
  <c r="H12" i="401" s="1"/>
  <c r="M12" i="401"/>
  <c r="U12" i="401" s="1"/>
  <c r="A13" i="401"/>
  <c r="E13" i="401" s="1"/>
  <c r="C68" i="192"/>
  <c r="D68" i="192"/>
  <c r="E68" i="192"/>
  <c r="B68" i="192"/>
  <c r="E69" i="192"/>
  <c r="D69" i="192"/>
  <c r="C69" i="192"/>
  <c r="B69" i="192"/>
  <c r="AC12" i="401" l="1"/>
  <c r="AK12" i="401" s="1"/>
  <c r="AS12" i="401" s="1"/>
  <c r="M28" i="401"/>
  <c r="U28" i="401" s="1"/>
  <c r="G13" i="401"/>
  <c r="M13" i="401"/>
  <c r="U13" i="401" s="1"/>
  <c r="J9" i="401" a="1"/>
  <c r="J9" i="401" l="1"/>
  <c r="J10" i="401"/>
  <c r="K10" i="401"/>
  <c r="K9" i="401"/>
  <c r="AC13" i="401"/>
  <c r="AK13" i="401" s="1"/>
  <c r="AS13" i="401" s="1"/>
  <c r="M29" i="401"/>
  <c r="U29" i="401" s="1"/>
  <c r="H13" i="401"/>
  <c r="H14" i="401" s="1"/>
  <c r="O11" i="203" l="1"/>
  <c r="B21" i="400" l="1"/>
  <c r="B20" i="400"/>
  <c r="B24" i="400" l="1"/>
  <c r="B25" i="400" s="1"/>
  <c r="B14" i="400"/>
  <c r="F13" i="400"/>
  <c r="F12" i="400"/>
  <c r="F11" i="400"/>
  <c r="F10" i="400"/>
  <c r="F9" i="400"/>
  <c r="F8" i="400"/>
  <c r="F7" i="400"/>
  <c r="F6" i="400"/>
  <c r="F5" i="400"/>
  <c r="A5" i="400"/>
  <c r="E5" i="400" s="1"/>
  <c r="I5" i="400" s="1"/>
  <c r="K5" i="400" s="1"/>
  <c r="E4" i="400"/>
  <c r="I4" i="400" s="1"/>
  <c r="K4" i="400" s="1"/>
  <c r="E3" i="400"/>
  <c r="A5" i="384"/>
  <c r="H4" i="395"/>
  <c r="J4" i="395" s="1"/>
  <c r="H5" i="395"/>
  <c r="J5" i="395" s="1"/>
  <c r="H6" i="395"/>
  <c r="J6" i="395" s="1"/>
  <c r="H7" i="395"/>
  <c r="J7" i="395" s="1"/>
  <c r="H8" i="395"/>
  <c r="J8" i="395" s="1"/>
  <c r="H9" i="395"/>
  <c r="J9" i="395" s="1"/>
  <c r="H10" i="395"/>
  <c r="J10" i="395" s="1"/>
  <c r="H11" i="395"/>
  <c r="J11" i="395" s="1"/>
  <c r="H12" i="395"/>
  <c r="J12" i="395" s="1"/>
  <c r="H13" i="395"/>
  <c r="J13" i="395" s="1"/>
  <c r="H14" i="395"/>
  <c r="J14" i="395" s="1"/>
  <c r="G7" i="400" l="1"/>
  <c r="J7" i="400"/>
  <c r="G11" i="400"/>
  <c r="J11" i="400"/>
  <c r="G8" i="400"/>
  <c r="J8" i="400"/>
  <c r="G12" i="400"/>
  <c r="J12" i="400"/>
  <c r="G5" i="400"/>
  <c r="J5" i="400"/>
  <c r="L5" i="400" s="1"/>
  <c r="G9" i="400"/>
  <c r="J9" i="400"/>
  <c r="G13" i="400"/>
  <c r="J13" i="400"/>
  <c r="G6" i="400"/>
  <c r="J6" i="400"/>
  <c r="G10" i="400"/>
  <c r="J10" i="400"/>
  <c r="A6" i="384"/>
  <c r="A6" i="400"/>
  <c r="E6" i="400" s="1"/>
  <c r="I6" i="400" s="1"/>
  <c r="K6" i="400" s="1"/>
  <c r="F4" i="400"/>
  <c r="C14" i="400"/>
  <c r="F14" i="400" s="1"/>
  <c r="G14" i="400" s="1"/>
  <c r="F8" i="395"/>
  <c r="L6" i="400" l="1"/>
  <c r="A7" i="384"/>
  <c r="G4" i="400"/>
  <c r="J4" i="400"/>
  <c r="L4" i="400" s="1"/>
  <c r="A7" i="400"/>
  <c r="E7" i="400" s="1"/>
  <c r="I7" i="400" s="1"/>
  <c r="K7" i="400" s="1"/>
  <c r="L7" i="400" s="1"/>
  <c r="F9" i="384"/>
  <c r="G9" i="384" s="1"/>
  <c r="K23" i="384" s="1"/>
  <c r="E22" i="392"/>
  <c r="E23" i="392" s="1"/>
  <c r="E24" i="392" s="1"/>
  <c r="D18" i="392"/>
  <c r="E18" i="392"/>
  <c r="F18" i="392"/>
  <c r="G18" i="392"/>
  <c r="H18" i="392"/>
  <c r="I18" i="392"/>
  <c r="J18" i="392"/>
  <c r="C18" i="392"/>
  <c r="D17" i="392"/>
  <c r="D19" i="392"/>
  <c r="D20" i="392"/>
  <c r="E17" i="392" l="1"/>
  <c r="A8" i="384"/>
  <c r="A8" i="400"/>
  <c r="E8" i="400" s="1"/>
  <c r="I8" i="400" s="1"/>
  <c r="K8" i="400" s="1"/>
  <c r="L8" i="400" s="1"/>
  <c r="K9" i="384"/>
  <c r="E6" i="384"/>
  <c r="E5" i="384"/>
  <c r="E19" i="392"/>
  <c r="E20" i="392"/>
  <c r="F17" i="392" l="1"/>
  <c r="A9" i="384"/>
  <c r="A9" i="400"/>
  <c r="E9" i="400" s="1"/>
  <c r="I9" i="400" s="1"/>
  <c r="K9" i="400" s="1"/>
  <c r="L9" i="400" s="1"/>
  <c r="E7" i="384"/>
  <c r="O4" i="220"/>
  <c r="F19" i="392"/>
  <c r="F20" i="392"/>
  <c r="G17" i="392" l="1"/>
  <c r="A10" i="384"/>
  <c r="A10" i="400"/>
  <c r="E10" i="400" s="1"/>
  <c r="I10" i="400" s="1"/>
  <c r="K10" i="400" s="1"/>
  <c r="L10" i="400" s="1"/>
  <c r="J22" i="384"/>
  <c r="E8" i="384"/>
  <c r="G20" i="392"/>
  <c r="G19" i="392"/>
  <c r="H17" i="392" l="1"/>
  <c r="A11" i="384"/>
  <c r="A11" i="400"/>
  <c r="E11" i="400" s="1"/>
  <c r="I11" i="400" s="1"/>
  <c r="K11" i="400" s="1"/>
  <c r="L11" i="400" s="1"/>
  <c r="J9" i="384"/>
  <c r="J23" i="384"/>
  <c r="E9" i="384"/>
  <c r="H19" i="392"/>
  <c r="H20" i="392"/>
  <c r="I17" i="392" l="1"/>
  <c r="A12" i="384"/>
  <c r="A12" i="400"/>
  <c r="E12" i="400" s="1"/>
  <c r="I12" i="400" s="1"/>
  <c r="K12" i="400" s="1"/>
  <c r="L12" i="400" s="1"/>
  <c r="J24" i="384"/>
  <c r="E10" i="384"/>
  <c r="I20" i="392"/>
  <c r="I19" i="392"/>
  <c r="J17" i="392" l="1"/>
  <c r="A13" i="400"/>
  <c r="E13" i="400" s="1"/>
  <c r="I13" i="400" s="1"/>
  <c r="K13" i="400" s="1"/>
  <c r="A13" i="384"/>
  <c r="J25" i="384"/>
  <c r="E11" i="384"/>
  <c r="J20" i="392"/>
  <c r="J19" i="392"/>
  <c r="C23" i="392" l="1"/>
  <c r="C24" i="392" s="1"/>
  <c r="L13" i="400"/>
  <c r="L14" i="400" s="1"/>
  <c r="J26" i="384"/>
  <c r="E12" i="384"/>
  <c r="J27" i="384" l="1"/>
  <c r="E13" i="384"/>
  <c r="G11" i="211" l="1"/>
  <c r="N7" i="211" s="1"/>
  <c r="Q13" i="187"/>
  <c r="O15" i="211"/>
  <c r="O32" i="388"/>
  <c r="F5" i="388" l="1"/>
  <c r="F6" i="388" s="1"/>
  <c r="F7" i="388" s="1"/>
  <c r="F8" i="388" s="1"/>
  <c r="F9" i="388" s="1"/>
  <c r="F10" i="388" s="1"/>
  <c r="F11" i="388" s="1"/>
  <c r="F12" i="388" s="1"/>
  <c r="F13" i="388" s="1"/>
  <c r="F14" i="388" s="1"/>
  <c r="F15" i="388" s="1"/>
  <c r="A5" i="388"/>
  <c r="A6" i="388" s="1"/>
  <c r="A7" i="388" s="1"/>
  <c r="A8" i="388" s="1"/>
  <c r="A9" i="388" s="1"/>
  <c r="A10" i="388" s="1"/>
  <c r="A11" i="388" s="1"/>
  <c r="A12" i="388" s="1"/>
  <c r="A13" i="388" s="1"/>
  <c r="A14" i="388" s="1"/>
  <c r="A15" i="388" s="1"/>
  <c r="L5" i="388"/>
  <c r="L4" i="388"/>
  <c r="O33" i="388" s="1"/>
  <c r="O34" i="388" s="1"/>
  <c r="B34" i="387" l="1"/>
  <c r="B36" i="387" s="1"/>
  <c r="C31" i="387"/>
  <c r="B31" i="387"/>
  <c r="C30" i="387"/>
  <c r="B30" i="387"/>
  <c r="C29" i="387"/>
  <c r="B29" i="387"/>
  <c r="M19" i="387"/>
  <c r="J19" i="387"/>
  <c r="D16" i="387"/>
  <c r="C16" i="387"/>
  <c r="B16" i="387"/>
  <c r="D15" i="387"/>
  <c r="C15" i="387"/>
  <c r="B15" i="387"/>
  <c r="D29" i="387" l="1"/>
  <c r="D31" i="387"/>
  <c r="B33" i="387"/>
  <c r="C41" i="387" s="1"/>
  <c r="D30" i="387"/>
  <c r="C40" i="387" l="1"/>
  <c r="C39" i="387"/>
  <c r="B41" i="387"/>
  <c r="D41" i="387" s="1"/>
  <c r="B39" i="387"/>
  <c r="B40" i="387"/>
  <c r="D40" i="387" l="1"/>
  <c r="D39" i="387"/>
  <c r="D7" i="312" l="1"/>
  <c r="E4" i="384"/>
  <c r="E3" i="384"/>
  <c r="A29" i="385" l="1"/>
  <c r="B29" i="385" s="1"/>
  <c r="B28" i="385"/>
  <c r="B27" i="385"/>
  <c r="D23" i="385"/>
  <c r="D24" i="385" s="1"/>
  <c r="D25" i="385" s="1"/>
  <c r="D26" i="385" s="1"/>
  <c r="D27" i="385" s="1"/>
  <c r="D28" i="385" s="1"/>
  <c r="D29" i="385" s="1"/>
  <c r="D30" i="385" s="1"/>
  <c r="D31" i="385" s="1"/>
  <c r="D32" i="385" s="1"/>
  <c r="D33" i="385" s="1"/>
  <c r="D34" i="385" s="1"/>
  <c r="D35" i="385" s="1"/>
  <c r="D36" i="385" s="1"/>
  <c r="D37" i="385" s="1"/>
  <c r="D8" i="385"/>
  <c r="D9" i="385" s="1"/>
  <c r="D10" i="385" s="1"/>
  <c r="D11" i="385" s="1"/>
  <c r="D12" i="385" s="1"/>
  <c r="D13" i="385" s="1"/>
  <c r="D14" i="385" s="1"/>
  <c r="D15" i="385" s="1"/>
  <c r="D16" i="385" s="1"/>
  <c r="D17" i="385" s="1"/>
  <c r="D18" i="385" s="1"/>
  <c r="D19" i="385" s="1"/>
  <c r="D20" i="385" s="1"/>
  <c r="D21" i="385" s="1"/>
  <c r="A8" i="385"/>
  <c r="B8" i="385" s="1"/>
  <c r="B7" i="385"/>
  <c r="A9" i="385" l="1"/>
  <c r="A10" i="385" s="1"/>
  <c r="A11" i="385" s="1"/>
  <c r="A30" i="385"/>
  <c r="A31" i="385" s="1"/>
  <c r="A32" i="385" s="1"/>
  <c r="B9" i="385" l="1"/>
  <c r="B10" i="385"/>
  <c r="B30" i="385"/>
  <c r="B31" i="385"/>
  <c r="B11" i="385"/>
  <c r="A12" i="385"/>
  <c r="B32" i="385"/>
  <c r="A33" i="385"/>
  <c r="B12" i="385" l="1"/>
  <c r="A13" i="385"/>
  <c r="B33" i="385"/>
  <c r="A34" i="385"/>
  <c r="A14" i="385" l="1"/>
  <c r="B13" i="385"/>
  <c r="A35" i="385"/>
  <c r="B34" i="385"/>
  <c r="A15" i="385" l="1"/>
  <c r="B14" i="385"/>
  <c r="A36" i="385"/>
  <c r="B35" i="385"/>
  <c r="B15" i="385" l="1"/>
  <c r="A16" i="385"/>
  <c r="B36" i="385"/>
  <c r="A37" i="385"/>
  <c r="B37" i="385" s="1"/>
  <c r="B16" i="385" l="1"/>
  <c r="A17" i="385"/>
  <c r="A18" i="385" l="1"/>
  <c r="B17" i="385"/>
  <c r="A19" i="385" l="1"/>
  <c r="B18" i="385"/>
  <c r="B19" i="385" l="1"/>
  <c r="A20" i="385"/>
  <c r="B20" i="385" l="1"/>
  <c r="A21" i="385"/>
  <c r="A22" i="385" l="1"/>
  <c r="B21" i="385"/>
  <c r="A23" i="385" l="1"/>
  <c r="B22" i="385"/>
  <c r="B23" i="385" l="1"/>
  <c r="A24" i="385"/>
  <c r="A25" i="385" l="1"/>
  <c r="B24" i="385"/>
  <c r="A26" i="385" l="1"/>
  <c r="B26" i="385" s="1"/>
  <c r="B25" i="385"/>
  <c r="J19" i="384" l="1"/>
  <c r="J18" i="384"/>
  <c r="C14" i="384"/>
  <c r="B14" i="384"/>
  <c r="F13" i="384"/>
  <c r="K13" i="384" s="1"/>
  <c r="F12" i="384"/>
  <c r="K12" i="384" s="1"/>
  <c r="F11" i="384"/>
  <c r="G11" i="384" s="1"/>
  <c r="K25" i="384" s="1"/>
  <c r="F10" i="384"/>
  <c r="G10" i="384" s="1"/>
  <c r="K24" i="384" s="1"/>
  <c r="F8" i="384"/>
  <c r="K8" i="384" s="1"/>
  <c r="F7" i="384"/>
  <c r="K7" i="384" s="1"/>
  <c r="F6" i="384"/>
  <c r="G6" i="384" s="1"/>
  <c r="K20" i="384" s="1"/>
  <c r="J6" i="384"/>
  <c r="J5" i="384"/>
  <c r="F5" i="384"/>
  <c r="G5" i="384" s="1"/>
  <c r="K19" i="384" s="1"/>
  <c r="J4" i="384"/>
  <c r="F4" i="384"/>
  <c r="G4" i="384" s="1"/>
  <c r="K18" i="384" s="1"/>
  <c r="K11" i="384" l="1"/>
  <c r="K5" i="384"/>
  <c r="K6" i="384"/>
  <c r="G7" i="384"/>
  <c r="K21" i="384" s="1"/>
  <c r="F14" i="384"/>
  <c r="G14" i="384" s="1"/>
  <c r="K4" i="384"/>
  <c r="J20" i="384"/>
  <c r="G12" i="384"/>
  <c r="K26" i="384" s="1"/>
  <c r="K10" i="384"/>
  <c r="G8" i="384"/>
  <c r="K22" i="384" s="1"/>
  <c r="G13" i="384"/>
  <c r="K27" i="384" s="1"/>
  <c r="J21" i="384" l="1"/>
  <c r="J7" i="384"/>
  <c r="J8" i="384" l="1"/>
  <c r="J10" i="384" l="1"/>
  <c r="J11" i="384" l="1"/>
  <c r="J12" i="384" l="1"/>
  <c r="J13" i="384" l="1"/>
  <c r="O42" i="219" l="1"/>
  <c r="R35" i="197"/>
  <c r="Q35" i="197"/>
  <c r="S35" i="197" s="1"/>
  <c r="P35" i="197"/>
  <c r="T35" i="197" s="1"/>
  <c r="R34" i="197"/>
  <c r="Q34" i="197"/>
  <c r="S34" i="197" s="1"/>
  <c r="P34" i="197"/>
  <c r="T34" i="197" s="1"/>
  <c r="R33" i="197"/>
  <c r="Q33" i="197"/>
  <c r="S33" i="197" s="1"/>
  <c r="P33" i="197"/>
  <c r="T33" i="197" s="1"/>
  <c r="R32" i="197"/>
  <c r="Q32" i="197"/>
  <c r="S32" i="197" s="1"/>
  <c r="P32" i="197"/>
  <c r="T32" i="197" s="1"/>
  <c r="H16" i="190"/>
  <c r="G16" i="190"/>
  <c r="H14" i="190"/>
  <c r="K10" i="190"/>
  <c r="J10" i="190"/>
  <c r="I10" i="190"/>
  <c r="H10" i="190"/>
  <c r="G10" i="190"/>
  <c r="K9" i="190"/>
  <c r="J9" i="190"/>
  <c r="I9" i="190"/>
  <c r="H9" i="190"/>
  <c r="G9" i="190"/>
  <c r="K8" i="190"/>
  <c r="J8" i="190"/>
  <c r="I8" i="190"/>
  <c r="H8" i="190"/>
  <c r="G8" i="190"/>
  <c r="K7" i="190"/>
  <c r="J7" i="190"/>
  <c r="I7" i="190"/>
  <c r="H7" i="190"/>
  <c r="G7" i="190"/>
  <c r="O17" i="187"/>
  <c r="H15" i="190" l="1"/>
  <c r="L14" i="190" s="1"/>
  <c r="R36" i="197"/>
  <c r="Q36" i="197"/>
  <c r="P39" i="197" s="1"/>
  <c r="R39" i="197" s="1"/>
  <c r="G15" i="190"/>
  <c r="T36" i="197"/>
  <c r="S36" i="197"/>
  <c r="I16" i="190"/>
  <c r="I15" i="190" l="1"/>
  <c r="G14" i="190"/>
  <c r="I14" i="190" s="1"/>
  <c r="N39" i="197"/>
  <c r="O39" i="197" s="1"/>
  <c r="Q39" i="197" s="1"/>
  <c r="U39" i="197" s="1"/>
  <c r="W39" i="197" l="1"/>
  <c r="T39" i="197"/>
  <c r="V39" i="197"/>
  <c r="S39" i="197"/>
  <c r="I16" i="387" l="1"/>
  <c r="I15" i="387"/>
  <c r="I16" i="388"/>
  <c r="I17" i="388" s="1"/>
  <c r="G15" i="387"/>
  <c r="G16" i="387"/>
  <c r="H16" i="387"/>
  <c r="H15" i="387"/>
  <c r="G16" i="388"/>
  <c r="G17" i="388" s="1"/>
  <c r="H16" i="388"/>
  <c r="H17" i="388" s="1"/>
  <c r="L7" i="388"/>
  <c r="I17" i="387" l="1"/>
  <c r="G17" i="387"/>
  <c r="J17" i="388"/>
  <c r="L6" i="388" s="1"/>
  <c r="L8" i="388" s="1"/>
  <c r="L10" i="388" s="1"/>
  <c r="H17" i="387"/>
  <c r="J16" i="387"/>
  <c r="M20" i="387" s="1"/>
  <c r="M21" i="387" s="1"/>
  <c r="J17" i="387" l="1"/>
  <c r="J18" i="387" s="1"/>
  <c r="J20" i="387" s="1"/>
  <c r="J22" i="387" s="1"/>
  <c r="L3" i="388"/>
  <c r="N14" i="190" l="1"/>
  <c r="M14" i="190"/>
  <c r="J14" i="190"/>
  <c r="K14" i="190" s="1"/>
  <c r="L9" i="190"/>
  <c r="M9" i="190" s="1"/>
  <c r="L10" i="190"/>
  <c r="L7" i="190"/>
  <c r="M7" i="190" s="1"/>
  <c r="L8" i="190"/>
  <c r="N10" i="190" l="1"/>
  <c r="M10" i="190"/>
  <c r="N9" i="190"/>
  <c r="N7" i="190"/>
  <c r="M8" i="190"/>
  <c r="N8" i="190"/>
  <c r="F10" i="342" l="1"/>
  <c r="I14" i="341" l="1"/>
  <c r="I13" i="341"/>
  <c r="I12" i="341"/>
  <c r="I11" i="341"/>
  <c r="I10" i="341"/>
  <c r="I9" i="341"/>
  <c r="I8" i="341"/>
  <c r="I7" i="341"/>
  <c r="I6" i="341"/>
  <c r="AB5" i="341"/>
  <c r="AB6" i="341" s="1"/>
  <c r="AB7" i="341" s="1"/>
  <c r="AB8" i="341" s="1"/>
  <c r="AB9" i="341" s="1"/>
  <c r="AB10" i="341" s="1"/>
  <c r="AB11" i="341" s="1"/>
  <c r="AB12" i="341" s="1"/>
  <c r="AB13" i="341" s="1"/>
  <c r="AB14" i="341" s="1"/>
  <c r="I5" i="341"/>
  <c r="I4" i="341"/>
  <c r="Q17" i="341" l="1" a="1"/>
  <c r="Q17" i="341" s="1"/>
  <c r="H20" i="342" l="1"/>
  <c r="I20" i="342" s="1"/>
  <c r="H19" i="342"/>
  <c r="I19" i="342" s="1"/>
  <c r="K20" i="342"/>
  <c r="H21" i="342"/>
  <c r="I21" i="342" s="1"/>
  <c r="J21" i="342"/>
  <c r="K21" i="342"/>
  <c r="J20" i="342"/>
  <c r="J19" i="342" l="1"/>
  <c r="K19" i="342"/>
  <c r="K66" i="308" l="1"/>
  <c r="D11" i="312"/>
  <c r="D14" i="312" s="1"/>
  <c r="D8" i="312"/>
  <c r="C6" i="312"/>
  <c r="B6" i="312"/>
  <c r="O33" i="313"/>
  <c r="N33" i="313"/>
  <c r="O22" i="313"/>
  <c r="O31" i="313" s="1"/>
  <c r="O21" i="313"/>
  <c r="O30" i="313" s="1"/>
  <c r="G26" i="313"/>
  <c r="N24" i="313" s="1"/>
  <c r="G22" i="313"/>
  <c r="G21" i="313"/>
  <c r="L35" i="308"/>
  <c r="V57" i="313"/>
  <c r="V56" i="313"/>
  <c r="J22" i="313"/>
  <c r="I22" i="313"/>
  <c r="H22" i="313"/>
  <c r="J21" i="313"/>
  <c r="I21" i="313"/>
  <c r="H21" i="313"/>
  <c r="J17" i="313"/>
  <c r="I17" i="313"/>
  <c r="H17" i="313"/>
  <c r="G17" i="313"/>
  <c r="E17" i="313"/>
  <c r="D17" i="313"/>
  <c r="C17" i="313"/>
  <c r="B17" i="313"/>
  <c r="J16" i="313"/>
  <c r="I16" i="313"/>
  <c r="H16" i="313"/>
  <c r="G16" i="313"/>
  <c r="E16" i="313"/>
  <c r="D16" i="313"/>
  <c r="C16" i="313"/>
  <c r="B16" i="313"/>
  <c r="C49" i="308"/>
  <c r="B57" i="308"/>
  <c r="B58" i="308"/>
  <c r="B43" i="308"/>
  <c r="O6" i="309"/>
  <c r="O7" i="309" s="1"/>
  <c r="P6" i="309"/>
  <c r="P7" i="309" s="1"/>
  <c r="Q6" i="309"/>
  <c r="Q7" i="309" s="1"/>
  <c r="O8" i="309"/>
  <c r="P8" i="309"/>
  <c r="Q8" i="309"/>
  <c r="O9" i="309"/>
  <c r="P9" i="309"/>
  <c r="Q9" i="309"/>
  <c r="O10" i="309"/>
  <c r="P10" i="309"/>
  <c r="Q10" i="309"/>
  <c r="N10" i="309"/>
  <c r="N9" i="309"/>
  <c r="N8" i="309"/>
  <c r="N6" i="309"/>
  <c r="N7" i="309" s="1"/>
  <c r="J17" i="309"/>
  <c r="I17" i="309"/>
  <c r="H17" i="309"/>
  <c r="G17" i="309"/>
  <c r="C17" i="309"/>
  <c r="D17" i="309"/>
  <c r="E17" i="309"/>
  <c r="B17" i="309"/>
  <c r="C52" i="308"/>
  <c r="C59" i="308" s="1"/>
  <c r="C4" i="312" s="1"/>
  <c r="B59" i="308"/>
  <c r="B51" i="308"/>
  <c r="B50" i="308"/>
  <c r="B49" i="308"/>
  <c r="B56" i="308"/>
  <c r="B48" i="308"/>
  <c r="B60" i="308"/>
  <c r="K47" i="308"/>
  <c r="L33" i="308"/>
  <c r="L40" i="308" s="1"/>
  <c r="K33" i="308"/>
  <c r="K40" i="308" s="1"/>
  <c r="K35" i="308"/>
  <c r="L34" i="308"/>
  <c r="L48" i="308" s="1"/>
  <c r="K34" i="308"/>
  <c r="K48" i="308" s="1"/>
  <c r="L32" i="308"/>
  <c r="K32" i="308"/>
  <c r="J16" i="309"/>
  <c r="C5" i="312" s="1"/>
  <c r="I16" i="309"/>
  <c r="H16" i="309"/>
  <c r="B5" i="312" s="1"/>
  <c r="G16" i="309"/>
  <c r="E16" i="309"/>
  <c r="D16" i="309"/>
  <c r="C16" i="309"/>
  <c r="B16" i="309"/>
  <c r="B52" i="308"/>
  <c r="C51" i="308"/>
  <c r="C50" i="308"/>
  <c r="C48" i="308"/>
  <c r="B41" i="308"/>
  <c r="H39" i="308"/>
  <c r="G39" i="308"/>
  <c r="F39" i="308"/>
  <c r="H38" i="308"/>
  <c r="G38" i="308"/>
  <c r="F38" i="308"/>
  <c r="H37" i="308"/>
  <c r="G37" i="308"/>
  <c r="F37" i="308"/>
  <c r="H36" i="308"/>
  <c r="G36" i="308"/>
  <c r="F36" i="308"/>
  <c r="H35" i="308"/>
  <c r="G35" i="308"/>
  <c r="F35" i="308"/>
  <c r="H34" i="308"/>
  <c r="G34" i="308"/>
  <c r="F34" i="308"/>
  <c r="H33" i="308"/>
  <c r="G33" i="308"/>
  <c r="F33" i="308"/>
  <c r="H32" i="308"/>
  <c r="G32" i="308"/>
  <c r="F32" i="308"/>
  <c r="H31" i="308"/>
  <c r="G31" i="308"/>
  <c r="F31" i="308"/>
  <c r="H30" i="308"/>
  <c r="G30" i="308"/>
  <c r="F30" i="308"/>
  <c r="H29" i="308"/>
  <c r="G29" i="308"/>
  <c r="F29" i="308"/>
  <c r="H28" i="308"/>
  <c r="G28" i="308"/>
  <c r="F28" i="308"/>
  <c r="H27" i="308"/>
  <c r="G27" i="308"/>
  <c r="F27" i="308"/>
  <c r="H26" i="308"/>
  <c r="G26" i="308"/>
  <c r="F26" i="308"/>
  <c r="H25" i="308"/>
  <c r="G25" i="308"/>
  <c r="F25" i="308"/>
  <c r="H24" i="308"/>
  <c r="G24" i="308"/>
  <c r="F24" i="308"/>
  <c r="H23" i="308"/>
  <c r="G23" i="308"/>
  <c r="F23" i="308"/>
  <c r="H22" i="308"/>
  <c r="G22" i="308"/>
  <c r="F22" i="308"/>
  <c r="H21" i="308"/>
  <c r="G21" i="308"/>
  <c r="F21" i="308"/>
  <c r="H20" i="308"/>
  <c r="G20" i="308"/>
  <c r="F20" i="308"/>
  <c r="H19" i="308"/>
  <c r="G19" i="308"/>
  <c r="F19" i="308"/>
  <c r="H18" i="308"/>
  <c r="G18" i="308"/>
  <c r="F18" i="308"/>
  <c r="H17" i="308"/>
  <c r="G17" i="308"/>
  <c r="F17" i="308"/>
  <c r="H16" i="308"/>
  <c r="G16" i="308"/>
  <c r="F16" i="308"/>
  <c r="H15" i="308"/>
  <c r="G15" i="308"/>
  <c r="F15" i="308"/>
  <c r="H14" i="308"/>
  <c r="G14" i="308"/>
  <c r="F14" i="308"/>
  <c r="H13" i="308"/>
  <c r="G13" i="308"/>
  <c r="F13" i="308"/>
  <c r="H12" i="308"/>
  <c r="G12" i="308"/>
  <c r="F12" i="308"/>
  <c r="H11" i="308"/>
  <c r="G11" i="308"/>
  <c r="F11" i="308"/>
  <c r="H10" i="308"/>
  <c r="G10" i="308"/>
  <c r="F10" i="308"/>
  <c r="H9" i="308"/>
  <c r="G9" i="308"/>
  <c r="F9" i="308"/>
  <c r="H8" i="308"/>
  <c r="G8" i="308"/>
  <c r="F8" i="308"/>
  <c r="AA7" i="308"/>
  <c r="Z7" i="308"/>
  <c r="H7" i="308"/>
  <c r="G7" i="308"/>
  <c r="F7" i="308"/>
  <c r="AA6" i="308"/>
  <c r="Z6" i="308"/>
  <c r="H6" i="308"/>
  <c r="G6" i="308"/>
  <c r="F6" i="308"/>
  <c r="H5" i="308"/>
  <c r="G5" i="308"/>
  <c r="F5" i="308"/>
  <c r="H4" i="308"/>
  <c r="G4" i="308"/>
  <c r="F4" i="308"/>
  <c r="AJ46" i="302"/>
  <c r="AJ45" i="302"/>
  <c r="AJ40" i="302"/>
  <c r="AJ41" i="302"/>
  <c r="AJ35" i="302"/>
  <c r="AJ36" i="302"/>
  <c r="G4" i="302"/>
  <c r="BU43" i="302"/>
  <c r="BV43" i="302"/>
  <c r="BW43" i="302"/>
  <c r="BU44" i="302"/>
  <c r="BV44" i="302"/>
  <c r="BW44" i="302"/>
  <c r="BU45" i="302"/>
  <c r="BV45" i="302"/>
  <c r="BW45" i="302"/>
  <c r="BU46" i="302"/>
  <c r="BV46" i="302"/>
  <c r="BW46" i="302"/>
  <c r="BU47" i="302"/>
  <c r="BV47" i="302"/>
  <c r="BW47" i="302"/>
  <c r="BU48" i="302"/>
  <c r="BV48" i="302"/>
  <c r="BW48" i="302"/>
  <c r="BU77" i="302"/>
  <c r="BV77" i="302"/>
  <c r="BW77" i="302"/>
  <c r="BU78" i="302"/>
  <c r="BV78" i="302"/>
  <c r="BW78" i="302"/>
  <c r="BU79" i="302"/>
  <c r="BV79" i="302"/>
  <c r="BW79" i="302"/>
  <c r="BU80" i="302"/>
  <c r="BV80" i="302"/>
  <c r="BW80" i="302"/>
  <c r="BU81" i="302"/>
  <c r="BV81" i="302"/>
  <c r="BW81" i="302"/>
  <c r="BU82" i="302"/>
  <c r="BV82" i="302"/>
  <c r="BW82" i="302"/>
  <c r="BU60" i="302"/>
  <c r="BV60" i="302"/>
  <c r="BW60" i="302"/>
  <c r="BU61" i="302"/>
  <c r="BV61" i="302"/>
  <c r="BW61" i="302"/>
  <c r="BU62" i="302"/>
  <c r="BV62" i="302"/>
  <c r="BW62" i="302"/>
  <c r="BU63" i="302"/>
  <c r="BV63" i="302"/>
  <c r="BW63" i="302"/>
  <c r="BU64" i="302"/>
  <c r="BV64" i="302"/>
  <c r="BW64" i="302"/>
  <c r="BU65" i="302"/>
  <c r="BV65" i="302"/>
  <c r="BW65" i="302"/>
  <c r="BW76" i="302"/>
  <c r="BV76" i="302"/>
  <c r="BU76" i="302"/>
  <c r="BW59" i="302"/>
  <c r="BV59" i="302"/>
  <c r="BU59" i="302"/>
  <c r="BW42" i="302"/>
  <c r="BV42" i="302"/>
  <c r="BU42" i="302"/>
  <c r="BU26" i="302"/>
  <c r="BV26" i="302"/>
  <c r="BW26" i="302"/>
  <c r="BU27" i="302"/>
  <c r="BV27" i="302"/>
  <c r="BW27" i="302"/>
  <c r="BU28" i="302"/>
  <c r="BV28" i="302"/>
  <c r="BW28" i="302"/>
  <c r="BU29" i="302"/>
  <c r="BV29" i="302"/>
  <c r="BW29" i="302"/>
  <c r="BU30" i="302"/>
  <c r="BV30" i="302"/>
  <c r="BW30" i="302"/>
  <c r="BU31" i="302"/>
  <c r="BV31" i="302"/>
  <c r="BW31" i="302"/>
  <c r="BW25" i="302"/>
  <c r="BV25" i="302"/>
  <c r="BU25" i="302"/>
  <c r="BU9" i="302"/>
  <c r="BV9" i="302"/>
  <c r="BW9" i="302"/>
  <c r="BU10" i="302"/>
  <c r="BV10" i="302"/>
  <c r="BW10" i="302"/>
  <c r="BU11" i="302"/>
  <c r="BV11" i="302"/>
  <c r="BW11" i="302"/>
  <c r="BU12" i="302"/>
  <c r="BV12" i="302"/>
  <c r="BW12" i="302"/>
  <c r="BU13" i="302"/>
  <c r="BV13" i="302"/>
  <c r="BW13" i="302"/>
  <c r="BU14" i="302"/>
  <c r="BV14" i="302"/>
  <c r="BW14" i="302"/>
  <c r="BW8" i="302"/>
  <c r="BV8" i="302"/>
  <c r="BU8" i="302"/>
  <c r="BF24" i="302"/>
  <c r="BF25" i="302" s="1"/>
  <c r="BG24" i="302"/>
  <c r="BG25" i="302" s="1"/>
  <c r="BH24" i="302"/>
  <c r="BH25" i="302" s="1"/>
  <c r="BI24" i="302"/>
  <c r="BI25" i="302" s="1"/>
  <c r="BJ24" i="302"/>
  <c r="BJ25" i="302" s="1"/>
  <c r="BK24" i="302"/>
  <c r="BK25" i="302" s="1"/>
  <c r="BL24" i="302"/>
  <c r="BL25" i="302" s="1"/>
  <c r="BM24" i="302"/>
  <c r="BM25" i="302" s="1"/>
  <c r="BN24" i="302"/>
  <c r="BN25" i="302" s="1"/>
  <c r="BO24" i="302"/>
  <c r="BO25" i="302" s="1"/>
  <c r="BP24" i="302"/>
  <c r="BP25" i="302" s="1"/>
  <c r="BQ24" i="302"/>
  <c r="BQ25" i="302" s="1"/>
  <c r="BR24" i="302"/>
  <c r="BR25" i="302" s="1"/>
  <c r="BS24" i="302"/>
  <c r="BS25" i="302" s="1"/>
  <c r="BF26" i="302"/>
  <c r="BG26" i="302"/>
  <c r="BH26" i="302"/>
  <c r="BI26" i="302"/>
  <c r="BJ26" i="302"/>
  <c r="BK26" i="302"/>
  <c r="BL26" i="302"/>
  <c r="BM26" i="302"/>
  <c r="BN26" i="302"/>
  <c r="BO26" i="302"/>
  <c r="BP26" i="302"/>
  <c r="BQ26" i="302"/>
  <c r="BR26" i="302"/>
  <c r="BS26" i="302"/>
  <c r="BF27" i="302"/>
  <c r="BG27" i="302"/>
  <c r="BH27" i="302"/>
  <c r="BI27" i="302"/>
  <c r="BJ27" i="302"/>
  <c r="BK27" i="302"/>
  <c r="BL27" i="302"/>
  <c r="BM27" i="302"/>
  <c r="BN27" i="302"/>
  <c r="BO27" i="302"/>
  <c r="BP27" i="302"/>
  <c r="BQ27" i="302"/>
  <c r="BR27" i="302"/>
  <c r="BS27" i="302"/>
  <c r="BF28" i="302"/>
  <c r="BG28" i="302"/>
  <c r="BH28" i="302"/>
  <c r="BI28" i="302"/>
  <c r="BJ28" i="302"/>
  <c r="BK28" i="302"/>
  <c r="BL28" i="302"/>
  <c r="BM28" i="302"/>
  <c r="BN28" i="302"/>
  <c r="BO28" i="302"/>
  <c r="BP28" i="302"/>
  <c r="BQ28" i="302"/>
  <c r="BR28" i="302"/>
  <c r="BS28" i="302"/>
  <c r="BE28" i="302"/>
  <c r="BE27" i="302"/>
  <c r="BE26" i="302"/>
  <c r="BE24" i="302"/>
  <c r="BE25" i="302" s="1"/>
  <c r="J9" i="302"/>
  <c r="Y8" i="301"/>
  <c r="Y9" i="301" s="1"/>
  <c r="Y10" i="301" s="1"/>
  <c r="Y11" i="301" s="1"/>
  <c r="Y12" i="301" s="1"/>
  <c r="Y13" i="301" s="1"/>
  <c r="Y14" i="301" s="1"/>
  <c r="Y15" i="301" s="1"/>
  <c r="Y16" i="301" s="1"/>
  <c r="AB23" i="301" s="1"/>
  <c r="AB13" i="308"/>
  <c r="D6" i="312" l="1"/>
  <c r="D5" i="312"/>
  <c r="K61" i="308"/>
  <c r="K62" i="308"/>
  <c r="K57" i="308"/>
  <c r="K21" i="313"/>
  <c r="K56" i="308"/>
  <c r="G23" i="313"/>
  <c r="O24" i="313"/>
  <c r="J23" i="313"/>
  <c r="H23" i="313"/>
  <c r="I23" i="313"/>
  <c r="D49" i="308"/>
  <c r="L49" i="308"/>
  <c r="L47" i="308" s="1"/>
  <c r="M47" i="308" s="1"/>
  <c r="M48" i="308"/>
  <c r="K49" i="308"/>
  <c r="K41" i="308"/>
  <c r="K42" i="308" s="1"/>
  <c r="L41" i="308"/>
  <c r="M32" i="308"/>
  <c r="D51" i="308"/>
  <c r="AB6" i="308"/>
  <c r="L42" i="308"/>
  <c r="M40" i="308" s="1"/>
  <c r="AB7" i="308"/>
  <c r="D48" i="308"/>
  <c r="M34" i="308"/>
  <c r="M33" i="308"/>
  <c r="C57" i="308"/>
  <c r="B4" i="312" s="1"/>
  <c r="D4" i="312" s="1"/>
  <c r="C56" i="308"/>
  <c r="C58" i="308"/>
  <c r="D50" i="308"/>
  <c r="BV66" i="302"/>
  <c r="BZ65" i="302" s="1"/>
  <c r="BV15" i="302"/>
  <c r="BZ13" i="302" s="1"/>
  <c r="BV16" i="302"/>
  <c r="BU32" i="302"/>
  <c r="BY29" i="302" s="1"/>
  <c r="BU66" i="302"/>
  <c r="BY61" i="302" s="1"/>
  <c r="BV83" i="302"/>
  <c r="BZ77" i="302" s="1"/>
  <c r="BV84" i="302"/>
  <c r="BW16" i="302"/>
  <c r="BW15" i="302"/>
  <c r="CA10" i="302" s="1"/>
  <c r="BV33" i="302"/>
  <c r="BV32" i="302"/>
  <c r="BZ30" i="302" s="1"/>
  <c r="BU49" i="302"/>
  <c r="BU50" i="302" s="1"/>
  <c r="BV67" i="302"/>
  <c r="BW84" i="302"/>
  <c r="BW83" i="302"/>
  <c r="CA80" i="302" s="1"/>
  <c r="BU15" i="302"/>
  <c r="BY10" i="302" s="1"/>
  <c r="BW32" i="302"/>
  <c r="CA28" i="302" s="1"/>
  <c r="BV50" i="302"/>
  <c r="BW67" i="302"/>
  <c r="BW33" i="302"/>
  <c r="BW50" i="302"/>
  <c r="BW49" i="302"/>
  <c r="CA45" i="302" s="1"/>
  <c r="BU83" i="302"/>
  <c r="BY79" i="302" s="1"/>
  <c r="BW66" i="302"/>
  <c r="CA65" i="302" s="1"/>
  <c r="BV49" i="302"/>
  <c r="BZ47" i="302" s="1"/>
  <c r="D9" i="312" l="1"/>
  <c r="D10" i="312" s="1"/>
  <c r="D13" i="312" s="1"/>
  <c r="D15" i="312" s="1"/>
  <c r="BY12" i="302"/>
  <c r="N47" i="308"/>
  <c r="O47" i="308" s="1"/>
  <c r="K23" i="313"/>
  <c r="G25" i="313" s="1"/>
  <c r="BZ64" i="302"/>
  <c r="BZ63" i="302"/>
  <c r="CA48" i="302"/>
  <c r="BZ9" i="302"/>
  <c r="BZ60" i="302"/>
  <c r="BZ59" i="302"/>
  <c r="BZ12" i="302"/>
  <c r="BZ10" i="302"/>
  <c r="CA44" i="302"/>
  <c r="BZ42" i="302"/>
  <c r="BZ80" i="302"/>
  <c r="BY13" i="302"/>
  <c r="BZ14" i="302"/>
  <c r="BZ11" i="302"/>
  <c r="AB8" i="308"/>
  <c r="AB10" i="308" s="1"/>
  <c r="AB11" i="308" s="1"/>
  <c r="M41" i="308"/>
  <c r="N40" i="308" s="1"/>
  <c r="O40" i="308" s="1"/>
  <c r="C60" i="308"/>
  <c r="N32" i="308"/>
  <c r="O32" i="308" s="1"/>
  <c r="D52" i="308"/>
  <c r="N33" i="308"/>
  <c r="O33" i="308" s="1"/>
  <c r="BY9" i="302"/>
  <c r="BY8" i="302"/>
  <c r="BZ62" i="302"/>
  <c r="BZ61" i="302"/>
  <c r="BY48" i="302"/>
  <c r="BY27" i="302"/>
  <c r="CA25" i="302"/>
  <c r="BZ44" i="302"/>
  <c r="CA42" i="302"/>
  <c r="CA47" i="302"/>
  <c r="BY26" i="302"/>
  <c r="BU84" i="302"/>
  <c r="BY65" i="302"/>
  <c r="BZ48" i="302"/>
  <c r="BY81" i="302"/>
  <c r="BY82" i="302"/>
  <c r="BY62" i="302"/>
  <c r="CA43" i="302"/>
  <c r="BY80" i="302"/>
  <c r="BY63" i="302"/>
  <c r="BY59" i="302"/>
  <c r="BY78" i="302"/>
  <c r="BZ46" i="302"/>
  <c r="BZ76" i="302"/>
  <c r="BZ8" i="302"/>
  <c r="BZ31" i="302"/>
  <c r="CA62" i="302"/>
  <c r="CA59" i="302"/>
  <c r="CA60" i="302"/>
  <c r="CA82" i="302"/>
  <c r="BZ79" i="302"/>
  <c r="CA61" i="302"/>
  <c r="CA77" i="302"/>
  <c r="BZ43" i="302"/>
  <c r="BY28" i="302"/>
  <c r="BY47" i="302"/>
  <c r="BU16" i="302"/>
  <c r="BY11" i="302"/>
  <c r="BY77" i="302"/>
  <c r="BZ82" i="302"/>
  <c r="CA76" i="302"/>
  <c r="CA29" i="302"/>
  <c r="CA9" i="302"/>
  <c r="CA8" i="302"/>
  <c r="BZ45" i="302"/>
  <c r="BZ81" i="302"/>
  <c r="BY60" i="302"/>
  <c r="BY64" i="302"/>
  <c r="BU33" i="302"/>
  <c r="CA12" i="302"/>
  <c r="BY76" i="302"/>
  <c r="CA31" i="302"/>
  <c r="CA26" i="302"/>
  <c r="CA79" i="302"/>
  <c r="BZ26" i="302"/>
  <c r="BZ29" i="302"/>
  <c r="BZ25" i="302"/>
  <c r="CA81" i="302"/>
  <c r="BY43" i="302"/>
  <c r="BY44" i="302"/>
  <c r="BZ28" i="302"/>
  <c r="CA78" i="302"/>
  <c r="CA63" i="302"/>
  <c r="BZ27" i="302"/>
  <c r="BY46" i="302"/>
  <c r="BY45" i="302"/>
  <c r="CA11" i="302"/>
  <c r="CA30" i="302"/>
  <c r="CA14" i="302"/>
  <c r="CA27" i="302"/>
  <c r="BZ78" i="302"/>
  <c r="CA64" i="302"/>
  <c r="BY42" i="302"/>
  <c r="BY31" i="302"/>
  <c r="CA46" i="302"/>
  <c r="BU67" i="302"/>
  <c r="BY30" i="302"/>
  <c r="BY25" i="302"/>
  <c r="BY14" i="302"/>
  <c r="CA13" i="302"/>
  <c r="N22" i="313" l="1"/>
  <c r="N21" i="313" s="1"/>
  <c r="N29" i="313"/>
  <c r="P29" i="313" s="1"/>
  <c r="D17" i="312"/>
  <c r="AS32" i="302"/>
  <c r="AT32" i="302" s="1"/>
  <c r="AU32" i="302" s="1"/>
  <c r="AV32" i="302" s="1"/>
  <c r="AS23" i="302"/>
  <c r="AT23" i="302" s="1"/>
  <c r="AU23" i="302" s="1"/>
  <c r="AV23" i="302" s="1"/>
  <c r="AS14" i="302"/>
  <c r="AT14" i="302" s="1"/>
  <c r="AU14" i="302" s="1"/>
  <c r="AV14" i="302" s="1"/>
  <c r="AS5" i="302"/>
  <c r="AT5" i="302" s="1"/>
  <c r="AU5" i="302" s="1"/>
  <c r="AV5" i="302" s="1"/>
  <c r="N31" i="313" l="1"/>
  <c r="P31" i="313" s="1"/>
  <c r="Q29" i="313" s="1"/>
  <c r="R29" i="313" s="1"/>
  <c r="P21" i="313"/>
  <c r="P22" i="313"/>
  <c r="AS39" i="302"/>
  <c r="AU39" i="302"/>
  <c r="AT39" i="302"/>
  <c r="AV39" i="302"/>
  <c r="AT30" i="302"/>
  <c r="AV30" i="302"/>
  <c r="AS30" i="302"/>
  <c r="AU30" i="302"/>
  <c r="AS21" i="302"/>
  <c r="AU21" i="302"/>
  <c r="AT21" i="302"/>
  <c r="AV21" i="302"/>
  <c r="Q21" i="313" l="1"/>
  <c r="R21" i="313" s="1"/>
  <c r="N30" i="313"/>
  <c r="P30" i="313" s="1"/>
  <c r="Q30" i="313" s="1"/>
  <c r="R30" i="313" s="1"/>
  <c r="CO5" i="302"/>
  <c r="CP5" i="302" s="1"/>
  <c r="CO6" i="302"/>
  <c r="CP6" i="302" s="1"/>
  <c r="CO4" i="302"/>
  <c r="CP4" i="302" s="1"/>
  <c r="AS20" i="302"/>
  <c r="AY25" i="302"/>
  <c r="AR30" i="302"/>
  <c r="AY24" i="302" s="1"/>
  <c r="AY26" i="302"/>
  <c r="AR29" i="302"/>
  <c r="AV38" i="302"/>
  <c r="AU20" i="302"/>
  <c r="AU29" i="302"/>
  <c r="AS29" i="302"/>
  <c r="AR39" i="302"/>
  <c r="AY33" i="302" s="1"/>
  <c r="AY35" i="302"/>
  <c r="AR38" i="302"/>
  <c r="AY34" i="302"/>
  <c r="AT38" i="302"/>
  <c r="AV20" i="302"/>
  <c r="AS38" i="302"/>
  <c r="AR21" i="302"/>
  <c r="AY15" i="302" s="1"/>
  <c r="AY17" i="302"/>
  <c r="AR20" i="302"/>
  <c r="AY16" i="302"/>
  <c r="AT20" i="302"/>
  <c r="AT29" i="302"/>
  <c r="AV29" i="302"/>
  <c r="AU38" i="302"/>
  <c r="AS12" i="302"/>
  <c r="AU12" i="302"/>
  <c r="AT12" i="302"/>
  <c r="AV12" i="302"/>
  <c r="AT11" i="302" l="1"/>
  <c r="AY27" i="302"/>
  <c r="AR11" i="302"/>
  <c r="AR12" i="302"/>
  <c r="AY6" i="302" s="1"/>
  <c r="AY8" i="302"/>
  <c r="AY7" i="302"/>
  <c r="AY36" i="302"/>
  <c r="AU11" i="302"/>
  <c r="AY18" i="302"/>
  <c r="AS11" i="302"/>
  <c r="AV11" i="302"/>
  <c r="AY9" i="302" l="1"/>
  <c r="AS41" i="302" l="1"/>
  <c r="AL29" i="302"/>
  <c r="AQ33" i="302"/>
  <c r="Q58" i="302"/>
  <c r="AQ24" i="302"/>
  <c r="AQ15" i="302"/>
  <c r="G24" i="302"/>
  <c r="G23" i="302"/>
  <c r="G22" i="302"/>
  <c r="G21" i="302"/>
  <c r="G20" i="302"/>
  <c r="G19" i="302"/>
  <c r="G18" i="302"/>
  <c r="G17" i="302"/>
  <c r="G16" i="302"/>
  <c r="G15" i="302"/>
  <c r="G14" i="302"/>
  <c r="G13" i="302"/>
  <c r="G12" i="302"/>
  <c r="N11" i="302"/>
  <c r="M11" i="302"/>
  <c r="L11" i="302"/>
  <c r="K11" i="302"/>
  <c r="J11" i="302"/>
  <c r="G11" i="302"/>
  <c r="N10" i="302"/>
  <c r="M10" i="302"/>
  <c r="L10" i="302"/>
  <c r="K10" i="302"/>
  <c r="J10" i="302"/>
  <c r="G10" i="302"/>
  <c r="N9" i="302"/>
  <c r="M9" i="302"/>
  <c r="L9" i="302"/>
  <c r="K9" i="302"/>
  <c r="G9" i="302"/>
  <c r="G8" i="302"/>
  <c r="G7" i="302"/>
  <c r="L5" i="302"/>
  <c r="Q4" i="303" s="1"/>
  <c r="G6" i="302"/>
  <c r="S5" i="302"/>
  <c r="G5" i="302"/>
  <c r="B50" i="301"/>
  <c r="B51" i="301" s="1"/>
  <c r="B45" i="301"/>
  <c r="B44" i="301"/>
  <c r="Q5" i="303" l="1"/>
  <c r="Q6" i="303"/>
  <c r="R4" i="303"/>
  <c r="S4" i="303" s="1"/>
  <c r="V4" i="303"/>
  <c r="X14" i="302"/>
  <c r="CL7" i="302"/>
  <c r="CQ4" i="302" s="1"/>
  <c r="AE12" i="302"/>
  <c r="BD11" i="302"/>
  <c r="BU98" i="302" s="1"/>
  <c r="AF11" i="302"/>
  <c r="BE10" i="302"/>
  <c r="BV97" i="302" s="1"/>
  <c r="AG12" i="302"/>
  <c r="BF11" i="302"/>
  <c r="BW98" i="302" s="1"/>
  <c r="AE7" i="302"/>
  <c r="BD6" i="302"/>
  <c r="AE13" i="302"/>
  <c r="BD12" i="302"/>
  <c r="BU99" i="302" s="1"/>
  <c r="AF8" i="302"/>
  <c r="BE7" i="302"/>
  <c r="BV94" i="302" s="1"/>
  <c r="AF12" i="302"/>
  <c r="BE11" i="302"/>
  <c r="BV98" i="302" s="1"/>
  <c r="AG9" i="302"/>
  <c r="BF8" i="302"/>
  <c r="BW95" i="302" s="1"/>
  <c r="AG13" i="302"/>
  <c r="BF12" i="302"/>
  <c r="BW99" i="302" s="1"/>
  <c r="AE8" i="302"/>
  <c r="BD7" i="302"/>
  <c r="BU94" i="302" s="1"/>
  <c r="AE10" i="302"/>
  <c r="BD9" i="302"/>
  <c r="BU96" i="302" s="1"/>
  <c r="AF9" i="302"/>
  <c r="BE8" i="302"/>
  <c r="BV95" i="302" s="1"/>
  <c r="AF13" i="302"/>
  <c r="BE12" i="302"/>
  <c r="BV99" i="302" s="1"/>
  <c r="AG10" i="302"/>
  <c r="BF9" i="302"/>
  <c r="BW96" i="302" s="1"/>
  <c r="AE9" i="302"/>
  <c r="BD8" i="302"/>
  <c r="BU95" i="302" s="1"/>
  <c r="AG8" i="302"/>
  <c r="BF7" i="302"/>
  <c r="BW94" i="302" s="1"/>
  <c r="B46" i="301"/>
  <c r="AE11" i="302"/>
  <c r="BD10" i="302"/>
  <c r="BU97" i="302" s="1"/>
  <c r="AF7" i="302"/>
  <c r="BE6" i="302"/>
  <c r="AF10" i="302"/>
  <c r="BE9" i="302"/>
  <c r="BV96" i="302" s="1"/>
  <c r="AG7" i="302"/>
  <c r="BF6" i="302"/>
  <c r="AG11" i="302"/>
  <c r="BF10" i="302"/>
  <c r="BW97" i="302" s="1"/>
  <c r="K12" i="302"/>
  <c r="R8" i="302"/>
  <c r="S8" i="302" s="1"/>
  <c r="S38" i="302" s="1"/>
  <c r="BB32" i="302"/>
  <c r="BB14" i="302"/>
  <c r="BB41" i="302"/>
  <c r="BB23" i="302"/>
  <c r="AT41" i="302"/>
  <c r="N12" i="302"/>
  <c r="O10" i="302"/>
  <c r="L12" i="302"/>
  <c r="O11" i="302"/>
  <c r="O12" i="302"/>
  <c r="R37" i="302"/>
  <c r="S37" i="302" s="1"/>
  <c r="R36" i="302"/>
  <c r="S36" i="302" s="1"/>
  <c r="J12" i="302"/>
  <c r="O9" i="302"/>
  <c r="M12" i="302"/>
  <c r="Q7" i="303" l="1"/>
  <c r="R7" i="303" s="1"/>
  <c r="R6" i="303"/>
  <c r="S6" i="303" s="1"/>
  <c r="V6" i="303"/>
  <c r="R5" i="303"/>
  <c r="S5" i="303" s="1"/>
  <c r="V5" i="303"/>
  <c r="CR5" i="302"/>
  <c r="CS5" i="302" s="1"/>
  <c r="CQ5" i="302"/>
  <c r="CR6" i="302"/>
  <c r="CS6" i="302" s="1"/>
  <c r="CQ6" i="302"/>
  <c r="CR4" i="302"/>
  <c r="CS4" i="302" s="1"/>
  <c r="BK6" i="302"/>
  <c r="BK7" i="302" s="1"/>
  <c r="BK9" i="302"/>
  <c r="BW93" i="302"/>
  <c r="BK10" i="302"/>
  <c r="BK8" i="302"/>
  <c r="BV93" i="302"/>
  <c r="BJ6" i="302"/>
  <c r="BJ7" i="302" s="1"/>
  <c r="BJ9" i="302"/>
  <c r="BJ10" i="302"/>
  <c r="BJ8" i="302"/>
  <c r="BI9" i="302"/>
  <c r="BI10" i="302"/>
  <c r="BU93" i="302"/>
  <c r="BI8" i="302"/>
  <c r="BI6" i="302"/>
  <c r="BI7" i="302" s="1"/>
  <c r="AU41" i="302"/>
  <c r="R43" i="302"/>
  <c r="K5" i="302"/>
  <c r="N5" i="303" s="1"/>
  <c r="R42" i="302"/>
  <c r="J5" i="302"/>
  <c r="N6" i="303" s="1"/>
  <c r="V7" i="303" l="1"/>
  <c r="V8" i="303" s="1"/>
  <c r="N11" i="303" s="1"/>
  <c r="N14" i="303"/>
  <c r="R8" i="303"/>
  <c r="N12" i="303" s="1"/>
  <c r="S7" i="303"/>
  <c r="S8" i="303" s="1"/>
  <c r="Q11" i="303" s="1"/>
  <c r="CL6" i="302"/>
  <c r="CL5" i="302"/>
  <c r="CL8" i="302" s="1"/>
  <c r="AR51" i="302" s="1" a="1"/>
  <c r="BW100" i="302"/>
  <c r="CA93" i="302" s="1"/>
  <c r="BW101" i="302"/>
  <c r="BV101" i="302"/>
  <c r="BV100" i="302"/>
  <c r="BZ93" i="302" s="1"/>
  <c r="BU100" i="302"/>
  <c r="BY93" i="302" s="1"/>
  <c r="BB5" i="302"/>
  <c r="BB43" i="302"/>
  <c r="AY23" i="302"/>
  <c r="AY5" i="302"/>
  <c r="AY32" i="302"/>
  <c r="AY14" i="302"/>
  <c r="AY41" i="302"/>
  <c r="AU44" i="302"/>
  <c r="AU42" i="302"/>
  <c r="AV42" i="302"/>
  <c r="AS46" i="302"/>
  <c r="AS44" i="302"/>
  <c r="AS42" i="302"/>
  <c r="AV44" i="302"/>
  <c r="AV46" i="302"/>
  <c r="AR44" i="302"/>
  <c r="AR45" i="302"/>
  <c r="AR43" i="302"/>
  <c r="AU45" i="302"/>
  <c r="AU48" i="302" s="1"/>
  <c r="AT44" i="302"/>
  <c r="AT48" i="302" s="1"/>
  <c r="AU43" i="302"/>
  <c r="AV43" i="302"/>
  <c r="AT46" i="302"/>
  <c r="AS45" i="302"/>
  <c r="AT42" i="302"/>
  <c r="AU46" i="302"/>
  <c r="AV45" i="302"/>
  <c r="AR46" i="302"/>
  <c r="AS43" i="302"/>
  <c r="AS48" i="302" s="1"/>
  <c r="AR42" i="302"/>
  <c r="AT45" i="302"/>
  <c r="AT43" i="302"/>
  <c r="AV41" i="302"/>
  <c r="T37" i="302"/>
  <c r="T36" i="302"/>
  <c r="R7" i="302"/>
  <c r="S7" i="302" s="1"/>
  <c r="T9" i="302"/>
  <c r="T6" i="302"/>
  <c r="Y7" i="302" s="1"/>
  <c r="T8" i="302"/>
  <c r="T5" i="302"/>
  <c r="R57" i="302"/>
  <c r="R56" i="302"/>
  <c r="R44" i="302"/>
  <c r="R6" i="302"/>
  <c r="S6" i="302" s="1"/>
  <c r="T7" i="302"/>
  <c r="Y10" i="302" s="1"/>
  <c r="R9" i="302"/>
  <c r="S9" i="302" s="1"/>
  <c r="N17" i="303" l="1"/>
  <c r="Q12" i="303"/>
  <c r="Q14" i="303" s="1"/>
  <c r="N13" i="303"/>
  <c r="N15" i="303" s="1"/>
  <c r="N18" i="303" s="1"/>
  <c r="CR7" i="302"/>
  <c r="CS7" i="302" s="1"/>
  <c r="CS8" i="302" s="1"/>
  <c r="CO11" i="302" s="1"/>
  <c r="CL14" i="302"/>
  <c r="CL17" i="302" s="1"/>
  <c r="AR51" i="302"/>
  <c r="AS52" i="302"/>
  <c r="AV53" i="302"/>
  <c r="AT55" i="302"/>
  <c r="AU51" i="302"/>
  <c r="AS53" i="302"/>
  <c r="AV54" i="302"/>
  <c r="AT52" i="302"/>
  <c r="AU55" i="302"/>
  <c r="AR53" i="302"/>
  <c r="AT51" i="302"/>
  <c r="AU54" i="302"/>
  <c r="AR54" i="302"/>
  <c r="AV52" i="302"/>
  <c r="AR55" i="302"/>
  <c r="AV51" i="302"/>
  <c r="AT54" i="302"/>
  <c r="AT53" i="302"/>
  <c r="AU53" i="302"/>
  <c r="AV55" i="302"/>
  <c r="AU52" i="302"/>
  <c r="AS55" i="302"/>
  <c r="AR52" i="302"/>
  <c r="AS54" i="302"/>
  <c r="AS51" i="302"/>
  <c r="CA94" i="302"/>
  <c r="CA95" i="302"/>
  <c r="CA96" i="302"/>
  <c r="CA98" i="302"/>
  <c r="CA99" i="302"/>
  <c r="CA97" i="302"/>
  <c r="BY94" i="302"/>
  <c r="BY99" i="302"/>
  <c r="BY98" i="302"/>
  <c r="BY97" i="302"/>
  <c r="BY96" i="302"/>
  <c r="BY95" i="302"/>
  <c r="BU101" i="302"/>
  <c r="BZ97" i="302"/>
  <c r="BZ96" i="302"/>
  <c r="BZ99" i="302"/>
  <c r="BZ95" i="302"/>
  <c r="BZ94" i="302"/>
  <c r="BZ98" i="302"/>
  <c r="BB15" i="302"/>
  <c r="AY20" i="302"/>
  <c r="AY19" i="302"/>
  <c r="BB33" i="302"/>
  <c r="AY38" i="302"/>
  <c r="AY37" i="302"/>
  <c r="AY43" i="302"/>
  <c r="AY44" i="302"/>
  <c r="AY10" i="302"/>
  <c r="BB6" i="302"/>
  <c r="AY11" i="302"/>
  <c r="BB42" i="302"/>
  <c r="BB49" i="302" s="1"/>
  <c r="AY29" i="302"/>
  <c r="AY28" i="302"/>
  <c r="BB24" i="302"/>
  <c r="AV48" i="302"/>
  <c r="AT47" i="302"/>
  <c r="AR48" i="302"/>
  <c r="AR47" i="302"/>
  <c r="AS47" i="302"/>
  <c r="AV47" i="302"/>
  <c r="AU47" i="302"/>
  <c r="S42" i="302"/>
  <c r="U36" i="302"/>
  <c r="X7" i="302"/>
  <c r="Z7" i="302" s="1"/>
  <c r="U6" i="302"/>
  <c r="S11" i="302"/>
  <c r="T12" i="302"/>
  <c r="Y6" i="302"/>
  <c r="S43" i="302"/>
  <c r="U37" i="302"/>
  <c r="T38" i="302"/>
  <c r="T10" i="302"/>
  <c r="U5" i="302"/>
  <c r="Y14" i="302"/>
  <c r="X10" i="302"/>
  <c r="U7" i="302"/>
  <c r="X6" i="302"/>
  <c r="U9" i="302"/>
  <c r="S12" i="302"/>
  <c r="S10" i="302"/>
  <c r="T11" i="302"/>
  <c r="Y11" i="302" s="1"/>
  <c r="U8" i="302"/>
  <c r="Q19" i="303" l="1"/>
  <c r="Q13" i="303"/>
  <c r="Q15" i="303" s="1"/>
  <c r="Q17" i="303" s="1"/>
  <c r="Q18" i="303" s="1"/>
  <c r="Q20" i="303" s="1"/>
  <c r="Q16" i="303"/>
  <c r="CR8" i="302"/>
  <c r="CL12" i="302" s="1"/>
  <c r="CO12" i="302" s="1"/>
  <c r="Y8" i="302"/>
  <c r="AC7" i="302" s="1"/>
  <c r="CO7" i="302"/>
  <c r="CP7" i="302" s="1"/>
  <c r="CQ7" i="302" s="1"/>
  <c r="CQ8" i="302" s="1"/>
  <c r="CL11" i="302" s="1"/>
  <c r="AY30" i="302"/>
  <c r="AY54" i="302" s="1"/>
  <c r="AY39" i="302"/>
  <c r="BB34" i="302" s="1"/>
  <c r="BB35" i="302" s="1"/>
  <c r="AY21" i="302"/>
  <c r="AY42" i="302"/>
  <c r="AY46" i="302" s="1"/>
  <c r="BB39" i="302"/>
  <c r="AY45" i="302"/>
  <c r="AY47" i="302" s="1"/>
  <c r="BB12" i="302"/>
  <c r="BB30" i="302"/>
  <c r="AY12" i="302"/>
  <c r="BB7" i="302" s="1"/>
  <c r="BB8" i="302" s="1"/>
  <c r="BB21" i="302"/>
  <c r="S57" i="302"/>
  <c r="T43" i="302"/>
  <c r="U10" i="302"/>
  <c r="S13" i="302"/>
  <c r="X12" i="302" s="1"/>
  <c r="X9" i="302"/>
  <c r="T13" i="302"/>
  <c r="Y12" i="302" s="1"/>
  <c r="AC10" i="302" s="1"/>
  <c r="Y9" i="302"/>
  <c r="U12" i="302"/>
  <c r="X8" i="302"/>
  <c r="X19" i="302"/>
  <c r="X25" i="302"/>
  <c r="Z10" i="302"/>
  <c r="S44" i="302"/>
  <c r="T44" i="302" s="1"/>
  <c r="U38" i="302"/>
  <c r="U11" i="302"/>
  <c r="X11" i="302"/>
  <c r="S56" i="302"/>
  <c r="T42" i="302"/>
  <c r="Z8" i="302" l="1"/>
  <c r="AA7" i="302" s="1"/>
  <c r="AB7" i="302" s="1"/>
  <c r="R49" i="302"/>
  <c r="AK41" i="302"/>
  <c r="AK40" i="302"/>
  <c r="AL40" i="302" s="1"/>
  <c r="S49" i="302"/>
  <c r="CO14" i="302"/>
  <c r="CO16" i="302" s="1"/>
  <c r="CO19" i="302"/>
  <c r="CL13" i="302"/>
  <c r="CL15" i="302" s="1"/>
  <c r="CL18" i="302" s="1"/>
  <c r="CO13" i="302"/>
  <c r="CO15" i="302" s="1"/>
  <c r="CO17" i="302" s="1"/>
  <c r="CO18" i="302" s="1"/>
  <c r="CO20" i="302" s="1"/>
  <c r="BB25" i="302"/>
  <c r="BB26" i="302" s="1"/>
  <c r="AY48" i="302"/>
  <c r="Y21" i="302" s="1"/>
  <c r="AY55" i="302"/>
  <c r="AC11" i="302"/>
  <c r="X21" i="302"/>
  <c r="X27" i="302"/>
  <c r="Z12" i="302"/>
  <c r="AA10" i="302" s="1"/>
  <c r="AB10" i="302" s="1"/>
  <c r="BB16" i="302"/>
  <c r="BB18" i="302" s="1"/>
  <c r="AY53" i="302"/>
  <c r="BB9" i="302"/>
  <c r="BB10" i="302" s="1"/>
  <c r="BB36" i="302"/>
  <c r="BB37" i="302" s="1"/>
  <c r="AZ55" i="302" s="1"/>
  <c r="U13" i="302"/>
  <c r="X26" i="302"/>
  <c r="X20" i="302"/>
  <c r="Z11" i="302"/>
  <c r="T56" i="302"/>
  <c r="U42" i="302"/>
  <c r="V42" i="302" s="1"/>
  <c r="R58" i="302"/>
  <c r="T57" i="302"/>
  <c r="U43" i="302"/>
  <c r="V43" i="302" s="1"/>
  <c r="AO40" i="302" l="1"/>
  <c r="AL41" i="302"/>
  <c r="AM40" i="302" s="1"/>
  <c r="AN40" i="302" s="1"/>
  <c r="AK36" i="302"/>
  <c r="AL36" i="302" s="1"/>
  <c r="AK35" i="302"/>
  <c r="AK46" i="302"/>
  <c r="AL46" i="302" s="1"/>
  <c r="AK45" i="302"/>
  <c r="Y20" i="302"/>
  <c r="Y19" i="302"/>
  <c r="BB27" i="302"/>
  <c r="BB28" i="302" s="1"/>
  <c r="AZ54" i="302" s="1"/>
  <c r="BB44" i="302"/>
  <c r="BB46" i="302" s="1"/>
  <c r="AA11" i="302"/>
  <c r="AB11" i="302" s="1"/>
  <c r="BB17" i="302"/>
  <c r="BB19" i="302" s="1"/>
  <c r="AZ53" i="302" s="1"/>
  <c r="S58" i="302"/>
  <c r="T58" i="302" s="1"/>
  <c r="AO45" i="302" l="1"/>
  <c r="AL45" i="302"/>
  <c r="AM45" i="302" s="1"/>
  <c r="AN45" i="302" s="1"/>
  <c r="AO35" i="302"/>
  <c r="AL35" i="302"/>
  <c r="AM35" i="302" s="1"/>
  <c r="AN35" i="302" s="1"/>
  <c r="BB45" i="302"/>
  <c r="BB47" i="302" s="1"/>
  <c r="U57" i="302"/>
  <c r="V57" i="302" s="1"/>
  <c r="U56" i="302"/>
  <c r="V56" i="302" s="1"/>
  <c r="Y26" i="302" l="1"/>
  <c r="Y25" i="302"/>
  <c r="Y27" i="302"/>
  <c r="R8" i="301" l="1"/>
  <c r="S8" i="301"/>
  <c r="R9" i="301"/>
  <c r="S9" i="301"/>
  <c r="R10" i="301"/>
  <c r="S10" i="301"/>
  <c r="R11" i="301"/>
  <c r="S11" i="301"/>
  <c r="R12" i="301"/>
  <c r="S12" i="301"/>
  <c r="R13" i="301"/>
  <c r="S13" i="301"/>
  <c r="R14" i="301"/>
  <c r="S14" i="301"/>
  <c r="R15" i="301"/>
  <c r="S15" i="301"/>
  <c r="R16" i="301"/>
  <c r="S16" i="301"/>
  <c r="J8" i="301"/>
  <c r="K8" i="301"/>
  <c r="J9" i="301"/>
  <c r="K9" i="301"/>
  <c r="J10" i="301"/>
  <c r="K10" i="301"/>
  <c r="J11" i="301"/>
  <c r="K11" i="301"/>
  <c r="J12" i="301"/>
  <c r="K12" i="301"/>
  <c r="J13" i="301"/>
  <c r="K13" i="301"/>
  <c r="J14" i="301"/>
  <c r="K14" i="301"/>
  <c r="J15" i="301"/>
  <c r="K15" i="301"/>
  <c r="J16" i="301"/>
  <c r="K16" i="301"/>
  <c r="S7" i="301"/>
  <c r="R7" i="301"/>
  <c r="K7" i="301"/>
  <c r="J7" i="301"/>
  <c r="Q8" i="301"/>
  <c r="Q9" i="301" s="1"/>
  <c r="Q10" i="301" s="1"/>
  <c r="Q11" i="301" s="1"/>
  <c r="Q12" i="301" s="1"/>
  <c r="Q13" i="301" s="1"/>
  <c r="Q14" i="301" s="1"/>
  <c r="Q15" i="301" s="1"/>
  <c r="Q16" i="301" s="1"/>
  <c r="T23" i="301" s="1"/>
  <c r="I8" i="301"/>
  <c r="I9" i="301" s="1"/>
  <c r="I10" i="301" s="1"/>
  <c r="I11" i="301" s="1"/>
  <c r="I12" i="301" s="1"/>
  <c r="I13" i="301" s="1"/>
  <c r="I14" i="301" s="1"/>
  <c r="I15" i="301" s="1"/>
  <c r="I16" i="301" s="1"/>
  <c r="L23" i="301" s="1"/>
  <c r="B8" i="301"/>
  <c r="C8" i="301"/>
  <c r="B9" i="301"/>
  <c r="C9" i="301"/>
  <c r="B10" i="301"/>
  <c r="C10" i="301"/>
  <c r="B11" i="301"/>
  <c r="C11" i="301"/>
  <c r="B12" i="301"/>
  <c r="C12" i="301"/>
  <c r="B13" i="301"/>
  <c r="C13" i="301"/>
  <c r="B14" i="301"/>
  <c r="C14" i="301"/>
  <c r="B15" i="301"/>
  <c r="C15" i="301"/>
  <c r="B16" i="301"/>
  <c r="C16" i="301"/>
  <c r="C7" i="301"/>
  <c r="B7" i="301"/>
  <c r="A8" i="301"/>
  <c r="A9" i="301" s="1"/>
  <c r="A10" i="301" s="1"/>
  <c r="A11" i="301" s="1"/>
  <c r="A12" i="301" s="1"/>
  <c r="A13" i="301" s="1"/>
  <c r="A14" i="301" s="1"/>
  <c r="A15" i="301" s="1"/>
  <c r="A16" i="301" s="1"/>
  <c r="AK25" i="300"/>
  <c r="AL25" i="300" s="1"/>
  <c r="AM25" i="300" s="1"/>
  <c r="AN25" i="300" s="1"/>
  <c r="AO25" i="300" s="1"/>
  <c r="G15" i="300"/>
  <c r="D30" i="301" s="1"/>
  <c r="F15" i="300"/>
  <c r="C30" i="301" s="1"/>
  <c r="E15" i="300"/>
  <c r="B30" i="301" s="1"/>
  <c r="D15" i="300"/>
  <c r="D29" i="301" s="1"/>
  <c r="C15" i="300"/>
  <c r="C29" i="301" s="1"/>
  <c r="B15" i="300"/>
  <c r="B29" i="301" s="1"/>
  <c r="O14" i="300"/>
  <c r="N14" i="300"/>
  <c r="M14" i="300"/>
  <c r="K14" i="300"/>
  <c r="J14" i="300"/>
  <c r="H14" i="300"/>
  <c r="O13" i="300"/>
  <c r="N13" i="300"/>
  <c r="M13" i="300"/>
  <c r="K13" i="300"/>
  <c r="J13" i="300"/>
  <c r="H13" i="300"/>
  <c r="O12" i="300"/>
  <c r="N12" i="300"/>
  <c r="M12" i="300"/>
  <c r="K12" i="300"/>
  <c r="J12" i="300"/>
  <c r="H12" i="300"/>
  <c r="O11" i="300"/>
  <c r="N11" i="300"/>
  <c r="M11" i="300"/>
  <c r="K11" i="300"/>
  <c r="J11" i="300"/>
  <c r="H11" i="300"/>
  <c r="O10" i="300"/>
  <c r="N10" i="300"/>
  <c r="M10" i="300"/>
  <c r="K10" i="300"/>
  <c r="J10" i="300"/>
  <c r="H10" i="300"/>
  <c r="O9" i="300"/>
  <c r="N9" i="300"/>
  <c r="M9" i="300"/>
  <c r="K9" i="300"/>
  <c r="J9" i="300"/>
  <c r="H9" i="300"/>
  <c r="O8" i="300"/>
  <c r="N8" i="300"/>
  <c r="M8" i="300"/>
  <c r="K8" i="300"/>
  <c r="J8" i="300"/>
  <c r="H8" i="300"/>
  <c r="S7" i="300"/>
  <c r="O7" i="300"/>
  <c r="N7" i="300"/>
  <c r="M7" i="300"/>
  <c r="K7" i="300"/>
  <c r="J7" i="300"/>
  <c r="H7" i="300"/>
  <c r="O6" i="300"/>
  <c r="N6" i="300"/>
  <c r="M6" i="300"/>
  <c r="K6" i="300"/>
  <c r="J6" i="300"/>
  <c r="H6" i="300"/>
  <c r="A6" i="300"/>
  <c r="A7" i="300" s="1"/>
  <c r="A8" i="300" s="1"/>
  <c r="A9" i="300" s="1"/>
  <c r="A10" i="300" s="1"/>
  <c r="A11" i="300" s="1"/>
  <c r="A12" i="300" s="1"/>
  <c r="O5" i="300"/>
  <c r="N5" i="300"/>
  <c r="M5" i="300"/>
  <c r="K5" i="300"/>
  <c r="J5" i="300"/>
  <c r="H5" i="300"/>
  <c r="AN4" i="300"/>
  <c r="AO4" i="300" s="1"/>
  <c r="AG4" i="300"/>
  <c r="S4" i="300"/>
  <c r="R4" i="300"/>
  <c r="T8" i="300" s="1"/>
  <c r="Y5" i="300" s="1"/>
  <c r="AW4" i="300" s="1"/>
  <c r="B13" i="298"/>
  <c r="C13" i="298" s="1"/>
  <c r="AA20" i="297"/>
  <c r="Z20" i="297"/>
  <c r="Y20" i="297"/>
  <c r="X20" i="297"/>
  <c r="K20" i="297"/>
  <c r="J20" i="297"/>
  <c r="I20" i="297"/>
  <c r="H20" i="297"/>
  <c r="AA19" i="297"/>
  <c r="Z19" i="297"/>
  <c r="Y19" i="297"/>
  <c r="X19" i="297"/>
  <c r="K19" i="297"/>
  <c r="J19" i="297"/>
  <c r="I19" i="297"/>
  <c r="H19" i="297"/>
  <c r="AA18" i="297"/>
  <c r="Z18" i="297"/>
  <c r="Y18" i="297"/>
  <c r="X18" i="297"/>
  <c r="K18" i="297"/>
  <c r="J18" i="297"/>
  <c r="I18" i="297"/>
  <c r="H18" i="297"/>
  <c r="AA17" i="297"/>
  <c r="Z17" i="297"/>
  <c r="Y17" i="297"/>
  <c r="X17" i="297"/>
  <c r="K17" i="297"/>
  <c r="J17" i="297"/>
  <c r="I17" i="297"/>
  <c r="H17" i="297"/>
  <c r="AA16" i="297"/>
  <c r="Z16" i="297"/>
  <c r="Y16" i="297"/>
  <c r="X16" i="297"/>
  <c r="K16" i="297"/>
  <c r="J16" i="297"/>
  <c r="I16" i="297"/>
  <c r="H16" i="297"/>
  <c r="AA15" i="297"/>
  <c r="Z15" i="297"/>
  <c r="Y15" i="297"/>
  <c r="X15" i="297"/>
  <c r="K15" i="297"/>
  <c r="J15" i="297"/>
  <c r="I15" i="297"/>
  <c r="H15" i="297"/>
  <c r="AA14" i="297"/>
  <c r="Z14" i="297"/>
  <c r="Y14" i="297"/>
  <c r="X14" i="297"/>
  <c r="K14" i="297"/>
  <c r="J14" i="297"/>
  <c r="I14" i="297"/>
  <c r="H14" i="297"/>
  <c r="AA13" i="297"/>
  <c r="Z13" i="297"/>
  <c r="Y13" i="297"/>
  <c r="X13" i="297"/>
  <c r="K13" i="297"/>
  <c r="J13" i="297"/>
  <c r="I13" i="297"/>
  <c r="H13" i="297"/>
  <c r="AA12" i="297"/>
  <c r="Z12" i="297"/>
  <c r="Y12" i="297"/>
  <c r="X12" i="297"/>
  <c r="K12" i="297"/>
  <c r="J12" i="297"/>
  <c r="I12" i="297"/>
  <c r="H12" i="297"/>
  <c r="AA11" i="297"/>
  <c r="Z11" i="297"/>
  <c r="Y11" i="297"/>
  <c r="X11" i="297"/>
  <c r="K11" i="297"/>
  <c r="J11" i="297"/>
  <c r="I11" i="297"/>
  <c r="H11" i="297"/>
  <c r="AA10" i="297"/>
  <c r="Z10" i="297"/>
  <c r="Y10" i="297"/>
  <c r="X10" i="297"/>
  <c r="K10" i="297"/>
  <c r="J10" i="297"/>
  <c r="I10" i="297"/>
  <c r="H10" i="297"/>
  <c r="AA9" i="297"/>
  <c r="Z9" i="297"/>
  <c r="Y9" i="297"/>
  <c r="X9" i="297"/>
  <c r="K9" i="297"/>
  <c r="J9" i="297"/>
  <c r="I9" i="297"/>
  <c r="H9" i="297"/>
  <c r="AA8" i="297"/>
  <c r="Z8" i="297"/>
  <c r="Y8" i="297"/>
  <c r="X8" i="297"/>
  <c r="K8" i="297"/>
  <c r="J8" i="297"/>
  <c r="I8" i="297"/>
  <c r="H8" i="297"/>
  <c r="AC7" i="297"/>
  <c r="AC8" i="297" s="1"/>
  <c r="AC9" i="297" s="1"/>
  <c r="AC10" i="297" s="1"/>
  <c r="AC11" i="297" s="1"/>
  <c r="AC12" i="297" s="1"/>
  <c r="AC13" i="297" s="1"/>
  <c r="AC14" i="297" s="1"/>
  <c r="AC15" i="297" s="1"/>
  <c r="AC16" i="297" s="1"/>
  <c r="AC17" i="297" s="1"/>
  <c r="AC18" i="297" s="1"/>
  <c r="AC19" i="297" s="1"/>
  <c r="AC20" i="297" s="1"/>
  <c r="AA7" i="297"/>
  <c r="Z7" i="297"/>
  <c r="Y7" i="297"/>
  <c r="X7" i="297"/>
  <c r="W7" i="297"/>
  <c r="W8" i="297" s="1"/>
  <c r="W9" i="297" s="1"/>
  <c r="W10" i="297" s="1"/>
  <c r="W11" i="297" s="1"/>
  <c r="W12" i="297" s="1"/>
  <c r="W13" i="297" s="1"/>
  <c r="W14" i="297" s="1"/>
  <c r="W15" i="297" s="1"/>
  <c r="W16" i="297" s="1"/>
  <c r="W17" i="297" s="1"/>
  <c r="W18" i="297" s="1"/>
  <c r="W19" i="297" s="1"/>
  <c r="W20" i="297" s="1"/>
  <c r="K7" i="297"/>
  <c r="J7" i="297"/>
  <c r="I7" i="297"/>
  <c r="H7" i="297"/>
  <c r="AA6" i="297"/>
  <c r="Z6" i="297"/>
  <c r="Y6" i="297"/>
  <c r="X6" i="297"/>
  <c r="K6" i="297"/>
  <c r="J6" i="297"/>
  <c r="I6" i="297"/>
  <c r="H6" i="297"/>
  <c r="G6" i="297"/>
  <c r="K5" i="297"/>
  <c r="J5" i="297"/>
  <c r="I5" i="297"/>
  <c r="H5" i="297"/>
  <c r="G5" i="297"/>
  <c r="A5" i="297"/>
  <c r="G7" i="297" s="1"/>
  <c r="A6" i="296"/>
  <c r="A7" i="296" s="1"/>
  <c r="A8" i="296" s="1"/>
  <c r="A9" i="296" s="1"/>
  <c r="A10" i="296" s="1"/>
  <c r="A11" i="296" s="1"/>
  <c r="A12" i="296" s="1"/>
  <c r="A13" i="296" s="1"/>
  <c r="A14" i="296" s="1"/>
  <c r="A15" i="296" s="1"/>
  <c r="A16" i="296" s="1"/>
  <c r="A17" i="296" s="1"/>
  <c r="A18" i="296" s="1"/>
  <c r="A19" i="296" s="1"/>
  <c r="D26" i="296" s="1"/>
  <c r="E4" i="296"/>
  <c r="D4" i="296"/>
  <c r="C4" i="296"/>
  <c r="H30" i="297" a="1"/>
  <c r="W25" i="297" a="1"/>
  <c r="AM5" i="300" a="1"/>
  <c r="AL5" i="297" a="1"/>
  <c r="AF5" i="300" a="1"/>
  <c r="AM6" i="300" l="1"/>
  <c r="AO5" i="300"/>
  <c r="AO6" i="300"/>
  <c r="AN5" i="300"/>
  <c r="AM5" i="300"/>
  <c r="AM7" i="300"/>
  <c r="AN7" i="300"/>
  <c r="AN6" i="300"/>
  <c r="AN9" i="300" s="1"/>
  <c r="AO7" i="300"/>
  <c r="AO9" i="300" s="1"/>
  <c r="AL6" i="297"/>
  <c r="AL7" i="297"/>
  <c r="AL8" i="297"/>
  <c r="AL5" i="297"/>
  <c r="AM6" i="297"/>
  <c r="AM8" i="297"/>
  <c r="AO6" i="297"/>
  <c r="AO8" i="297"/>
  <c r="AM5" i="297"/>
  <c r="AM7" i="297"/>
  <c r="AO5" i="297"/>
  <c r="AO7" i="297"/>
  <c r="AN5" i="297"/>
  <c r="AN6" i="297"/>
  <c r="AN7" i="297"/>
  <c r="AN8" i="297"/>
  <c r="K30" i="297"/>
  <c r="I31" i="297"/>
  <c r="I32" i="297"/>
  <c r="I33" i="297"/>
  <c r="J33" i="297"/>
  <c r="K31" i="297"/>
  <c r="K32" i="297"/>
  <c r="K33" i="297"/>
  <c r="H30" i="297"/>
  <c r="H31" i="297"/>
  <c r="H33" i="297"/>
  <c r="J31" i="297"/>
  <c r="I30" i="297"/>
  <c r="H32" i="297"/>
  <c r="J30" i="297"/>
  <c r="J32" i="297"/>
  <c r="W26" i="297"/>
  <c r="X25" i="297"/>
  <c r="X27" i="297"/>
  <c r="Z26" i="297"/>
  <c r="Y26" i="297"/>
  <c r="W27" i="297"/>
  <c r="W28" i="297"/>
  <c r="W25" i="297"/>
  <c r="X28" i="297"/>
  <c r="Y27" i="297"/>
  <c r="Y28" i="297"/>
  <c r="Y25" i="297"/>
  <c r="Z27" i="297"/>
  <c r="X26" i="297"/>
  <c r="Z28" i="297"/>
  <c r="Z25" i="297"/>
  <c r="AF6" i="300"/>
  <c r="AG6" i="300"/>
  <c r="AG8" i="300" s="1"/>
  <c r="AG5" i="300"/>
  <c r="AF5" i="300"/>
  <c r="AG14" i="297"/>
  <c r="AI17" i="297"/>
  <c r="AI18" i="297"/>
  <c r="AI19" i="297"/>
  <c r="AF7" i="297"/>
  <c r="AG11" i="297"/>
  <c r="A6" i="297"/>
  <c r="G8" i="297" s="1"/>
  <c r="AF8" i="297"/>
  <c r="AG12" i="297"/>
  <c r="AG13" i="297"/>
  <c r="AD16" i="297"/>
  <c r="AF18" i="297"/>
  <c r="AJ4" i="300"/>
  <c r="AJ20" i="300" s="1"/>
  <c r="AW7" i="300" s="1"/>
  <c r="AE9" i="297"/>
  <c r="AI12" i="297"/>
  <c r="AH19" i="297"/>
  <c r="AE16" i="297"/>
  <c r="AA7" i="301"/>
  <c r="AD8" i="297"/>
  <c r="L10" i="297"/>
  <c r="AD10" i="297"/>
  <c r="AE11" i="297"/>
  <c r="AI14" i="297"/>
  <c r="AG15" i="297"/>
  <c r="Z16" i="301"/>
  <c r="Z14" i="301"/>
  <c r="Z12" i="301"/>
  <c r="Z10" i="301"/>
  <c r="AA15" i="301"/>
  <c r="AA13" i="301"/>
  <c r="AA11" i="301"/>
  <c r="AA9" i="301"/>
  <c r="J22" i="297"/>
  <c r="AH9" i="297"/>
  <c r="AH10" i="297"/>
  <c r="AH12" i="297"/>
  <c r="AD13" i="297"/>
  <c r="AE13" i="297"/>
  <c r="AI15" i="297"/>
  <c r="AG17" i="297"/>
  <c r="L19" i="297"/>
  <c r="L18" i="297"/>
  <c r="AE18" i="297"/>
  <c r="L8" i="301"/>
  <c r="Z8" i="301"/>
  <c r="I22" i="297"/>
  <c r="L9" i="297"/>
  <c r="AD9" i="297"/>
  <c r="AF9" i="297"/>
  <c r="AH11" i="297"/>
  <c r="AI11" i="297"/>
  <c r="L13" i="297"/>
  <c r="L15" i="297"/>
  <c r="AD15" i="297"/>
  <c r="AF15" i="297"/>
  <c r="AH17" i="297"/>
  <c r="AI20" i="297"/>
  <c r="Z15" i="301"/>
  <c r="Z13" i="301"/>
  <c r="Z11" i="301"/>
  <c r="Z9" i="301"/>
  <c r="AA16" i="301"/>
  <c r="T14" i="301"/>
  <c r="AA14" i="301"/>
  <c r="AA12" i="301"/>
  <c r="AA10" i="301"/>
  <c r="T8" i="301"/>
  <c r="AA8" i="301"/>
  <c r="AE10" i="297"/>
  <c r="AF10" i="297"/>
  <c r="L16" i="297"/>
  <c r="L17" i="297"/>
  <c r="F18" i="296"/>
  <c r="AE7" i="297"/>
  <c r="L11" i="297"/>
  <c r="AF13" i="297"/>
  <c r="AH16" i="297"/>
  <c r="AF16" i="297"/>
  <c r="AG19" i="297"/>
  <c r="Z7" i="301"/>
  <c r="B47" i="301"/>
  <c r="B48" i="301" s="1"/>
  <c r="L15" i="301"/>
  <c r="D16" i="301"/>
  <c r="D10" i="301"/>
  <c r="D14" i="301"/>
  <c r="D12" i="301"/>
  <c r="D8" i="301"/>
  <c r="D7" i="301"/>
  <c r="D13" i="301"/>
  <c r="D9" i="301"/>
  <c r="L14" i="301"/>
  <c r="T13" i="301"/>
  <c r="L16" i="301"/>
  <c r="L12" i="301"/>
  <c r="L10" i="301"/>
  <c r="T15" i="301"/>
  <c r="T11" i="301"/>
  <c r="T9" i="301"/>
  <c r="D15" i="301"/>
  <c r="D11" i="301"/>
  <c r="L11" i="301"/>
  <c r="T16" i="301"/>
  <c r="T12" i="301"/>
  <c r="T10" i="301"/>
  <c r="L7" i="301"/>
  <c r="J15" i="300"/>
  <c r="L13" i="301"/>
  <c r="L9" i="301"/>
  <c r="T7" i="301"/>
  <c r="D23" i="301"/>
  <c r="A13" i="300"/>
  <c r="A14" i="300" s="1"/>
  <c r="O15" i="300"/>
  <c r="K15" i="300"/>
  <c r="T9" i="300"/>
  <c r="Y7" i="300" s="1"/>
  <c r="AR36" i="300"/>
  <c r="R13" i="300"/>
  <c r="S13" i="300" s="1"/>
  <c r="AR4" i="300"/>
  <c r="M15" i="300"/>
  <c r="AR35" i="300"/>
  <c r="T11" i="300"/>
  <c r="R10" i="300"/>
  <c r="S10" i="300" s="1"/>
  <c r="X13" i="300"/>
  <c r="R15" i="300"/>
  <c r="S15" i="300" s="1"/>
  <c r="N15" i="300"/>
  <c r="H15" i="300"/>
  <c r="D13" i="298"/>
  <c r="K22" i="297"/>
  <c r="K21" i="297"/>
  <c r="AE6" i="297"/>
  <c r="X21" i="297"/>
  <c r="AD6" i="297"/>
  <c r="AI7" i="297"/>
  <c r="AI13" i="297"/>
  <c r="AG18" i="297"/>
  <c r="AH18" i="297"/>
  <c r="AD19" i="297"/>
  <c r="AF19" i="297"/>
  <c r="AF20" i="297"/>
  <c r="AE20" i="297"/>
  <c r="AF6" i="297"/>
  <c r="AI10" i="297"/>
  <c r="AG10" i="297"/>
  <c r="L14" i="297"/>
  <c r="AI16" i="297"/>
  <c r="AG16" i="297"/>
  <c r="AF17" i="297"/>
  <c r="AE17" i="297"/>
  <c r="AE19" i="297"/>
  <c r="AH20" i="297"/>
  <c r="AG20" i="297"/>
  <c r="AD20" i="297"/>
  <c r="Z21" i="297"/>
  <c r="AI6" i="297"/>
  <c r="AG6" i="297"/>
  <c r="Y21" i="297"/>
  <c r="AH7" i="297"/>
  <c r="AG7" i="297"/>
  <c r="AD7" i="297"/>
  <c r="AI8" i="297"/>
  <c r="AG8" i="297"/>
  <c r="AF12" i="297"/>
  <c r="AE12" i="297"/>
  <c r="AD12" i="297"/>
  <c r="AD14" i="297"/>
  <c r="AF14" i="297"/>
  <c r="AE14" i="297"/>
  <c r="AD17" i="297"/>
  <c r="I21" i="297"/>
  <c r="AI9" i="297"/>
  <c r="AG9" i="297"/>
  <c r="AD11" i="297"/>
  <c r="AF11" i="297"/>
  <c r="L12" i="297"/>
  <c r="AH13" i="297"/>
  <c r="AD18" i="297"/>
  <c r="J21" i="297"/>
  <c r="H26" i="297"/>
  <c r="B5" i="299" s="1"/>
  <c r="AA21" i="297"/>
  <c r="AH6" i="297"/>
  <c r="L7" i="297"/>
  <c r="H22" i="297"/>
  <c r="H21" i="297"/>
  <c r="L8" i="297"/>
  <c r="AH8" i="297"/>
  <c r="AE8" i="297"/>
  <c r="AH15" i="297"/>
  <c r="AE15" i="297"/>
  <c r="L20" i="297"/>
  <c r="AH14" i="297"/>
  <c r="L6" i="297"/>
  <c r="O8" i="297"/>
  <c r="H25" i="297"/>
  <c r="B6" i="299" s="1"/>
  <c r="B18" i="299" s="1"/>
  <c r="F6" i="296"/>
  <c r="F10" i="296"/>
  <c r="F14" i="296"/>
  <c r="F5" i="296"/>
  <c r="F7" i="296"/>
  <c r="F9" i="296"/>
  <c r="F11" i="296"/>
  <c r="F13" i="296"/>
  <c r="F15" i="296"/>
  <c r="F17" i="296"/>
  <c r="F19" i="296"/>
  <c r="F8" i="296"/>
  <c r="F12" i="296"/>
  <c r="F16" i="296"/>
  <c r="AA28" i="297" l="1"/>
  <c r="AB7" i="301"/>
  <c r="AB14" i="301"/>
  <c r="AB13" i="301"/>
  <c r="AB10" i="301"/>
  <c r="A7" i="297"/>
  <c r="A8" i="297" s="1"/>
  <c r="AJ14" i="300"/>
  <c r="AB16" i="301"/>
  <c r="AB15" i="301"/>
  <c r="T4" i="300"/>
  <c r="R11" i="300" s="1"/>
  <c r="S11" i="300" s="1"/>
  <c r="AB12" i="301"/>
  <c r="AB9" i="301"/>
  <c r="AB8" i="301"/>
  <c r="AB11" i="301"/>
  <c r="B10" i="299"/>
  <c r="B17" i="299"/>
  <c r="B21" i="299" s="1"/>
  <c r="B8" i="299"/>
  <c r="E6" i="298"/>
  <c r="C9" i="298"/>
  <c r="B9" i="298"/>
  <c r="D9" i="298"/>
  <c r="E8" i="298"/>
  <c r="E5" i="298"/>
  <c r="A9" i="298"/>
  <c r="AA26" i="297"/>
  <c r="AA27" i="297"/>
  <c r="E7" i="298"/>
  <c r="D18" i="301"/>
  <c r="D19" i="301" s="1"/>
  <c r="B23" i="301" s="1"/>
  <c r="L18" i="301"/>
  <c r="L19" i="301" s="1"/>
  <c r="J23" i="301" s="1"/>
  <c r="T18" i="301"/>
  <c r="T19" i="301" s="1"/>
  <c r="R23" i="301" s="1"/>
  <c r="L17" i="301"/>
  <c r="T12" i="300"/>
  <c r="Y9" i="300" s="1"/>
  <c r="AW20" i="300" s="1"/>
  <c r="AG7" i="300"/>
  <c r="T17" i="301"/>
  <c r="AO8" i="300"/>
  <c r="D17" i="301"/>
  <c r="AV25" i="300"/>
  <c r="T15" i="300"/>
  <c r="U15" i="300" s="1"/>
  <c r="AP28" i="300"/>
  <c r="AP31" i="300"/>
  <c r="AK32" i="300"/>
  <c r="AP30" i="300"/>
  <c r="AO32" i="300"/>
  <c r="AL32" i="300"/>
  <c r="AP29" i="300"/>
  <c r="AJ7" i="300"/>
  <c r="AF8" i="300"/>
  <c r="AJ5" i="300" s="1"/>
  <c r="AF7" i="300"/>
  <c r="AJ6" i="300"/>
  <c r="AJ32" i="300"/>
  <c r="AP26" i="300"/>
  <c r="AP27" i="300"/>
  <c r="AM32" i="300"/>
  <c r="AN8" i="300"/>
  <c r="X11" i="300"/>
  <c r="AR20" i="300"/>
  <c r="AR14" i="300"/>
  <c r="AW12" i="300"/>
  <c r="AN32" i="300"/>
  <c r="AM8" i="300"/>
  <c r="AR6" i="300"/>
  <c r="AM9" i="300"/>
  <c r="AR5" i="300" s="1"/>
  <c r="AR7" i="300"/>
  <c r="G22" i="298"/>
  <c r="G14" i="298"/>
  <c r="AR14" i="297"/>
  <c r="O6" i="297"/>
  <c r="J37" i="297"/>
  <c r="P8" i="297"/>
  <c r="P5" i="297"/>
  <c r="AI23" i="297"/>
  <c r="J39" i="297"/>
  <c r="AR6" i="297"/>
  <c r="J38" i="297"/>
  <c r="O5" i="297"/>
  <c r="AR5" i="297"/>
  <c r="P6" i="297"/>
  <c r="AI21" i="297"/>
  <c r="AI22" i="297"/>
  <c r="K34" i="297"/>
  <c r="J40" i="297"/>
  <c r="AR7" i="297"/>
  <c r="H34" i="297"/>
  <c r="J41" i="297"/>
  <c r="AN9" i="297"/>
  <c r="AR8" i="297"/>
  <c r="AL9" i="297"/>
  <c r="AO9" i="297"/>
  <c r="AD23" i="297"/>
  <c r="AA25" i="297"/>
  <c r="AF23" i="297"/>
  <c r="AE23" i="297"/>
  <c r="AF22" i="297"/>
  <c r="AF21" i="297"/>
  <c r="AE22" i="297"/>
  <c r="AE21" i="297"/>
  <c r="AH23" i="297"/>
  <c r="AG23" i="297"/>
  <c r="AH21" i="297"/>
  <c r="AH22" i="297"/>
  <c r="I34" i="297"/>
  <c r="L22" i="297"/>
  <c r="L21" i="297"/>
  <c r="AG22" i="297"/>
  <c r="AG21" i="297"/>
  <c r="AD22" i="297"/>
  <c r="AD21" i="297"/>
  <c r="J34" i="297"/>
  <c r="AM9" i="297"/>
  <c r="F21" i="296"/>
  <c r="F22" i="296" s="1"/>
  <c r="B26" i="296" s="1"/>
  <c r="F20" i="296"/>
  <c r="F23" i="301" l="1"/>
  <c r="G9" i="297"/>
  <c r="AJ13" i="300"/>
  <c r="T10" i="300"/>
  <c r="Y11" i="300" s="1"/>
  <c r="AW24" i="300" s="1"/>
  <c r="R8" i="300"/>
  <c r="S8" i="300" s="1"/>
  <c r="X5" i="300" s="1"/>
  <c r="AR13" i="300"/>
  <c r="R9" i="300"/>
  <c r="S9" i="300" s="1"/>
  <c r="S16" i="300" s="1"/>
  <c r="X8" i="300" s="1"/>
  <c r="AB17" i="301"/>
  <c r="Y23" i="301" s="1"/>
  <c r="AB18" i="301"/>
  <c r="AB19" i="301" s="1"/>
  <c r="Z23" i="301" s="1"/>
  <c r="U4" i="300"/>
  <c r="T7" i="300" s="1"/>
  <c r="T13" i="300"/>
  <c r="U13" i="300" s="1"/>
  <c r="AJ8" i="300"/>
  <c r="AJ10" i="300" s="1"/>
  <c r="AJ9" i="300"/>
  <c r="E9" i="298"/>
  <c r="D16" i="298" s="1"/>
  <c r="AR9" i="300"/>
  <c r="N23" i="301"/>
  <c r="V23" i="301"/>
  <c r="I23" i="301"/>
  <c r="K23" i="301" s="1"/>
  <c r="Q23" i="301"/>
  <c r="S23" i="301" s="1"/>
  <c r="W23" i="301" s="1"/>
  <c r="A23" i="301"/>
  <c r="C23" i="301" s="1"/>
  <c r="AV24" i="300"/>
  <c r="AW15" i="300"/>
  <c r="AP32" i="300"/>
  <c r="AM39" i="300" s="1"/>
  <c r="AW21" i="300"/>
  <c r="AR8" i="300"/>
  <c r="AR10" i="300" s="1"/>
  <c r="U11" i="300"/>
  <c r="O23" i="297"/>
  <c r="AR15" i="297"/>
  <c r="AR10" i="297"/>
  <c r="P7" i="297"/>
  <c r="T6" i="297" s="1"/>
  <c r="AR9" i="297"/>
  <c r="AR11" i="297" s="1"/>
  <c r="J42" i="297"/>
  <c r="J44" i="297" s="1"/>
  <c r="Q5" i="297"/>
  <c r="G10" i="297"/>
  <c r="A9" i="297"/>
  <c r="J43" i="297"/>
  <c r="O7" i="297"/>
  <c r="O17" i="297"/>
  <c r="O12" i="297"/>
  <c r="Q6" i="297"/>
  <c r="O24" i="297"/>
  <c r="F26" i="296"/>
  <c r="A26" i="296"/>
  <c r="C26" i="296" s="1"/>
  <c r="U8" i="300" l="1"/>
  <c r="S14" i="300"/>
  <c r="X6" i="300" s="1"/>
  <c r="S12" i="300"/>
  <c r="X9" i="300" s="1"/>
  <c r="AX24" i="300"/>
  <c r="U10" i="300"/>
  <c r="T16" i="300"/>
  <c r="Y8" i="300" s="1"/>
  <c r="AW16" i="300" s="1"/>
  <c r="Z11" i="300"/>
  <c r="U9" i="300"/>
  <c r="X7" i="300"/>
  <c r="Z7" i="300" s="1"/>
  <c r="AD23" i="301"/>
  <c r="AR11" i="300"/>
  <c r="AW13" i="300" s="1"/>
  <c r="AA23" i="301"/>
  <c r="AE23" i="301" s="1"/>
  <c r="AJ11" i="300"/>
  <c r="AJ15" i="300" s="1"/>
  <c r="T14" i="300"/>
  <c r="Y6" i="300" s="1"/>
  <c r="AC5" i="300" s="1"/>
  <c r="U7" i="300"/>
  <c r="Y13" i="300"/>
  <c r="G23" i="301"/>
  <c r="B52" i="301"/>
  <c r="B53" i="301" s="1"/>
  <c r="A17" i="298"/>
  <c r="AC23" i="301"/>
  <c r="A15" i="298"/>
  <c r="C14" i="298"/>
  <c r="B14" i="298"/>
  <c r="C16" i="298"/>
  <c r="C18" i="298" s="1"/>
  <c r="D15" i="298"/>
  <c r="B16" i="298"/>
  <c r="B17" i="298"/>
  <c r="A16" i="298"/>
  <c r="A14" i="298"/>
  <c r="AM40" i="300"/>
  <c r="AO35" i="300"/>
  <c r="AR12" i="297"/>
  <c r="AR16" i="297" s="1"/>
  <c r="AR17" i="297" s="1"/>
  <c r="AM37" i="300"/>
  <c r="AN39" i="300"/>
  <c r="D14" i="298"/>
  <c r="B15" i="298"/>
  <c r="B18" i="298" s="1"/>
  <c r="D17" i="298"/>
  <c r="C15" i="298"/>
  <c r="C17" i="298"/>
  <c r="M23" i="301"/>
  <c r="O23" i="301"/>
  <c r="U23" i="301"/>
  <c r="E23" i="301"/>
  <c r="Z5" i="300"/>
  <c r="AV4" i="300"/>
  <c r="AN38" i="300"/>
  <c r="AJ37" i="300"/>
  <c r="AL37" i="300"/>
  <c r="AN36" i="300"/>
  <c r="AK40" i="300"/>
  <c r="AK36" i="300"/>
  <c r="AO36" i="300"/>
  <c r="AV12" i="300"/>
  <c r="AL39" i="300"/>
  <c r="AN37" i="300"/>
  <c r="AL38" i="300"/>
  <c r="AK37" i="300"/>
  <c r="AO37" i="300"/>
  <c r="AO39" i="300"/>
  <c r="AJ39" i="300"/>
  <c r="AN40" i="300"/>
  <c r="AM35" i="300"/>
  <c r="AK39" i="300"/>
  <c r="AM38" i="300"/>
  <c r="AO38" i="300"/>
  <c r="AK38" i="300"/>
  <c r="AJ36" i="300"/>
  <c r="AL40" i="300"/>
  <c r="AJ38" i="300"/>
  <c r="AM36" i="300"/>
  <c r="AL35" i="300"/>
  <c r="AJ35" i="300"/>
  <c r="AJ40" i="300"/>
  <c r="AL36" i="300"/>
  <c r="AK35" i="300"/>
  <c r="AO40" i="300"/>
  <c r="AV16" i="300"/>
  <c r="AN35" i="300"/>
  <c r="O18" i="297"/>
  <c r="O13" i="297"/>
  <c r="Q7" i="297"/>
  <c r="R5" i="297" s="1"/>
  <c r="S5" i="297" s="1"/>
  <c r="G11" i="297"/>
  <c r="A10" i="297"/>
  <c r="J45" i="297"/>
  <c r="AR21" i="297"/>
  <c r="T5" i="297"/>
  <c r="O25" i="297"/>
  <c r="G26" i="296"/>
  <c r="E26" i="296"/>
  <c r="AJ42" i="300" a="1"/>
  <c r="B3" i="299" a="1"/>
  <c r="A22" i="298" a="1"/>
  <c r="C3" i="299" l="1"/>
  <c r="D3" i="299"/>
  <c r="B3" i="299"/>
  <c r="B22" i="298"/>
  <c r="A22" i="298"/>
  <c r="C22" i="298"/>
  <c r="AM42" i="300"/>
  <c r="AJ42" i="300"/>
  <c r="AN42" i="300"/>
  <c r="AK42" i="300"/>
  <c r="AL42" i="300"/>
  <c r="S17" i="300"/>
  <c r="X10" i="300" s="1"/>
  <c r="U12" i="300"/>
  <c r="AC7" i="300"/>
  <c r="Z8" i="300"/>
  <c r="AA7" i="300" s="1"/>
  <c r="AB7" i="300" s="1"/>
  <c r="U16" i="300"/>
  <c r="U14" i="300"/>
  <c r="AR15" i="300"/>
  <c r="AR16" i="300" s="1"/>
  <c r="T17" i="300"/>
  <c r="Y10" i="300" s="1"/>
  <c r="AW22" i="300" s="1"/>
  <c r="AW23" i="300" s="1"/>
  <c r="BA21" i="300" s="1"/>
  <c r="AW8" i="300"/>
  <c r="BA4" i="300" s="1"/>
  <c r="AW5" i="300"/>
  <c r="AW25" i="300"/>
  <c r="AX25" i="300" s="1"/>
  <c r="Z13" i="300"/>
  <c r="AR18" i="297"/>
  <c r="AR19" i="297" s="1"/>
  <c r="D18" i="298"/>
  <c r="A18" i="298"/>
  <c r="G16" i="298"/>
  <c r="AJ17" i="300"/>
  <c r="AJ16" i="300"/>
  <c r="AV8" i="300"/>
  <c r="Z6" i="300"/>
  <c r="AA5" i="300" s="1"/>
  <c r="AB5" i="300" s="1"/>
  <c r="AW19" i="300"/>
  <c r="BA15" i="300" s="1"/>
  <c r="AW17" i="300"/>
  <c r="BA13" i="300" s="1"/>
  <c r="BA12" i="300"/>
  <c r="AV20" i="300"/>
  <c r="Z9" i="300"/>
  <c r="AV15" i="300"/>
  <c r="AX15" i="300" s="1"/>
  <c r="AV14" i="300"/>
  <c r="AX12" i="300"/>
  <c r="AV13" i="300"/>
  <c r="AX13" i="300" s="1"/>
  <c r="AX16" i="300"/>
  <c r="AV19" i="300"/>
  <c r="AV18" i="300"/>
  <c r="AV17" i="300"/>
  <c r="AV6" i="300"/>
  <c r="AX4" i="300"/>
  <c r="AV5" i="300"/>
  <c r="AV7" i="300"/>
  <c r="AX7" i="300" s="1"/>
  <c r="J46" i="297"/>
  <c r="J47" i="297"/>
  <c r="P12" i="297"/>
  <c r="R6" i="297"/>
  <c r="S6" i="297" s="1"/>
  <c r="G12" i="297"/>
  <c r="A11" i="297"/>
  <c r="P13" i="297"/>
  <c r="Q13" i="297" s="1"/>
  <c r="O27" i="297" s="1"/>
  <c r="A5" i="294"/>
  <c r="A6" i="294" s="1"/>
  <c r="A7" i="294" s="1"/>
  <c r="A8" i="294" s="1"/>
  <c r="A9" i="294" s="1"/>
  <c r="A10" i="294" s="1"/>
  <c r="A11" i="294" s="1"/>
  <c r="A12" i="294" s="1"/>
  <c r="A13" i="294" s="1"/>
  <c r="A14" i="294" s="1"/>
  <c r="A15" i="294" s="1"/>
  <c r="A16" i="294" s="1"/>
  <c r="A17" i="294" s="1"/>
  <c r="A18" i="294" s="1"/>
  <c r="A6" i="290"/>
  <c r="D21" i="289"/>
  <c r="C21" i="289"/>
  <c r="B21" i="289"/>
  <c r="E20" i="289"/>
  <c r="E19" i="289"/>
  <c r="E18" i="289"/>
  <c r="M14" i="289"/>
  <c r="D10" i="289"/>
  <c r="C10" i="289"/>
  <c r="B10" i="289"/>
  <c r="D8" i="289"/>
  <c r="C8" i="289"/>
  <c r="B8" i="289"/>
  <c r="E7" i="289"/>
  <c r="E6" i="289"/>
  <c r="E5" i="289"/>
  <c r="P40" i="288"/>
  <c r="A7" i="290" l="1"/>
  <c r="P20" i="290"/>
  <c r="P32" i="290"/>
  <c r="P8" i="290"/>
  <c r="BA20" i="300"/>
  <c r="AR17" i="300"/>
  <c r="AR18" i="300" s="1"/>
  <c r="AW14" i="300" s="1"/>
  <c r="AX14" i="300" s="1"/>
  <c r="U17" i="300"/>
  <c r="AC9" i="300"/>
  <c r="AW11" i="300"/>
  <c r="BA7" i="300" s="1"/>
  <c r="AW9" i="300"/>
  <c r="BA5" i="300" s="1"/>
  <c r="AX5" i="300"/>
  <c r="E8" i="289"/>
  <c r="E21" i="289"/>
  <c r="J48" i="297"/>
  <c r="P17" i="297" s="1"/>
  <c r="AJ18" i="300"/>
  <c r="AW6" i="300" s="1"/>
  <c r="AX6" i="300" s="1"/>
  <c r="G15" i="298"/>
  <c r="G17" i="298" s="1"/>
  <c r="AX17" i="300"/>
  <c r="AY13" i="300" s="1"/>
  <c r="AZ13" i="300" s="1"/>
  <c r="G23" i="298"/>
  <c r="G24" i="298"/>
  <c r="B7" i="299"/>
  <c r="B9" i="299" s="1"/>
  <c r="B11" i="299" s="1"/>
  <c r="B13" i="299" s="1"/>
  <c r="AX20" i="300"/>
  <c r="AV21" i="300"/>
  <c r="AX21" i="300" s="1"/>
  <c r="AR37" i="300"/>
  <c r="AR38" i="300"/>
  <c r="AV10" i="300"/>
  <c r="AV11" i="300"/>
  <c r="AV9" i="300"/>
  <c r="AX8" i="300"/>
  <c r="AY4" i="300" s="1"/>
  <c r="AZ4" i="300" s="1"/>
  <c r="AV22" i="300"/>
  <c r="Z10" i="300"/>
  <c r="AA9" i="300" s="1"/>
  <c r="AB9" i="300" s="1"/>
  <c r="AX19" i="300"/>
  <c r="AY15" i="300" s="1"/>
  <c r="AZ15" i="300" s="1"/>
  <c r="AY12" i="300"/>
  <c r="AZ12" i="300" s="1"/>
  <c r="A12" i="297"/>
  <c r="G13" i="297"/>
  <c r="T12" i="297"/>
  <c r="Q12" i="297"/>
  <c r="E10" i="289"/>
  <c r="B40" i="288"/>
  <c r="C40" i="288"/>
  <c r="D40" i="288"/>
  <c r="E40" i="288"/>
  <c r="F40" i="288"/>
  <c r="G40" i="288"/>
  <c r="H40" i="288"/>
  <c r="I40" i="288"/>
  <c r="J40" i="288"/>
  <c r="K40" i="288"/>
  <c r="L40" i="288"/>
  <c r="A28" i="288"/>
  <c r="A29" i="288" s="1"/>
  <c r="A30" i="288" s="1"/>
  <c r="A31" i="288" s="1"/>
  <c r="A32" i="288" s="1"/>
  <c r="A33" i="288" s="1"/>
  <c r="A34" i="288" s="1"/>
  <c r="A35" i="288" s="1"/>
  <c r="A36" i="288" s="1"/>
  <c r="A37" i="288" s="1"/>
  <c r="A38" i="288" s="1"/>
  <c r="B17" i="288"/>
  <c r="C17" i="288"/>
  <c r="D17" i="288"/>
  <c r="E17" i="288"/>
  <c r="F17" i="288"/>
  <c r="G17" i="288"/>
  <c r="H17" i="288"/>
  <c r="I17" i="288"/>
  <c r="J17" i="288"/>
  <c r="K17" i="288"/>
  <c r="L17" i="288"/>
  <c r="B19" i="288"/>
  <c r="L16" i="288"/>
  <c r="K16" i="288"/>
  <c r="J16" i="288"/>
  <c r="I16" i="288"/>
  <c r="H16" i="288"/>
  <c r="G16" i="288"/>
  <c r="F16" i="288"/>
  <c r="E16" i="288"/>
  <c r="D16" i="288"/>
  <c r="C16" i="288"/>
  <c r="B16" i="288"/>
  <c r="M15" i="288"/>
  <c r="E38" i="288" s="1"/>
  <c r="M14" i="288"/>
  <c r="D37" i="288" s="1"/>
  <c r="M13" i="288"/>
  <c r="C36" i="288" s="1"/>
  <c r="M12" i="288"/>
  <c r="B35" i="288" s="1"/>
  <c r="M11" i="288"/>
  <c r="E34" i="288" s="1"/>
  <c r="M10" i="288"/>
  <c r="D33" i="288" s="1"/>
  <c r="M9" i="288"/>
  <c r="C32" i="288" s="1"/>
  <c r="M8" i="288"/>
  <c r="B31" i="288" s="1"/>
  <c r="M7" i="288"/>
  <c r="E30" i="288" s="1"/>
  <c r="M6" i="288"/>
  <c r="D29" i="288" s="1"/>
  <c r="M5" i="288"/>
  <c r="C28" i="288" s="1"/>
  <c r="A5" i="288"/>
  <c r="M4" i="288"/>
  <c r="C27" i="288" s="1"/>
  <c r="B11" i="289" l="1"/>
  <c r="Q12" i="289"/>
  <c r="R11" i="289"/>
  <c r="S12" i="289"/>
  <c r="R13" i="289"/>
  <c r="Q13" i="289"/>
  <c r="S11" i="289"/>
  <c r="M17" i="288"/>
  <c r="B41" i="288" s="1"/>
  <c r="A6" i="288"/>
  <c r="O84" i="288"/>
  <c r="O52" i="288"/>
  <c r="O68" i="288"/>
  <c r="A8" i="290"/>
  <c r="P21" i="290"/>
  <c r="P33" i="290"/>
  <c r="P9" i="290"/>
  <c r="H6" i="289"/>
  <c r="H7" i="289" s="1"/>
  <c r="M11" i="289" s="1"/>
  <c r="AX9" i="300"/>
  <c r="AY5" i="300" s="1"/>
  <c r="AZ5" i="300" s="1"/>
  <c r="AX11" i="300"/>
  <c r="AY7" i="300" s="1"/>
  <c r="AZ7" i="300" s="1"/>
  <c r="C11" i="289"/>
  <c r="D11" i="289"/>
  <c r="P18" i="297"/>
  <c r="Q18" i="297" s="1"/>
  <c r="AW18" i="300"/>
  <c r="AX18" i="300" s="1"/>
  <c r="AY14" i="300" s="1"/>
  <c r="AZ14" i="300" s="1"/>
  <c r="J28" i="288"/>
  <c r="B36" i="288"/>
  <c r="J32" i="288"/>
  <c r="F30" i="288"/>
  <c r="D34" i="288"/>
  <c r="D27" i="288"/>
  <c r="J36" i="288"/>
  <c r="B32" i="288"/>
  <c r="AW10" i="300"/>
  <c r="BA6" i="300" s="1"/>
  <c r="L38" i="288"/>
  <c r="D30" i="288"/>
  <c r="L27" i="288"/>
  <c r="F38" i="288"/>
  <c r="L34" i="288"/>
  <c r="G25" i="298"/>
  <c r="B19" i="299" s="1"/>
  <c r="B20" i="299" s="1"/>
  <c r="B22" i="299" s="1"/>
  <c r="B24" i="299" s="1"/>
  <c r="J27" i="288"/>
  <c r="D38" i="288"/>
  <c r="F34" i="288"/>
  <c r="L30" i="288"/>
  <c r="B28" i="288"/>
  <c r="H36" i="288"/>
  <c r="H32" i="288"/>
  <c r="H28" i="288"/>
  <c r="H27" i="288"/>
  <c r="J38" i="288"/>
  <c r="B38" i="288"/>
  <c r="F36" i="288"/>
  <c r="J34" i="288"/>
  <c r="B34" i="288"/>
  <c r="F32" i="288"/>
  <c r="J30" i="288"/>
  <c r="B30" i="288"/>
  <c r="F28" i="288"/>
  <c r="F27" i="288"/>
  <c r="H38" i="288"/>
  <c r="L36" i="288"/>
  <c r="D36" i="288"/>
  <c r="H34" i="288"/>
  <c r="L32" i="288"/>
  <c r="D32" i="288"/>
  <c r="H30" i="288"/>
  <c r="L28" i="288"/>
  <c r="D28" i="288"/>
  <c r="B27" i="288"/>
  <c r="AR39" i="300"/>
  <c r="AV23" i="300"/>
  <c r="AX23" i="300" s="1"/>
  <c r="AY21" i="300" s="1"/>
  <c r="AZ21" i="300" s="1"/>
  <c r="AX22" i="300"/>
  <c r="AY20" i="300" s="1"/>
  <c r="AZ20" i="300" s="1"/>
  <c r="Q17" i="297"/>
  <c r="G14" i="297"/>
  <c r="A13" i="297"/>
  <c r="O26" i="297"/>
  <c r="R12" i="297"/>
  <c r="S12" i="297" s="1"/>
  <c r="K37" i="288"/>
  <c r="G37" i="288"/>
  <c r="C37" i="288"/>
  <c r="I35" i="288"/>
  <c r="E35" i="288"/>
  <c r="K33" i="288"/>
  <c r="G33" i="288"/>
  <c r="C33" i="288"/>
  <c r="I31" i="288"/>
  <c r="E31" i="288"/>
  <c r="K29" i="288"/>
  <c r="G29" i="288"/>
  <c r="C29" i="288"/>
  <c r="I27" i="288"/>
  <c r="E27" i="288"/>
  <c r="K38" i="288"/>
  <c r="G38" i="288"/>
  <c r="C38" i="288"/>
  <c r="J37" i="288"/>
  <c r="F37" i="288"/>
  <c r="B37" i="288"/>
  <c r="I36" i="288"/>
  <c r="E36" i="288"/>
  <c r="L35" i="288"/>
  <c r="H35" i="288"/>
  <c r="D35" i="288"/>
  <c r="K34" i="288"/>
  <c r="G34" i="288"/>
  <c r="C34" i="288"/>
  <c r="J33" i="288"/>
  <c r="F33" i="288"/>
  <c r="B33" i="288"/>
  <c r="I32" i="288"/>
  <c r="E32" i="288"/>
  <c r="L31" i="288"/>
  <c r="H31" i="288"/>
  <c r="D31" i="288"/>
  <c r="K30" i="288"/>
  <c r="G30" i="288"/>
  <c r="C30" i="288"/>
  <c r="J29" i="288"/>
  <c r="F29" i="288"/>
  <c r="B29" i="288"/>
  <c r="I28" i="288"/>
  <c r="E28" i="288"/>
  <c r="I37" i="288"/>
  <c r="E37" i="288"/>
  <c r="K35" i="288"/>
  <c r="G35" i="288"/>
  <c r="C35" i="288"/>
  <c r="I33" i="288"/>
  <c r="E33" i="288"/>
  <c r="K31" i="288"/>
  <c r="G31" i="288"/>
  <c r="C31" i="288"/>
  <c r="I29" i="288"/>
  <c r="E29" i="288"/>
  <c r="K27" i="288"/>
  <c r="G27" i="288"/>
  <c r="I38" i="288"/>
  <c r="L37" i="288"/>
  <c r="H37" i="288"/>
  <c r="K36" i="288"/>
  <c r="G36" i="288"/>
  <c r="J35" i="288"/>
  <c r="F35" i="288"/>
  <c r="I34" i="288"/>
  <c r="L33" i="288"/>
  <c r="H33" i="288"/>
  <c r="K32" i="288"/>
  <c r="G32" i="288"/>
  <c r="J31" i="288"/>
  <c r="F31" i="288"/>
  <c r="I30" i="288"/>
  <c r="L29" i="288"/>
  <c r="H29" i="288"/>
  <c r="K28" i="288"/>
  <c r="G28" i="288"/>
  <c r="B21" i="288"/>
  <c r="M16" i="288"/>
  <c r="M5" i="289" l="1"/>
  <c r="A7" i="288"/>
  <c r="O53" i="288"/>
  <c r="O69" i="288"/>
  <c r="O85" i="288"/>
  <c r="A9" i="290"/>
  <c r="P22" i="290"/>
  <c r="P10" i="290"/>
  <c r="P34" i="290"/>
  <c r="E11" i="289"/>
  <c r="B13" i="289" s="1"/>
  <c r="T17" i="297"/>
  <c r="R17" i="297"/>
  <c r="S17" i="297" s="1"/>
  <c r="BA14" i="300"/>
  <c r="AX10" i="300"/>
  <c r="AY6" i="300" s="1"/>
  <c r="AZ6" i="300" s="1"/>
  <c r="E41" i="288"/>
  <c r="G42" i="288"/>
  <c r="H42" i="288"/>
  <c r="I41" i="288"/>
  <c r="B20" i="288"/>
  <c r="B22" i="288" s="1"/>
  <c r="K42" i="288"/>
  <c r="D41" i="288"/>
  <c r="K41" i="288"/>
  <c r="F42" i="288"/>
  <c r="D42" i="288"/>
  <c r="C42" i="288"/>
  <c r="J41" i="288"/>
  <c r="L41" i="288"/>
  <c r="G41" i="288"/>
  <c r="F41" i="288"/>
  <c r="H41" i="288"/>
  <c r="C41" i="288"/>
  <c r="J42" i="288"/>
  <c r="B42" i="288"/>
  <c r="B43" i="288" s="1"/>
  <c r="G15" i="297"/>
  <c r="A14" i="297"/>
  <c r="O28" i="297"/>
  <c r="I42" i="288"/>
  <c r="L42" i="288"/>
  <c r="E42" i="288"/>
  <c r="Q5" i="289" l="1"/>
  <c r="R6" i="289"/>
  <c r="S7" i="289"/>
  <c r="M7" i="289"/>
  <c r="M8" i="289"/>
  <c r="A8" i="288"/>
  <c r="O70" i="288"/>
  <c r="O54" i="288"/>
  <c r="O86" i="288"/>
  <c r="A10" i="290"/>
  <c r="P23" i="290"/>
  <c r="P11" i="290"/>
  <c r="P35" i="290"/>
  <c r="I43" i="288"/>
  <c r="D43" i="288"/>
  <c r="E43" i="288"/>
  <c r="K43" i="288"/>
  <c r="C43" i="288"/>
  <c r="L43" i="288"/>
  <c r="H43" i="288"/>
  <c r="J43" i="288"/>
  <c r="G43" i="288"/>
  <c r="F43" i="288"/>
  <c r="O29" i="297"/>
  <c r="O30" i="297" s="1"/>
  <c r="G16" i="297"/>
  <c r="A15" i="297"/>
  <c r="B22" i="287"/>
  <c r="J16" i="287"/>
  <c r="J18" i="287" s="1"/>
  <c r="M11" i="287"/>
  <c r="M7" i="287"/>
  <c r="A5" i="287"/>
  <c r="A6" i="287" s="1"/>
  <c r="A7" i="287" s="1"/>
  <c r="A8" i="287" s="1"/>
  <c r="A9" i="287" s="1"/>
  <c r="A10" i="287" s="1"/>
  <c r="A11" i="287" s="1"/>
  <c r="A12" i="287" s="1"/>
  <c r="A13" i="287" s="1"/>
  <c r="A14" i="287" s="1"/>
  <c r="L16" i="287"/>
  <c r="L18" i="287" s="1"/>
  <c r="K16" i="287"/>
  <c r="K18" i="287" s="1"/>
  <c r="I16" i="287"/>
  <c r="I18" i="287" s="1"/>
  <c r="H16" i="287"/>
  <c r="H18" i="287" s="1"/>
  <c r="G16" i="287"/>
  <c r="G18" i="287" s="1"/>
  <c r="F16" i="287"/>
  <c r="F18" i="287" s="1"/>
  <c r="E16" i="287"/>
  <c r="E18" i="287" s="1"/>
  <c r="D16" i="287"/>
  <c r="D18" i="287" s="1"/>
  <c r="C16" i="287"/>
  <c r="C18" i="287" s="1"/>
  <c r="B16" i="287"/>
  <c r="B18" i="287" s="1"/>
  <c r="M15" i="287"/>
  <c r="M14" i="287"/>
  <c r="M13" i="287"/>
  <c r="M12" i="287"/>
  <c r="M10" i="287"/>
  <c r="M9" i="287"/>
  <c r="M8" i="287"/>
  <c r="M6" i="287"/>
  <c r="M5" i="287"/>
  <c r="M4" i="287"/>
  <c r="G3" i="286"/>
  <c r="B4" i="286"/>
  <c r="B14" i="286"/>
  <c r="B15" i="286"/>
  <c r="A5" i="286"/>
  <c r="A6" i="286" s="1"/>
  <c r="A7" i="286" s="1"/>
  <c r="A8" i="286" s="1"/>
  <c r="A9" i="286" s="1"/>
  <c r="A10" i="286" s="1"/>
  <c r="A11" i="286" s="1"/>
  <c r="A12" i="286" s="1"/>
  <c r="A13" i="286" s="1"/>
  <c r="A14" i="286" s="1"/>
  <c r="A15" i="286" s="1"/>
  <c r="B13" i="286"/>
  <c r="B12" i="286"/>
  <c r="B11" i="286"/>
  <c r="B10" i="286"/>
  <c r="B9" i="286"/>
  <c r="B8" i="286"/>
  <c r="B7" i="286"/>
  <c r="B6" i="286"/>
  <c r="B5" i="286"/>
  <c r="M6" i="289" l="1"/>
  <c r="M9" i="289" s="1"/>
  <c r="M12" i="289" s="1"/>
  <c r="A9" i="288"/>
  <c r="O87" i="288"/>
  <c r="O71" i="288"/>
  <c r="O55" i="288"/>
  <c r="A11" i="290"/>
  <c r="P36" i="290"/>
  <c r="P24" i="290"/>
  <c r="P12" i="290"/>
  <c r="S6" i="287"/>
  <c r="S5" i="287"/>
  <c r="B24" i="287"/>
  <c r="S7" i="287" s="1"/>
  <c r="G17" i="297"/>
  <c r="A16" i="297"/>
  <c r="J19" i="287"/>
  <c r="J20" i="287" s="1"/>
  <c r="A15" i="287"/>
  <c r="M16" i="287"/>
  <c r="B19" i="287"/>
  <c r="B20" i="287" s="1"/>
  <c r="E19" i="287"/>
  <c r="E20" i="287" s="1"/>
  <c r="L19" i="287"/>
  <c r="L20" i="287" s="1"/>
  <c r="C19" i="287"/>
  <c r="C20" i="287" s="1"/>
  <c r="G19" i="287"/>
  <c r="G20" i="287" s="1"/>
  <c r="I19" i="287"/>
  <c r="I20" i="287" s="1"/>
  <c r="D19" i="287"/>
  <c r="D20" i="287" s="1"/>
  <c r="H19" i="287"/>
  <c r="H20" i="287" s="1"/>
  <c r="K19" i="287"/>
  <c r="K20" i="287" s="1"/>
  <c r="F19" i="287"/>
  <c r="F20" i="287" s="1"/>
  <c r="M15" i="289" l="1"/>
  <c r="M16" i="289"/>
  <c r="A10" i="288"/>
  <c r="O88" i="288"/>
  <c r="O56" i="288"/>
  <c r="O72" i="288"/>
  <c r="A12" i="290"/>
  <c r="P25" i="290"/>
  <c r="P37" i="290"/>
  <c r="P13" i="290"/>
  <c r="S8" i="287"/>
  <c r="G18" i="297"/>
  <c r="A17" i="297"/>
  <c r="M20" i="287"/>
  <c r="B23" i="287" s="1"/>
  <c r="B25" i="287" s="1"/>
  <c r="A11" i="288" l="1"/>
  <c r="O57" i="288"/>
  <c r="O73" i="288"/>
  <c r="O89" i="288"/>
  <c r="P38" i="290"/>
  <c r="P26" i="290"/>
  <c r="P14" i="290"/>
  <c r="G19" i="297"/>
  <c r="A18" i="297"/>
  <c r="G20" i="297" s="1"/>
  <c r="T311" i="282"/>
  <c r="U311" i="282" s="1"/>
  <c r="V311" i="282" s="1"/>
  <c r="L311" i="282"/>
  <c r="M311" i="282" s="1"/>
  <c r="N311" i="282" s="1"/>
  <c r="D311" i="282"/>
  <c r="E311" i="282" s="1"/>
  <c r="F311" i="282" s="1"/>
  <c r="T295" i="282"/>
  <c r="U295" i="282" s="1"/>
  <c r="V295" i="282" s="1"/>
  <c r="L295" i="282"/>
  <c r="M295" i="282" s="1"/>
  <c r="N295" i="282" s="1"/>
  <c r="D295" i="282"/>
  <c r="E295" i="282" s="1"/>
  <c r="F295" i="282" s="1"/>
  <c r="T279" i="282"/>
  <c r="U279" i="282" s="1"/>
  <c r="V279" i="282" s="1"/>
  <c r="L279" i="282"/>
  <c r="M279" i="282" s="1"/>
  <c r="N279" i="282" s="1"/>
  <c r="D279" i="282"/>
  <c r="E279" i="282" s="1"/>
  <c r="F279" i="282" s="1"/>
  <c r="T263" i="282"/>
  <c r="U263" i="282" s="1"/>
  <c r="V263" i="282" s="1"/>
  <c r="L263" i="282"/>
  <c r="M263" i="282" s="1"/>
  <c r="N263" i="282" s="1"/>
  <c r="D263" i="282"/>
  <c r="E263" i="282" s="1"/>
  <c r="F263" i="282" s="1"/>
  <c r="T247" i="282"/>
  <c r="U247" i="282" s="1"/>
  <c r="V247" i="282" s="1"/>
  <c r="L247" i="282"/>
  <c r="M247" i="282" s="1"/>
  <c r="N247" i="282" s="1"/>
  <c r="D247" i="282"/>
  <c r="E247" i="282" s="1"/>
  <c r="F247" i="282" s="1"/>
  <c r="T231" i="282"/>
  <c r="U231" i="282" s="1"/>
  <c r="V231" i="282" s="1"/>
  <c r="L231" i="282"/>
  <c r="M231" i="282" s="1"/>
  <c r="N231" i="282" s="1"/>
  <c r="D231" i="282"/>
  <c r="E231" i="282" s="1"/>
  <c r="F231" i="282" s="1"/>
  <c r="T215" i="282"/>
  <c r="U215" i="282" s="1"/>
  <c r="V215" i="282" s="1"/>
  <c r="L215" i="282"/>
  <c r="M215" i="282" s="1"/>
  <c r="N215" i="282" s="1"/>
  <c r="D215" i="282"/>
  <c r="E215" i="282" s="1"/>
  <c r="F215" i="282" s="1"/>
  <c r="T199" i="282"/>
  <c r="U199" i="282" s="1"/>
  <c r="V199" i="282" s="1"/>
  <c r="L199" i="282"/>
  <c r="M199" i="282" s="1"/>
  <c r="N199" i="282" s="1"/>
  <c r="D199" i="282"/>
  <c r="E199" i="282" s="1"/>
  <c r="F199" i="282" s="1"/>
  <c r="T183" i="282"/>
  <c r="U183" i="282" s="1"/>
  <c r="V183" i="282" s="1"/>
  <c r="L183" i="282"/>
  <c r="M183" i="282" s="1"/>
  <c r="N183" i="282" s="1"/>
  <c r="D183" i="282"/>
  <c r="E183" i="282" s="1"/>
  <c r="F183" i="282" s="1"/>
  <c r="T167" i="282"/>
  <c r="U167" i="282" s="1"/>
  <c r="V167" i="282" s="1"/>
  <c r="L167" i="282"/>
  <c r="M167" i="282" s="1"/>
  <c r="N167" i="282" s="1"/>
  <c r="D167" i="282"/>
  <c r="E167" i="282" s="1"/>
  <c r="F167" i="282" s="1"/>
  <c r="T151" i="282"/>
  <c r="U151" i="282" s="1"/>
  <c r="V151" i="282" s="1"/>
  <c r="L151" i="282"/>
  <c r="M151" i="282" s="1"/>
  <c r="N151" i="282" s="1"/>
  <c r="D151" i="282"/>
  <c r="E151" i="282" s="1"/>
  <c r="F151" i="282" s="1"/>
  <c r="T135" i="282"/>
  <c r="U135" i="282" s="1"/>
  <c r="V135" i="282" s="1"/>
  <c r="L135" i="282"/>
  <c r="M135" i="282" s="1"/>
  <c r="N135" i="282" s="1"/>
  <c r="D135" i="282"/>
  <c r="E135" i="282" s="1"/>
  <c r="F135" i="282" s="1"/>
  <c r="T119" i="282"/>
  <c r="U119" i="282" s="1"/>
  <c r="V119" i="282" s="1"/>
  <c r="L119" i="282"/>
  <c r="M119" i="282" s="1"/>
  <c r="N119" i="282" s="1"/>
  <c r="D119" i="282"/>
  <c r="E119" i="282" s="1"/>
  <c r="F119" i="282" s="1"/>
  <c r="T103" i="282"/>
  <c r="U103" i="282" s="1"/>
  <c r="V103" i="282" s="1"/>
  <c r="L103" i="282"/>
  <c r="M103" i="282" s="1"/>
  <c r="N103" i="282" s="1"/>
  <c r="D103" i="282"/>
  <c r="E103" i="282" s="1"/>
  <c r="F103" i="282" s="1"/>
  <c r="T87" i="282"/>
  <c r="U87" i="282" s="1"/>
  <c r="V87" i="282" s="1"/>
  <c r="L87" i="282"/>
  <c r="M87" i="282" s="1"/>
  <c r="N87" i="282" s="1"/>
  <c r="D87" i="282"/>
  <c r="E87" i="282" s="1"/>
  <c r="F87" i="282" s="1"/>
  <c r="T71" i="282"/>
  <c r="U71" i="282" s="1"/>
  <c r="V71" i="282" s="1"/>
  <c r="L71" i="282"/>
  <c r="M71" i="282" s="1"/>
  <c r="N71" i="282" s="1"/>
  <c r="D71" i="282"/>
  <c r="E71" i="282" s="1"/>
  <c r="F71" i="282" s="1"/>
  <c r="T55" i="282"/>
  <c r="U55" i="282" s="1"/>
  <c r="V55" i="282" s="1"/>
  <c r="L55" i="282"/>
  <c r="M55" i="282" s="1"/>
  <c r="N55" i="282" s="1"/>
  <c r="D55" i="282"/>
  <c r="E55" i="282" s="1"/>
  <c r="F55" i="282" s="1"/>
  <c r="T39" i="282"/>
  <c r="U39" i="282" s="1"/>
  <c r="V39" i="282" s="1"/>
  <c r="L39" i="282"/>
  <c r="M39" i="282" s="1"/>
  <c r="N39" i="282" s="1"/>
  <c r="D39" i="282"/>
  <c r="E39" i="282" s="1"/>
  <c r="F39" i="282" s="1"/>
  <c r="N18" i="279"/>
  <c r="M18" i="279"/>
  <c r="E19" i="282" s="1"/>
  <c r="L18" i="279"/>
  <c r="D19" i="282" s="1"/>
  <c r="K18" i="279"/>
  <c r="C19" i="282" s="1"/>
  <c r="N17" i="279"/>
  <c r="F18" i="282" s="1"/>
  <c r="M17" i="279"/>
  <c r="E18" i="282" s="1"/>
  <c r="L17" i="279"/>
  <c r="K17" i="279"/>
  <c r="N15" i="279"/>
  <c r="M15" i="279"/>
  <c r="L15" i="279"/>
  <c r="D16" i="282" s="1"/>
  <c r="K15" i="279"/>
  <c r="N14" i="279"/>
  <c r="M14" i="279"/>
  <c r="E15" i="282" s="1"/>
  <c r="L14" i="279"/>
  <c r="D15" i="282" s="1"/>
  <c r="K14" i="279"/>
  <c r="N13" i="279"/>
  <c r="M13" i="279"/>
  <c r="L13" i="279"/>
  <c r="D14" i="282" s="1"/>
  <c r="K13" i="279"/>
  <c r="C14" i="282" s="1"/>
  <c r="F18" i="279"/>
  <c r="F17" i="279"/>
  <c r="E18" i="279"/>
  <c r="E17" i="279"/>
  <c r="D18" i="279"/>
  <c r="D17" i="279"/>
  <c r="C18" i="279"/>
  <c r="C17" i="279"/>
  <c r="C13" i="279"/>
  <c r="F15" i="279"/>
  <c r="F14" i="279"/>
  <c r="F13" i="279"/>
  <c r="E15" i="279"/>
  <c r="E14" i="279"/>
  <c r="E13" i="279"/>
  <c r="D15" i="279"/>
  <c r="D14" i="279"/>
  <c r="D13" i="279"/>
  <c r="C15" i="279"/>
  <c r="C14" i="279"/>
  <c r="N11" i="279"/>
  <c r="M11" i="279"/>
  <c r="L11" i="279"/>
  <c r="K11" i="279"/>
  <c r="O10" i="279"/>
  <c r="O9" i="279"/>
  <c r="O8" i="279"/>
  <c r="G9" i="282" s="1"/>
  <c r="O7" i="279"/>
  <c r="G8" i="282" s="1"/>
  <c r="O6" i="279"/>
  <c r="O5" i="279"/>
  <c r="L4" i="279"/>
  <c r="M4" i="279" s="1"/>
  <c r="N4" i="279" s="1"/>
  <c r="S7" i="282"/>
  <c r="T7" i="282"/>
  <c r="U7" i="282"/>
  <c r="V7" i="282"/>
  <c r="S8" i="282"/>
  <c r="T8" i="282"/>
  <c r="U8" i="282"/>
  <c r="V8" i="282"/>
  <c r="S9" i="282"/>
  <c r="T9" i="282"/>
  <c r="U9" i="282"/>
  <c r="V9" i="282"/>
  <c r="S10" i="282"/>
  <c r="T10" i="282"/>
  <c r="U10" i="282"/>
  <c r="V10" i="282"/>
  <c r="S11" i="282"/>
  <c r="T11" i="282"/>
  <c r="U11" i="282"/>
  <c r="V11" i="282"/>
  <c r="T6" i="282"/>
  <c r="U6" i="282"/>
  <c r="V6" i="282"/>
  <c r="S6" i="282"/>
  <c r="T23" i="282"/>
  <c r="U23" i="282" s="1"/>
  <c r="V23" i="282" s="1"/>
  <c r="L23" i="282"/>
  <c r="M23" i="282" s="1"/>
  <c r="N23" i="282" s="1"/>
  <c r="D23" i="282"/>
  <c r="E23" i="282" s="1"/>
  <c r="F23" i="282" s="1"/>
  <c r="D5" i="282"/>
  <c r="E5" i="282" s="1"/>
  <c r="F5" i="282" s="1"/>
  <c r="T5" i="282"/>
  <c r="U5" i="282" s="1"/>
  <c r="V5" i="282" s="1"/>
  <c r="G5" i="278"/>
  <c r="D4" i="279"/>
  <c r="E4" i="279" s="1"/>
  <c r="F4" i="279" s="1"/>
  <c r="E8" i="281"/>
  <c r="E7" i="281"/>
  <c r="E6" i="281"/>
  <c r="D9" i="281"/>
  <c r="C9" i="281"/>
  <c r="B9" i="281"/>
  <c r="G6" i="278"/>
  <c r="H6" i="278"/>
  <c r="I6" i="278"/>
  <c r="J6" i="278"/>
  <c r="G7" i="278"/>
  <c r="H7" i="278"/>
  <c r="I7" i="278"/>
  <c r="J7" i="278"/>
  <c r="H5" i="278"/>
  <c r="I5" i="278"/>
  <c r="J5" i="278"/>
  <c r="E8" i="278"/>
  <c r="E7" i="277"/>
  <c r="F7" i="277"/>
  <c r="G7" i="277"/>
  <c r="E8" i="277"/>
  <c r="F8" i="277"/>
  <c r="G8" i="277"/>
  <c r="E9" i="277"/>
  <c r="F9" i="277"/>
  <c r="G9" i="277"/>
  <c r="E10" i="277"/>
  <c r="F10" i="277"/>
  <c r="G10" i="277"/>
  <c r="E11" i="277"/>
  <c r="F11" i="277"/>
  <c r="G11" i="277"/>
  <c r="E12" i="277"/>
  <c r="F12" i="277"/>
  <c r="G12" i="277"/>
  <c r="E13" i="277"/>
  <c r="F13" i="277"/>
  <c r="G13" i="277"/>
  <c r="E14" i="277"/>
  <c r="F14" i="277"/>
  <c r="G14" i="277"/>
  <c r="E15" i="277"/>
  <c r="F15" i="277"/>
  <c r="G15" i="277"/>
  <c r="E16" i="277"/>
  <c r="F16" i="277"/>
  <c r="G16" i="277"/>
  <c r="E17" i="277"/>
  <c r="F17" i="277"/>
  <c r="G17" i="277"/>
  <c r="G6" i="277"/>
  <c r="F6" i="277"/>
  <c r="E6" i="277"/>
  <c r="D7" i="277"/>
  <c r="D8" i="277"/>
  <c r="J8" i="277" s="1"/>
  <c r="D9" i="277"/>
  <c r="H9" i="277" s="1"/>
  <c r="D10" i="277"/>
  <c r="D11" i="277"/>
  <c r="D12" i="277"/>
  <c r="J12" i="277" s="1"/>
  <c r="D13" i="277"/>
  <c r="H13" i="277" s="1"/>
  <c r="D14" i="277"/>
  <c r="D15" i="277"/>
  <c r="D16" i="277"/>
  <c r="J16" i="277" s="1"/>
  <c r="D17" i="277"/>
  <c r="H17" i="277" s="1"/>
  <c r="D6" i="277"/>
  <c r="C63" i="276"/>
  <c r="C66" i="276"/>
  <c r="D67" i="276"/>
  <c r="K67" i="276" s="1"/>
  <c r="E64" i="276"/>
  <c r="L64" i="276" s="1"/>
  <c r="C61" i="276"/>
  <c r="E84" i="276"/>
  <c r="L84" i="276" s="1"/>
  <c r="D84" i="276"/>
  <c r="K84" i="276" s="1"/>
  <c r="C84" i="276"/>
  <c r="E83" i="276"/>
  <c r="L83" i="276" s="1"/>
  <c r="D83" i="276"/>
  <c r="K83" i="276" s="1"/>
  <c r="C83" i="276"/>
  <c r="E81" i="276"/>
  <c r="L81" i="276" s="1"/>
  <c r="D81" i="276"/>
  <c r="K81" i="276" s="1"/>
  <c r="C81" i="276"/>
  <c r="E80" i="276"/>
  <c r="L80" i="276" s="1"/>
  <c r="D80" i="276"/>
  <c r="K80" i="276" s="1"/>
  <c r="C80" i="276"/>
  <c r="E78" i="276"/>
  <c r="L78" i="276" s="1"/>
  <c r="D78" i="276"/>
  <c r="K78" i="276" s="1"/>
  <c r="C78" i="276"/>
  <c r="F77" i="276"/>
  <c r="M77" i="276" s="1"/>
  <c r="F76" i="276"/>
  <c r="M76" i="276" s="1"/>
  <c r="F75" i="276"/>
  <c r="M75" i="276" s="1"/>
  <c r="F74" i="276"/>
  <c r="M74" i="276" s="1"/>
  <c r="E67" i="276"/>
  <c r="L67" i="276" s="1"/>
  <c r="C67" i="276"/>
  <c r="E66" i="276"/>
  <c r="L66" i="276" s="1"/>
  <c r="C64" i="276"/>
  <c r="D63" i="276"/>
  <c r="K63" i="276" s="1"/>
  <c r="F58" i="276"/>
  <c r="M58" i="276" s="1"/>
  <c r="U257" i="273"/>
  <c r="U275" i="273"/>
  <c r="U293" i="273"/>
  <c r="U131" i="273"/>
  <c r="E50" i="276"/>
  <c r="L50" i="276" s="1"/>
  <c r="D50" i="276"/>
  <c r="K50" i="276" s="1"/>
  <c r="C50" i="276"/>
  <c r="E49" i="276"/>
  <c r="L49" i="276" s="1"/>
  <c r="D49" i="276"/>
  <c r="K49" i="276" s="1"/>
  <c r="C49" i="276"/>
  <c r="E47" i="276"/>
  <c r="L47" i="276" s="1"/>
  <c r="D47" i="276"/>
  <c r="K47" i="276" s="1"/>
  <c r="C47" i="276"/>
  <c r="E46" i="276"/>
  <c r="L46" i="276" s="1"/>
  <c r="D46" i="276"/>
  <c r="K46" i="276" s="1"/>
  <c r="C46" i="276"/>
  <c r="E44" i="276"/>
  <c r="L44" i="276" s="1"/>
  <c r="D44" i="276"/>
  <c r="K44" i="276" s="1"/>
  <c r="C44" i="276"/>
  <c r="F43" i="276"/>
  <c r="M43" i="276" s="1"/>
  <c r="F42" i="276"/>
  <c r="M42" i="276" s="1"/>
  <c r="F41" i="276"/>
  <c r="M41" i="276" s="1"/>
  <c r="F40" i="276"/>
  <c r="M40" i="276" s="1"/>
  <c r="E33" i="276"/>
  <c r="L33" i="276" s="1"/>
  <c r="D33" i="276"/>
  <c r="K33" i="276" s="1"/>
  <c r="C33" i="276"/>
  <c r="J33" i="276" s="1"/>
  <c r="E32" i="276"/>
  <c r="L32" i="276" s="1"/>
  <c r="D32" i="276"/>
  <c r="K32" i="276" s="1"/>
  <c r="C32" i="276"/>
  <c r="J32" i="276" s="1"/>
  <c r="E30" i="276"/>
  <c r="L30" i="276" s="1"/>
  <c r="D30" i="276"/>
  <c r="K30" i="276" s="1"/>
  <c r="C30" i="276"/>
  <c r="J30" i="276" s="1"/>
  <c r="E29" i="276"/>
  <c r="L29" i="276" s="1"/>
  <c r="D29" i="276"/>
  <c r="K29" i="276" s="1"/>
  <c r="C29" i="276"/>
  <c r="J29" i="276" s="1"/>
  <c r="E27" i="276"/>
  <c r="L27" i="276" s="1"/>
  <c r="D27" i="276"/>
  <c r="K27" i="276" s="1"/>
  <c r="C27" i="276"/>
  <c r="J27" i="276" s="1"/>
  <c r="F26" i="276"/>
  <c r="M26" i="276" s="1"/>
  <c r="F25" i="276"/>
  <c r="M25" i="276" s="1"/>
  <c r="F24" i="276"/>
  <c r="M24" i="276" s="1"/>
  <c r="F23" i="276"/>
  <c r="M23" i="276" s="1"/>
  <c r="E16" i="276"/>
  <c r="L16" i="276" s="1"/>
  <c r="D16" i="276"/>
  <c r="K16" i="276" s="1"/>
  <c r="C16" i="276"/>
  <c r="J16" i="276" s="1"/>
  <c r="E15" i="276"/>
  <c r="L15" i="276" s="1"/>
  <c r="D15" i="276"/>
  <c r="K15" i="276" s="1"/>
  <c r="C15" i="276"/>
  <c r="J15" i="276" s="1"/>
  <c r="E13" i="276"/>
  <c r="D13" i="276"/>
  <c r="K13" i="276" s="1"/>
  <c r="C13" i="276"/>
  <c r="J13" i="276" s="1"/>
  <c r="E12" i="276"/>
  <c r="D12" i="276"/>
  <c r="K12" i="276" s="1"/>
  <c r="C12" i="276"/>
  <c r="J12" i="276" s="1"/>
  <c r="E10" i="276"/>
  <c r="L10" i="276" s="1"/>
  <c r="D10" i="276"/>
  <c r="K10" i="276" s="1"/>
  <c r="C10" i="276"/>
  <c r="J10" i="276" s="1"/>
  <c r="F9" i="276"/>
  <c r="M9" i="276" s="1"/>
  <c r="F8" i="276"/>
  <c r="M8" i="276" s="1"/>
  <c r="F7" i="276"/>
  <c r="M7" i="276" s="1"/>
  <c r="F6" i="276"/>
  <c r="M6" i="276" s="1"/>
  <c r="A12" i="288" l="1"/>
  <c r="O74" i="288"/>
  <c r="O58" i="288"/>
  <c r="O90" i="288"/>
  <c r="F49" i="276"/>
  <c r="M49" i="276" s="1"/>
  <c r="J6" i="277"/>
  <c r="H14" i="277"/>
  <c r="H10" i="277"/>
  <c r="I17" i="277"/>
  <c r="H16" i="277"/>
  <c r="I13" i="277"/>
  <c r="H12" i="277"/>
  <c r="I9" i="277"/>
  <c r="H8" i="277"/>
  <c r="J8" i="278"/>
  <c r="C18" i="282"/>
  <c r="C15" i="282"/>
  <c r="K7" i="278"/>
  <c r="A14" i="278" s="1"/>
  <c r="F47" i="276"/>
  <c r="M47" i="276" s="1"/>
  <c r="F12" i="276"/>
  <c r="M12" i="276" s="1"/>
  <c r="K6" i="276" s="1"/>
  <c r="F81" i="276"/>
  <c r="M81" i="276" s="1"/>
  <c r="G11" i="282"/>
  <c r="C16" i="282"/>
  <c r="D18" i="282"/>
  <c r="F16" i="282"/>
  <c r="L12" i="276"/>
  <c r="G7" i="282"/>
  <c r="F15" i="282"/>
  <c r="F19" i="282"/>
  <c r="G19" i="282" s="1"/>
  <c r="G10" i="282"/>
  <c r="E14" i="282"/>
  <c r="E16" i="282"/>
  <c r="F13" i="276"/>
  <c r="M13" i="276" s="1"/>
  <c r="J9" i="276" s="1"/>
  <c r="L13" i="276"/>
  <c r="F84" i="276"/>
  <c r="M84" i="276" s="1"/>
  <c r="O11" i="279"/>
  <c r="G6" i="282"/>
  <c r="F83" i="276"/>
  <c r="M83" i="276" s="1"/>
  <c r="F10" i="276"/>
  <c r="M10" i="276" s="1"/>
  <c r="F16" i="276"/>
  <c r="M16" i="276" s="1"/>
  <c r="F27" i="276"/>
  <c r="M27" i="276" s="1"/>
  <c r="F29" i="276"/>
  <c r="M29" i="276" s="1"/>
  <c r="F30" i="276"/>
  <c r="M30" i="276" s="1"/>
  <c r="F32" i="276"/>
  <c r="M32" i="276" s="1"/>
  <c r="F33" i="276"/>
  <c r="M33" i="276" s="1"/>
  <c r="F46" i="276"/>
  <c r="M46" i="276" s="1"/>
  <c r="F80" i="276"/>
  <c r="M80" i="276" s="1"/>
  <c r="F15" i="276"/>
  <c r="M15" i="276" s="1"/>
  <c r="F44" i="276"/>
  <c r="M44" i="276" s="1"/>
  <c r="F50" i="276"/>
  <c r="M50" i="276" s="1"/>
  <c r="F78" i="276"/>
  <c r="M78" i="276" s="1"/>
  <c r="F14" i="282"/>
  <c r="K5" i="278"/>
  <c r="B12" i="278" s="1"/>
  <c r="O13" i="279"/>
  <c r="O15" i="279"/>
  <c r="O17" i="279"/>
  <c r="O18" i="279"/>
  <c r="V15" i="282"/>
  <c r="V18" i="282"/>
  <c r="T15" i="282"/>
  <c r="U15" i="282"/>
  <c r="T16" i="282"/>
  <c r="S16" i="282"/>
  <c r="S15" i="282"/>
  <c r="V14" i="282"/>
  <c r="U12" i="282"/>
  <c r="V19" i="282"/>
  <c r="T19" i="282"/>
  <c r="T18" i="282"/>
  <c r="S19" i="282"/>
  <c r="U16" i="282"/>
  <c r="U19" i="282"/>
  <c r="S14" i="282"/>
  <c r="V16" i="282"/>
  <c r="U14" i="282"/>
  <c r="T14" i="282"/>
  <c r="S18" i="282"/>
  <c r="U18" i="282"/>
  <c r="D12" i="282"/>
  <c r="O14" i="279"/>
  <c r="G8" i="279"/>
  <c r="W11" i="282"/>
  <c r="W8" i="282"/>
  <c r="W9" i="282"/>
  <c r="F27" i="282" s="1"/>
  <c r="W7" i="282"/>
  <c r="W10" i="282"/>
  <c r="V12" i="282"/>
  <c r="T12" i="282"/>
  <c r="W6" i="282"/>
  <c r="S12" i="282"/>
  <c r="E11" i="279"/>
  <c r="C11" i="279"/>
  <c r="G10" i="279"/>
  <c r="G9" i="279"/>
  <c r="D11" i="279"/>
  <c r="G5" i="279"/>
  <c r="G7" i="279"/>
  <c r="E9" i="281"/>
  <c r="I9" i="281"/>
  <c r="K8" i="281"/>
  <c r="C16" i="281" s="1"/>
  <c r="J9" i="281"/>
  <c r="H9" i="281"/>
  <c r="K7" i="281"/>
  <c r="B15" i="281" s="1"/>
  <c r="K6" i="281"/>
  <c r="H8" i="278"/>
  <c r="G8" i="278"/>
  <c r="K6" i="278"/>
  <c r="D13" i="278" s="1"/>
  <c r="I8" i="278"/>
  <c r="I15" i="277"/>
  <c r="I11" i="277"/>
  <c r="I7" i="277"/>
  <c r="J17" i="277"/>
  <c r="I16" i="277"/>
  <c r="J13" i="277"/>
  <c r="I12" i="277"/>
  <c r="J9" i="277"/>
  <c r="I8" i="277"/>
  <c r="H15" i="277"/>
  <c r="H11" i="277"/>
  <c r="H7" i="277"/>
  <c r="H6" i="277"/>
  <c r="J14" i="277"/>
  <c r="I6" i="277"/>
  <c r="J15" i="277"/>
  <c r="I14" i="277"/>
  <c r="J11" i="277"/>
  <c r="I10" i="277"/>
  <c r="J7" i="277"/>
  <c r="J10" i="277"/>
  <c r="F59" i="276"/>
  <c r="M59" i="276" s="1"/>
  <c r="F60" i="276"/>
  <c r="M60" i="276" s="1"/>
  <c r="D61" i="276"/>
  <c r="K61" i="276" s="1"/>
  <c r="D64" i="276"/>
  <c r="K64" i="276" s="1"/>
  <c r="F67" i="276"/>
  <c r="M67" i="276" s="1"/>
  <c r="E61" i="276"/>
  <c r="L61" i="276" s="1"/>
  <c r="D66" i="276"/>
  <c r="K66" i="276" s="1"/>
  <c r="E63" i="276"/>
  <c r="L63" i="276" s="1"/>
  <c r="F57" i="276"/>
  <c r="M57" i="276" s="1"/>
  <c r="J78" i="276"/>
  <c r="J81" i="276"/>
  <c r="J80" i="276"/>
  <c r="J83" i="276"/>
  <c r="J84" i="276"/>
  <c r="J61" i="276"/>
  <c r="J63" i="276"/>
  <c r="J64" i="276"/>
  <c r="J66" i="276"/>
  <c r="J67" i="276"/>
  <c r="J44" i="276"/>
  <c r="J46" i="276"/>
  <c r="J47" i="276"/>
  <c r="J49" i="276"/>
  <c r="J50" i="276"/>
  <c r="L6" i="276" l="1"/>
  <c r="A13" i="288"/>
  <c r="O91" i="288"/>
  <c r="O75" i="288"/>
  <c r="O59" i="288"/>
  <c r="L76" i="276"/>
  <c r="D14" i="278"/>
  <c r="B14" i="278"/>
  <c r="C14" i="278"/>
  <c r="D29" i="282"/>
  <c r="C12" i="282"/>
  <c r="D25" i="282"/>
  <c r="L42" i="276"/>
  <c r="L7" i="276"/>
  <c r="J6" i="276"/>
  <c r="F12" i="282"/>
  <c r="J7" i="276"/>
  <c r="K7" i="276"/>
  <c r="G14" i="282"/>
  <c r="G15" i="282"/>
  <c r="J24" i="276"/>
  <c r="L9" i="276"/>
  <c r="K77" i="276"/>
  <c r="D24" i="282"/>
  <c r="J42" i="276"/>
  <c r="J76" i="276"/>
  <c r="K23" i="276"/>
  <c r="E12" i="282"/>
  <c r="G12" i="282"/>
  <c r="J77" i="276"/>
  <c r="C12" i="278"/>
  <c r="A12" i="278"/>
  <c r="K8" i="278"/>
  <c r="D12" i="278"/>
  <c r="L26" i="276"/>
  <c r="K8" i="276"/>
  <c r="K76" i="276"/>
  <c r="J74" i="276"/>
  <c r="L75" i="276"/>
  <c r="J75" i="276"/>
  <c r="K74" i="276"/>
  <c r="K75" i="276"/>
  <c r="L74" i="276"/>
  <c r="K43" i="276"/>
  <c r="L8" i="276"/>
  <c r="L23" i="276"/>
  <c r="L24" i="276"/>
  <c r="K42" i="276"/>
  <c r="G16" i="282"/>
  <c r="J23" i="276"/>
  <c r="K9" i="276"/>
  <c r="K24" i="276"/>
  <c r="J26" i="276"/>
  <c r="J25" i="276"/>
  <c r="F25" i="282"/>
  <c r="K40" i="276"/>
  <c r="K41" i="276"/>
  <c r="L40" i="276"/>
  <c r="J41" i="276"/>
  <c r="J40" i="276"/>
  <c r="L41" i="276"/>
  <c r="J43" i="276"/>
  <c r="L77" i="276"/>
  <c r="J8" i="276"/>
  <c r="L43" i="276"/>
  <c r="L25" i="276"/>
  <c r="K26" i="276"/>
  <c r="K25" i="276"/>
  <c r="F29" i="282"/>
  <c r="C24" i="282"/>
  <c r="E24" i="282"/>
  <c r="W16" i="282"/>
  <c r="F24" i="282"/>
  <c r="W19" i="282"/>
  <c r="D26" i="282"/>
  <c r="F26" i="282"/>
  <c r="C26" i="282"/>
  <c r="C27" i="282"/>
  <c r="E26" i="282"/>
  <c r="C28" i="282"/>
  <c r="E28" i="282"/>
  <c r="E29" i="282"/>
  <c r="C29" i="282"/>
  <c r="F28" i="282"/>
  <c r="E27" i="282"/>
  <c r="D27" i="282"/>
  <c r="C25" i="282"/>
  <c r="E25" i="282"/>
  <c r="D28" i="282"/>
  <c r="W14" i="282"/>
  <c r="F11" i="279"/>
  <c r="G18" i="279"/>
  <c r="G6" i="279"/>
  <c r="G11" i="279" s="1"/>
  <c r="G14" i="279"/>
  <c r="W15" i="282"/>
  <c r="W18" i="282"/>
  <c r="W12" i="282"/>
  <c r="G18" i="282"/>
  <c r="G15" i="279"/>
  <c r="G13" i="279"/>
  <c r="G17" i="279"/>
  <c r="C15" i="281"/>
  <c r="D16" i="281"/>
  <c r="B16" i="281"/>
  <c r="D14" i="281"/>
  <c r="B14" i="281"/>
  <c r="K9" i="281"/>
  <c r="C14" i="281"/>
  <c r="D15" i="281"/>
  <c r="A13" i="278"/>
  <c r="B13" i="278"/>
  <c r="C13" i="278"/>
  <c r="F61" i="276"/>
  <c r="M61" i="276" s="1"/>
  <c r="F64" i="276"/>
  <c r="M64" i="276" s="1"/>
  <c r="F66" i="276"/>
  <c r="M66" i="276" s="1"/>
  <c r="F63" i="276"/>
  <c r="M63" i="276" s="1"/>
  <c r="A14" i="288" l="1"/>
  <c r="O92" i="288"/>
  <c r="O60" i="288"/>
  <c r="O76" i="288"/>
  <c r="D15" i="278"/>
  <c r="J12" i="278" s="1"/>
  <c r="E14" i="278"/>
  <c r="C32" i="282"/>
  <c r="K24" i="282" s="1"/>
  <c r="E12" i="278"/>
  <c r="E15" i="281"/>
  <c r="E16" i="281"/>
  <c r="F34" i="282"/>
  <c r="N29" i="282" s="1"/>
  <c r="C37" i="282"/>
  <c r="G25" i="282"/>
  <c r="F37" i="282"/>
  <c r="F33" i="282"/>
  <c r="N27" i="282" s="1"/>
  <c r="E30" i="282"/>
  <c r="E34" i="282"/>
  <c r="M29" i="282" s="1"/>
  <c r="D33" i="282"/>
  <c r="L26" i="282" s="1"/>
  <c r="G27" i="282"/>
  <c r="G29" i="282"/>
  <c r="D34" i="282"/>
  <c r="L29" i="282" s="1"/>
  <c r="G24" i="282"/>
  <c r="E36" i="282"/>
  <c r="E32" i="282"/>
  <c r="M24" i="282" s="1"/>
  <c r="F36" i="282"/>
  <c r="F32" i="282"/>
  <c r="N24" i="282" s="1"/>
  <c r="E33" i="282"/>
  <c r="M27" i="282" s="1"/>
  <c r="D37" i="282"/>
  <c r="C33" i="282"/>
  <c r="K26" i="282" s="1"/>
  <c r="D32" i="282"/>
  <c r="D36" i="282"/>
  <c r="C34" i="282"/>
  <c r="K29" i="282" s="1"/>
  <c r="C36" i="282"/>
  <c r="E37" i="282"/>
  <c r="F30" i="282"/>
  <c r="G26" i="282"/>
  <c r="D30" i="282"/>
  <c r="C30" i="282"/>
  <c r="G28" i="282"/>
  <c r="B17" i="281"/>
  <c r="E14" i="281"/>
  <c r="C17" i="281"/>
  <c r="D17" i="281"/>
  <c r="J16" i="281" s="1"/>
  <c r="J13" i="278"/>
  <c r="C15" i="278"/>
  <c r="B15" i="278"/>
  <c r="E13" i="278"/>
  <c r="A15" i="278"/>
  <c r="G12" i="278" s="1"/>
  <c r="E7" i="275"/>
  <c r="A7" i="275"/>
  <c r="B7" i="275"/>
  <c r="A8" i="275"/>
  <c r="B8" i="275"/>
  <c r="A9" i="275"/>
  <c r="B9" i="275"/>
  <c r="B6" i="275"/>
  <c r="A6" i="275"/>
  <c r="D5" i="275"/>
  <c r="E5" i="275"/>
  <c r="S5" i="275" s="1"/>
  <c r="C5" i="275"/>
  <c r="Q5" i="275" s="1"/>
  <c r="B5" i="275"/>
  <c r="A5" i="275"/>
  <c r="C7" i="275"/>
  <c r="D7" i="275"/>
  <c r="C8" i="275"/>
  <c r="D8" i="275"/>
  <c r="E8" i="275"/>
  <c r="C9" i="275"/>
  <c r="D9" i="275"/>
  <c r="E9" i="275"/>
  <c r="D6" i="275"/>
  <c r="E6" i="275"/>
  <c r="C6" i="275"/>
  <c r="L15" i="272"/>
  <c r="D17" i="273" s="1"/>
  <c r="L14" i="272"/>
  <c r="D16" i="273" s="1"/>
  <c r="L13" i="272"/>
  <c r="D15" i="273" s="1"/>
  <c r="J68" i="273" s="1"/>
  <c r="L12" i="272"/>
  <c r="D14" i="273" s="1"/>
  <c r="L11" i="272"/>
  <c r="D13" i="273" s="1"/>
  <c r="L10" i="272"/>
  <c r="D12" i="273" s="1"/>
  <c r="L8" i="272"/>
  <c r="D10" i="273" s="1"/>
  <c r="D36" i="273" s="1"/>
  <c r="L7" i="272"/>
  <c r="D9" i="273" s="1"/>
  <c r="L6" i="272"/>
  <c r="D8" i="273" s="1"/>
  <c r="L5" i="272"/>
  <c r="D7" i="273" s="1"/>
  <c r="D33" i="273" s="1"/>
  <c r="L4" i="272"/>
  <c r="D6" i="273" s="1"/>
  <c r="J275" i="273" s="1"/>
  <c r="C8" i="272"/>
  <c r="D8" i="272"/>
  <c r="S16" i="275"/>
  <c r="R16" i="275"/>
  <c r="Q16" i="275"/>
  <c r="S15" i="275"/>
  <c r="R15" i="275"/>
  <c r="Q15" i="275"/>
  <c r="S13" i="275"/>
  <c r="R13" i="275"/>
  <c r="Q13" i="275"/>
  <c r="S12" i="275"/>
  <c r="R12" i="275"/>
  <c r="Q12" i="275"/>
  <c r="S10" i="275"/>
  <c r="R10" i="275"/>
  <c r="Q10" i="275"/>
  <c r="T9" i="275"/>
  <c r="T8" i="275"/>
  <c r="T7" i="275"/>
  <c r="T6" i="275"/>
  <c r="C83" i="273"/>
  <c r="C84" i="273"/>
  <c r="C82" i="273"/>
  <c r="B78" i="273"/>
  <c r="B77" i="273"/>
  <c r="A73" i="273"/>
  <c r="A72" i="273"/>
  <c r="C66" i="273"/>
  <c r="C67" i="273"/>
  <c r="C68" i="273"/>
  <c r="C64" i="273"/>
  <c r="C65" i="273"/>
  <c r="C63" i="273"/>
  <c r="B67" i="273"/>
  <c r="B68" i="273"/>
  <c r="B64" i="273"/>
  <c r="B65" i="273"/>
  <c r="B66" i="273"/>
  <c r="B63" i="273"/>
  <c r="C55" i="273"/>
  <c r="C58" i="273" s="1"/>
  <c r="C56" i="273"/>
  <c r="C59" i="273" s="1"/>
  <c r="A57" i="273"/>
  <c r="A58" i="273" s="1"/>
  <c r="A59" i="273" s="1"/>
  <c r="C54" i="273"/>
  <c r="C57" i="273" s="1"/>
  <c r="A54" i="273"/>
  <c r="A55" i="273" s="1"/>
  <c r="A56" i="273" s="1"/>
  <c r="B48" i="273"/>
  <c r="B50" i="273" s="1"/>
  <c r="B47" i="273"/>
  <c r="B49" i="273" s="1"/>
  <c r="A49" i="273"/>
  <c r="A50" i="273" s="1"/>
  <c r="A47" i="273"/>
  <c r="A48" i="273" s="1"/>
  <c r="E81" i="273"/>
  <c r="D81" i="273"/>
  <c r="C81" i="273"/>
  <c r="B81" i="273"/>
  <c r="A81" i="273"/>
  <c r="E76" i="273"/>
  <c r="D76" i="273"/>
  <c r="C76" i="273"/>
  <c r="B76" i="273"/>
  <c r="A76" i="273"/>
  <c r="E71" i="273"/>
  <c r="D71" i="273"/>
  <c r="C71" i="273"/>
  <c r="B71" i="273"/>
  <c r="A71" i="273"/>
  <c r="E62" i="273"/>
  <c r="D62" i="273"/>
  <c r="C62" i="273"/>
  <c r="B62" i="273"/>
  <c r="A62" i="273"/>
  <c r="E53" i="273"/>
  <c r="D53" i="273"/>
  <c r="C53" i="273"/>
  <c r="B53" i="273"/>
  <c r="A53" i="273"/>
  <c r="D46" i="273"/>
  <c r="C46" i="273"/>
  <c r="B46" i="273"/>
  <c r="A46" i="273"/>
  <c r="B26" i="273"/>
  <c r="C26" i="273"/>
  <c r="A26" i="273"/>
  <c r="D31" i="273"/>
  <c r="C43" i="273"/>
  <c r="B43" i="273"/>
  <c r="A43" i="273"/>
  <c r="C42" i="273"/>
  <c r="B42" i="273"/>
  <c r="A42" i="273"/>
  <c r="C41" i="273"/>
  <c r="B41" i="273"/>
  <c r="A41" i="273"/>
  <c r="C40" i="273"/>
  <c r="B40" i="273"/>
  <c r="A40" i="273"/>
  <c r="C39" i="273"/>
  <c r="B39" i="273"/>
  <c r="A39" i="273"/>
  <c r="C38" i="273"/>
  <c r="B38" i="273"/>
  <c r="A38" i="273"/>
  <c r="C37" i="273"/>
  <c r="B37" i="273"/>
  <c r="A37" i="273"/>
  <c r="C36" i="273"/>
  <c r="B36" i="273"/>
  <c r="A36" i="273"/>
  <c r="C35" i="273"/>
  <c r="B35" i="273"/>
  <c r="A35" i="273"/>
  <c r="C34" i="273"/>
  <c r="B34" i="273"/>
  <c r="A34" i="273"/>
  <c r="C33" i="273"/>
  <c r="B33" i="273"/>
  <c r="A33" i="273"/>
  <c r="C32" i="273"/>
  <c r="B32" i="273"/>
  <c r="A32" i="273"/>
  <c r="C31" i="273"/>
  <c r="B31" i="273"/>
  <c r="A31" i="273"/>
  <c r="I322" i="273"/>
  <c r="H322" i="273"/>
  <c r="G322" i="273"/>
  <c r="I321" i="273"/>
  <c r="H321" i="273"/>
  <c r="G321" i="273"/>
  <c r="I320" i="273"/>
  <c r="H320" i="273"/>
  <c r="G320" i="273"/>
  <c r="I319" i="273"/>
  <c r="H319" i="273"/>
  <c r="G319" i="273"/>
  <c r="I318" i="273"/>
  <c r="H318" i="273"/>
  <c r="G318" i="273"/>
  <c r="I317" i="273"/>
  <c r="H317" i="273"/>
  <c r="G317" i="273"/>
  <c r="I316" i="273"/>
  <c r="H316" i="273"/>
  <c r="G316" i="273"/>
  <c r="I315" i="273"/>
  <c r="H315" i="273"/>
  <c r="G315" i="273"/>
  <c r="I314" i="273"/>
  <c r="H314" i="273"/>
  <c r="G314" i="273"/>
  <c r="I313" i="273"/>
  <c r="H313" i="273"/>
  <c r="G313" i="273"/>
  <c r="I312" i="273"/>
  <c r="H312" i="273"/>
  <c r="G312" i="273"/>
  <c r="I311" i="273"/>
  <c r="H311" i="273"/>
  <c r="G311" i="273"/>
  <c r="I310" i="273"/>
  <c r="H310" i="273"/>
  <c r="G310" i="273"/>
  <c r="I340" i="273"/>
  <c r="H340" i="273"/>
  <c r="G340" i="273"/>
  <c r="I339" i="273"/>
  <c r="H339" i="273"/>
  <c r="G339" i="273"/>
  <c r="I338" i="273"/>
  <c r="H338" i="273"/>
  <c r="G338" i="273"/>
  <c r="I337" i="273"/>
  <c r="H337" i="273"/>
  <c r="G337" i="273"/>
  <c r="I336" i="273"/>
  <c r="H336" i="273"/>
  <c r="G336" i="273"/>
  <c r="I335" i="273"/>
  <c r="H335" i="273"/>
  <c r="G335" i="273"/>
  <c r="I334" i="273"/>
  <c r="H334" i="273"/>
  <c r="G334" i="273"/>
  <c r="I333" i="273"/>
  <c r="H333" i="273"/>
  <c r="G333" i="273"/>
  <c r="I332" i="273"/>
  <c r="H332" i="273"/>
  <c r="G332" i="273"/>
  <c r="I331" i="273"/>
  <c r="H331" i="273"/>
  <c r="G331" i="273"/>
  <c r="I330" i="273"/>
  <c r="H330" i="273"/>
  <c r="G330" i="273"/>
  <c r="I329" i="273"/>
  <c r="H329" i="273"/>
  <c r="G329" i="273"/>
  <c r="I328" i="273"/>
  <c r="H328" i="273"/>
  <c r="G328" i="273"/>
  <c r="I304" i="273"/>
  <c r="H304" i="273"/>
  <c r="G304" i="273"/>
  <c r="I303" i="273"/>
  <c r="H303" i="273"/>
  <c r="G303" i="273"/>
  <c r="I302" i="273"/>
  <c r="H302" i="273"/>
  <c r="G302" i="273"/>
  <c r="I301" i="273"/>
  <c r="H301" i="273"/>
  <c r="G301" i="273"/>
  <c r="I300" i="273"/>
  <c r="H300" i="273"/>
  <c r="G300" i="273"/>
  <c r="I299" i="273"/>
  <c r="H299" i="273"/>
  <c r="G299" i="273"/>
  <c r="I298" i="273"/>
  <c r="H298" i="273"/>
  <c r="G298" i="273"/>
  <c r="I297" i="273"/>
  <c r="H297" i="273"/>
  <c r="G297" i="273"/>
  <c r="I296" i="273"/>
  <c r="H296" i="273"/>
  <c r="G296" i="273"/>
  <c r="I295" i="273"/>
  <c r="H295" i="273"/>
  <c r="G295" i="273"/>
  <c r="I294" i="273"/>
  <c r="H294" i="273"/>
  <c r="G294" i="273"/>
  <c r="I293" i="273"/>
  <c r="H293" i="273"/>
  <c r="G293" i="273"/>
  <c r="I292" i="273"/>
  <c r="H292" i="273"/>
  <c r="G292" i="273"/>
  <c r="I286" i="273"/>
  <c r="H286" i="273"/>
  <c r="G286" i="273"/>
  <c r="I285" i="273"/>
  <c r="H285" i="273"/>
  <c r="G285" i="273"/>
  <c r="I284" i="273"/>
  <c r="H284" i="273"/>
  <c r="G284" i="273"/>
  <c r="I283" i="273"/>
  <c r="H283" i="273"/>
  <c r="G283" i="273"/>
  <c r="I282" i="273"/>
  <c r="H282" i="273"/>
  <c r="G282" i="273"/>
  <c r="I281" i="273"/>
  <c r="H281" i="273"/>
  <c r="G281" i="273"/>
  <c r="I280" i="273"/>
  <c r="H280" i="273"/>
  <c r="G280" i="273"/>
  <c r="I279" i="273"/>
  <c r="H279" i="273"/>
  <c r="G279" i="273"/>
  <c r="I278" i="273"/>
  <c r="H278" i="273"/>
  <c r="G278" i="273"/>
  <c r="I277" i="273"/>
  <c r="H277" i="273"/>
  <c r="G277" i="273"/>
  <c r="I276" i="273"/>
  <c r="H276" i="273"/>
  <c r="G276" i="273"/>
  <c r="I275" i="273"/>
  <c r="H275" i="273"/>
  <c r="G275" i="273"/>
  <c r="I274" i="273"/>
  <c r="H274" i="273"/>
  <c r="G274" i="273"/>
  <c r="I268" i="273"/>
  <c r="H268" i="273"/>
  <c r="G268" i="273"/>
  <c r="I267" i="273"/>
  <c r="H267" i="273"/>
  <c r="G267" i="273"/>
  <c r="I266" i="273"/>
  <c r="H266" i="273"/>
  <c r="G266" i="273"/>
  <c r="I265" i="273"/>
  <c r="H265" i="273"/>
  <c r="G265" i="273"/>
  <c r="I264" i="273"/>
  <c r="H264" i="273"/>
  <c r="G264" i="273"/>
  <c r="I263" i="273"/>
  <c r="H263" i="273"/>
  <c r="G263" i="273"/>
  <c r="I262" i="273"/>
  <c r="H262" i="273"/>
  <c r="G262" i="273"/>
  <c r="I261" i="273"/>
  <c r="H261" i="273"/>
  <c r="G261" i="273"/>
  <c r="I260" i="273"/>
  <c r="H260" i="273"/>
  <c r="G260" i="273"/>
  <c r="I259" i="273"/>
  <c r="H259" i="273"/>
  <c r="G259" i="273"/>
  <c r="I258" i="273"/>
  <c r="H258" i="273"/>
  <c r="G258" i="273"/>
  <c r="I257" i="273"/>
  <c r="H257" i="273"/>
  <c r="G257" i="273"/>
  <c r="I256" i="273"/>
  <c r="H256" i="273"/>
  <c r="G256" i="273"/>
  <c r="I250" i="273"/>
  <c r="H250" i="273"/>
  <c r="G250" i="273"/>
  <c r="I249" i="273"/>
  <c r="H249" i="273"/>
  <c r="G249" i="273"/>
  <c r="I248" i="273"/>
  <c r="H248" i="273"/>
  <c r="G248" i="273"/>
  <c r="I247" i="273"/>
  <c r="H247" i="273"/>
  <c r="G247" i="273"/>
  <c r="I246" i="273"/>
  <c r="H246" i="273"/>
  <c r="G246" i="273"/>
  <c r="I245" i="273"/>
  <c r="H245" i="273"/>
  <c r="G245" i="273"/>
  <c r="I244" i="273"/>
  <c r="H244" i="273"/>
  <c r="G244" i="273"/>
  <c r="I243" i="273"/>
  <c r="H243" i="273"/>
  <c r="G243" i="273"/>
  <c r="I242" i="273"/>
  <c r="H242" i="273"/>
  <c r="G242" i="273"/>
  <c r="I241" i="273"/>
  <c r="H241" i="273"/>
  <c r="G241" i="273"/>
  <c r="I240" i="273"/>
  <c r="H240" i="273"/>
  <c r="G240" i="273"/>
  <c r="I239" i="273"/>
  <c r="H239" i="273"/>
  <c r="G239" i="273"/>
  <c r="I238" i="273"/>
  <c r="H238" i="273"/>
  <c r="G238" i="273"/>
  <c r="I232" i="273"/>
  <c r="H232" i="273"/>
  <c r="G232" i="273"/>
  <c r="I231" i="273"/>
  <c r="H231" i="273"/>
  <c r="G231" i="273"/>
  <c r="I230" i="273"/>
  <c r="H230" i="273"/>
  <c r="G230" i="273"/>
  <c r="I229" i="273"/>
  <c r="H229" i="273"/>
  <c r="G229" i="273"/>
  <c r="I228" i="273"/>
  <c r="H228" i="273"/>
  <c r="G228" i="273"/>
  <c r="I227" i="273"/>
  <c r="H227" i="273"/>
  <c r="G227" i="273"/>
  <c r="I226" i="273"/>
  <c r="H226" i="273"/>
  <c r="G226" i="273"/>
  <c r="I225" i="273"/>
  <c r="H225" i="273"/>
  <c r="G225" i="273"/>
  <c r="I224" i="273"/>
  <c r="H224" i="273"/>
  <c r="G224" i="273"/>
  <c r="I223" i="273"/>
  <c r="H223" i="273"/>
  <c r="G223" i="273"/>
  <c r="I222" i="273"/>
  <c r="H222" i="273"/>
  <c r="G222" i="273"/>
  <c r="I221" i="273"/>
  <c r="H221" i="273"/>
  <c r="G221" i="273"/>
  <c r="I220" i="273"/>
  <c r="H220" i="273"/>
  <c r="G220" i="273"/>
  <c r="I214" i="273"/>
  <c r="H214" i="273"/>
  <c r="G214" i="273"/>
  <c r="I213" i="273"/>
  <c r="H213" i="273"/>
  <c r="G213" i="273"/>
  <c r="I212" i="273"/>
  <c r="H212" i="273"/>
  <c r="G212" i="273"/>
  <c r="I211" i="273"/>
  <c r="H211" i="273"/>
  <c r="G211" i="273"/>
  <c r="I210" i="273"/>
  <c r="H210" i="273"/>
  <c r="G210" i="273"/>
  <c r="I209" i="273"/>
  <c r="H209" i="273"/>
  <c r="G209" i="273"/>
  <c r="I208" i="273"/>
  <c r="H208" i="273"/>
  <c r="G208" i="273"/>
  <c r="I207" i="273"/>
  <c r="H207" i="273"/>
  <c r="G207" i="273"/>
  <c r="I206" i="273"/>
  <c r="H206" i="273"/>
  <c r="G206" i="273"/>
  <c r="I205" i="273"/>
  <c r="H205" i="273"/>
  <c r="G205" i="273"/>
  <c r="I204" i="273"/>
  <c r="H204" i="273"/>
  <c r="G204" i="273"/>
  <c r="I203" i="273"/>
  <c r="H203" i="273"/>
  <c r="G203" i="273"/>
  <c r="I202" i="273"/>
  <c r="H202" i="273"/>
  <c r="G202" i="273"/>
  <c r="I196" i="273"/>
  <c r="H196" i="273"/>
  <c r="G196" i="273"/>
  <c r="I195" i="273"/>
  <c r="H195" i="273"/>
  <c r="G195" i="273"/>
  <c r="I194" i="273"/>
  <c r="H194" i="273"/>
  <c r="G194" i="273"/>
  <c r="I193" i="273"/>
  <c r="H193" i="273"/>
  <c r="G193" i="273"/>
  <c r="I192" i="273"/>
  <c r="H192" i="273"/>
  <c r="G192" i="273"/>
  <c r="I191" i="273"/>
  <c r="H191" i="273"/>
  <c r="G191" i="273"/>
  <c r="I190" i="273"/>
  <c r="H190" i="273"/>
  <c r="G190" i="273"/>
  <c r="I189" i="273"/>
  <c r="H189" i="273"/>
  <c r="G189" i="273"/>
  <c r="I188" i="273"/>
  <c r="H188" i="273"/>
  <c r="G188" i="273"/>
  <c r="I187" i="273"/>
  <c r="H187" i="273"/>
  <c r="G187" i="273"/>
  <c r="I186" i="273"/>
  <c r="H186" i="273"/>
  <c r="G186" i="273"/>
  <c r="I185" i="273"/>
  <c r="H185" i="273"/>
  <c r="G185" i="273"/>
  <c r="I184" i="273"/>
  <c r="H184" i="273"/>
  <c r="G184" i="273"/>
  <c r="I178" i="273"/>
  <c r="H178" i="273"/>
  <c r="G178" i="273"/>
  <c r="I177" i="273"/>
  <c r="H177" i="273"/>
  <c r="G177" i="273"/>
  <c r="I176" i="273"/>
  <c r="H176" i="273"/>
  <c r="G176" i="273"/>
  <c r="I175" i="273"/>
  <c r="H175" i="273"/>
  <c r="G175" i="273"/>
  <c r="I174" i="273"/>
  <c r="H174" i="273"/>
  <c r="G174" i="273"/>
  <c r="I173" i="273"/>
  <c r="H173" i="273"/>
  <c r="G173" i="273"/>
  <c r="I172" i="273"/>
  <c r="H172" i="273"/>
  <c r="G172" i="273"/>
  <c r="I171" i="273"/>
  <c r="H171" i="273"/>
  <c r="G171" i="273"/>
  <c r="I170" i="273"/>
  <c r="H170" i="273"/>
  <c r="G170" i="273"/>
  <c r="I169" i="273"/>
  <c r="H169" i="273"/>
  <c r="G169" i="273"/>
  <c r="I168" i="273"/>
  <c r="H168" i="273"/>
  <c r="G168" i="273"/>
  <c r="I167" i="273"/>
  <c r="H167" i="273"/>
  <c r="G167" i="273"/>
  <c r="I166" i="273"/>
  <c r="H166" i="273"/>
  <c r="G166" i="273"/>
  <c r="I160" i="273"/>
  <c r="H160" i="273"/>
  <c r="G160" i="273"/>
  <c r="I159" i="273"/>
  <c r="H159" i="273"/>
  <c r="G159" i="273"/>
  <c r="I158" i="273"/>
  <c r="H158" i="273"/>
  <c r="G158" i="273"/>
  <c r="I157" i="273"/>
  <c r="H157" i="273"/>
  <c r="G157" i="273"/>
  <c r="I156" i="273"/>
  <c r="H156" i="273"/>
  <c r="G156" i="273"/>
  <c r="I155" i="273"/>
  <c r="H155" i="273"/>
  <c r="G155" i="273"/>
  <c r="I154" i="273"/>
  <c r="H154" i="273"/>
  <c r="G154" i="273"/>
  <c r="I153" i="273"/>
  <c r="H153" i="273"/>
  <c r="G153" i="273"/>
  <c r="I152" i="273"/>
  <c r="H152" i="273"/>
  <c r="G152" i="273"/>
  <c r="I151" i="273"/>
  <c r="H151" i="273"/>
  <c r="G151" i="273"/>
  <c r="I150" i="273"/>
  <c r="H150" i="273"/>
  <c r="G150" i="273"/>
  <c r="I149" i="273"/>
  <c r="H149" i="273"/>
  <c r="G149" i="273"/>
  <c r="I148" i="273"/>
  <c r="H148" i="273"/>
  <c r="G148" i="273"/>
  <c r="I142" i="273"/>
  <c r="H142" i="273"/>
  <c r="G142" i="273"/>
  <c r="I141" i="273"/>
  <c r="H141" i="273"/>
  <c r="G141" i="273"/>
  <c r="I140" i="273"/>
  <c r="H140" i="273"/>
  <c r="G140" i="273"/>
  <c r="I139" i="273"/>
  <c r="H139" i="273"/>
  <c r="G139" i="273"/>
  <c r="I138" i="273"/>
  <c r="H138" i="273"/>
  <c r="G138" i="273"/>
  <c r="I137" i="273"/>
  <c r="H137" i="273"/>
  <c r="G137" i="273"/>
  <c r="I136" i="273"/>
  <c r="H136" i="273"/>
  <c r="G136" i="273"/>
  <c r="I135" i="273"/>
  <c r="H135" i="273"/>
  <c r="G135" i="273"/>
  <c r="I134" i="273"/>
  <c r="H134" i="273"/>
  <c r="G134" i="273"/>
  <c r="I133" i="273"/>
  <c r="H133" i="273"/>
  <c r="G133" i="273"/>
  <c r="I132" i="273"/>
  <c r="H132" i="273"/>
  <c r="G132" i="273"/>
  <c r="I131" i="273"/>
  <c r="H131" i="273"/>
  <c r="G131" i="273"/>
  <c r="I130" i="273"/>
  <c r="H130" i="273"/>
  <c r="G130" i="273"/>
  <c r="I124" i="273"/>
  <c r="H124" i="273"/>
  <c r="G124" i="273"/>
  <c r="I123" i="273"/>
  <c r="H123" i="273"/>
  <c r="G123" i="273"/>
  <c r="I122" i="273"/>
  <c r="H122" i="273"/>
  <c r="G122" i="273"/>
  <c r="I121" i="273"/>
  <c r="H121" i="273"/>
  <c r="G121" i="273"/>
  <c r="I120" i="273"/>
  <c r="H120" i="273"/>
  <c r="G120" i="273"/>
  <c r="I119" i="273"/>
  <c r="H119" i="273"/>
  <c r="G119" i="273"/>
  <c r="I118" i="273"/>
  <c r="H118" i="273"/>
  <c r="G118" i="273"/>
  <c r="I117" i="273"/>
  <c r="H117" i="273"/>
  <c r="G117" i="273"/>
  <c r="I116" i="273"/>
  <c r="H116" i="273"/>
  <c r="G116" i="273"/>
  <c r="I115" i="273"/>
  <c r="H115" i="273"/>
  <c r="G115" i="273"/>
  <c r="I114" i="273"/>
  <c r="H114" i="273"/>
  <c r="G114" i="273"/>
  <c r="I113" i="273"/>
  <c r="H113" i="273"/>
  <c r="G113" i="273"/>
  <c r="I112" i="273"/>
  <c r="H112" i="273"/>
  <c r="G112" i="273"/>
  <c r="I106" i="273"/>
  <c r="H106" i="273"/>
  <c r="G106" i="273"/>
  <c r="I105" i="273"/>
  <c r="H105" i="273"/>
  <c r="G105" i="273"/>
  <c r="I104" i="273"/>
  <c r="H104" i="273"/>
  <c r="G104" i="273"/>
  <c r="I103" i="273"/>
  <c r="H103" i="273"/>
  <c r="G103" i="273"/>
  <c r="I102" i="273"/>
  <c r="H102" i="273"/>
  <c r="G102" i="273"/>
  <c r="I101" i="273"/>
  <c r="H101" i="273"/>
  <c r="G101" i="273"/>
  <c r="I100" i="273"/>
  <c r="H100" i="273"/>
  <c r="G100" i="273"/>
  <c r="I99" i="273"/>
  <c r="H99" i="273"/>
  <c r="G99" i="273"/>
  <c r="I98" i="273"/>
  <c r="H98" i="273"/>
  <c r="G98" i="273"/>
  <c r="I97" i="273"/>
  <c r="H97" i="273"/>
  <c r="G97" i="273"/>
  <c r="I96" i="273"/>
  <c r="H96" i="273"/>
  <c r="G96" i="273"/>
  <c r="I95" i="273"/>
  <c r="H95" i="273"/>
  <c r="G95" i="273"/>
  <c r="I94" i="273"/>
  <c r="H94" i="273"/>
  <c r="G94" i="273"/>
  <c r="I88" i="273"/>
  <c r="H88" i="273"/>
  <c r="G88" i="273"/>
  <c r="I87" i="273"/>
  <c r="H87" i="273"/>
  <c r="G87" i="273"/>
  <c r="I86" i="273"/>
  <c r="H86" i="273"/>
  <c r="G86" i="273"/>
  <c r="I85" i="273"/>
  <c r="H85" i="273"/>
  <c r="G85" i="273"/>
  <c r="I84" i="273"/>
  <c r="H84" i="273"/>
  <c r="G84" i="273"/>
  <c r="I83" i="273"/>
  <c r="H83" i="273"/>
  <c r="G83" i="273"/>
  <c r="I82" i="273"/>
  <c r="H82" i="273"/>
  <c r="G82" i="273"/>
  <c r="I81" i="273"/>
  <c r="H81" i="273"/>
  <c r="G81" i="273"/>
  <c r="I80" i="273"/>
  <c r="H80" i="273"/>
  <c r="G80" i="273"/>
  <c r="I79" i="273"/>
  <c r="H79" i="273"/>
  <c r="G79" i="273"/>
  <c r="I78" i="273"/>
  <c r="H78" i="273"/>
  <c r="G78" i="273"/>
  <c r="I77" i="273"/>
  <c r="H77" i="273"/>
  <c r="G77" i="273"/>
  <c r="I76" i="273"/>
  <c r="H76" i="273"/>
  <c r="G76" i="273"/>
  <c r="I70" i="273"/>
  <c r="H70" i="273"/>
  <c r="G70" i="273"/>
  <c r="I69" i="273"/>
  <c r="H69" i="273"/>
  <c r="G69" i="273"/>
  <c r="I68" i="273"/>
  <c r="H68" i="273"/>
  <c r="G68" i="273"/>
  <c r="I67" i="273"/>
  <c r="H67" i="273"/>
  <c r="G67" i="273"/>
  <c r="I66" i="273"/>
  <c r="H66" i="273"/>
  <c r="G66" i="273"/>
  <c r="I65" i="273"/>
  <c r="H65" i="273"/>
  <c r="G65" i="273"/>
  <c r="I64" i="273"/>
  <c r="H64" i="273"/>
  <c r="G64" i="273"/>
  <c r="I63" i="273"/>
  <c r="H63" i="273"/>
  <c r="G63" i="273"/>
  <c r="I62" i="273"/>
  <c r="H62" i="273"/>
  <c r="G62" i="273"/>
  <c r="I61" i="273"/>
  <c r="H61" i="273"/>
  <c r="G61" i="273"/>
  <c r="I60" i="273"/>
  <c r="H60" i="273"/>
  <c r="G60" i="273"/>
  <c r="I59" i="273"/>
  <c r="H59" i="273"/>
  <c r="G59" i="273"/>
  <c r="I58" i="273"/>
  <c r="H58" i="273"/>
  <c r="G58" i="273"/>
  <c r="I53" i="273"/>
  <c r="H53" i="273"/>
  <c r="G53" i="273"/>
  <c r="I52" i="273"/>
  <c r="H52" i="273"/>
  <c r="G52" i="273"/>
  <c r="I51" i="273"/>
  <c r="H51" i="273"/>
  <c r="G51" i="273"/>
  <c r="I50" i="273"/>
  <c r="H50" i="273"/>
  <c r="G50" i="273"/>
  <c r="I49" i="273"/>
  <c r="H49" i="273"/>
  <c r="G49" i="273"/>
  <c r="I48" i="273"/>
  <c r="H48" i="273"/>
  <c r="G48" i="273"/>
  <c r="I47" i="273"/>
  <c r="H47" i="273"/>
  <c r="G47" i="273"/>
  <c r="I46" i="273"/>
  <c r="H46" i="273"/>
  <c r="G46" i="273"/>
  <c r="I45" i="273"/>
  <c r="H45" i="273"/>
  <c r="G45" i="273"/>
  <c r="I44" i="273"/>
  <c r="H44" i="273"/>
  <c r="G44" i="273"/>
  <c r="I43" i="273"/>
  <c r="H43" i="273"/>
  <c r="G43" i="273"/>
  <c r="I42" i="273"/>
  <c r="H42" i="273"/>
  <c r="G42" i="273"/>
  <c r="I41" i="273"/>
  <c r="H41" i="273"/>
  <c r="G41" i="273"/>
  <c r="G29" i="273"/>
  <c r="G12" i="273"/>
  <c r="I36" i="273"/>
  <c r="H36" i="273"/>
  <c r="G36" i="273"/>
  <c r="I35" i="273"/>
  <c r="H35" i="273"/>
  <c r="G35" i="273"/>
  <c r="I34" i="273"/>
  <c r="H34" i="273"/>
  <c r="G34" i="273"/>
  <c r="I33" i="273"/>
  <c r="H33" i="273"/>
  <c r="G33" i="273"/>
  <c r="I32" i="273"/>
  <c r="H32" i="273"/>
  <c r="G32" i="273"/>
  <c r="I31" i="273"/>
  <c r="H31" i="273"/>
  <c r="G31" i="273"/>
  <c r="I30" i="273"/>
  <c r="H30" i="273"/>
  <c r="G30" i="273"/>
  <c r="I29" i="273"/>
  <c r="H29" i="273"/>
  <c r="I28" i="273"/>
  <c r="H28" i="273"/>
  <c r="G28" i="273"/>
  <c r="I27" i="273"/>
  <c r="H27" i="273"/>
  <c r="G27" i="273"/>
  <c r="I26" i="273"/>
  <c r="H26" i="273"/>
  <c r="G26" i="273"/>
  <c r="I25" i="273"/>
  <c r="H25" i="273"/>
  <c r="G25" i="273"/>
  <c r="I24" i="273"/>
  <c r="H24" i="273"/>
  <c r="G24" i="273"/>
  <c r="I19" i="273"/>
  <c r="I18" i="273"/>
  <c r="I17" i="273"/>
  <c r="I16" i="273"/>
  <c r="I15" i="273"/>
  <c r="I14" i="273"/>
  <c r="I13" i="273"/>
  <c r="I12" i="273"/>
  <c r="I11" i="273"/>
  <c r="I10" i="273"/>
  <c r="I9" i="273"/>
  <c r="I8" i="273"/>
  <c r="I7" i="273"/>
  <c r="H7" i="273"/>
  <c r="G7" i="273"/>
  <c r="G19" i="273"/>
  <c r="G18" i="273"/>
  <c r="G17" i="273"/>
  <c r="G16" i="273"/>
  <c r="G15" i="273"/>
  <c r="G14" i="273"/>
  <c r="G13" i="273"/>
  <c r="H19" i="273"/>
  <c r="H18" i="273"/>
  <c r="H17" i="273"/>
  <c r="H16" i="273"/>
  <c r="H15" i="273"/>
  <c r="H14" i="273"/>
  <c r="H13" i="273"/>
  <c r="H12" i="273"/>
  <c r="H11" i="273"/>
  <c r="H10" i="273"/>
  <c r="H9" i="273"/>
  <c r="H8" i="273"/>
  <c r="G11" i="273"/>
  <c r="G10" i="273"/>
  <c r="G9" i="273"/>
  <c r="G8" i="273"/>
  <c r="U329" i="273"/>
  <c r="U332" i="273" s="1"/>
  <c r="U311" i="273"/>
  <c r="U314" i="273" s="1"/>
  <c r="U278" i="273"/>
  <c r="U239" i="273"/>
  <c r="U242" i="273" s="1"/>
  <c r="U221" i="273"/>
  <c r="U224" i="273" s="1"/>
  <c r="U203" i="273"/>
  <c r="U206" i="273" s="1"/>
  <c r="U185" i="273"/>
  <c r="U188" i="273" s="1"/>
  <c r="U167" i="273"/>
  <c r="U170" i="273" s="1"/>
  <c r="U149" i="273"/>
  <c r="U134" i="273"/>
  <c r="U113" i="273"/>
  <c r="E107" i="273"/>
  <c r="C107" i="273"/>
  <c r="U95" i="273"/>
  <c r="C103" i="273" s="1"/>
  <c r="B133" i="273" s="1"/>
  <c r="U77" i="273"/>
  <c r="U59" i="273"/>
  <c r="C102" i="273" s="1"/>
  <c r="C133" i="273" s="1"/>
  <c r="U42" i="273"/>
  <c r="C100" i="273" s="1"/>
  <c r="U25" i="273"/>
  <c r="C101" i="273" s="1"/>
  <c r="E14" i="272"/>
  <c r="D14" i="272"/>
  <c r="C14" i="272"/>
  <c r="E13" i="272"/>
  <c r="D13" i="272"/>
  <c r="C13" i="272"/>
  <c r="E11" i="272"/>
  <c r="E21" i="272" s="1"/>
  <c r="D11" i="272"/>
  <c r="D21" i="272" s="1"/>
  <c r="C11" i="272"/>
  <c r="E10" i="272"/>
  <c r="E20" i="272" s="1"/>
  <c r="D10" i="272"/>
  <c r="D20" i="272" s="1"/>
  <c r="C10" i="272"/>
  <c r="F7" i="272"/>
  <c r="D26" i="272" s="1"/>
  <c r="F6" i="272"/>
  <c r="C26" i="272" s="1"/>
  <c r="F5" i="272"/>
  <c r="D25" i="272" s="1"/>
  <c r="F4" i="272"/>
  <c r="C25" i="272" s="1"/>
  <c r="J14" i="278" l="1"/>
  <c r="J15" i="278" s="1"/>
  <c r="A15" i="288"/>
  <c r="O61" i="288"/>
  <c r="O77" i="288"/>
  <c r="O93" i="288"/>
  <c r="C15" i="275"/>
  <c r="K25" i="282"/>
  <c r="K32" i="282" s="1"/>
  <c r="E22" i="272"/>
  <c r="D133" i="273"/>
  <c r="D136" i="273" s="1"/>
  <c r="C89" i="273"/>
  <c r="C27" i="272"/>
  <c r="C21" i="272"/>
  <c r="F11" i="272"/>
  <c r="P6" i="275"/>
  <c r="B21" i="275"/>
  <c r="C20" i="272"/>
  <c r="F10" i="272"/>
  <c r="I9" i="275"/>
  <c r="B24" i="275"/>
  <c r="D27" i="272"/>
  <c r="D22" i="272"/>
  <c r="F14" i="272"/>
  <c r="O9" i="275"/>
  <c r="A24" i="275"/>
  <c r="O7" i="275"/>
  <c r="A22" i="275"/>
  <c r="L28" i="282"/>
  <c r="O8" i="275"/>
  <c r="A23" i="275"/>
  <c r="P7" i="275"/>
  <c r="B22" i="275"/>
  <c r="F13" i="272"/>
  <c r="C98" i="273"/>
  <c r="O6" i="275"/>
  <c r="A21" i="275"/>
  <c r="P8" i="275"/>
  <c r="B23" i="275"/>
  <c r="N28" i="282"/>
  <c r="N34" i="282" s="1"/>
  <c r="M26" i="282"/>
  <c r="N26" i="282"/>
  <c r="K27" i="282"/>
  <c r="M28" i="282"/>
  <c r="L25" i="282"/>
  <c r="L24" i="282"/>
  <c r="K28" i="282"/>
  <c r="K34" i="282" s="1"/>
  <c r="L27" i="282"/>
  <c r="M25" i="282"/>
  <c r="M37" i="282" s="1"/>
  <c r="U27" i="282" s="1"/>
  <c r="N25" i="282"/>
  <c r="G36" i="282"/>
  <c r="G37" i="282"/>
  <c r="G33" i="282"/>
  <c r="G32" i="282"/>
  <c r="G30" i="282"/>
  <c r="G34" i="282"/>
  <c r="I16" i="281"/>
  <c r="I15" i="281"/>
  <c r="J15" i="281"/>
  <c r="J14" i="281"/>
  <c r="E17" i="281"/>
  <c r="H16" i="281"/>
  <c r="H15" i="281"/>
  <c r="I14" i="281"/>
  <c r="H14" i="281"/>
  <c r="G14" i="278"/>
  <c r="H12" i="278"/>
  <c r="H14" i="278"/>
  <c r="H13" i="278"/>
  <c r="I14" i="278"/>
  <c r="I12" i="278"/>
  <c r="G13" i="278"/>
  <c r="I13" i="278"/>
  <c r="E15" i="278"/>
  <c r="E13" i="275"/>
  <c r="J314" i="273"/>
  <c r="L314" i="273" s="1"/>
  <c r="J332" i="273"/>
  <c r="L332" i="273" s="1"/>
  <c r="J296" i="273"/>
  <c r="L296" i="273" s="1"/>
  <c r="J98" i="273"/>
  <c r="L98" i="273" s="1"/>
  <c r="J170" i="273"/>
  <c r="L170" i="273" s="1"/>
  <c r="J337" i="273"/>
  <c r="L337" i="273" s="1"/>
  <c r="J175" i="273"/>
  <c r="L175" i="273" s="1"/>
  <c r="J227" i="273"/>
  <c r="L227" i="273" s="1"/>
  <c r="J191" i="273"/>
  <c r="L191" i="273" s="1"/>
  <c r="J173" i="273"/>
  <c r="L173" i="273" s="1"/>
  <c r="J14" i="273"/>
  <c r="M14" i="273" s="1"/>
  <c r="O14" i="273" s="1"/>
  <c r="J119" i="273"/>
  <c r="L119" i="273" s="1"/>
  <c r="J65" i="273"/>
  <c r="L65" i="273" s="1"/>
  <c r="D38" i="273"/>
  <c r="J281" i="273"/>
  <c r="L281" i="273" s="1"/>
  <c r="J137" i="273"/>
  <c r="L137" i="273" s="1"/>
  <c r="J83" i="273"/>
  <c r="L83" i="273" s="1"/>
  <c r="J48" i="273"/>
  <c r="L48" i="273" s="1"/>
  <c r="J31" i="273"/>
  <c r="L31" i="273" s="1"/>
  <c r="J335" i="273"/>
  <c r="L335" i="273" s="1"/>
  <c r="J299" i="273"/>
  <c r="L299" i="273" s="1"/>
  <c r="J245" i="273"/>
  <c r="L245" i="273" s="1"/>
  <c r="J209" i="273"/>
  <c r="L209" i="273" s="1"/>
  <c r="J101" i="273"/>
  <c r="L101" i="273" s="1"/>
  <c r="J317" i="273"/>
  <c r="L317" i="273" s="1"/>
  <c r="J263" i="273"/>
  <c r="L263" i="273" s="1"/>
  <c r="J155" i="273"/>
  <c r="L155" i="273" s="1"/>
  <c r="D42" i="273"/>
  <c r="D67" i="273" s="1"/>
  <c r="M225" i="273" s="1"/>
  <c r="M231" i="273" s="1"/>
  <c r="J285" i="273"/>
  <c r="L285" i="273" s="1"/>
  <c r="J249" i="273"/>
  <c r="L249" i="273" s="1"/>
  <c r="J141" i="273"/>
  <c r="L141" i="273" s="1"/>
  <c r="J87" i="273"/>
  <c r="L87" i="273" s="1"/>
  <c r="J52" i="273"/>
  <c r="L52" i="273" s="1"/>
  <c r="J35" i="273"/>
  <c r="L35" i="273" s="1"/>
  <c r="J195" i="273"/>
  <c r="L195" i="273" s="1"/>
  <c r="J18" i="273"/>
  <c r="M18" i="273" s="1"/>
  <c r="O18" i="273" s="1"/>
  <c r="J339" i="273"/>
  <c r="L339" i="273" s="1"/>
  <c r="J303" i="273"/>
  <c r="L303" i="273" s="1"/>
  <c r="J213" i="273"/>
  <c r="L213" i="273" s="1"/>
  <c r="J177" i="273"/>
  <c r="L177" i="273" s="1"/>
  <c r="J105" i="273"/>
  <c r="L105" i="273" s="1"/>
  <c r="J321" i="273"/>
  <c r="L321" i="273" s="1"/>
  <c r="J267" i="273"/>
  <c r="L267" i="273" s="1"/>
  <c r="J159" i="273"/>
  <c r="L159" i="273" s="1"/>
  <c r="J123" i="273"/>
  <c r="L123" i="273" s="1"/>
  <c r="J69" i="273"/>
  <c r="L69" i="273" s="1"/>
  <c r="J231" i="273"/>
  <c r="L231" i="273" s="1"/>
  <c r="J313" i="273"/>
  <c r="L313" i="273" s="1"/>
  <c r="J331" i="273"/>
  <c r="L331" i="273" s="1"/>
  <c r="J295" i="273"/>
  <c r="L295" i="273" s="1"/>
  <c r="J259" i="273"/>
  <c r="L259" i="273" s="1"/>
  <c r="J151" i="273"/>
  <c r="L151" i="273" s="1"/>
  <c r="J115" i="273"/>
  <c r="L115" i="273" s="1"/>
  <c r="J97" i="273"/>
  <c r="L97" i="273" s="1"/>
  <c r="J61" i="273"/>
  <c r="L61" i="273" s="1"/>
  <c r="J241" i="273"/>
  <c r="L241" i="273" s="1"/>
  <c r="J223" i="273"/>
  <c r="L223" i="273" s="1"/>
  <c r="J187" i="273"/>
  <c r="L187" i="273" s="1"/>
  <c r="J27" i="273"/>
  <c r="L27" i="273" s="1"/>
  <c r="J10" i="273"/>
  <c r="D34" i="273"/>
  <c r="J277" i="273"/>
  <c r="L277" i="273" s="1"/>
  <c r="J169" i="273"/>
  <c r="L169" i="273" s="1"/>
  <c r="J133" i="273"/>
  <c r="L133" i="273" s="1"/>
  <c r="J79" i="273"/>
  <c r="L79" i="273" s="1"/>
  <c r="J44" i="273"/>
  <c r="L44" i="273" s="1"/>
  <c r="J205" i="273"/>
  <c r="L205" i="273" s="1"/>
  <c r="J318" i="273"/>
  <c r="L318" i="273" s="1"/>
  <c r="J174" i="273"/>
  <c r="L174" i="273" s="1"/>
  <c r="J246" i="273"/>
  <c r="L246" i="273" s="1"/>
  <c r="J322" i="273"/>
  <c r="L322" i="273" s="1"/>
  <c r="J340" i="273"/>
  <c r="L340" i="273" s="1"/>
  <c r="J304" i="273"/>
  <c r="L304" i="273" s="1"/>
  <c r="J106" i="273"/>
  <c r="L106" i="273" s="1"/>
  <c r="E8" i="272"/>
  <c r="F8" i="272" s="1"/>
  <c r="L9" i="272"/>
  <c r="D11" i="273" s="1"/>
  <c r="J30" i="273" s="1"/>
  <c r="L30" i="273" s="1"/>
  <c r="J8" i="273"/>
  <c r="J232" i="273"/>
  <c r="L232" i="273" s="1"/>
  <c r="J300" i="273"/>
  <c r="L300" i="273" s="1"/>
  <c r="J171" i="273"/>
  <c r="L171" i="273" s="1"/>
  <c r="J84" i="273"/>
  <c r="L84" i="273" s="1"/>
  <c r="J102" i="273"/>
  <c r="L102" i="273" s="1"/>
  <c r="J156" i="273"/>
  <c r="L156" i="273" s="1"/>
  <c r="J224" i="273"/>
  <c r="L224" i="273" s="1"/>
  <c r="J242" i="273"/>
  <c r="L242" i="273" s="1"/>
  <c r="J250" i="273"/>
  <c r="L250" i="273" s="1"/>
  <c r="J311" i="273"/>
  <c r="L311" i="273" s="1"/>
  <c r="J59" i="273"/>
  <c r="L59" i="273" s="1"/>
  <c r="J95" i="273"/>
  <c r="L95" i="273" s="1"/>
  <c r="J96" i="273"/>
  <c r="L96" i="273" s="1"/>
  <c r="J99" i="273"/>
  <c r="L99" i="273" s="1"/>
  <c r="J100" i="273"/>
  <c r="L100" i="273" s="1"/>
  <c r="J103" i="273"/>
  <c r="L103" i="273" s="1"/>
  <c r="J104" i="273"/>
  <c r="L104" i="273" s="1"/>
  <c r="J167" i="273"/>
  <c r="L167" i="273" s="1"/>
  <c r="J190" i="273"/>
  <c r="L190" i="273" s="1"/>
  <c r="J80" i="273"/>
  <c r="L80" i="273" s="1"/>
  <c r="J88" i="273"/>
  <c r="L88" i="273" s="1"/>
  <c r="J152" i="273"/>
  <c r="L152" i="273" s="1"/>
  <c r="J160" i="273"/>
  <c r="L160" i="273" s="1"/>
  <c r="J178" i="273"/>
  <c r="L178" i="273" s="1"/>
  <c r="J228" i="273"/>
  <c r="L228" i="273" s="1"/>
  <c r="J336" i="273"/>
  <c r="L336" i="273" s="1"/>
  <c r="J320" i="273"/>
  <c r="L320" i="273" s="1"/>
  <c r="J284" i="273"/>
  <c r="L284" i="273" s="1"/>
  <c r="J266" i="273"/>
  <c r="L266" i="273" s="1"/>
  <c r="J194" i="273"/>
  <c r="L194" i="273" s="1"/>
  <c r="J122" i="273"/>
  <c r="L122" i="273" s="1"/>
  <c r="J51" i="273"/>
  <c r="L51" i="273" s="1"/>
  <c r="J302" i="273"/>
  <c r="D41" i="273"/>
  <c r="J230" i="273"/>
  <c r="L230" i="273" s="1"/>
  <c r="J140" i="273"/>
  <c r="L140" i="273" s="1"/>
  <c r="J86" i="273"/>
  <c r="L86" i="273" s="1"/>
  <c r="J338" i="273"/>
  <c r="L338" i="273" s="1"/>
  <c r="J248" i="273"/>
  <c r="L248" i="273" s="1"/>
  <c r="J212" i="273"/>
  <c r="L212" i="273" s="1"/>
  <c r="J158" i="273"/>
  <c r="L158" i="273" s="1"/>
  <c r="J34" i="273"/>
  <c r="L34" i="273" s="1"/>
  <c r="J17" i="273"/>
  <c r="M17" i="273" s="1"/>
  <c r="P17" i="273" s="1"/>
  <c r="Q17" i="273" s="1"/>
  <c r="J176" i="273"/>
  <c r="L176" i="273" s="1"/>
  <c r="J276" i="273"/>
  <c r="L276" i="273" s="1"/>
  <c r="J258" i="273"/>
  <c r="L258" i="273" s="1"/>
  <c r="J222" i="273"/>
  <c r="L222" i="273" s="1"/>
  <c r="J186" i="273"/>
  <c r="L186" i="273" s="1"/>
  <c r="J150" i="273"/>
  <c r="L150" i="273" s="1"/>
  <c r="J114" i="273"/>
  <c r="L114" i="273" s="1"/>
  <c r="J78" i="273"/>
  <c r="L78" i="273" s="1"/>
  <c r="J43" i="273"/>
  <c r="L43" i="273" s="1"/>
  <c r="J294" i="273"/>
  <c r="L294" i="273" s="1"/>
  <c r="J204" i="273"/>
  <c r="L204" i="273" s="1"/>
  <c r="J26" i="273"/>
  <c r="L26" i="273" s="1"/>
  <c r="J168" i="273"/>
  <c r="L168" i="273" s="1"/>
  <c r="J60" i="273"/>
  <c r="L60" i="273" s="1"/>
  <c r="J330" i="273"/>
  <c r="J240" i="273"/>
  <c r="L240" i="273" s="1"/>
  <c r="J132" i="273"/>
  <c r="L132" i="273" s="1"/>
  <c r="J312" i="273"/>
  <c r="L312" i="273" s="1"/>
  <c r="J9" i="273"/>
  <c r="L9" i="273" s="1"/>
  <c r="D13" i="275"/>
  <c r="D10" i="275"/>
  <c r="D32" i="273"/>
  <c r="J257" i="273"/>
  <c r="L257" i="273" s="1"/>
  <c r="J221" i="273"/>
  <c r="L221" i="273" s="1"/>
  <c r="J185" i="273"/>
  <c r="L185" i="273" s="1"/>
  <c r="J149" i="273"/>
  <c r="L149" i="273" s="1"/>
  <c r="J113" i="273"/>
  <c r="L113" i="273" s="1"/>
  <c r="J77" i="273"/>
  <c r="L77" i="273" s="1"/>
  <c r="J42" i="273"/>
  <c r="L42" i="273" s="1"/>
  <c r="J131" i="273"/>
  <c r="L131" i="273" s="1"/>
  <c r="J239" i="273"/>
  <c r="L239" i="273" s="1"/>
  <c r="J243" i="273"/>
  <c r="J247" i="273"/>
  <c r="J329" i="273"/>
  <c r="L329" i="273" s="1"/>
  <c r="J333" i="273"/>
  <c r="L333" i="273" s="1"/>
  <c r="C12" i="275"/>
  <c r="D40" i="273"/>
  <c r="D65" i="273" s="1"/>
  <c r="J16" i="273"/>
  <c r="M16" i="273" s="1"/>
  <c r="P16" i="273" s="1"/>
  <c r="Q16" i="273" s="1"/>
  <c r="R5" i="275"/>
  <c r="D20" i="275" s="1"/>
  <c r="D33" i="275" s="1"/>
  <c r="D46" i="275" s="1"/>
  <c r="D59" i="275" s="1"/>
  <c r="D72" i="275" s="1"/>
  <c r="K5" i="275"/>
  <c r="J12" i="273"/>
  <c r="L12" i="273" s="1"/>
  <c r="J25" i="273"/>
  <c r="L25" i="273" s="1"/>
  <c r="J203" i="273"/>
  <c r="L203" i="273" s="1"/>
  <c r="J293" i="273"/>
  <c r="L293" i="273" s="1"/>
  <c r="F6" i="275"/>
  <c r="D21" i="275" s="1"/>
  <c r="C13" i="275"/>
  <c r="C10" i="275"/>
  <c r="C20" i="275"/>
  <c r="E20" i="275"/>
  <c r="P9" i="275"/>
  <c r="H9" i="275"/>
  <c r="H7" i="275"/>
  <c r="A12" i="275"/>
  <c r="A27" i="275" s="1"/>
  <c r="I7" i="275"/>
  <c r="B16" i="275"/>
  <c r="B31" i="275" s="1"/>
  <c r="E12" i="275"/>
  <c r="H6" i="275"/>
  <c r="I8" i="275"/>
  <c r="J5" i="275"/>
  <c r="A13" i="275"/>
  <c r="A28" i="275" s="1"/>
  <c r="F8" i="275"/>
  <c r="E23" i="275" s="1"/>
  <c r="D15" i="275"/>
  <c r="E15" i="275"/>
  <c r="D16" i="275"/>
  <c r="I6" i="275"/>
  <c r="H8" i="275"/>
  <c r="L5" i="275"/>
  <c r="B15" i="275"/>
  <c r="B30" i="275" s="1"/>
  <c r="F9" i="275"/>
  <c r="E10" i="275"/>
  <c r="C16" i="275"/>
  <c r="E16" i="275"/>
  <c r="F7" i="275"/>
  <c r="C22" i="275" s="1"/>
  <c r="D12" i="275"/>
  <c r="J81" i="273"/>
  <c r="L81" i="273" s="1"/>
  <c r="J157" i="273"/>
  <c r="J225" i="273"/>
  <c r="L225" i="273" s="1"/>
  <c r="J297" i="273"/>
  <c r="L297" i="273" s="1"/>
  <c r="J301" i="273"/>
  <c r="L301" i="273" s="1"/>
  <c r="J29" i="273"/>
  <c r="L29" i="273" s="1"/>
  <c r="J32" i="273"/>
  <c r="J33" i="273"/>
  <c r="J36" i="273"/>
  <c r="J62" i="273"/>
  <c r="L62" i="273" s="1"/>
  <c r="J63" i="273"/>
  <c r="J66" i="273"/>
  <c r="J67" i="273"/>
  <c r="L67" i="273" s="1"/>
  <c r="J70" i="273"/>
  <c r="L70" i="273" s="1"/>
  <c r="J134" i="273"/>
  <c r="J135" i="273"/>
  <c r="L135" i="273" s="1"/>
  <c r="J138" i="273"/>
  <c r="J139" i="273"/>
  <c r="J142" i="273"/>
  <c r="J206" i="273"/>
  <c r="L206" i="273" s="1"/>
  <c r="J207" i="273"/>
  <c r="L207" i="273" s="1"/>
  <c r="J210" i="273"/>
  <c r="J211" i="273"/>
  <c r="L211" i="273" s="1"/>
  <c r="J214" i="273"/>
  <c r="L214" i="273" s="1"/>
  <c r="J278" i="273"/>
  <c r="L278" i="273" s="1"/>
  <c r="J279" i="273"/>
  <c r="J282" i="273"/>
  <c r="L282" i="273" s="1"/>
  <c r="J283" i="273"/>
  <c r="J286" i="273"/>
  <c r="L286" i="273" s="1"/>
  <c r="D35" i="273"/>
  <c r="D39" i="273"/>
  <c r="D43" i="273"/>
  <c r="J85" i="273"/>
  <c r="L85" i="273" s="1"/>
  <c r="J153" i="273"/>
  <c r="J229" i="273"/>
  <c r="L229" i="273" s="1"/>
  <c r="J11" i="273"/>
  <c r="M11" i="273" s="1"/>
  <c r="O11" i="273" s="1"/>
  <c r="J15" i="273"/>
  <c r="J19" i="273"/>
  <c r="M19" i="273" s="1"/>
  <c r="O19" i="273" s="1"/>
  <c r="J28" i="273"/>
  <c r="J45" i="273"/>
  <c r="J46" i="273"/>
  <c r="L46" i="273" s="1"/>
  <c r="J49" i="273"/>
  <c r="L49" i="273" s="1"/>
  <c r="J50" i="273"/>
  <c r="L50" i="273" s="1"/>
  <c r="J53" i="273"/>
  <c r="J116" i="273"/>
  <c r="L116" i="273" s="1"/>
  <c r="J117" i="273"/>
  <c r="J120" i="273"/>
  <c r="L120" i="273" s="1"/>
  <c r="J121" i="273"/>
  <c r="L121" i="273" s="1"/>
  <c r="J124" i="273"/>
  <c r="L124" i="273" s="1"/>
  <c r="J188" i="273"/>
  <c r="J189" i="273"/>
  <c r="L189" i="273" s="1"/>
  <c r="J192" i="273"/>
  <c r="L192" i="273" s="1"/>
  <c r="J193" i="273"/>
  <c r="L193" i="273" s="1"/>
  <c r="J196" i="273"/>
  <c r="L196" i="273" s="1"/>
  <c r="J260" i="273"/>
  <c r="L260" i="273" s="1"/>
  <c r="J261" i="273"/>
  <c r="J264" i="273"/>
  <c r="L264" i="273" s="1"/>
  <c r="J265" i="273"/>
  <c r="L265" i="273" s="1"/>
  <c r="J268" i="273"/>
  <c r="L268" i="273" s="1"/>
  <c r="J315" i="273"/>
  <c r="L315" i="273" s="1"/>
  <c r="J319" i="273"/>
  <c r="L319" i="273" s="1"/>
  <c r="T10" i="275"/>
  <c r="E22" i="275"/>
  <c r="C106" i="273"/>
  <c r="C96" i="273"/>
  <c r="C97" i="273"/>
  <c r="C92" i="273"/>
  <c r="U98" i="273"/>
  <c r="C99" i="273"/>
  <c r="C91" i="273"/>
  <c r="U62" i="273"/>
  <c r="C94" i="273"/>
  <c r="U28" i="273"/>
  <c r="D55" i="273"/>
  <c r="U80" i="273"/>
  <c r="C104" i="273"/>
  <c r="U152" i="273"/>
  <c r="C90" i="273"/>
  <c r="U116" i="273"/>
  <c r="C105" i="273"/>
  <c r="C93" i="273"/>
  <c r="U260" i="273"/>
  <c r="U45" i="273"/>
  <c r="L68" i="273"/>
  <c r="U296" i="273"/>
  <c r="C95" i="273"/>
  <c r="L275" i="273"/>
  <c r="L302" i="273"/>
  <c r="C79" i="256"/>
  <c r="B79" i="256"/>
  <c r="D78" i="256"/>
  <c r="D77" i="256"/>
  <c r="C62" i="256"/>
  <c r="B62" i="256"/>
  <c r="D61" i="256"/>
  <c r="D60" i="256"/>
  <c r="C45" i="256"/>
  <c r="B45" i="256"/>
  <c r="D44" i="256"/>
  <c r="D43" i="256"/>
  <c r="C28" i="256"/>
  <c r="B28" i="256"/>
  <c r="D27" i="256"/>
  <c r="D26" i="256"/>
  <c r="C10" i="256"/>
  <c r="B10" i="256"/>
  <c r="D9" i="256"/>
  <c r="D8" i="256"/>
  <c r="E5" i="270"/>
  <c r="E6" i="270"/>
  <c r="E7" i="270"/>
  <c r="E4" i="270"/>
  <c r="O78" i="288" l="1"/>
  <c r="O62" i="288"/>
  <c r="O94" i="288"/>
  <c r="N36" i="282"/>
  <c r="V24" i="282" s="1"/>
  <c r="K25" i="272"/>
  <c r="K26" i="272" s="1"/>
  <c r="M32" i="282"/>
  <c r="F13" i="275"/>
  <c r="C22" i="272"/>
  <c r="K20" i="272" s="1"/>
  <c r="K21" i="272" s="1"/>
  <c r="B124" i="273"/>
  <c r="B115" i="273"/>
  <c r="I23" i="275"/>
  <c r="P23" i="275" s="1"/>
  <c r="B36" i="275"/>
  <c r="B49" i="275" s="1"/>
  <c r="B62" i="275" s="1"/>
  <c r="B75" i="275" s="1"/>
  <c r="B88" i="275" s="1"/>
  <c r="B101" i="275" s="1"/>
  <c r="B114" i="275" s="1"/>
  <c r="B127" i="275" s="1"/>
  <c r="B140" i="275" s="1"/>
  <c r="B153" i="275" s="1"/>
  <c r="H23" i="275"/>
  <c r="O23" i="275" s="1"/>
  <c r="A36" i="275"/>
  <c r="A49" i="275" s="1"/>
  <c r="A62" i="275" s="1"/>
  <c r="A75" i="275" s="1"/>
  <c r="A88" i="275" s="1"/>
  <c r="A101" i="275" s="1"/>
  <c r="A114" i="275" s="1"/>
  <c r="A127" i="275" s="1"/>
  <c r="A140" i="275" s="1"/>
  <c r="A153" i="275" s="1"/>
  <c r="U29" i="282"/>
  <c r="I21" i="275"/>
  <c r="P21" i="275" s="1"/>
  <c r="B34" i="275"/>
  <c r="B47" i="275" s="1"/>
  <c r="B60" i="275" s="1"/>
  <c r="B73" i="275" s="1"/>
  <c r="B86" i="275" s="1"/>
  <c r="B99" i="275" s="1"/>
  <c r="B112" i="275" s="1"/>
  <c r="B125" i="275" s="1"/>
  <c r="B138" i="275" s="1"/>
  <c r="B151" i="275" s="1"/>
  <c r="C115" i="273"/>
  <c r="C124" i="273"/>
  <c r="A40" i="275"/>
  <c r="A53" i="275" s="1"/>
  <c r="A66" i="275" s="1"/>
  <c r="A79" i="275" s="1"/>
  <c r="A92" i="275" s="1"/>
  <c r="A105" i="275" s="1"/>
  <c r="A118" i="275" s="1"/>
  <c r="A131" i="275" s="1"/>
  <c r="A144" i="275" s="1"/>
  <c r="A157" i="275" s="1"/>
  <c r="H27" i="275"/>
  <c r="O27" i="275" s="1"/>
  <c r="H21" i="275"/>
  <c r="O21" i="275" s="1"/>
  <c r="A34" i="275"/>
  <c r="A47" i="275" s="1"/>
  <c r="A60" i="275" s="1"/>
  <c r="A73" i="275" s="1"/>
  <c r="A86" i="275" s="1"/>
  <c r="A99" i="275" s="1"/>
  <c r="A112" i="275" s="1"/>
  <c r="A125" i="275" s="1"/>
  <c r="A138" i="275" s="1"/>
  <c r="A151" i="275" s="1"/>
  <c r="I24" i="275"/>
  <c r="P24" i="275" s="1"/>
  <c r="B37" i="275"/>
  <c r="B50" i="275" s="1"/>
  <c r="B63" i="275" s="1"/>
  <c r="B76" i="275" s="1"/>
  <c r="B89" i="275" s="1"/>
  <c r="B102" i="275" s="1"/>
  <c r="B115" i="275" s="1"/>
  <c r="B128" i="275" s="1"/>
  <c r="B141" i="275" s="1"/>
  <c r="B154" i="275" s="1"/>
  <c r="B44" i="275"/>
  <c r="B57" i="275" s="1"/>
  <c r="B70" i="275" s="1"/>
  <c r="B83" i="275" s="1"/>
  <c r="B96" i="275" s="1"/>
  <c r="B109" i="275" s="1"/>
  <c r="B122" i="275" s="1"/>
  <c r="B135" i="275" s="1"/>
  <c r="B148" i="275" s="1"/>
  <c r="B161" i="275" s="1"/>
  <c r="I31" i="275"/>
  <c r="P31" i="275" s="1"/>
  <c r="H22" i="275"/>
  <c r="O22" i="275" s="1"/>
  <c r="A35" i="275"/>
  <c r="A48" i="275" s="1"/>
  <c r="A61" i="275" s="1"/>
  <c r="A74" i="275" s="1"/>
  <c r="A87" i="275" s="1"/>
  <c r="A100" i="275" s="1"/>
  <c r="A113" i="275" s="1"/>
  <c r="A126" i="275" s="1"/>
  <c r="A139" i="275" s="1"/>
  <c r="A152" i="275" s="1"/>
  <c r="B43" i="275"/>
  <c r="B56" i="275" s="1"/>
  <c r="B69" i="275" s="1"/>
  <c r="B82" i="275" s="1"/>
  <c r="B95" i="275" s="1"/>
  <c r="B108" i="275" s="1"/>
  <c r="B121" i="275" s="1"/>
  <c r="B134" i="275" s="1"/>
  <c r="B147" i="275" s="1"/>
  <c r="B160" i="275" s="1"/>
  <c r="I30" i="275"/>
  <c r="P30" i="275" s="1"/>
  <c r="A41" i="275"/>
  <c r="A54" i="275" s="1"/>
  <c r="A67" i="275" s="1"/>
  <c r="A80" i="275" s="1"/>
  <c r="A93" i="275" s="1"/>
  <c r="A106" i="275" s="1"/>
  <c r="A119" i="275" s="1"/>
  <c r="A132" i="275" s="1"/>
  <c r="A145" i="275" s="1"/>
  <c r="A158" i="275" s="1"/>
  <c r="H28" i="275"/>
  <c r="O28" i="275" s="1"/>
  <c r="I22" i="275"/>
  <c r="P22" i="275" s="1"/>
  <c r="B35" i="275"/>
  <c r="B48" i="275" s="1"/>
  <c r="B61" i="275" s="1"/>
  <c r="B74" i="275" s="1"/>
  <c r="B87" i="275" s="1"/>
  <c r="B100" i="275" s="1"/>
  <c r="B113" i="275" s="1"/>
  <c r="B126" i="275" s="1"/>
  <c r="B139" i="275" s="1"/>
  <c r="B152" i="275" s="1"/>
  <c r="H24" i="275"/>
  <c r="O24" i="275" s="1"/>
  <c r="A37" i="275"/>
  <c r="A50" i="275" s="1"/>
  <c r="A63" i="275" s="1"/>
  <c r="A76" i="275" s="1"/>
  <c r="A89" i="275" s="1"/>
  <c r="A102" i="275" s="1"/>
  <c r="A115" i="275" s="1"/>
  <c r="A128" i="275" s="1"/>
  <c r="A141" i="275" s="1"/>
  <c r="A154" i="275" s="1"/>
  <c r="L37" i="282"/>
  <c r="T29" i="282" s="1"/>
  <c r="K36" i="282"/>
  <c r="O25" i="282"/>
  <c r="L32" i="282"/>
  <c r="U25" i="282"/>
  <c r="O24" i="282"/>
  <c r="L36" i="282"/>
  <c r="T26" i="282" s="1"/>
  <c r="M33" i="282"/>
  <c r="N32" i="282"/>
  <c r="N30" i="282"/>
  <c r="M34" i="282"/>
  <c r="O27" i="282"/>
  <c r="K37" i="282"/>
  <c r="M36" i="282"/>
  <c r="U28" i="282" s="1"/>
  <c r="L34" i="282"/>
  <c r="K33" i="282"/>
  <c r="O26" i="282"/>
  <c r="L30" i="282"/>
  <c r="K30" i="282"/>
  <c r="L33" i="282"/>
  <c r="N37" i="282"/>
  <c r="M30" i="282"/>
  <c r="O29" i="282"/>
  <c r="O28" i="282"/>
  <c r="N33" i="282"/>
  <c r="I15" i="278"/>
  <c r="H17" i="281"/>
  <c r="K14" i="281"/>
  <c r="I17" i="281"/>
  <c r="K15" i="281"/>
  <c r="J17" i="281"/>
  <c r="K16" i="281"/>
  <c r="H15" i="278"/>
  <c r="K14" i="278"/>
  <c r="D19" i="278" s="1"/>
  <c r="K13" i="278"/>
  <c r="A18" i="278" s="1"/>
  <c r="K12" i="278"/>
  <c r="D17" i="278" s="1"/>
  <c r="G15" i="278"/>
  <c r="F16" i="275"/>
  <c r="F15" i="275"/>
  <c r="F12" i="275"/>
  <c r="D85" i="275"/>
  <c r="D98" i="275" s="1"/>
  <c r="D111" i="275" s="1"/>
  <c r="D124" i="275" s="1"/>
  <c r="D137" i="275" s="1"/>
  <c r="D150" i="275" s="1"/>
  <c r="K20" i="275"/>
  <c r="K33" i="275" s="1"/>
  <c r="K46" i="275" s="1"/>
  <c r="K59" i="275" s="1"/>
  <c r="K72" i="275" s="1"/>
  <c r="K85" i="275" s="1"/>
  <c r="K98" i="275" s="1"/>
  <c r="K111" i="275" s="1"/>
  <c r="K124" i="275" s="1"/>
  <c r="K137" i="275" s="1"/>
  <c r="K150" i="275" s="1"/>
  <c r="D59" i="273"/>
  <c r="M247" i="273" s="1"/>
  <c r="D83" i="273"/>
  <c r="M117" i="273" s="1"/>
  <c r="J118" i="273"/>
  <c r="L118" i="273" s="1"/>
  <c r="J316" i="273"/>
  <c r="L316" i="273" s="1"/>
  <c r="J208" i="273"/>
  <c r="L208" i="273" s="1"/>
  <c r="L11" i="273"/>
  <c r="R11" i="273" s="1"/>
  <c r="J244" i="273"/>
  <c r="L244" i="273" s="1"/>
  <c r="P18" i="273"/>
  <c r="Q18" i="273" s="1"/>
  <c r="J334" i="273"/>
  <c r="L334" i="273" s="1"/>
  <c r="L17" i="273"/>
  <c r="L18" i="273"/>
  <c r="R18" i="273" s="1"/>
  <c r="L14" i="273"/>
  <c r="R14" i="273" s="1"/>
  <c r="J13" i="273"/>
  <c r="J262" i="273"/>
  <c r="J154" i="273"/>
  <c r="J64" i="273"/>
  <c r="J280" i="273"/>
  <c r="L280" i="273" s="1"/>
  <c r="L16" i="272"/>
  <c r="L10" i="273"/>
  <c r="M10" i="273"/>
  <c r="D64" i="273"/>
  <c r="M222" i="273" s="1"/>
  <c r="J82" i="273"/>
  <c r="L82" i="273" s="1"/>
  <c r="D37" i="273"/>
  <c r="D44" i="273" s="1"/>
  <c r="J298" i="273"/>
  <c r="L16" i="273"/>
  <c r="P14" i="273"/>
  <c r="Q14" i="273" s="1"/>
  <c r="D18" i="273"/>
  <c r="K204" i="273" s="1"/>
  <c r="J172" i="273"/>
  <c r="J47" i="273"/>
  <c r="L47" i="273" s="1"/>
  <c r="J226" i="273"/>
  <c r="L226" i="273" s="1"/>
  <c r="J136" i="273"/>
  <c r="D22" i="275"/>
  <c r="D27" i="275" s="1"/>
  <c r="K21" i="275" s="1"/>
  <c r="M8" i="273"/>
  <c r="D58" i="273"/>
  <c r="M246" i="273" s="1"/>
  <c r="P246" i="273" s="1"/>
  <c r="Q246" i="273" s="1"/>
  <c r="D77" i="273"/>
  <c r="D73" i="273"/>
  <c r="L8" i="273"/>
  <c r="M9" i="273"/>
  <c r="P9" i="273" s="1"/>
  <c r="Q9" i="273" s="1"/>
  <c r="C23" i="275"/>
  <c r="D57" i="273"/>
  <c r="L247" i="273"/>
  <c r="M12" i="273"/>
  <c r="O12" i="273" s="1"/>
  <c r="R12" i="273" s="1"/>
  <c r="K228" i="273"/>
  <c r="D49" i="273"/>
  <c r="C21" i="275"/>
  <c r="C27" i="275" s="1"/>
  <c r="J21" i="275" s="1"/>
  <c r="L330" i="273"/>
  <c r="K118" i="273"/>
  <c r="E21" i="275"/>
  <c r="E27" i="275" s="1"/>
  <c r="L22" i="275" s="1"/>
  <c r="D82" i="273"/>
  <c r="M185" i="273" s="1"/>
  <c r="M194" i="273" s="1"/>
  <c r="P194" i="273" s="1"/>
  <c r="Q194" i="273" s="1"/>
  <c r="L261" i="273"/>
  <c r="L53" i="273"/>
  <c r="L283" i="273"/>
  <c r="L138" i="273"/>
  <c r="L243" i="273"/>
  <c r="L188" i="273"/>
  <c r="L117" i="273"/>
  <c r="L32" i="273"/>
  <c r="D47" i="273"/>
  <c r="M203" i="273" s="1"/>
  <c r="D50" i="273"/>
  <c r="D63" i="273"/>
  <c r="M221" i="273" s="1"/>
  <c r="M227" i="273" s="1"/>
  <c r="O227" i="273" s="1"/>
  <c r="R227" i="273" s="1"/>
  <c r="D23" i="275"/>
  <c r="I16" i="275"/>
  <c r="P16" i="275"/>
  <c r="E33" i="275"/>
  <c r="E46" i="275" s="1"/>
  <c r="E59" i="275" s="1"/>
  <c r="E72" i="275" s="1"/>
  <c r="L20" i="275"/>
  <c r="I15" i="275"/>
  <c r="P15" i="275"/>
  <c r="C33" i="275"/>
  <c r="C46" i="275" s="1"/>
  <c r="C59" i="275" s="1"/>
  <c r="C72" i="275" s="1"/>
  <c r="J20" i="275"/>
  <c r="O13" i="275"/>
  <c r="H13" i="275"/>
  <c r="O12" i="275"/>
  <c r="H12" i="275"/>
  <c r="E24" i="275"/>
  <c r="E31" i="275" s="1"/>
  <c r="C24" i="275"/>
  <c r="D24" i="275"/>
  <c r="F10" i="275"/>
  <c r="P19" i="273"/>
  <c r="Q19" i="273" s="1"/>
  <c r="L19" i="273"/>
  <c r="R19" i="273" s="1"/>
  <c r="L66" i="273"/>
  <c r="L157" i="273"/>
  <c r="L142" i="273"/>
  <c r="D54" i="273"/>
  <c r="D66" i="273"/>
  <c r="L139" i="273"/>
  <c r="L63" i="273"/>
  <c r="L33" i="273"/>
  <c r="L210" i="273"/>
  <c r="L36" i="273"/>
  <c r="L153" i="273"/>
  <c r="L279" i="273"/>
  <c r="L28" i="273"/>
  <c r="L134" i="273"/>
  <c r="P11" i="273"/>
  <c r="Q11" i="273" s="1"/>
  <c r="L45" i="273"/>
  <c r="L15" i="273"/>
  <c r="M15" i="273"/>
  <c r="O225" i="273"/>
  <c r="R225" i="273" s="1"/>
  <c r="P225" i="273"/>
  <c r="Q225" i="273" s="1"/>
  <c r="M240" i="273"/>
  <c r="P240" i="273" s="1"/>
  <c r="Q240" i="273" s="1"/>
  <c r="M223" i="273"/>
  <c r="O16" i="273"/>
  <c r="O17" i="273"/>
  <c r="O231" i="273"/>
  <c r="R231" i="273" s="1"/>
  <c r="P231" i="273"/>
  <c r="Q231" i="273" s="1"/>
  <c r="AD13" i="256"/>
  <c r="AD14" i="256" s="1"/>
  <c r="AI13" i="256"/>
  <c r="AI14" i="256" s="1"/>
  <c r="AN13" i="256"/>
  <c r="AN14" i="256" s="1"/>
  <c r="D28" i="256"/>
  <c r="D45" i="256"/>
  <c r="D62" i="256"/>
  <c r="D79" i="256"/>
  <c r="D10" i="256"/>
  <c r="C16" i="256" s="1"/>
  <c r="D115" i="273" l="1"/>
  <c r="D118" i="273" s="1"/>
  <c r="H37" i="275"/>
  <c r="O37" i="275" s="1"/>
  <c r="V28" i="282"/>
  <c r="V26" i="282"/>
  <c r="M186" i="273"/>
  <c r="M195" i="273" s="1"/>
  <c r="P195" i="273" s="1"/>
  <c r="Q195" i="273" s="1"/>
  <c r="I36" i="275"/>
  <c r="P36" i="275" s="1"/>
  <c r="H34" i="275"/>
  <c r="O34" i="275" s="1"/>
  <c r="O9" i="273"/>
  <c r="R9" i="273" s="1"/>
  <c r="I34" i="275"/>
  <c r="P34" i="275" s="1"/>
  <c r="H36" i="275"/>
  <c r="O36" i="275" s="1"/>
  <c r="I35" i="275"/>
  <c r="P35" i="275" s="1"/>
  <c r="M33" i="273"/>
  <c r="P33" i="273" s="1"/>
  <c r="Q33" i="273" s="1"/>
  <c r="D124" i="273"/>
  <c r="D127" i="273" s="1"/>
  <c r="H35" i="275"/>
  <c r="O35" i="275" s="1"/>
  <c r="T25" i="282"/>
  <c r="T27" i="282"/>
  <c r="O32" i="282"/>
  <c r="V29" i="282"/>
  <c r="V27" i="282"/>
  <c r="S24" i="282"/>
  <c r="S26" i="282"/>
  <c r="S28" i="282"/>
  <c r="V25" i="282"/>
  <c r="T24" i="282"/>
  <c r="U24" i="282"/>
  <c r="U26" i="282"/>
  <c r="T28" i="282"/>
  <c r="S25" i="282"/>
  <c r="S29" i="282"/>
  <c r="S27" i="282"/>
  <c r="U37" i="282"/>
  <c r="O30" i="282"/>
  <c r="O36" i="282"/>
  <c r="O34" i="282"/>
  <c r="U34" i="282"/>
  <c r="O37" i="282"/>
  <c r="O33" i="282"/>
  <c r="K17" i="281"/>
  <c r="K15" i="278"/>
  <c r="C17" i="278"/>
  <c r="C19" i="278"/>
  <c r="B19" i="278"/>
  <c r="A17" i="278"/>
  <c r="A19" i="278"/>
  <c r="C18" i="278"/>
  <c r="D18" i="278"/>
  <c r="B18" i="278"/>
  <c r="B17" i="278"/>
  <c r="E85" i="275"/>
  <c r="E98" i="275" s="1"/>
  <c r="E111" i="275" s="1"/>
  <c r="E124" i="275" s="1"/>
  <c r="E137" i="275" s="1"/>
  <c r="E150" i="275" s="1"/>
  <c r="C85" i="275"/>
  <c r="C98" i="275" s="1"/>
  <c r="C111" i="275" s="1"/>
  <c r="C124" i="275" s="1"/>
  <c r="C137" i="275" s="1"/>
  <c r="C150" i="275" s="1"/>
  <c r="R20" i="275"/>
  <c r="R33" i="275" s="1"/>
  <c r="R46" i="275" s="1"/>
  <c r="R59" i="275" s="1"/>
  <c r="R72" i="275" s="1"/>
  <c r="R85" i="275" s="1"/>
  <c r="R98" i="275" s="1"/>
  <c r="R111" i="275" s="1"/>
  <c r="R124" i="275" s="1"/>
  <c r="R137" i="275" s="1"/>
  <c r="R150" i="275" s="1"/>
  <c r="M191" i="273"/>
  <c r="P191" i="273" s="1"/>
  <c r="Q191" i="273" s="1"/>
  <c r="K239" i="273"/>
  <c r="R17" i="273"/>
  <c r="K36" i="273"/>
  <c r="F23" i="275"/>
  <c r="K192" i="273"/>
  <c r="M85" i="273"/>
  <c r="P85" i="273" s="1"/>
  <c r="Q85" i="273" s="1"/>
  <c r="K318" i="273"/>
  <c r="M114" i="273"/>
  <c r="P114" i="273" s="1"/>
  <c r="Q114" i="273" s="1"/>
  <c r="K260" i="273"/>
  <c r="K151" i="273"/>
  <c r="F22" i="275"/>
  <c r="K311" i="273"/>
  <c r="K80" i="273"/>
  <c r="K206" i="273"/>
  <c r="M49" i="273"/>
  <c r="N49" i="273" s="1"/>
  <c r="R16" i="273"/>
  <c r="M138" i="273"/>
  <c r="N138" i="273" s="1"/>
  <c r="N19" i="273"/>
  <c r="K177" i="273"/>
  <c r="K178" i="273"/>
  <c r="K27" i="273"/>
  <c r="K133" i="273"/>
  <c r="K267" i="273"/>
  <c r="K315" i="273"/>
  <c r="K247" i="273"/>
  <c r="M120" i="273"/>
  <c r="P120" i="273" s="1"/>
  <c r="Q120" i="273" s="1"/>
  <c r="K66" i="273"/>
  <c r="K301" i="273"/>
  <c r="K35" i="273"/>
  <c r="K250" i="273"/>
  <c r="K332" i="273"/>
  <c r="K152" i="273"/>
  <c r="K104" i="273"/>
  <c r="K14" i="273"/>
  <c r="K168" i="273"/>
  <c r="K87" i="273"/>
  <c r="K266" i="273"/>
  <c r="M123" i="273"/>
  <c r="P123" i="273" s="1"/>
  <c r="Q123" i="273" s="1"/>
  <c r="K211" i="273"/>
  <c r="K276" i="273"/>
  <c r="P12" i="273"/>
  <c r="Q12" i="273" s="1"/>
  <c r="N17" i="273"/>
  <c r="M276" i="273"/>
  <c r="O276" i="273" s="1"/>
  <c r="R276" i="273" s="1"/>
  <c r="K26" i="273"/>
  <c r="K135" i="273"/>
  <c r="K176" i="273"/>
  <c r="K300" i="273"/>
  <c r="K303" i="273"/>
  <c r="K321" i="273"/>
  <c r="K286" i="273"/>
  <c r="K257" i="273"/>
  <c r="K42" i="273"/>
  <c r="K82" i="273"/>
  <c r="M60" i="273"/>
  <c r="O60" i="273" s="1"/>
  <c r="R60" i="273" s="1"/>
  <c r="M79" i="273"/>
  <c r="N79" i="273" s="1"/>
  <c r="M167" i="273"/>
  <c r="M168" i="273" s="1"/>
  <c r="O168" i="273" s="1"/>
  <c r="R168" i="273" s="1"/>
  <c r="L136" i="273"/>
  <c r="K136" i="273"/>
  <c r="K69" i="273"/>
  <c r="N11" i="273"/>
  <c r="K302" i="273"/>
  <c r="K191" i="273"/>
  <c r="K209" i="273"/>
  <c r="K319" i="273"/>
  <c r="K123" i="273"/>
  <c r="K114" i="273"/>
  <c r="K170" i="273"/>
  <c r="K106" i="273"/>
  <c r="K264" i="273"/>
  <c r="K150" i="273"/>
  <c r="K13" i="273"/>
  <c r="K285" i="273"/>
  <c r="K231" i="273"/>
  <c r="K245" i="273"/>
  <c r="K279" i="273"/>
  <c r="K85" i="273"/>
  <c r="K105" i="273"/>
  <c r="M311" i="273"/>
  <c r="N311" i="273" s="1"/>
  <c r="K132" i="273"/>
  <c r="K95" i="273"/>
  <c r="K283" i="273"/>
  <c r="K243" i="273"/>
  <c r="K86" i="273"/>
  <c r="K61" i="273"/>
  <c r="K240" i="273"/>
  <c r="K316" i="273"/>
  <c r="K295" i="273"/>
  <c r="K96" i="273"/>
  <c r="K223" i="273"/>
  <c r="K158" i="273"/>
  <c r="K195" i="273"/>
  <c r="K17" i="273"/>
  <c r="K115" i="273"/>
  <c r="K304" i="273"/>
  <c r="K52" i="273"/>
  <c r="K249" i="273"/>
  <c r="K337" i="273"/>
  <c r="K294" i="273"/>
  <c r="K280" i="273"/>
  <c r="K175" i="273"/>
  <c r="K103" i="273"/>
  <c r="K232" i="273"/>
  <c r="K296" i="273"/>
  <c r="K173" i="273"/>
  <c r="K48" i="273"/>
  <c r="K67" i="273"/>
  <c r="K131" i="273"/>
  <c r="K212" i="273"/>
  <c r="K25" i="273"/>
  <c r="K9" i="273"/>
  <c r="K268" i="273"/>
  <c r="K139" i="273"/>
  <c r="K229" i="273"/>
  <c r="K121" i="273"/>
  <c r="K78" i="273"/>
  <c r="K120" i="273"/>
  <c r="K208" i="273"/>
  <c r="K339" i="273"/>
  <c r="K335" i="273"/>
  <c r="K47" i="273"/>
  <c r="K330" i="273"/>
  <c r="K242" i="273"/>
  <c r="K137" i="273"/>
  <c r="K34" i="273"/>
  <c r="K259" i="273"/>
  <c r="K258" i="273"/>
  <c r="K246" i="273"/>
  <c r="K100" i="273"/>
  <c r="K149" i="273"/>
  <c r="K140" i="273"/>
  <c r="K221" i="273"/>
  <c r="K169" i="273"/>
  <c r="K62" i="273"/>
  <c r="K230" i="273"/>
  <c r="K261" i="273"/>
  <c r="K138" i="273"/>
  <c r="K117" i="273"/>
  <c r="K32" i="273"/>
  <c r="K60" i="273"/>
  <c r="N14" i="273"/>
  <c r="K113" i="273"/>
  <c r="K336" i="273"/>
  <c r="K224" i="273"/>
  <c r="K70" i="273"/>
  <c r="K185" i="273"/>
  <c r="K248" i="273"/>
  <c r="K277" i="273"/>
  <c r="K190" i="273"/>
  <c r="K282" i="273"/>
  <c r="K331" i="273"/>
  <c r="K225" i="273"/>
  <c r="K222" i="273"/>
  <c r="K244" i="273"/>
  <c r="K278" i="273"/>
  <c r="K281" i="273"/>
  <c r="K322" i="273"/>
  <c r="K156" i="273"/>
  <c r="K167" i="273"/>
  <c r="K340" i="273"/>
  <c r="K49" i="273"/>
  <c r="K88" i="273"/>
  <c r="K157" i="273"/>
  <c r="K124" i="273"/>
  <c r="K29" i="273"/>
  <c r="K83" i="273"/>
  <c r="K50" i="273"/>
  <c r="K19" i="273"/>
  <c r="K33" i="273"/>
  <c r="K265" i="273"/>
  <c r="K153" i="273"/>
  <c r="K31" i="273"/>
  <c r="K189" i="273"/>
  <c r="K45" i="273"/>
  <c r="K12" i="273"/>
  <c r="K210" i="273"/>
  <c r="D56" i="273"/>
  <c r="D78" i="273"/>
  <c r="M141" i="273" s="1"/>
  <c r="P141" i="273" s="1"/>
  <c r="Q141" i="273" s="1"/>
  <c r="D68" i="273"/>
  <c r="M226" i="273" s="1"/>
  <c r="O226" i="273" s="1"/>
  <c r="R226" i="273" s="1"/>
  <c r="D84" i="273"/>
  <c r="M277" i="273" s="1"/>
  <c r="D72" i="273"/>
  <c r="D48" i="273"/>
  <c r="L154" i="273"/>
  <c r="K154" i="273"/>
  <c r="N12" i="273"/>
  <c r="K196" i="273"/>
  <c r="K226" i="273"/>
  <c r="K11" i="273"/>
  <c r="K186" i="273"/>
  <c r="K214" i="273"/>
  <c r="K28" i="273"/>
  <c r="K329" i="273"/>
  <c r="K44" i="273"/>
  <c r="K102" i="273"/>
  <c r="K65" i="273"/>
  <c r="K263" i="273"/>
  <c r="K227" i="273"/>
  <c r="K98" i="273"/>
  <c r="K97" i="273"/>
  <c r="K299" i="273"/>
  <c r="K241" i="273"/>
  <c r="K119" i="273"/>
  <c r="K174" i="273"/>
  <c r="K10" i="273"/>
  <c r="K53" i="273"/>
  <c r="K77" i="273"/>
  <c r="K333" i="273"/>
  <c r="K194" i="273"/>
  <c r="K314" i="273"/>
  <c r="K205" i="273"/>
  <c r="K134" i="273"/>
  <c r="K18" i="273"/>
  <c r="K207" i="273"/>
  <c r="K116" i="273"/>
  <c r="K79" i="273"/>
  <c r="N16" i="273"/>
  <c r="M65" i="273"/>
  <c r="N65" i="273" s="1"/>
  <c r="M50" i="273"/>
  <c r="P50" i="273" s="1"/>
  <c r="Q50" i="273" s="1"/>
  <c r="K15" i="273"/>
  <c r="K81" i="273"/>
  <c r="K213" i="273"/>
  <c r="K63" i="273"/>
  <c r="M25" i="273"/>
  <c r="P25" i="273" s="1"/>
  <c r="Q25" i="273" s="1"/>
  <c r="K160" i="273"/>
  <c r="K284" i="273"/>
  <c r="K16" i="273"/>
  <c r="K193" i="273"/>
  <c r="K99" i="273"/>
  <c r="K203" i="273"/>
  <c r="K122" i="273"/>
  <c r="K84" i="273"/>
  <c r="K171" i="273"/>
  <c r="K313" i="273"/>
  <c r="K141" i="273"/>
  <c r="K159" i="273"/>
  <c r="K101" i="273"/>
  <c r="N18" i="273"/>
  <c r="K188" i="273"/>
  <c r="K275" i="273"/>
  <c r="K46" i="273"/>
  <c r="K312" i="273"/>
  <c r="K293" i="273"/>
  <c r="K30" i="273"/>
  <c r="K334" i="273"/>
  <c r="K317" i="273"/>
  <c r="K142" i="273"/>
  <c r="M300" i="273"/>
  <c r="P300" i="273" s="1"/>
  <c r="Q300" i="273" s="1"/>
  <c r="M52" i="273"/>
  <c r="N52" i="273" s="1"/>
  <c r="K320" i="273"/>
  <c r="M105" i="273"/>
  <c r="K59" i="273"/>
  <c r="K43" i="273"/>
  <c r="K51" i="273"/>
  <c r="K155" i="273"/>
  <c r="K187" i="273"/>
  <c r="K68" i="273"/>
  <c r="K297" i="273"/>
  <c r="M31" i="273"/>
  <c r="N31" i="273" s="1"/>
  <c r="K338" i="273"/>
  <c r="P8" i="273"/>
  <c r="Q8" i="273" s="1"/>
  <c r="N8" i="273"/>
  <c r="K8" i="273"/>
  <c r="K172" i="273"/>
  <c r="L172" i="273"/>
  <c r="L298" i="273"/>
  <c r="K298" i="273"/>
  <c r="O10" i="273"/>
  <c r="R10" i="273" s="1"/>
  <c r="P10" i="273"/>
  <c r="Q10" i="273" s="1"/>
  <c r="N10" i="273"/>
  <c r="L64" i="273"/>
  <c r="K64" i="273"/>
  <c r="N185" i="273"/>
  <c r="M84" i="273"/>
  <c r="P84" i="273" s="1"/>
  <c r="Q84" i="273" s="1"/>
  <c r="M13" i="273"/>
  <c r="L13" i="273"/>
  <c r="L262" i="273"/>
  <c r="K262" i="273"/>
  <c r="M69" i="273"/>
  <c r="O69" i="273" s="1"/>
  <c r="R69" i="273" s="1"/>
  <c r="M106" i="273"/>
  <c r="M103" i="273"/>
  <c r="M119" i="273"/>
  <c r="O119" i="273" s="1"/>
  <c r="R119" i="273" s="1"/>
  <c r="M209" i="273"/>
  <c r="M210" i="273" s="1"/>
  <c r="P210" i="273" s="1"/>
  <c r="Q210" i="273" s="1"/>
  <c r="M299" i="273"/>
  <c r="P185" i="273"/>
  <c r="Q185" i="273" s="1"/>
  <c r="O185" i="273"/>
  <c r="R185" i="273" s="1"/>
  <c r="M188" i="273"/>
  <c r="O188" i="273" s="1"/>
  <c r="R188" i="273" s="1"/>
  <c r="C30" i="275"/>
  <c r="O8" i="273"/>
  <c r="R8" i="273" s="1"/>
  <c r="M68" i="273"/>
  <c r="O68" i="273" s="1"/>
  <c r="R68" i="273" s="1"/>
  <c r="M101" i="273"/>
  <c r="M102" i="273"/>
  <c r="M83" i="273"/>
  <c r="P83" i="273" s="1"/>
  <c r="Q83" i="273" s="1"/>
  <c r="M104" i="273"/>
  <c r="N227" i="273"/>
  <c r="M59" i="273"/>
  <c r="N59" i="273" s="1"/>
  <c r="M155" i="273"/>
  <c r="M156" i="273" s="1"/>
  <c r="P156" i="273" s="1"/>
  <c r="Q156" i="273" s="1"/>
  <c r="F21" i="275"/>
  <c r="N9" i="273"/>
  <c r="M212" i="273"/>
  <c r="M213" i="273" s="1"/>
  <c r="M26" i="273"/>
  <c r="P26" i="273" s="1"/>
  <c r="Q26" i="273" s="1"/>
  <c r="M32" i="273"/>
  <c r="P32" i="273" s="1"/>
  <c r="Q32" i="273" s="1"/>
  <c r="M245" i="273"/>
  <c r="P245" i="273" s="1"/>
  <c r="Q245" i="273" s="1"/>
  <c r="M66" i="273"/>
  <c r="P66" i="273" s="1"/>
  <c r="Q66" i="273" s="1"/>
  <c r="M78" i="273"/>
  <c r="P78" i="273" s="1"/>
  <c r="Q78" i="273" s="1"/>
  <c r="M275" i="273"/>
  <c r="P275" i="273" s="1"/>
  <c r="Q275" i="273" s="1"/>
  <c r="E30" i="275"/>
  <c r="M263" i="273"/>
  <c r="O263" i="273" s="1"/>
  <c r="R263" i="273" s="1"/>
  <c r="M239" i="273"/>
  <c r="M242" i="273" s="1"/>
  <c r="P242" i="273" s="1"/>
  <c r="Q242" i="273" s="1"/>
  <c r="N221" i="273"/>
  <c r="M137" i="273"/>
  <c r="P137" i="273" s="1"/>
  <c r="Q137" i="273" s="1"/>
  <c r="M122" i="273"/>
  <c r="O122" i="273" s="1"/>
  <c r="R122" i="273" s="1"/>
  <c r="E25" i="275"/>
  <c r="M77" i="273"/>
  <c r="P77" i="273" s="1"/>
  <c r="Q77" i="273" s="1"/>
  <c r="N222" i="273"/>
  <c r="N225" i="273"/>
  <c r="P221" i="273"/>
  <c r="Q221" i="273" s="1"/>
  <c r="M48" i="273"/>
  <c r="P48" i="273" s="1"/>
  <c r="Q48" i="273" s="1"/>
  <c r="N231" i="273"/>
  <c r="N117" i="273"/>
  <c r="M113" i="273"/>
  <c r="P113" i="273" s="1"/>
  <c r="Q113" i="273" s="1"/>
  <c r="P227" i="273"/>
  <c r="Q227" i="273" s="1"/>
  <c r="O221" i="273"/>
  <c r="R221" i="273" s="1"/>
  <c r="D28" i="275"/>
  <c r="K24" i="275" s="1"/>
  <c r="L21" i="275"/>
  <c r="L27" i="275" s="1"/>
  <c r="D30" i="275"/>
  <c r="H62" i="275"/>
  <c r="O62" i="275" s="1"/>
  <c r="I60" i="275"/>
  <c r="P60" i="275" s="1"/>
  <c r="H61" i="275"/>
  <c r="O61" i="275" s="1"/>
  <c r="I62" i="275"/>
  <c r="P62" i="275" s="1"/>
  <c r="H63" i="275"/>
  <c r="O63" i="275" s="1"/>
  <c r="I61" i="275"/>
  <c r="P61" i="275" s="1"/>
  <c r="H60" i="275"/>
  <c r="O60" i="275" s="1"/>
  <c r="I49" i="275"/>
  <c r="P49" i="275" s="1"/>
  <c r="H48" i="275"/>
  <c r="O48" i="275" s="1"/>
  <c r="I37" i="275"/>
  <c r="P37" i="275" s="1"/>
  <c r="I48" i="275"/>
  <c r="P48" i="275" s="1"/>
  <c r="L33" i="275"/>
  <c r="L46" i="275" s="1"/>
  <c r="L59" i="275" s="1"/>
  <c r="L72" i="275" s="1"/>
  <c r="L85" i="275" s="1"/>
  <c r="L98" i="275" s="1"/>
  <c r="L111" i="275" s="1"/>
  <c r="L124" i="275" s="1"/>
  <c r="L137" i="275" s="1"/>
  <c r="L150" i="275" s="1"/>
  <c r="S20" i="275"/>
  <c r="S33" i="275" s="1"/>
  <c r="S46" i="275" s="1"/>
  <c r="S59" i="275" s="1"/>
  <c r="S72" i="275" s="1"/>
  <c r="S85" i="275" s="1"/>
  <c r="S98" i="275" s="1"/>
  <c r="S111" i="275" s="1"/>
  <c r="S124" i="275" s="1"/>
  <c r="S137" i="275" s="1"/>
  <c r="S150" i="275" s="1"/>
  <c r="H47" i="275"/>
  <c r="O47" i="275" s="1"/>
  <c r="H50" i="275"/>
  <c r="O50" i="275" s="1"/>
  <c r="H49" i="275"/>
  <c r="O49" i="275" s="1"/>
  <c r="Q20" i="275"/>
  <c r="Q33" i="275" s="1"/>
  <c r="Q46" i="275" s="1"/>
  <c r="Q59" i="275" s="1"/>
  <c r="Q72" i="275" s="1"/>
  <c r="Q85" i="275" s="1"/>
  <c r="Q98" i="275" s="1"/>
  <c r="Q111" i="275" s="1"/>
  <c r="Q124" i="275" s="1"/>
  <c r="Q137" i="275" s="1"/>
  <c r="Q150" i="275" s="1"/>
  <c r="J33" i="275"/>
  <c r="J46" i="275" s="1"/>
  <c r="J59" i="275" s="1"/>
  <c r="J72" i="275" s="1"/>
  <c r="J85" i="275" s="1"/>
  <c r="J98" i="275" s="1"/>
  <c r="J111" i="275" s="1"/>
  <c r="J124" i="275" s="1"/>
  <c r="J137" i="275" s="1"/>
  <c r="J150" i="275" s="1"/>
  <c r="I47" i="275"/>
  <c r="P47" i="275" s="1"/>
  <c r="F24" i="275"/>
  <c r="E28" i="275"/>
  <c r="L23" i="275" s="1"/>
  <c r="D25" i="275"/>
  <c r="C28" i="275"/>
  <c r="J23" i="275" s="1"/>
  <c r="C25" i="275"/>
  <c r="D31" i="275"/>
  <c r="C31" i="275"/>
  <c r="K22" i="275"/>
  <c r="K27" i="275" s="1"/>
  <c r="J22" i="275"/>
  <c r="M116" i="273"/>
  <c r="N116" i="273" s="1"/>
  <c r="O194" i="273"/>
  <c r="R194" i="273" s="1"/>
  <c r="O15" i="273"/>
  <c r="R15" i="273" s="1"/>
  <c r="N15" i="273"/>
  <c r="P15" i="273"/>
  <c r="Q15" i="273" s="1"/>
  <c r="M224" i="273"/>
  <c r="M51" i="273"/>
  <c r="N194" i="273"/>
  <c r="P222" i="273"/>
  <c r="Q222" i="273" s="1"/>
  <c r="M243" i="273"/>
  <c r="O243" i="273" s="1"/>
  <c r="R243" i="273" s="1"/>
  <c r="M228" i="273"/>
  <c r="O228" i="273" s="1"/>
  <c r="R228" i="273" s="1"/>
  <c r="O222" i="273"/>
  <c r="R222" i="273" s="1"/>
  <c r="N246" i="273"/>
  <c r="N240" i="273"/>
  <c r="O240" i="273"/>
  <c r="R240" i="273" s="1"/>
  <c r="M249" i="273"/>
  <c r="O249" i="273" s="1"/>
  <c r="R249" i="273" s="1"/>
  <c r="O246" i="273"/>
  <c r="R246" i="273" s="1"/>
  <c r="O117" i="273"/>
  <c r="R117" i="273" s="1"/>
  <c r="P117" i="273"/>
  <c r="Q117" i="273" s="1"/>
  <c r="N203" i="273"/>
  <c r="P203" i="273"/>
  <c r="Q203" i="273" s="1"/>
  <c r="M204" i="273"/>
  <c r="O203" i="273"/>
  <c r="R203" i="273" s="1"/>
  <c r="O247" i="273"/>
  <c r="R247" i="273" s="1"/>
  <c r="M250" i="273"/>
  <c r="P247" i="273"/>
  <c r="Q247" i="273" s="1"/>
  <c r="N247" i="273"/>
  <c r="P223" i="273"/>
  <c r="Q223" i="273" s="1"/>
  <c r="O223" i="273"/>
  <c r="R223" i="273" s="1"/>
  <c r="M229" i="273"/>
  <c r="N223" i="273"/>
  <c r="B17" i="256"/>
  <c r="C17" i="256"/>
  <c r="C18" i="256" s="1"/>
  <c r="B16" i="256"/>
  <c r="S29" i="269"/>
  <c r="S31" i="269" s="1"/>
  <c r="T14" i="269"/>
  <c r="S14" i="269"/>
  <c r="T13" i="269"/>
  <c r="S13" i="269"/>
  <c r="U8" i="269"/>
  <c r="T8" i="269"/>
  <c r="S8" i="269"/>
  <c r="U7" i="269"/>
  <c r="U6" i="269"/>
  <c r="B14" i="269"/>
  <c r="C14" i="269"/>
  <c r="C13" i="269"/>
  <c r="B13" i="269"/>
  <c r="I23" i="269"/>
  <c r="I22" i="269"/>
  <c r="I21" i="269"/>
  <c r="F21" i="269"/>
  <c r="F22" i="269" s="1"/>
  <c r="F23" i="269" s="1"/>
  <c r="I20" i="269"/>
  <c r="J9" i="269"/>
  <c r="K9" i="269" s="1"/>
  <c r="I9" i="269"/>
  <c r="J8" i="269"/>
  <c r="K8" i="269" s="1"/>
  <c r="I8" i="269"/>
  <c r="C8" i="269"/>
  <c r="B8" i="269"/>
  <c r="J7" i="269"/>
  <c r="H31" i="269" s="1"/>
  <c r="J31" i="269" s="1"/>
  <c r="I7" i="269"/>
  <c r="F7" i="269"/>
  <c r="F8" i="269" s="1"/>
  <c r="F9" i="269" s="1"/>
  <c r="D7" i="269"/>
  <c r="J6" i="269"/>
  <c r="K6" i="269" s="1"/>
  <c r="I6" i="269"/>
  <c r="D6" i="269"/>
  <c r="V36" i="282" l="1"/>
  <c r="V34" i="282"/>
  <c r="O300" i="273"/>
  <c r="R300" i="273" s="1"/>
  <c r="T37" i="282"/>
  <c r="N114" i="273"/>
  <c r="N195" i="273"/>
  <c r="N191" i="273"/>
  <c r="O195" i="273"/>
  <c r="R195" i="273" s="1"/>
  <c r="M189" i="273"/>
  <c r="N189" i="273" s="1"/>
  <c r="M192" i="273"/>
  <c r="O192" i="273" s="1"/>
  <c r="R192" i="273" s="1"/>
  <c r="P186" i="273"/>
  <c r="Q186" i="273" s="1"/>
  <c r="O186" i="273"/>
  <c r="R186" i="273" s="1"/>
  <c r="N186" i="273"/>
  <c r="D14" i="269"/>
  <c r="N33" i="273"/>
  <c r="O33" i="273"/>
  <c r="R33" i="273" s="1"/>
  <c r="N101" i="273"/>
  <c r="K12" i="277"/>
  <c r="N106" i="273"/>
  <c r="K17" i="277"/>
  <c r="P104" i="273"/>
  <c r="Q104" i="273" s="1"/>
  <c r="K15" i="277"/>
  <c r="O102" i="273"/>
  <c r="K13" i="277"/>
  <c r="P103" i="273"/>
  <c r="Q103" i="273" s="1"/>
  <c r="K14" i="277"/>
  <c r="P105" i="273"/>
  <c r="Q105" i="273" s="1"/>
  <c r="K16" i="277"/>
  <c r="S36" i="282"/>
  <c r="W28" i="282"/>
  <c r="D44" i="282" s="1"/>
  <c r="T34" i="282"/>
  <c r="T30" i="282"/>
  <c r="T36" i="282"/>
  <c r="T32" i="282"/>
  <c r="U33" i="282"/>
  <c r="S32" i="282"/>
  <c r="T33" i="282"/>
  <c r="V33" i="282"/>
  <c r="S33" i="282"/>
  <c r="W26" i="282"/>
  <c r="C42" i="282" s="1"/>
  <c r="W27" i="282"/>
  <c r="U32" i="282"/>
  <c r="U36" i="282"/>
  <c r="U30" i="282"/>
  <c r="W29" i="282"/>
  <c r="S34" i="282"/>
  <c r="S30" i="282"/>
  <c r="V37" i="282"/>
  <c r="V32" i="282"/>
  <c r="V30" i="282"/>
  <c r="W25" i="282"/>
  <c r="S37" i="282"/>
  <c r="W24" i="282"/>
  <c r="F40" i="282" s="1"/>
  <c r="D20" i="278"/>
  <c r="J18" i="278" s="1"/>
  <c r="A20" i="278"/>
  <c r="G18" i="278" s="1"/>
  <c r="E17" i="278"/>
  <c r="C20" i="278"/>
  <c r="I18" i="278" s="1"/>
  <c r="B20" i="278"/>
  <c r="H18" i="278" s="1"/>
  <c r="E19" i="278"/>
  <c r="E18" i="278"/>
  <c r="H30" i="269"/>
  <c r="J30" i="269" s="1"/>
  <c r="K7" i="269"/>
  <c r="K10" i="269" s="1"/>
  <c r="N6" i="269" s="1"/>
  <c r="P6" i="269" s="1"/>
  <c r="U14" i="269"/>
  <c r="O114" i="273"/>
  <c r="R114" i="273" s="1"/>
  <c r="O191" i="273"/>
  <c r="R191" i="273" s="1"/>
  <c r="M80" i="273"/>
  <c r="P80" i="273" s="1"/>
  <c r="Q80" i="273" s="1"/>
  <c r="N25" i="273"/>
  <c r="N32" i="273"/>
  <c r="N300" i="273"/>
  <c r="N119" i="273"/>
  <c r="N85" i="273"/>
  <c r="N226" i="273"/>
  <c r="P49" i="273"/>
  <c r="Q49" i="273" s="1"/>
  <c r="P119" i="273"/>
  <c r="Q119" i="273" s="1"/>
  <c r="P226" i="273"/>
  <c r="Q226" i="273" s="1"/>
  <c r="O123" i="273"/>
  <c r="R123" i="273" s="1"/>
  <c r="N120" i="273"/>
  <c r="D51" i="273"/>
  <c r="E48" i="273" s="1"/>
  <c r="O85" i="273"/>
  <c r="R85" i="273" s="1"/>
  <c r="M86" i="273"/>
  <c r="P86" i="273" s="1"/>
  <c r="Q86" i="273" s="1"/>
  <c r="N50" i="273"/>
  <c r="D79" i="273"/>
  <c r="M206" i="273"/>
  <c r="P206" i="273" s="1"/>
  <c r="Q206" i="273" s="1"/>
  <c r="O101" i="273"/>
  <c r="M140" i="273"/>
  <c r="P140" i="273" s="1"/>
  <c r="Q140" i="273" s="1"/>
  <c r="M28" i="273"/>
  <c r="O28" i="273" s="1"/>
  <c r="R28" i="273" s="1"/>
  <c r="M266" i="273"/>
  <c r="O266" i="273" s="1"/>
  <c r="R266" i="273" s="1"/>
  <c r="M87" i="273"/>
  <c r="P87" i="273" s="1"/>
  <c r="Q87" i="273" s="1"/>
  <c r="M260" i="273"/>
  <c r="P260" i="273" s="1"/>
  <c r="Q260" i="273" s="1"/>
  <c r="M30" i="273"/>
  <c r="P30" i="273" s="1"/>
  <c r="Q30" i="273" s="1"/>
  <c r="O26" i="273"/>
  <c r="R26" i="273" s="1"/>
  <c r="O66" i="273"/>
  <c r="R66" i="273" s="1"/>
  <c r="O50" i="273"/>
  <c r="R50" i="273" s="1"/>
  <c r="O78" i="273"/>
  <c r="R78" i="273" s="1"/>
  <c r="M63" i="273"/>
  <c r="N63" i="273" s="1"/>
  <c r="M278" i="273"/>
  <c r="N278" i="273" s="1"/>
  <c r="O31" i="273"/>
  <c r="R31" i="273" s="1"/>
  <c r="N105" i="273"/>
  <c r="M62" i="273"/>
  <c r="O62" i="273" s="1"/>
  <c r="R62" i="273" s="1"/>
  <c r="M81" i="273"/>
  <c r="P81" i="273" s="1"/>
  <c r="Q81" i="273" s="1"/>
  <c r="P65" i="273"/>
  <c r="Q65" i="273" s="1"/>
  <c r="F25" i="275"/>
  <c r="O156" i="273"/>
  <c r="R156" i="273" s="1"/>
  <c r="M257" i="273"/>
  <c r="M258" i="273" s="1"/>
  <c r="O258" i="273" s="1"/>
  <c r="R258" i="273" s="1"/>
  <c r="M264" i="273"/>
  <c r="M265" i="273" s="1"/>
  <c r="M157" i="273"/>
  <c r="O157" i="273" s="1"/>
  <c r="R157" i="273" s="1"/>
  <c r="O83" i="273"/>
  <c r="R83" i="273" s="1"/>
  <c r="O210" i="273"/>
  <c r="R210" i="273" s="1"/>
  <c r="N156" i="273"/>
  <c r="N83" i="273"/>
  <c r="N60" i="273"/>
  <c r="P239" i="273"/>
  <c r="Q239" i="273" s="1"/>
  <c r="O120" i="273"/>
  <c r="R120" i="273" s="1"/>
  <c r="M303" i="273"/>
  <c r="O303" i="273" s="1"/>
  <c r="R303" i="273" s="1"/>
  <c r="M53" i="273"/>
  <c r="O53" i="273" s="1"/>
  <c r="R53" i="273" s="1"/>
  <c r="M211" i="273"/>
  <c r="O211" i="273" s="1"/>
  <c r="R211" i="273" s="1"/>
  <c r="N123" i="273"/>
  <c r="P60" i="273"/>
  <c r="Q60" i="273" s="1"/>
  <c r="O49" i="273"/>
  <c r="R49" i="273" s="1"/>
  <c r="D69" i="273"/>
  <c r="N276" i="273"/>
  <c r="N263" i="273"/>
  <c r="P69" i="273"/>
  <c r="Q69" i="273" s="1"/>
  <c r="N69" i="273"/>
  <c r="N26" i="273"/>
  <c r="N209" i="273"/>
  <c r="N104" i="273"/>
  <c r="O104" i="273"/>
  <c r="P209" i="273"/>
  <c r="Q209" i="273" s="1"/>
  <c r="O138" i="273"/>
  <c r="R138" i="273" s="1"/>
  <c r="P263" i="273"/>
  <c r="Q263" i="273" s="1"/>
  <c r="M134" i="273"/>
  <c r="P134" i="273" s="1"/>
  <c r="Q134" i="273" s="1"/>
  <c r="M100" i="273"/>
  <c r="N68" i="273"/>
  <c r="P138" i="273"/>
  <c r="Q138" i="273" s="1"/>
  <c r="N210" i="273"/>
  <c r="O52" i="273"/>
  <c r="R52" i="273" s="1"/>
  <c r="M47" i="273"/>
  <c r="P47" i="273" s="1"/>
  <c r="Q47" i="273" s="1"/>
  <c r="P277" i="273"/>
  <c r="Q277" i="273" s="1"/>
  <c r="N277" i="273"/>
  <c r="M283" i="273"/>
  <c r="O283" i="273" s="1"/>
  <c r="R283" i="273" s="1"/>
  <c r="M139" i="273"/>
  <c r="O139" i="273" s="1"/>
  <c r="R139" i="273" s="1"/>
  <c r="P68" i="273"/>
  <c r="Q68" i="273" s="1"/>
  <c r="N188" i="273"/>
  <c r="M133" i="273"/>
  <c r="P133" i="273" s="1"/>
  <c r="Q133" i="273" s="1"/>
  <c r="M124" i="273"/>
  <c r="N124" i="273" s="1"/>
  <c r="O103" i="273"/>
  <c r="P101" i="273"/>
  <c r="Q101" i="273" s="1"/>
  <c r="O212" i="273"/>
  <c r="R212" i="273" s="1"/>
  <c r="O25" i="273"/>
  <c r="R25" i="273" s="1"/>
  <c r="M232" i="273"/>
  <c r="O232" i="273" s="1"/>
  <c r="R232" i="273" s="1"/>
  <c r="M82" i="273"/>
  <c r="M136" i="273"/>
  <c r="O136" i="273" s="1"/>
  <c r="R136" i="273" s="1"/>
  <c r="M70" i="273"/>
  <c r="O70" i="273" s="1"/>
  <c r="R70" i="273" s="1"/>
  <c r="M61" i="273"/>
  <c r="M88" i="273"/>
  <c r="N88" i="273" s="1"/>
  <c r="N66" i="273"/>
  <c r="P188" i="273"/>
  <c r="Q188" i="273" s="1"/>
  <c r="M301" i="273"/>
  <c r="P301" i="273" s="1"/>
  <c r="Q301" i="273" s="1"/>
  <c r="M248" i="273"/>
  <c r="N248" i="273" s="1"/>
  <c r="O79" i="273"/>
  <c r="R79" i="273" s="1"/>
  <c r="O105" i="273"/>
  <c r="P79" i="273"/>
  <c r="Q79" i="273" s="1"/>
  <c r="O275" i="273"/>
  <c r="R275" i="273" s="1"/>
  <c r="N275" i="273"/>
  <c r="M282" i="273"/>
  <c r="O282" i="273" s="1"/>
  <c r="R282" i="273" s="1"/>
  <c r="P276" i="273"/>
  <c r="Q276" i="273" s="1"/>
  <c r="M142" i="273"/>
  <c r="P142" i="273" s="1"/>
  <c r="Q142" i="273" s="1"/>
  <c r="M295" i="273"/>
  <c r="O295" i="273" s="1"/>
  <c r="R295" i="273" s="1"/>
  <c r="M241" i="273"/>
  <c r="M27" i="273"/>
  <c r="N103" i="273"/>
  <c r="M169" i="273"/>
  <c r="M131" i="273"/>
  <c r="M115" i="273"/>
  <c r="M187" i="273"/>
  <c r="M121" i="273"/>
  <c r="N167" i="273"/>
  <c r="M173" i="273"/>
  <c r="P167" i="273"/>
  <c r="Q167" i="273" s="1"/>
  <c r="O167" i="273"/>
  <c r="R167" i="273" s="1"/>
  <c r="P31" i="273"/>
  <c r="Q31" i="273" s="1"/>
  <c r="O245" i="273"/>
  <c r="R245" i="273" s="1"/>
  <c r="P212" i="273"/>
  <c r="Q212" i="273" s="1"/>
  <c r="O65" i="273"/>
  <c r="R65" i="273" s="1"/>
  <c r="N84" i="273"/>
  <c r="N239" i="273"/>
  <c r="O116" i="273"/>
  <c r="R116" i="273" s="1"/>
  <c r="P52" i="273"/>
  <c r="Q52" i="273" s="1"/>
  <c r="M149" i="273"/>
  <c r="N149" i="273" s="1"/>
  <c r="M42" i="273"/>
  <c r="P42" i="273" s="1"/>
  <c r="Q42" i="273" s="1"/>
  <c r="N155" i="273"/>
  <c r="M64" i="273"/>
  <c r="P64" i="273" s="1"/>
  <c r="Q64" i="273" s="1"/>
  <c r="M96" i="273"/>
  <c r="P155" i="273"/>
  <c r="Q155" i="273" s="1"/>
  <c r="M281" i="273"/>
  <c r="P281" i="273" s="1"/>
  <c r="Q281" i="273" s="1"/>
  <c r="M135" i="273"/>
  <c r="O135" i="273" s="1"/>
  <c r="R135" i="273" s="1"/>
  <c r="O155" i="273"/>
  <c r="R155" i="273" s="1"/>
  <c r="D85" i="273"/>
  <c r="D60" i="273"/>
  <c r="E84" i="273" s="1"/>
  <c r="M34" i="273"/>
  <c r="P311" i="273"/>
  <c r="Q311" i="273" s="1"/>
  <c r="O311" i="273"/>
  <c r="R311" i="273" s="1"/>
  <c r="M312" i="273"/>
  <c r="P13" i="273"/>
  <c r="Q13" i="273" s="1"/>
  <c r="O13" i="273"/>
  <c r="R13" i="273" s="1"/>
  <c r="R20" i="273" s="1"/>
  <c r="U7" i="273" s="1"/>
  <c r="B107" i="273" s="1"/>
  <c r="N13" i="273"/>
  <c r="M293" i="273"/>
  <c r="M46" i="273"/>
  <c r="N245" i="273"/>
  <c r="N212" i="273"/>
  <c r="N102" i="273"/>
  <c r="N122" i="273"/>
  <c r="D74" i="273"/>
  <c r="M43" i="273"/>
  <c r="P43" i="273" s="1"/>
  <c r="Q43" i="273" s="1"/>
  <c r="M95" i="273"/>
  <c r="O84" i="273"/>
  <c r="R84" i="273" s="1"/>
  <c r="M132" i="273"/>
  <c r="M44" i="273"/>
  <c r="M45" i="273"/>
  <c r="N45" i="273" s="1"/>
  <c r="M97" i="273"/>
  <c r="M294" i="273"/>
  <c r="M297" i="273" s="1"/>
  <c r="O297" i="273" s="1"/>
  <c r="R297" i="273" s="1"/>
  <c r="O277" i="273"/>
  <c r="R277" i="273" s="1"/>
  <c r="M98" i="273"/>
  <c r="M118" i="273"/>
  <c r="M67" i="273"/>
  <c r="M280" i="273"/>
  <c r="M99" i="273"/>
  <c r="K10" i="277" s="1"/>
  <c r="M170" i="273"/>
  <c r="M35" i="273"/>
  <c r="M36" i="273"/>
  <c r="M279" i="273"/>
  <c r="M29" i="273"/>
  <c r="K23" i="275"/>
  <c r="K30" i="275" s="1"/>
  <c r="R21" i="275" s="1"/>
  <c r="O299" i="273"/>
  <c r="R299" i="273" s="1"/>
  <c r="M302" i="273"/>
  <c r="N249" i="273"/>
  <c r="O32" i="273"/>
  <c r="R32" i="273" s="1"/>
  <c r="P106" i="273"/>
  <c r="Q106" i="273" s="1"/>
  <c r="P102" i="273"/>
  <c r="Q102" i="273" s="1"/>
  <c r="O113" i="273"/>
  <c r="R113" i="273" s="1"/>
  <c r="N78" i="273"/>
  <c r="O59" i="273"/>
  <c r="R59" i="273" s="1"/>
  <c r="P59" i="273"/>
  <c r="Q59" i="273" s="1"/>
  <c r="O106" i="273"/>
  <c r="O209" i="273"/>
  <c r="R209" i="273" s="1"/>
  <c r="N299" i="273"/>
  <c r="N48" i="273"/>
  <c r="P299" i="273"/>
  <c r="Q299" i="273" s="1"/>
  <c r="P168" i="273"/>
  <c r="Q168" i="273" s="1"/>
  <c r="N168" i="273"/>
  <c r="O77" i="273"/>
  <c r="R77" i="273" s="1"/>
  <c r="O239" i="273"/>
  <c r="R239" i="273" s="1"/>
  <c r="O48" i="273"/>
  <c r="R48" i="273" s="1"/>
  <c r="N77" i="273"/>
  <c r="N242" i="273"/>
  <c r="O242" i="273"/>
  <c r="R242" i="273" s="1"/>
  <c r="P122" i="273"/>
  <c r="Q122" i="273" s="1"/>
  <c r="M21" i="275"/>
  <c r="O137" i="273"/>
  <c r="R137" i="273" s="1"/>
  <c r="N137" i="273"/>
  <c r="N113" i="273"/>
  <c r="O141" i="273"/>
  <c r="R141" i="273" s="1"/>
  <c r="N141" i="273"/>
  <c r="P116" i="273"/>
  <c r="Q116" i="273" s="1"/>
  <c r="I63" i="275"/>
  <c r="P63" i="275" s="1"/>
  <c r="I75" i="275"/>
  <c r="P75" i="275" s="1"/>
  <c r="I73" i="275"/>
  <c r="P73" i="275" s="1"/>
  <c r="I74" i="275"/>
  <c r="P74" i="275" s="1"/>
  <c r="H73" i="275"/>
  <c r="O73" i="275" s="1"/>
  <c r="H76" i="275"/>
  <c r="O76" i="275" s="1"/>
  <c r="H74" i="275"/>
  <c r="O74" i="275" s="1"/>
  <c r="H75" i="275"/>
  <c r="O75" i="275" s="1"/>
  <c r="I44" i="275"/>
  <c r="P44" i="275" s="1"/>
  <c r="I50" i="275"/>
  <c r="P50" i="275" s="1"/>
  <c r="I43" i="275"/>
  <c r="P43" i="275" s="1"/>
  <c r="H41" i="275"/>
  <c r="O41" i="275" s="1"/>
  <c r="H40" i="275"/>
  <c r="O40" i="275" s="1"/>
  <c r="K31" i="275"/>
  <c r="R24" i="275" s="1"/>
  <c r="J24" i="275"/>
  <c r="J28" i="275" s="1"/>
  <c r="L30" i="275"/>
  <c r="S23" i="275" s="1"/>
  <c r="J30" i="275"/>
  <c r="L24" i="275"/>
  <c r="L31" i="275" s="1"/>
  <c r="S24" i="275" s="1"/>
  <c r="J27" i="275"/>
  <c r="M22" i="275"/>
  <c r="P51" i="273"/>
  <c r="Q51" i="273" s="1"/>
  <c r="N51" i="273"/>
  <c r="O51" i="273"/>
  <c r="R51" i="273" s="1"/>
  <c r="P224" i="273"/>
  <c r="Q224" i="273" s="1"/>
  <c r="N224" i="273"/>
  <c r="M230" i="273"/>
  <c r="O224" i="273"/>
  <c r="R224" i="273" s="1"/>
  <c r="N228" i="273"/>
  <c r="P228" i="273"/>
  <c r="Q228" i="273" s="1"/>
  <c r="P243" i="273"/>
  <c r="Q243" i="273" s="1"/>
  <c r="N243" i="273"/>
  <c r="P249" i="273"/>
  <c r="Q249" i="273" s="1"/>
  <c r="P229" i="273"/>
  <c r="Q229" i="273" s="1"/>
  <c r="O229" i="273"/>
  <c r="R229" i="273" s="1"/>
  <c r="N229" i="273"/>
  <c r="O250" i="273"/>
  <c r="R250" i="273" s="1"/>
  <c r="N250" i="273"/>
  <c r="P250" i="273"/>
  <c r="Q250" i="273" s="1"/>
  <c r="N204" i="273"/>
  <c r="M205" i="273"/>
  <c r="P204" i="273"/>
  <c r="Q204" i="273" s="1"/>
  <c r="O204" i="273"/>
  <c r="R204" i="273" s="1"/>
  <c r="M214" i="273"/>
  <c r="N213" i="273"/>
  <c r="P213" i="273"/>
  <c r="Q213" i="273" s="1"/>
  <c r="O213" i="273"/>
  <c r="R213" i="273" s="1"/>
  <c r="D17" i="256"/>
  <c r="D16" i="256"/>
  <c r="B18" i="256"/>
  <c r="D8" i="269"/>
  <c r="B21" i="269" s="1"/>
  <c r="J21" i="269" s="1"/>
  <c r="B15" i="269"/>
  <c r="D13" i="269"/>
  <c r="U13" i="269"/>
  <c r="H33" i="269"/>
  <c r="J33" i="269" s="1"/>
  <c r="T15" i="269"/>
  <c r="H32" i="269"/>
  <c r="C15" i="269"/>
  <c r="U15" i="269"/>
  <c r="S15" i="269"/>
  <c r="P189" i="273" l="1"/>
  <c r="Q189" i="273" s="1"/>
  <c r="O189" i="273"/>
  <c r="R189" i="273" s="1"/>
  <c r="P63" i="273"/>
  <c r="Q63" i="273" s="1"/>
  <c r="D15" i="269"/>
  <c r="N192" i="273"/>
  <c r="P192" i="273"/>
  <c r="Q192" i="273" s="1"/>
  <c r="N9" i="269"/>
  <c r="P9" i="269" s="1"/>
  <c r="R106" i="273"/>
  <c r="L17" i="277"/>
  <c r="O6" i="277" s="1"/>
  <c r="R101" i="273"/>
  <c r="L12" i="277"/>
  <c r="R102" i="273"/>
  <c r="L13" i="277"/>
  <c r="R104" i="273"/>
  <c r="L15" i="277"/>
  <c r="N97" i="273"/>
  <c r="K8" i="277"/>
  <c r="R105" i="273"/>
  <c r="L16" i="277"/>
  <c r="O98" i="273"/>
  <c r="K9" i="277"/>
  <c r="P95" i="273"/>
  <c r="Q95" i="273" s="1"/>
  <c r="K6" i="277"/>
  <c r="O100" i="273"/>
  <c r="K11" i="277"/>
  <c r="N96" i="273"/>
  <c r="K7" i="277"/>
  <c r="R103" i="273"/>
  <c r="L14" i="277"/>
  <c r="W34" i="282"/>
  <c r="E43" i="282"/>
  <c r="D43" i="282"/>
  <c r="C40" i="282"/>
  <c r="E40" i="282"/>
  <c r="D41" i="282"/>
  <c r="E41" i="282"/>
  <c r="D40" i="282"/>
  <c r="F43" i="282"/>
  <c r="F41" i="282"/>
  <c r="D45" i="282"/>
  <c r="D50" i="282" s="1"/>
  <c r="E45" i="282"/>
  <c r="C43" i="282"/>
  <c r="F42" i="282"/>
  <c r="D42" i="282"/>
  <c r="C45" i="282"/>
  <c r="E44" i="282"/>
  <c r="F44" i="282"/>
  <c r="C41" i="282"/>
  <c r="F45" i="282"/>
  <c r="C44" i="282"/>
  <c r="E42" i="282"/>
  <c r="W36" i="282"/>
  <c r="W33" i="282"/>
  <c r="W32" i="282"/>
  <c r="W30" i="282"/>
  <c r="W37" i="282"/>
  <c r="G19" i="278"/>
  <c r="H17" i="278"/>
  <c r="H19" i="278"/>
  <c r="K18" i="278"/>
  <c r="A23" i="278" s="1"/>
  <c r="J19" i="278"/>
  <c r="J17" i="278"/>
  <c r="I19" i="278"/>
  <c r="G17" i="278"/>
  <c r="I17" i="278"/>
  <c r="E20" i="278"/>
  <c r="N80" i="273"/>
  <c r="O80" i="273"/>
  <c r="R80" i="273" s="1"/>
  <c r="N266" i="273"/>
  <c r="O63" i="273"/>
  <c r="R63" i="273" s="1"/>
  <c r="N297" i="273"/>
  <c r="P264" i="273"/>
  <c r="Q264" i="273" s="1"/>
  <c r="E47" i="273"/>
  <c r="N301" i="273"/>
  <c r="E49" i="273"/>
  <c r="O30" i="273"/>
  <c r="R30" i="273" s="1"/>
  <c r="E50" i="273"/>
  <c r="O81" i="273"/>
  <c r="R81" i="273" s="1"/>
  <c r="N86" i="273"/>
  <c r="N206" i="273"/>
  <c r="O206" i="273"/>
  <c r="R206" i="273" s="1"/>
  <c r="N303" i="273"/>
  <c r="O149" i="273"/>
  <c r="R149" i="273" s="1"/>
  <c r="P62" i="273"/>
  <c r="Q62" i="273" s="1"/>
  <c r="M267" i="273"/>
  <c r="N267" i="273" s="1"/>
  <c r="M207" i="273"/>
  <c r="N207" i="273" s="1"/>
  <c r="N62" i="273"/>
  <c r="N87" i="273"/>
  <c r="P266" i="273"/>
  <c r="Q266" i="273" s="1"/>
  <c r="O278" i="273"/>
  <c r="R278" i="273" s="1"/>
  <c r="N283" i="273"/>
  <c r="N211" i="273"/>
  <c r="P149" i="273"/>
  <c r="Q149" i="273" s="1"/>
  <c r="P297" i="273"/>
  <c r="Q297" i="273" s="1"/>
  <c r="O86" i="273"/>
  <c r="R86" i="273" s="1"/>
  <c r="N257" i="273"/>
  <c r="P100" i="273"/>
  <c r="Q100" i="273" s="1"/>
  <c r="M304" i="273"/>
  <c r="N304" i="273" s="1"/>
  <c r="P211" i="273"/>
  <c r="Q211" i="273" s="1"/>
  <c r="N100" i="273"/>
  <c r="N81" i="273"/>
  <c r="P283" i="273"/>
  <c r="Q283" i="273" s="1"/>
  <c r="P53" i="273"/>
  <c r="Q53" i="273" s="1"/>
  <c r="N134" i="273"/>
  <c r="O87" i="273"/>
  <c r="R87" i="273" s="1"/>
  <c r="N30" i="273"/>
  <c r="N157" i="273"/>
  <c r="P248" i="273"/>
  <c r="Q248" i="273" s="1"/>
  <c r="P232" i="273"/>
  <c r="Q232" i="273" s="1"/>
  <c r="P282" i="273"/>
  <c r="Q282" i="273" s="1"/>
  <c r="N140" i="273"/>
  <c r="N282" i="273"/>
  <c r="O140" i="273"/>
  <c r="R140" i="273" s="1"/>
  <c r="N260" i="273"/>
  <c r="N28" i="273"/>
  <c r="O260" i="273"/>
  <c r="R260" i="273" s="1"/>
  <c r="M261" i="273"/>
  <c r="O261" i="273" s="1"/>
  <c r="R261" i="273" s="1"/>
  <c r="P28" i="273"/>
  <c r="Q28" i="273" s="1"/>
  <c r="M284" i="273"/>
  <c r="P278" i="273"/>
  <c r="Q278" i="273" s="1"/>
  <c r="N294" i="273"/>
  <c r="N135" i="273"/>
  <c r="M259" i="273"/>
  <c r="P259" i="273" s="1"/>
  <c r="Q259" i="273" s="1"/>
  <c r="M158" i="273"/>
  <c r="N158" i="273" s="1"/>
  <c r="P294" i="273"/>
  <c r="Q294" i="273" s="1"/>
  <c r="O257" i="273"/>
  <c r="R257" i="273" s="1"/>
  <c r="N258" i="273"/>
  <c r="O294" i="273"/>
  <c r="R294" i="273" s="1"/>
  <c r="P157" i="273"/>
  <c r="Q157" i="273" s="1"/>
  <c r="K28" i="275"/>
  <c r="M23" i="275"/>
  <c r="P257" i="273"/>
  <c r="Q257" i="273" s="1"/>
  <c r="P258" i="273"/>
  <c r="Q258" i="273" s="1"/>
  <c r="O47" i="273"/>
  <c r="R47" i="273" s="1"/>
  <c r="O265" i="273"/>
  <c r="R265" i="273" s="1"/>
  <c r="P265" i="273"/>
  <c r="Q265" i="273" s="1"/>
  <c r="N136" i="273"/>
  <c r="P124" i="273"/>
  <c r="Q124" i="273" s="1"/>
  <c r="N47" i="273"/>
  <c r="N42" i="273"/>
  <c r="N53" i="273"/>
  <c r="O134" i="273"/>
  <c r="R134" i="273" s="1"/>
  <c r="P303" i="273"/>
  <c r="Q303" i="273" s="1"/>
  <c r="M150" i="273"/>
  <c r="P150" i="273" s="1"/>
  <c r="Q150" i="273" s="1"/>
  <c r="N264" i="273"/>
  <c r="O264" i="273"/>
  <c r="R264" i="273" s="1"/>
  <c r="M298" i="273"/>
  <c r="N298" i="273" s="1"/>
  <c r="P136" i="273"/>
  <c r="Q136" i="273" s="1"/>
  <c r="N64" i="273"/>
  <c r="N70" i="273"/>
  <c r="P295" i="273"/>
  <c r="Q295" i="273" s="1"/>
  <c r="O95" i="273"/>
  <c r="O43" i="273"/>
  <c r="R43" i="273" s="1"/>
  <c r="N295" i="273"/>
  <c r="O124" i="273"/>
  <c r="R124" i="273" s="1"/>
  <c r="N150" i="273"/>
  <c r="P139" i="273"/>
  <c r="Q139" i="273" s="1"/>
  <c r="N61" i="273"/>
  <c r="O61" i="273"/>
  <c r="R61" i="273" s="1"/>
  <c r="O248" i="273"/>
  <c r="R248" i="273" s="1"/>
  <c r="O133" i="273"/>
  <c r="R133" i="273" s="1"/>
  <c r="O301" i="273"/>
  <c r="R301" i="273" s="1"/>
  <c r="O142" i="273"/>
  <c r="R142" i="273" s="1"/>
  <c r="N139" i="273"/>
  <c r="P88" i="273"/>
  <c r="Q88" i="273" s="1"/>
  <c r="P82" i="273"/>
  <c r="Q82" i="273" s="1"/>
  <c r="N82" i="273"/>
  <c r="O82" i="273"/>
  <c r="R82" i="273" s="1"/>
  <c r="N142" i="273"/>
  <c r="O88" i="273"/>
  <c r="R88" i="273" s="1"/>
  <c r="N232" i="273"/>
  <c r="N133" i="273"/>
  <c r="P97" i="273"/>
  <c r="Q97" i="273" s="1"/>
  <c r="P70" i="273"/>
  <c r="Q70" i="273" s="1"/>
  <c r="P61" i="273"/>
  <c r="Q61" i="273" s="1"/>
  <c r="P99" i="273"/>
  <c r="Q99" i="273" s="1"/>
  <c r="O99" i="273"/>
  <c r="N99" i="273"/>
  <c r="P293" i="273"/>
  <c r="Q293" i="273" s="1"/>
  <c r="M296" i="273"/>
  <c r="O293" i="273"/>
  <c r="R293" i="273" s="1"/>
  <c r="N293" i="273"/>
  <c r="E66" i="273"/>
  <c r="E57" i="273"/>
  <c r="E68" i="273"/>
  <c r="E63" i="273"/>
  <c r="E64" i="273"/>
  <c r="E59" i="273"/>
  <c r="E67" i="273"/>
  <c r="E58" i="273"/>
  <c r="E73" i="273"/>
  <c r="E78" i="273"/>
  <c r="M193" i="273"/>
  <c r="N187" i="273"/>
  <c r="P187" i="273"/>
  <c r="Q187" i="273" s="1"/>
  <c r="O187" i="273"/>
  <c r="R187" i="273" s="1"/>
  <c r="M196" i="273"/>
  <c r="M190" i="273"/>
  <c r="O131" i="273"/>
  <c r="R131" i="273" s="1"/>
  <c r="P131" i="273"/>
  <c r="Q131" i="273" s="1"/>
  <c r="P27" i="273"/>
  <c r="Q27" i="273" s="1"/>
  <c r="N27" i="273"/>
  <c r="O27" i="273"/>
  <c r="R27" i="273" s="1"/>
  <c r="N98" i="273"/>
  <c r="E55" i="273"/>
  <c r="E77" i="273"/>
  <c r="O36" i="273"/>
  <c r="R36" i="273" s="1"/>
  <c r="P36" i="273"/>
  <c r="Q36" i="273" s="1"/>
  <c r="N36" i="273"/>
  <c r="M286" i="273"/>
  <c r="O280" i="273"/>
  <c r="R280" i="273" s="1"/>
  <c r="N280" i="273"/>
  <c r="P280" i="273"/>
  <c r="Q280" i="273" s="1"/>
  <c r="E56" i="273"/>
  <c r="P173" i="273"/>
  <c r="Q173" i="273" s="1"/>
  <c r="O173" i="273"/>
  <c r="R173" i="273" s="1"/>
  <c r="M174" i="273"/>
  <c r="N173" i="273"/>
  <c r="P115" i="273"/>
  <c r="Q115" i="273" s="1"/>
  <c r="N115" i="273"/>
  <c r="O115" i="273"/>
  <c r="R115" i="273" s="1"/>
  <c r="N169" i="273"/>
  <c r="P169" i="273"/>
  <c r="Q169" i="273" s="1"/>
  <c r="O169" i="273"/>
  <c r="R169" i="273" s="1"/>
  <c r="P241" i="273"/>
  <c r="Q241" i="273" s="1"/>
  <c r="M244" i="273"/>
  <c r="O241" i="273"/>
  <c r="R241" i="273" s="1"/>
  <c r="N241" i="273"/>
  <c r="O97" i="273"/>
  <c r="O42" i="273"/>
  <c r="R42" i="273" s="1"/>
  <c r="N95" i="273"/>
  <c r="P135" i="273"/>
  <c r="Q135" i="273" s="1"/>
  <c r="E54" i="273"/>
  <c r="N131" i="273"/>
  <c r="E65" i="273"/>
  <c r="E82" i="273"/>
  <c r="O64" i="273"/>
  <c r="R64" i="273" s="1"/>
  <c r="O35" i="273"/>
  <c r="R35" i="273" s="1"/>
  <c r="P35" i="273"/>
  <c r="Q35" i="273" s="1"/>
  <c r="N35" i="273"/>
  <c r="P67" i="273"/>
  <c r="Q67" i="273" s="1"/>
  <c r="O67" i="273"/>
  <c r="R67" i="273" s="1"/>
  <c r="N67" i="273"/>
  <c r="O44" i="273"/>
  <c r="R44" i="273" s="1"/>
  <c r="N44" i="273"/>
  <c r="P44" i="273"/>
  <c r="Q44" i="273" s="1"/>
  <c r="O96" i="273"/>
  <c r="P96" i="273"/>
  <c r="Q96" i="273" s="1"/>
  <c r="P279" i="273"/>
  <c r="Q279" i="273" s="1"/>
  <c r="N279" i="273"/>
  <c r="M285" i="273"/>
  <c r="O279" i="273"/>
  <c r="R279" i="273" s="1"/>
  <c r="O312" i="273"/>
  <c r="R312" i="273" s="1"/>
  <c r="M313" i="273"/>
  <c r="N312" i="273"/>
  <c r="P312" i="273"/>
  <c r="Q312" i="273" s="1"/>
  <c r="N281" i="273"/>
  <c r="O281" i="273"/>
  <c r="R281" i="273" s="1"/>
  <c r="O45" i="273"/>
  <c r="R45" i="273" s="1"/>
  <c r="P45" i="273"/>
  <c r="Q45" i="273" s="1"/>
  <c r="P98" i="273"/>
  <c r="Q98" i="273" s="1"/>
  <c r="N43" i="273"/>
  <c r="E83" i="273"/>
  <c r="N29" i="273"/>
  <c r="O29" i="273"/>
  <c r="R29" i="273" s="1"/>
  <c r="P29" i="273"/>
  <c r="Q29" i="273" s="1"/>
  <c r="P170" i="273"/>
  <c r="Q170" i="273" s="1"/>
  <c r="O170" i="273"/>
  <c r="R170" i="273" s="1"/>
  <c r="M171" i="273"/>
  <c r="M176" i="273"/>
  <c r="N170" i="273"/>
  <c r="P118" i="273"/>
  <c r="Q118" i="273" s="1"/>
  <c r="N118" i="273"/>
  <c r="O118" i="273"/>
  <c r="R118" i="273" s="1"/>
  <c r="P132" i="273"/>
  <c r="Q132" i="273" s="1"/>
  <c r="O132" i="273"/>
  <c r="R132" i="273" s="1"/>
  <c r="N132" i="273"/>
  <c r="E72" i="273"/>
  <c r="P46" i="273"/>
  <c r="Q46" i="273" s="1"/>
  <c r="O46" i="273"/>
  <c r="R46" i="273" s="1"/>
  <c r="N46" i="273"/>
  <c r="N34" i="273"/>
  <c r="O34" i="273"/>
  <c r="R34" i="273" s="1"/>
  <c r="P34" i="273"/>
  <c r="Q34" i="273" s="1"/>
  <c r="N121" i="273"/>
  <c r="P121" i="273"/>
  <c r="Q121" i="273" s="1"/>
  <c r="O121" i="273"/>
  <c r="R121" i="273" s="1"/>
  <c r="K25" i="275"/>
  <c r="R23" i="275"/>
  <c r="O302" i="273"/>
  <c r="R302" i="273" s="1"/>
  <c r="P302" i="273"/>
  <c r="Q302" i="273" s="1"/>
  <c r="N302" i="273"/>
  <c r="N265" i="273"/>
  <c r="J25" i="275"/>
  <c r="I99" i="275"/>
  <c r="P99" i="275" s="1"/>
  <c r="H101" i="275"/>
  <c r="O101" i="275" s="1"/>
  <c r="H102" i="275"/>
  <c r="O102" i="275" s="1"/>
  <c r="I100" i="275"/>
  <c r="P100" i="275" s="1"/>
  <c r="I101" i="275"/>
  <c r="P101" i="275" s="1"/>
  <c r="H100" i="275"/>
  <c r="O100" i="275" s="1"/>
  <c r="H99" i="275"/>
  <c r="O99" i="275" s="1"/>
  <c r="I88" i="275"/>
  <c r="P88" i="275" s="1"/>
  <c r="H66" i="275"/>
  <c r="O66" i="275" s="1"/>
  <c r="I69" i="275"/>
  <c r="P69" i="275" s="1"/>
  <c r="I57" i="275"/>
  <c r="P57" i="275" s="1"/>
  <c r="H88" i="275"/>
  <c r="O88" i="275" s="1"/>
  <c r="H89" i="275"/>
  <c r="O89" i="275" s="1"/>
  <c r="I87" i="275"/>
  <c r="P87" i="275" s="1"/>
  <c r="S28" i="275"/>
  <c r="H67" i="275"/>
  <c r="O67" i="275" s="1"/>
  <c r="H87" i="275"/>
  <c r="O87" i="275" s="1"/>
  <c r="H86" i="275"/>
  <c r="O86" i="275" s="1"/>
  <c r="I76" i="275"/>
  <c r="P76" i="275" s="1"/>
  <c r="I86" i="275"/>
  <c r="P86" i="275" s="1"/>
  <c r="R22" i="275"/>
  <c r="H53" i="275"/>
  <c r="O53" i="275" s="1"/>
  <c r="I56" i="275"/>
  <c r="P56" i="275" s="1"/>
  <c r="H54" i="275"/>
  <c r="O54" i="275" s="1"/>
  <c r="S22" i="275"/>
  <c r="J31" i="275"/>
  <c r="Q24" i="275" s="1"/>
  <c r="L25" i="275"/>
  <c r="S21" i="275"/>
  <c r="M24" i="275"/>
  <c r="L28" i="275"/>
  <c r="Q23" i="275"/>
  <c r="Q21" i="275"/>
  <c r="N230" i="273"/>
  <c r="P230" i="273"/>
  <c r="Q230" i="273" s="1"/>
  <c r="O230" i="273"/>
  <c r="R230" i="273" s="1"/>
  <c r="R233" i="273" s="1"/>
  <c r="U220" i="273" s="1"/>
  <c r="P205" i="273"/>
  <c r="Q205" i="273" s="1"/>
  <c r="O205" i="273"/>
  <c r="R205" i="273" s="1"/>
  <c r="N205" i="273"/>
  <c r="O214" i="273"/>
  <c r="R214" i="273" s="1"/>
  <c r="P214" i="273"/>
  <c r="Q214" i="273" s="1"/>
  <c r="N214" i="273"/>
  <c r="D18" i="256"/>
  <c r="K21" i="269"/>
  <c r="K31" i="269"/>
  <c r="C20" i="269"/>
  <c r="J22" i="269" s="1"/>
  <c r="B20" i="269"/>
  <c r="C21" i="269"/>
  <c r="J32" i="269"/>
  <c r="N7" i="269"/>
  <c r="P7" i="269" s="1"/>
  <c r="H34" i="269"/>
  <c r="I32" i="269" s="1"/>
  <c r="N8" i="269"/>
  <c r="P8" i="269" s="1"/>
  <c r="C95" i="256"/>
  <c r="C91" i="256"/>
  <c r="J80" i="256"/>
  <c r="K80" i="256" s="1"/>
  <c r="I80" i="256"/>
  <c r="J79" i="256"/>
  <c r="K79" i="256" s="1"/>
  <c r="I79" i="256"/>
  <c r="J78" i="256"/>
  <c r="K78" i="256" s="1"/>
  <c r="I78" i="256"/>
  <c r="F78" i="256"/>
  <c r="F79" i="256" s="1"/>
  <c r="F80" i="256" s="1"/>
  <c r="J77" i="256"/>
  <c r="K77" i="256" s="1"/>
  <c r="I77" i="256"/>
  <c r="I63" i="256"/>
  <c r="I62" i="256"/>
  <c r="I61" i="256"/>
  <c r="F61" i="256"/>
  <c r="F62" i="256" s="1"/>
  <c r="F63" i="256" s="1"/>
  <c r="I60" i="256"/>
  <c r="I46" i="256"/>
  <c r="I45" i="256"/>
  <c r="I44" i="256"/>
  <c r="F44" i="256"/>
  <c r="F45" i="256" s="1"/>
  <c r="F46" i="256" s="1"/>
  <c r="I43" i="256"/>
  <c r="I29" i="256"/>
  <c r="I28" i="256"/>
  <c r="I27" i="256"/>
  <c r="F27" i="256"/>
  <c r="F28" i="256" s="1"/>
  <c r="F29" i="256" s="1"/>
  <c r="I26" i="256"/>
  <c r="S11" i="256"/>
  <c r="R11" i="256"/>
  <c r="X10" i="256"/>
  <c r="W10" i="256"/>
  <c r="T10" i="256"/>
  <c r="Q10" i="256"/>
  <c r="T9" i="256"/>
  <c r="Q9" i="256"/>
  <c r="S8" i="256"/>
  <c r="R8" i="256"/>
  <c r="Y84" i="256"/>
  <c r="Y83" i="256"/>
  <c r="S80" i="256"/>
  <c r="R80" i="256"/>
  <c r="X79" i="256"/>
  <c r="W79" i="256"/>
  <c r="T79" i="256"/>
  <c r="Q79" i="256"/>
  <c r="T78" i="256"/>
  <c r="Q78" i="256"/>
  <c r="S77" i="256"/>
  <c r="R77" i="256"/>
  <c r="B85" i="256" a="1"/>
  <c r="B85" i="256" s="1"/>
  <c r="S63" i="256"/>
  <c r="R63" i="256"/>
  <c r="Y66" i="256"/>
  <c r="X62" i="256"/>
  <c r="W62" i="256"/>
  <c r="T62" i="256"/>
  <c r="Q62" i="256"/>
  <c r="T61" i="256"/>
  <c r="Q61" i="256"/>
  <c r="S60" i="256"/>
  <c r="R60" i="256"/>
  <c r="S46" i="256"/>
  <c r="R46" i="256"/>
  <c r="Y45" i="256"/>
  <c r="Y50" i="256" s="1"/>
  <c r="X45" i="256"/>
  <c r="W45" i="256"/>
  <c r="T45" i="256"/>
  <c r="Q45" i="256"/>
  <c r="T44" i="256"/>
  <c r="Q44" i="256"/>
  <c r="B52" i="256"/>
  <c r="J44" i="256" s="1"/>
  <c r="K44" i="256" s="1"/>
  <c r="S43" i="256"/>
  <c r="R43" i="256"/>
  <c r="Y28" i="256"/>
  <c r="C92" i="256" s="1"/>
  <c r="S29" i="256"/>
  <c r="R29" i="256"/>
  <c r="X28" i="256"/>
  <c r="W28" i="256"/>
  <c r="T28" i="256"/>
  <c r="Q28" i="256"/>
  <c r="T27" i="256"/>
  <c r="Q27" i="256"/>
  <c r="S26" i="256"/>
  <c r="R26" i="256"/>
  <c r="C34" i="256"/>
  <c r="J28" i="256" s="1"/>
  <c r="K28" i="256" s="1"/>
  <c r="B34" i="256"/>
  <c r="J26" i="256" s="1"/>
  <c r="K26" i="256" s="1"/>
  <c r="I11" i="256"/>
  <c r="I10" i="256"/>
  <c r="I9" i="256"/>
  <c r="I8" i="256"/>
  <c r="F9" i="256"/>
  <c r="F10" i="256" s="1"/>
  <c r="F11" i="256" s="1"/>
  <c r="AL6" i="101"/>
  <c r="AK6" i="101"/>
  <c r="AL5" i="101"/>
  <c r="AK5" i="101"/>
  <c r="AK4" i="101"/>
  <c r="AD29" i="101"/>
  <c r="AE27" i="101"/>
  <c r="AE26" i="101"/>
  <c r="AD28" i="101"/>
  <c r="AD27" i="101"/>
  <c r="AD26" i="101"/>
  <c r="AE15" i="101"/>
  <c r="AD15" i="101"/>
  <c r="AE14" i="101"/>
  <c r="AD14" i="101"/>
  <c r="I17" i="253"/>
  <c r="I16" i="253"/>
  <c r="I15" i="253"/>
  <c r="I14" i="253"/>
  <c r="I7" i="253"/>
  <c r="I8" i="253"/>
  <c r="I9" i="253"/>
  <c r="I6" i="253"/>
  <c r="J9" i="253"/>
  <c r="K9" i="253" s="1"/>
  <c r="J8" i="253"/>
  <c r="K8" i="253" s="1"/>
  <c r="J7" i="253"/>
  <c r="K7" i="253" s="1"/>
  <c r="J6" i="253"/>
  <c r="K6" i="253" s="1"/>
  <c r="F15" i="253"/>
  <c r="F16" i="253" s="1"/>
  <c r="F17" i="253" s="1"/>
  <c r="C8" i="253"/>
  <c r="B8" i="253"/>
  <c r="F7" i="253"/>
  <c r="F8" i="253" s="1"/>
  <c r="F9" i="253" s="1"/>
  <c r="D7" i="253"/>
  <c r="D6" i="253"/>
  <c r="AE5" i="101"/>
  <c r="AD5" i="101"/>
  <c r="AE4" i="101"/>
  <c r="AD4" i="101"/>
  <c r="R23" i="251"/>
  <c r="S23" i="251"/>
  <c r="T23" i="251"/>
  <c r="R24" i="251"/>
  <c r="S24" i="251"/>
  <c r="T24" i="251"/>
  <c r="R25" i="251"/>
  <c r="S25" i="251"/>
  <c r="T25" i="251"/>
  <c r="R26" i="251"/>
  <c r="S26" i="251"/>
  <c r="T26" i="251"/>
  <c r="R27" i="251"/>
  <c r="S27" i="251"/>
  <c r="T27" i="251"/>
  <c r="R28" i="251"/>
  <c r="S28" i="251"/>
  <c r="T28" i="251"/>
  <c r="R29" i="251"/>
  <c r="S29" i="251"/>
  <c r="T29" i="251"/>
  <c r="R30" i="251"/>
  <c r="S30" i="251"/>
  <c r="T30" i="251"/>
  <c r="R31" i="251"/>
  <c r="S31" i="251"/>
  <c r="T31" i="251"/>
  <c r="R32" i="251"/>
  <c r="S32" i="251"/>
  <c r="T32" i="251"/>
  <c r="S22" i="251"/>
  <c r="T22" i="251"/>
  <c r="R22" i="251"/>
  <c r="Q23" i="251"/>
  <c r="Q24" i="251" s="1"/>
  <c r="Q25" i="251" s="1"/>
  <c r="Q26" i="251" s="1"/>
  <c r="Q27" i="251" s="1"/>
  <c r="Q28" i="251" s="1"/>
  <c r="Q29" i="251" s="1"/>
  <c r="Q30" i="251" s="1"/>
  <c r="Q31" i="251" s="1"/>
  <c r="Q32" i="251" s="1"/>
  <c r="O20" i="251"/>
  <c r="AK9" i="101" l="1"/>
  <c r="AK7" i="101"/>
  <c r="AK8" i="101" s="1"/>
  <c r="M77" i="256"/>
  <c r="M78" i="256" s="1"/>
  <c r="O8" i="277"/>
  <c r="AF27" i="101"/>
  <c r="AF4" i="101"/>
  <c r="AD6" i="101"/>
  <c r="G42" i="282"/>
  <c r="AF14" i="101"/>
  <c r="G20" i="278"/>
  <c r="AL4" i="101"/>
  <c r="O9" i="277"/>
  <c r="AF15" i="101"/>
  <c r="AF26" i="101"/>
  <c r="R96" i="273"/>
  <c r="L7" i="277"/>
  <c r="C22" i="269"/>
  <c r="R97" i="273"/>
  <c r="L8" i="277"/>
  <c r="R99" i="273"/>
  <c r="L10" i="277"/>
  <c r="R100" i="273"/>
  <c r="L11" i="277"/>
  <c r="O7" i="277" s="1"/>
  <c r="R98" i="273"/>
  <c r="L9" i="277"/>
  <c r="R95" i="273"/>
  <c r="L6" i="277"/>
  <c r="O10" i="277"/>
  <c r="G41" i="282"/>
  <c r="E50" i="282"/>
  <c r="M45" i="282" s="1"/>
  <c r="G44" i="282"/>
  <c r="G45" i="282"/>
  <c r="G40" i="282"/>
  <c r="C50" i="282"/>
  <c r="K45" i="282" s="1"/>
  <c r="G43" i="282"/>
  <c r="L45" i="282"/>
  <c r="L44" i="282"/>
  <c r="F53" i="282"/>
  <c r="D49" i="282"/>
  <c r="E53" i="282"/>
  <c r="E46" i="282"/>
  <c r="E49" i="282"/>
  <c r="D53" i="282"/>
  <c r="D48" i="282"/>
  <c r="D46" i="282"/>
  <c r="D52" i="282"/>
  <c r="E52" i="282"/>
  <c r="F48" i="282"/>
  <c r="F52" i="282"/>
  <c r="F46" i="282"/>
  <c r="C49" i="282"/>
  <c r="C53" i="282"/>
  <c r="C48" i="282"/>
  <c r="C52" i="282"/>
  <c r="C46" i="282"/>
  <c r="F49" i="282"/>
  <c r="F50" i="282"/>
  <c r="E48" i="282"/>
  <c r="H20" i="278"/>
  <c r="K17" i="278"/>
  <c r="B22" i="278" s="1"/>
  <c r="B23" i="278"/>
  <c r="C23" i="278"/>
  <c r="D23" i="278"/>
  <c r="J20" i="278"/>
  <c r="I20" i="278"/>
  <c r="K19" i="278"/>
  <c r="A24" i="278" s="1"/>
  <c r="I33" i="269"/>
  <c r="S31" i="275"/>
  <c r="T21" i="275"/>
  <c r="D34" i="275" s="1"/>
  <c r="P298" i="273"/>
  <c r="Q298" i="273" s="1"/>
  <c r="P304" i="273"/>
  <c r="Q304" i="273" s="1"/>
  <c r="O267" i="273"/>
  <c r="R267" i="273" s="1"/>
  <c r="P261" i="273"/>
  <c r="Q261" i="273" s="1"/>
  <c r="M262" i="273"/>
  <c r="N262" i="273" s="1"/>
  <c r="O207" i="273"/>
  <c r="R207" i="273" s="1"/>
  <c r="P207" i="273"/>
  <c r="Q207" i="273" s="1"/>
  <c r="M208" i="273"/>
  <c r="P208" i="273" s="1"/>
  <c r="Q208" i="273" s="1"/>
  <c r="S30" i="275"/>
  <c r="M268" i="273"/>
  <c r="N268" i="273" s="1"/>
  <c r="P267" i="273"/>
  <c r="Q267" i="273" s="1"/>
  <c r="N261" i="273"/>
  <c r="R125" i="273"/>
  <c r="U112" i="273" s="1"/>
  <c r="B105" i="273" s="1"/>
  <c r="R89" i="273"/>
  <c r="U76" i="273" s="1"/>
  <c r="B104" i="273" s="1"/>
  <c r="C114" i="273" s="1"/>
  <c r="O150" i="273"/>
  <c r="R150" i="273" s="1"/>
  <c r="O304" i="273"/>
  <c r="R304" i="273" s="1"/>
  <c r="O158" i="273"/>
  <c r="R158" i="273" s="1"/>
  <c r="O259" i="273"/>
  <c r="R259" i="273" s="1"/>
  <c r="O298" i="273"/>
  <c r="R298" i="273" s="1"/>
  <c r="N284" i="273"/>
  <c r="P284" i="273"/>
  <c r="Q284" i="273" s="1"/>
  <c r="O284" i="273"/>
  <c r="R284" i="273" s="1"/>
  <c r="P158" i="273"/>
  <c r="Q158" i="273" s="1"/>
  <c r="M159" i="273"/>
  <c r="M160" i="273" s="1"/>
  <c r="M25" i="275"/>
  <c r="N259" i="273"/>
  <c r="R71" i="273"/>
  <c r="U58" i="273" s="1"/>
  <c r="B102" i="273" s="1"/>
  <c r="C132" i="273" s="1"/>
  <c r="M151" i="273"/>
  <c r="P151" i="273" s="1"/>
  <c r="Q151" i="273" s="1"/>
  <c r="R54" i="273"/>
  <c r="U41" i="273" s="1"/>
  <c r="B100" i="273" s="1"/>
  <c r="R37" i="273"/>
  <c r="U24" i="273" s="1"/>
  <c r="R25" i="275"/>
  <c r="R30" i="275"/>
  <c r="R143" i="273"/>
  <c r="U130" i="273" s="1"/>
  <c r="U133" i="273" s="1"/>
  <c r="P285" i="273"/>
  <c r="Q285" i="273" s="1"/>
  <c r="N285" i="273"/>
  <c r="O285" i="273"/>
  <c r="R285" i="273" s="1"/>
  <c r="P244" i="273"/>
  <c r="Q244" i="273" s="1"/>
  <c r="N244" i="273"/>
  <c r="O244" i="273"/>
  <c r="R244" i="273" s="1"/>
  <c r="R251" i="273" s="1"/>
  <c r="U238" i="273" s="1"/>
  <c r="P286" i="273"/>
  <c r="Q286" i="273" s="1"/>
  <c r="N286" i="273"/>
  <c r="O286" i="273"/>
  <c r="R286" i="273" s="1"/>
  <c r="N190" i="273"/>
  <c r="P190" i="273"/>
  <c r="Q190" i="273" s="1"/>
  <c r="O190" i="273"/>
  <c r="R190" i="273" s="1"/>
  <c r="T24" i="275"/>
  <c r="C37" i="275" s="1"/>
  <c r="Q22" i="275"/>
  <c r="R28" i="275"/>
  <c r="M177" i="273"/>
  <c r="O176" i="273"/>
  <c r="R176" i="273" s="1"/>
  <c r="P176" i="273"/>
  <c r="Q176" i="273" s="1"/>
  <c r="N176" i="273"/>
  <c r="M314" i="273"/>
  <c r="N313" i="273"/>
  <c r="O313" i="273"/>
  <c r="R313" i="273" s="1"/>
  <c r="P313" i="273"/>
  <c r="Q313" i="273" s="1"/>
  <c r="N174" i="273"/>
  <c r="P174" i="273"/>
  <c r="Q174" i="273" s="1"/>
  <c r="M175" i="273"/>
  <c r="O174" i="273"/>
  <c r="R174" i="273" s="1"/>
  <c r="N196" i="273"/>
  <c r="P196" i="273"/>
  <c r="Q196" i="273" s="1"/>
  <c r="O196" i="273"/>
  <c r="R196" i="273" s="1"/>
  <c r="P193" i="273"/>
  <c r="Q193" i="273" s="1"/>
  <c r="O193" i="273"/>
  <c r="R193" i="273" s="1"/>
  <c r="N193" i="273"/>
  <c r="N171" i="273"/>
  <c r="P171" i="273"/>
  <c r="Q171" i="273" s="1"/>
  <c r="M172" i="273"/>
  <c r="O171" i="273"/>
  <c r="R171" i="273" s="1"/>
  <c r="P296" i="273"/>
  <c r="Q296" i="273" s="1"/>
  <c r="O296" i="273"/>
  <c r="R296" i="273" s="1"/>
  <c r="N296" i="273"/>
  <c r="R31" i="275"/>
  <c r="I102" i="275"/>
  <c r="P102" i="275" s="1"/>
  <c r="H112" i="275"/>
  <c r="O112" i="275" s="1"/>
  <c r="I114" i="275"/>
  <c r="P114" i="275" s="1"/>
  <c r="H115" i="275"/>
  <c r="O115" i="275" s="1"/>
  <c r="I112" i="275"/>
  <c r="P112" i="275" s="1"/>
  <c r="H113" i="275"/>
  <c r="O113" i="275" s="1"/>
  <c r="I113" i="275"/>
  <c r="P113" i="275" s="1"/>
  <c r="H114" i="275"/>
  <c r="O114" i="275" s="1"/>
  <c r="S27" i="275"/>
  <c r="I70" i="275"/>
  <c r="P70" i="275" s="1"/>
  <c r="H79" i="275"/>
  <c r="O79" i="275" s="1"/>
  <c r="I82" i="275"/>
  <c r="P82" i="275" s="1"/>
  <c r="H80" i="275"/>
  <c r="O80" i="275" s="1"/>
  <c r="I89" i="275"/>
  <c r="P89" i="275" s="1"/>
  <c r="R27" i="275"/>
  <c r="Q30" i="275"/>
  <c r="S25" i="275"/>
  <c r="T23" i="275"/>
  <c r="E36" i="275" s="1"/>
  <c r="Q28" i="275"/>
  <c r="U223" i="273"/>
  <c r="B98" i="273"/>
  <c r="C93" i="256"/>
  <c r="M31" i="269"/>
  <c r="P31" i="269" s="1"/>
  <c r="L31" i="269"/>
  <c r="N31" i="269"/>
  <c r="O31" i="269" s="1"/>
  <c r="I31" i="269"/>
  <c r="I30" i="269"/>
  <c r="J23" i="269"/>
  <c r="D21" i="269"/>
  <c r="B22" i="269"/>
  <c r="J20" i="269"/>
  <c r="K22" i="269"/>
  <c r="K32" i="269"/>
  <c r="D20" i="269"/>
  <c r="B35" i="256"/>
  <c r="Y10" i="256"/>
  <c r="C51" i="256"/>
  <c r="J45" i="256" s="1"/>
  <c r="K45" i="256" s="1"/>
  <c r="C52" i="256"/>
  <c r="T63" i="256"/>
  <c r="V62" i="256" s="1"/>
  <c r="C86" i="256"/>
  <c r="T80" i="256"/>
  <c r="V79" i="256" s="1"/>
  <c r="B51" i="256"/>
  <c r="J43" i="256" s="1"/>
  <c r="K43" i="256" s="1"/>
  <c r="B86" i="256"/>
  <c r="T11" i="256"/>
  <c r="V10" i="256" s="1"/>
  <c r="C85" i="256"/>
  <c r="Y67" i="256"/>
  <c r="J10" i="256"/>
  <c r="K10" i="256" s="1"/>
  <c r="C35" i="256"/>
  <c r="T46" i="256"/>
  <c r="V45" i="256" s="1"/>
  <c r="Y49" i="256"/>
  <c r="Y33" i="256"/>
  <c r="Y32" i="256"/>
  <c r="T29" i="256"/>
  <c r="V28" i="256" s="1"/>
  <c r="D34" i="256"/>
  <c r="AF5" i="101"/>
  <c r="D8" i="253"/>
  <c r="C14" i="253" s="1"/>
  <c r="J16" i="253" s="1"/>
  <c r="N6" i="253"/>
  <c r="G43" i="252"/>
  <c r="F43" i="252"/>
  <c r="V81" i="252" s="1"/>
  <c r="G42" i="252"/>
  <c r="F42" i="252"/>
  <c r="V80" i="252" s="1"/>
  <c r="G41" i="252"/>
  <c r="F41" i="252"/>
  <c r="V79" i="252" s="1"/>
  <c r="G40" i="252"/>
  <c r="F40" i="252"/>
  <c r="V78" i="252" s="1"/>
  <c r="G39" i="252"/>
  <c r="F39" i="252"/>
  <c r="V77" i="252" s="1"/>
  <c r="G38" i="252"/>
  <c r="F38" i="252"/>
  <c r="V76" i="252" s="1"/>
  <c r="G37" i="252"/>
  <c r="F37" i="252"/>
  <c r="V75" i="252" s="1"/>
  <c r="G36" i="252"/>
  <c r="F36" i="252"/>
  <c r="V74" i="252" s="1"/>
  <c r="G35" i="252"/>
  <c r="F35" i="252"/>
  <c r="V73" i="252" s="1"/>
  <c r="G34" i="252"/>
  <c r="F34" i="252"/>
  <c r="G33" i="252"/>
  <c r="F33" i="252"/>
  <c r="V71" i="252" s="1"/>
  <c r="G32" i="252"/>
  <c r="F32" i="252"/>
  <c r="V70" i="252" s="1"/>
  <c r="G31" i="252"/>
  <c r="F31" i="252"/>
  <c r="V69" i="252" s="1"/>
  <c r="G30" i="252"/>
  <c r="F30" i="252"/>
  <c r="V68" i="252" s="1"/>
  <c r="E30" i="252"/>
  <c r="E31" i="252" s="1"/>
  <c r="E32" i="252" s="1"/>
  <c r="E33" i="252" s="1"/>
  <c r="E34" i="252" s="1"/>
  <c r="E35" i="252" s="1"/>
  <c r="E36" i="252" s="1"/>
  <c r="E37" i="252" s="1"/>
  <c r="E38" i="252" s="1"/>
  <c r="E39" i="252" s="1"/>
  <c r="E40" i="252" s="1"/>
  <c r="E41" i="252" s="1"/>
  <c r="E42" i="252" s="1"/>
  <c r="E43" i="252" s="1"/>
  <c r="I47" i="252" s="1"/>
  <c r="G29" i="252"/>
  <c r="F29" i="252"/>
  <c r="F18" i="252"/>
  <c r="S79" i="252" s="1"/>
  <c r="G18" i="252"/>
  <c r="F19" i="252"/>
  <c r="S80" i="252" s="1"/>
  <c r="G19" i="252"/>
  <c r="F20" i="252"/>
  <c r="S81" i="252" s="1"/>
  <c r="G20" i="252"/>
  <c r="F7" i="252"/>
  <c r="S68" i="252" s="1"/>
  <c r="G7" i="252"/>
  <c r="F8" i="252"/>
  <c r="S69" i="252" s="1"/>
  <c r="G8" i="252"/>
  <c r="F9" i="252"/>
  <c r="S70" i="252" s="1"/>
  <c r="G9" i="252"/>
  <c r="F10" i="252"/>
  <c r="S71" i="252" s="1"/>
  <c r="G10" i="252"/>
  <c r="F11" i="252"/>
  <c r="S72" i="252" s="1"/>
  <c r="G11" i="252"/>
  <c r="F12" i="252"/>
  <c r="S73" i="252" s="1"/>
  <c r="G12" i="252"/>
  <c r="F13" i="252"/>
  <c r="S74" i="252" s="1"/>
  <c r="G13" i="252"/>
  <c r="F14" i="252"/>
  <c r="S75" i="252" s="1"/>
  <c r="G14" i="252"/>
  <c r="F15" i="252"/>
  <c r="S76" i="252" s="1"/>
  <c r="G15" i="252"/>
  <c r="F16" i="252"/>
  <c r="S77" i="252" s="1"/>
  <c r="G16" i="252"/>
  <c r="F17" i="252"/>
  <c r="S78" i="252" s="1"/>
  <c r="G17" i="252"/>
  <c r="G6" i="252"/>
  <c r="F6" i="252"/>
  <c r="E7" i="252"/>
  <c r="E8" i="252" s="1"/>
  <c r="E9" i="252" s="1"/>
  <c r="E10" i="252" s="1"/>
  <c r="E11" i="252" s="1"/>
  <c r="E12" i="252" s="1"/>
  <c r="E13" i="252" s="1"/>
  <c r="E14" i="252" s="1"/>
  <c r="E15" i="252" s="1"/>
  <c r="E16" i="252" s="1"/>
  <c r="E17" i="252" s="1"/>
  <c r="E18" i="252" s="1"/>
  <c r="E19" i="252" s="1"/>
  <c r="E20" i="252" s="1"/>
  <c r="I24" i="252" s="1"/>
  <c r="O18" i="251"/>
  <c r="I14" i="251"/>
  <c r="G14" i="251"/>
  <c r="F14" i="251"/>
  <c r="I13" i="251"/>
  <c r="G13" i="251"/>
  <c r="F13" i="251"/>
  <c r="I12" i="251"/>
  <c r="G12" i="251"/>
  <c r="F12" i="251"/>
  <c r="I11" i="251"/>
  <c r="G11" i="251"/>
  <c r="F11" i="251"/>
  <c r="I10" i="251"/>
  <c r="G10" i="251"/>
  <c r="F10" i="251"/>
  <c r="I9" i="251"/>
  <c r="G9" i="251"/>
  <c r="F9" i="251"/>
  <c r="I8" i="251"/>
  <c r="G8" i="251"/>
  <c r="F8" i="251"/>
  <c r="I7" i="251"/>
  <c r="G7" i="251"/>
  <c r="F7" i="251"/>
  <c r="I6" i="251"/>
  <c r="G6" i="251"/>
  <c r="F6" i="251"/>
  <c r="AB5" i="251"/>
  <c r="AB6" i="251" s="1"/>
  <c r="AB7" i="251" s="1"/>
  <c r="AB8" i="251" s="1"/>
  <c r="AB9" i="251" s="1"/>
  <c r="AB10" i="251" s="1"/>
  <c r="AB11" i="251" s="1"/>
  <c r="AB12" i="251" s="1"/>
  <c r="AB13" i="251" s="1"/>
  <c r="AB14" i="251" s="1"/>
  <c r="I5" i="251"/>
  <c r="G5" i="251"/>
  <c r="F5" i="251"/>
  <c r="I4" i="251"/>
  <c r="G4" i="251"/>
  <c r="F4" i="251"/>
  <c r="AL7" i="101" l="1"/>
  <c r="AL8" i="101" s="1"/>
  <c r="AL9" i="101"/>
  <c r="M79" i="256"/>
  <c r="M80" i="256"/>
  <c r="AF16" i="101"/>
  <c r="AF18" i="101" s="1"/>
  <c r="AF19" i="101" s="1"/>
  <c r="AF6" i="101"/>
  <c r="AF7" i="101" s="1"/>
  <c r="AF30" i="101"/>
  <c r="AF32" i="101" s="1"/>
  <c r="AF33" i="101" s="1"/>
  <c r="C22" i="278"/>
  <c r="C24" i="278"/>
  <c r="R107" i="273"/>
  <c r="U94" i="273" s="1"/>
  <c r="B103" i="273" s="1"/>
  <c r="C123" i="273" s="1"/>
  <c r="C34" i="275"/>
  <c r="F22" i="252"/>
  <c r="H34" i="252"/>
  <c r="I34" i="252" s="1"/>
  <c r="F46" i="252"/>
  <c r="H30" i="252"/>
  <c r="I30" i="252" s="1"/>
  <c r="V72" i="252"/>
  <c r="O12" i="277"/>
  <c r="F23" i="252"/>
  <c r="H40" i="252"/>
  <c r="I40" i="252" s="1"/>
  <c r="S67" i="252"/>
  <c r="H37" i="252"/>
  <c r="I37" i="252" s="1"/>
  <c r="O13" i="277"/>
  <c r="N7" i="253"/>
  <c r="P7" i="253" s="1"/>
  <c r="P6" i="253"/>
  <c r="H7" i="252"/>
  <c r="I7" i="252" s="1"/>
  <c r="H13" i="252"/>
  <c r="I13" i="252" s="1"/>
  <c r="H29" i="252"/>
  <c r="I29" i="252" s="1"/>
  <c r="V67" i="252"/>
  <c r="D22" i="269"/>
  <c r="O11" i="277"/>
  <c r="M44" i="282"/>
  <c r="M50" i="282" s="1"/>
  <c r="K44" i="282"/>
  <c r="K50" i="282" s="1"/>
  <c r="G50" i="282"/>
  <c r="N45" i="282"/>
  <c r="O45" i="282" s="1"/>
  <c r="N44" i="282"/>
  <c r="N43" i="282"/>
  <c r="N42" i="282"/>
  <c r="N40" i="282"/>
  <c r="N41" i="282"/>
  <c r="L41" i="282"/>
  <c r="L40" i="282"/>
  <c r="M41" i="282"/>
  <c r="M40" i="282"/>
  <c r="K43" i="282"/>
  <c r="K42" i="282"/>
  <c r="L42" i="282"/>
  <c r="L43" i="282"/>
  <c r="K40" i="282"/>
  <c r="K41" i="282"/>
  <c r="M42" i="282"/>
  <c r="M43" i="282"/>
  <c r="G52" i="282"/>
  <c r="G49" i="282"/>
  <c r="G46" i="282"/>
  <c r="G53" i="282"/>
  <c r="L50" i="282"/>
  <c r="G48" i="282"/>
  <c r="D24" i="278"/>
  <c r="K20" i="278"/>
  <c r="D22" i="278"/>
  <c r="A22" i="278"/>
  <c r="A25" i="278" s="1"/>
  <c r="G23" i="278" s="1"/>
  <c r="E23" i="278"/>
  <c r="B24" i="278"/>
  <c r="D36" i="275"/>
  <c r="Q31" i="275"/>
  <c r="D37" i="275"/>
  <c r="E37" i="275"/>
  <c r="E34" i="275"/>
  <c r="C36" i="275"/>
  <c r="O159" i="273"/>
  <c r="R159" i="273" s="1"/>
  <c r="O262" i="273"/>
  <c r="R262" i="273" s="1"/>
  <c r="P262" i="273"/>
  <c r="Q262" i="273" s="1"/>
  <c r="N208" i="273"/>
  <c r="O208" i="273"/>
  <c r="R208" i="273" s="1"/>
  <c r="R215" i="273" s="1"/>
  <c r="U202" i="273" s="1"/>
  <c r="U205" i="273" s="1"/>
  <c r="D97" i="273" s="1"/>
  <c r="P268" i="273"/>
  <c r="Q268" i="273" s="1"/>
  <c r="O268" i="273"/>
  <c r="R268" i="273" s="1"/>
  <c r="U79" i="273"/>
  <c r="U44" i="273"/>
  <c r="U46" i="273" s="1"/>
  <c r="E100" i="273" s="1"/>
  <c r="N159" i="273"/>
  <c r="U115" i="273"/>
  <c r="D105" i="273" s="1"/>
  <c r="P159" i="273"/>
  <c r="Q159" i="273" s="1"/>
  <c r="U61" i="273"/>
  <c r="D102" i="273" s="1"/>
  <c r="R305" i="273"/>
  <c r="U292" i="273" s="1"/>
  <c r="U295" i="273" s="1"/>
  <c r="U297" i="273" s="1"/>
  <c r="E95" i="273" s="1"/>
  <c r="Q25" i="275"/>
  <c r="R287" i="273"/>
  <c r="U274" i="273" s="1"/>
  <c r="U277" i="273" s="1"/>
  <c r="O151" i="273"/>
  <c r="R151" i="273" s="1"/>
  <c r="N151" i="273"/>
  <c r="R197" i="273"/>
  <c r="U184" i="273" s="1"/>
  <c r="B92" i="273" s="1"/>
  <c r="M152" i="273"/>
  <c r="N152" i="273" s="1"/>
  <c r="U241" i="273"/>
  <c r="B99" i="273"/>
  <c r="B101" i="273"/>
  <c r="U27" i="273"/>
  <c r="U135" i="273"/>
  <c r="E96" i="273" s="1"/>
  <c r="D96" i="273"/>
  <c r="Q27" i="275"/>
  <c r="B96" i="273"/>
  <c r="N172" i="273"/>
  <c r="O172" i="273"/>
  <c r="R172" i="273" s="1"/>
  <c r="P172" i="273"/>
  <c r="Q172" i="273" s="1"/>
  <c r="N175" i="273"/>
  <c r="P175" i="273"/>
  <c r="Q175" i="273" s="1"/>
  <c r="O175" i="273"/>
  <c r="R175" i="273" s="1"/>
  <c r="T22" i="275"/>
  <c r="N314" i="273"/>
  <c r="M315" i="273"/>
  <c r="P314" i="273"/>
  <c r="Q314" i="273" s="1"/>
  <c r="O314" i="273"/>
  <c r="R314" i="273" s="1"/>
  <c r="N177" i="273"/>
  <c r="O177" i="273"/>
  <c r="R177" i="273" s="1"/>
  <c r="P177" i="273"/>
  <c r="Q177" i="273" s="1"/>
  <c r="M178" i="273"/>
  <c r="I108" i="275"/>
  <c r="P108" i="275" s="1"/>
  <c r="H125" i="275"/>
  <c r="O125" i="275" s="1"/>
  <c r="I127" i="275"/>
  <c r="P127" i="275" s="1"/>
  <c r="H106" i="275"/>
  <c r="O106" i="275" s="1"/>
  <c r="H105" i="275"/>
  <c r="O105" i="275" s="1"/>
  <c r="I115" i="275"/>
  <c r="P115" i="275" s="1"/>
  <c r="H127" i="275"/>
  <c r="O127" i="275" s="1"/>
  <c r="H126" i="275"/>
  <c r="O126" i="275" s="1"/>
  <c r="I125" i="275"/>
  <c r="P125" i="275" s="1"/>
  <c r="I126" i="275"/>
  <c r="P126" i="275" s="1"/>
  <c r="H128" i="275"/>
  <c r="O128" i="275" s="1"/>
  <c r="I95" i="275"/>
  <c r="P95" i="275" s="1"/>
  <c r="I83" i="275"/>
  <c r="P83" i="275" s="1"/>
  <c r="H93" i="275"/>
  <c r="O93" i="275" s="1"/>
  <c r="H92" i="275"/>
  <c r="O92" i="275" s="1"/>
  <c r="U225" i="273"/>
  <c r="E98" i="273" s="1"/>
  <c r="D98" i="273"/>
  <c r="O160" i="273"/>
  <c r="R160" i="273" s="1"/>
  <c r="N160" i="273"/>
  <c r="P160" i="273"/>
  <c r="Q160" i="273" s="1"/>
  <c r="Y14" i="256"/>
  <c r="C94" i="256"/>
  <c r="K20" i="269"/>
  <c r="K30" i="269"/>
  <c r="M32" i="269"/>
  <c r="P32" i="269" s="1"/>
  <c r="L32" i="269"/>
  <c r="N32" i="269"/>
  <c r="O32" i="269" s="1"/>
  <c r="K23" i="269"/>
  <c r="K33" i="269"/>
  <c r="D85" i="256"/>
  <c r="B87" i="256"/>
  <c r="D52" i="256"/>
  <c r="J46" i="256"/>
  <c r="K46" i="256" s="1"/>
  <c r="R27" i="256" a="1"/>
  <c r="S27" i="256" s="1"/>
  <c r="J29" i="256"/>
  <c r="K29" i="256" s="1"/>
  <c r="Y15" i="256"/>
  <c r="B36" i="256"/>
  <c r="J27" i="256"/>
  <c r="K27" i="256" s="1"/>
  <c r="D35" i="256"/>
  <c r="D36" i="256" s="1"/>
  <c r="J11" i="256"/>
  <c r="K11" i="256" s="1"/>
  <c r="J8" i="256"/>
  <c r="K8" i="256" s="1"/>
  <c r="D86" i="256"/>
  <c r="C87" i="256"/>
  <c r="B68" i="256"/>
  <c r="J60" i="256" s="1"/>
  <c r="K60" i="256" s="1"/>
  <c r="C68" i="256"/>
  <c r="J62" i="256" s="1"/>
  <c r="K62" i="256" s="1"/>
  <c r="B69" i="256"/>
  <c r="J61" i="256" s="1"/>
  <c r="K61" i="256" s="1"/>
  <c r="C69" i="256"/>
  <c r="J63" i="256" s="1"/>
  <c r="K63" i="256" s="1"/>
  <c r="R78" i="256" a="1"/>
  <c r="R9" i="256" a="1"/>
  <c r="C53" i="256"/>
  <c r="B53" i="256"/>
  <c r="R44" i="256" a="1"/>
  <c r="D51" i="256"/>
  <c r="C36" i="256"/>
  <c r="C15" i="253"/>
  <c r="B14" i="253"/>
  <c r="B15" i="253"/>
  <c r="N8" i="253"/>
  <c r="K16" i="253"/>
  <c r="H42" i="252"/>
  <c r="I42" i="252" s="1"/>
  <c r="H36" i="252"/>
  <c r="I36" i="252" s="1"/>
  <c r="H32" i="252"/>
  <c r="I32" i="252" s="1"/>
  <c r="H41" i="252"/>
  <c r="I41" i="252" s="1"/>
  <c r="H38" i="252"/>
  <c r="I38" i="252" s="1"/>
  <c r="H35" i="252"/>
  <c r="I35" i="252" s="1"/>
  <c r="H31" i="252"/>
  <c r="I31" i="252" s="1"/>
  <c r="H43" i="252"/>
  <c r="I43" i="252" s="1"/>
  <c r="H39" i="252"/>
  <c r="I39" i="252" s="1"/>
  <c r="H33" i="252"/>
  <c r="I33" i="252" s="1"/>
  <c r="F45" i="252"/>
  <c r="H9" i="252"/>
  <c r="I9" i="252" s="1"/>
  <c r="H6" i="252"/>
  <c r="I6" i="252" s="1"/>
  <c r="H17" i="252"/>
  <c r="I17" i="252" s="1"/>
  <c r="H18" i="252"/>
  <c r="I18" i="252" s="1"/>
  <c r="H14" i="252"/>
  <c r="I14" i="252" s="1"/>
  <c r="H10" i="252"/>
  <c r="I10" i="252" s="1"/>
  <c r="H20" i="252"/>
  <c r="I20" i="252" s="1"/>
  <c r="H16" i="252"/>
  <c r="I16" i="252" s="1"/>
  <c r="H12" i="252"/>
  <c r="I12" i="252" s="1"/>
  <c r="H8" i="252"/>
  <c r="I8" i="252" s="1"/>
  <c r="H19" i="252"/>
  <c r="I19" i="252" s="1"/>
  <c r="H15" i="252"/>
  <c r="I15" i="252" s="1"/>
  <c r="H11" i="252"/>
  <c r="I11" i="252" s="1"/>
  <c r="E17" i="251" a="1"/>
  <c r="AF9" i="101" l="1"/>
  <c r="AF10" i="101" s="1"/>
  <c r="R28" i="256"/>
  <c r="C25" i="278"/>
  <c r="I23" i="278" s="1"/>
  <c r="B132" i="273"/>
  <c r="D132" i="273" s="1"/>
  <c r="D135" i="273" s="1"/>
  <c r="U97" i="273"/>
  <c r="D103" i="273" s="1"/>
  <c r="D25" i="278"/>
  <c r="J23" i="278" s="1"/>
  <c r="J20" i="252"/>
  <c r="J41" i="252"/>
  <c r="J10" i="252"/>
  <c r="O44" i="282"/>
  <c r="J17" i="252"/>
  <c r="E24" i="278"/>
  <c r="J12" i="252"/>
  <c r="J15" i="252"/>
  <c r="J19" i="252"/>
  <c r="J13" i="252"/>
  <c r="J16" i="252"/>
  <c r="J14" i="252"/>
  <c r="J6" i="252"/>
  <c r="J11" i="252"/>
  <c r="J8" i="252"/>
  <c r="J18" i="252"/>
  <c r="J7" i="252"/>
  <c r="J9" i="252"/>
  <c r="N9" i="253"/>
  <c r="P9" i="253" s="1"/>
  <c r="P8" i="253"/>
  <c r="D53" i="256"/>
  <c r="N49" i="282"/>
  <c r="N53" i="282"/>
  <c r="V43" i="282" s="1"/>
  <c r="O40" i="282"/>
  <c r="L53" i="282"/>
  <c r="T45" i="282" s="1"/>
  <c r="M48" i="282"/>
  <c r="L49" i="282"/>
  <c r="O42" i="282"/>
  <c r="K52" i="282"/>
  <c r="S44" i="282" s="1"/>
  <c r="M52" i="282"/>
  <c r="U44" i="282" s="1"/>
  <c r="N48" i="282"/>
  <c r="O41" i="282"/>
  <c r="O43" i="282"/>
  <c r="M49" i="282"/>
  <c r="K53" i="282"/>
  <c r="S45" i="282" s="1"/>
  <c r="N46" i="282"/>
  <c r="K48" i="282"/>
  <c r="M46" i="282"/>
  <c r="N52" i="282"/>
  <c r="V40" i="282" s="1"/>
  <c r="M53" i="282"/>
  <c r="K49" i="282"/>
  <c r="L46" i="282"/>
  <c r="L48" i="282"/>
  <c r="L52" i="282"/>
  <c r="T44" i="282" s="1"/>
  <c r="N50" i="282"/>
  <c r="O50" i="282" s="1"/>
  <c r="K46" i="282"/>
  <c r="E22" i="278"/>
  <c r="B25" i="278"/>
  <c r="H23" i="278" s="1"/>
  <c r="G22" i="278"/>
  <c r="G24" i="278"/>
  <c r="K24" i="269"/>
  <c r="N20" i="269" s="1"/>
  <c r="N22" i="269" s="1"/>
  <c r="P22" i="269" s="1"/>
  <c r="F37" i="275"/>
  <c r="T25" i="275"/>
  <c r="E35" i="275"/>
  <c r="D35" i="275"/>
  <c r="C35" i="275"/>
  <c r="B97" i="273"/>
  <c r="U207" i="273"/>
  <c r="E97" i="273" s="1"/>
  <c r="R269" i="273"/>
  <c r="U256" i="273" s="1"/>
  <c r="M153" i="273"/>
  <c r="P153" i="273" s="1"/>
  <c r="Q153" i="273" s="1"/>
  <c r="O152" i="273"/>
  <c r="R152" i="273" s="1"/>
  <c r="D100" i="273"/>
  <c r="U187" i="273"/>
  <c r="U189" i="273" s="1"/>
  <c r="E92" i="273" s="1"/>
  <c r="B94" i="273"/>
  <c r="U117" i="273"/>
  <c r="E105" i="273" s="1"/>
  <c r="U63" i="273"/>
  <c r="E102" i="273" s="1"/>
  <c r="U81" i="273"/>
  <c r="E104" i="273" s="1"/>
  <c r="D104" i="273"/>
  <c r="D95" i="273"/>
  <c r="B95" i="273"/>
  <c r="P152" i="273"/>
  <c r="Q152" i="273" s="1"/>
  <c r="U243" i="273"/>
  <c r="E99" i="273" s="1"/>
  <c r="D99" i="273"/>
  <c r="D101" i="273"/>
  <c r="U29" i="273"/>
  <c r="E101" i="273" s="1"/>
  <c r="U279" i="273"/>
  <c r="E94" i="273" s="1"/>
  <c r="D94" i="273"/>
  <c r="O315" i="273"/>
  <c r="R315" i="273" s="1"/>
  <c r="M316" i="273"/>
  <c r="P315" i="273"/>
  <c r="Q315" i="273" s="1"/>
  <c r="N315" i="273"/>
  <c r="O178" i="273"/>
  <c r="R178" i="273" s="1"/>
  <c r="R179" i="273" s="1"/>
  <c r="U166" i="273" s="1"/>
  <c r="P178" i="273"/>
  <c r="Q178" i="273" s="1"/>
  <c r="N178" i="273"/>
  <c r="I96" i="275"/>
  <c r="P96" i="275" s="1"/>
  <c r="H139" i="275"/>
  <c r="O139" i="275" s="1"/>
  <c r="H152" i="275"/>
  <c r="O152" i="275" s="1"/>
  <c r="H138" i="275"/>
  <c r="O138" i="275" s="1"/>
  <c r="H151" i="275"/>
  <c r="O151" i="275" s="1"/>
  <c r="H141" i="275"/>
  <c r="O141" i="275" s="1"/>
  <c r="H154" i="275"/>
  <c r="O154" i="275" s="1"/>
  <c r="I138" i="275"/>
  <c r="P138" i="275" s="1"/>
  <c r="I151" i="275"/>
  <c r="P151" i="275" s="1"/>
  <c r="H140" i="275"/>
  <c r="O140" i="275" s="1"/>
  <c r="H153" i="275"/>
  <c r="O153" i="275" s="1"/>
  <c r="H118" i="275"/>
  <c r="O118" i="275" s="1"/>
  <c r="I140" i="275"/>
  <c r="P140" i="275" s="1"/>
  <c r="I153" i="275"/>
  <c r="P153" i="275" s="1"/>
  <c r="I121" i="275"/>
  <c r="P121" i="275" s="1"/>
  <c r="I128" i="275"/>
  <c r="P128" i="275" s="1"/>
  <c r="H119" i="275"/>
  <c r="O119" i="275" s="1"/>
  <c r="I139" i="275"/>
  <c r="P139" i="275" s="1"/>
  <c r="I152" i="275"/>
  <c r="P152" i="275" s="1"/>
  <c r="D41" i="275"/>
  <c r="K36" i="275" s="1"/>
  <c r="F34" i="275"/>
  <c r="S28" i="256"/>
  <c r="R27" i="256"/>
  <c r="M33" i="269"/>
  <c r="P33" i="269" s="1"/>
  <c r="L33" i="269"/>
  <c r="N33" i="269"/>
  <c r="O33" i="269" s="1"/>
  <c r="N30" i="269"/>
  <c r="O30" i="269" s="1"/>
  <c r="M30" i="269"/>
  <c r="P30" i="269" s="1"/>
  <c r="P34" i="269" s="1"/>
  <c r="S28" i="269" s="1"/>
  <c r="S32" i="269" s="1"/>
  <c r="S33" i="269" s="1"/>
  <c r="L30" i="269"/>
  <c r="D87" i="256"/>
  <c r="O79" i="256"/>
  <c r="M60" i="256"/>
  <c r="O60" i="256" s="1"/>
  <c r="M43" i="256"/>
  <c r="M26" i="256"/>
  <c r="C70" i="256"/>
  <c r="D69" i="256"/>
  <c r="S78" i="256"/>
  <c r="R79" i="256"/>
  <c r="S79" i="256"/>
  <c r="R78" i="256"/>
  <c r="D68" i="256"/>
  <c r="B70" i="256"/>
  <c r="R61" i="256" a="1"/>
  <c r="S61" i="256" s="1"/>
  <c r="S10" i="256"/>
  <c r="R10" i="256"/>
  <c r="S9" i="256"/>
  <c r="R9" i="256"/>
  <c r="J9" i="256"/>
  <c r="K9" i="256" s="1"/>
  <c r="M8" i="256" s="1"/>
  <c r="M11" i="256" s="1"/>
  <c r="O11" i="256" s="1"/>
  <c r="R44" i="256"/>
  <c r="S45" i="256"/>
  <c r="R45" i="256"/>
  <c r="S44" i="256"/>
  <c r="B16" i="253"/>
  <c r="J15" i="253"/>
  <c r="K15" i="253" s="1"/>
  <c r="N14" i="253" s="1"/>
  <c r="P14" i="253" s="1"/>
  <c r="J14" i="253"/>
  <c r="K14" i="253" s="1"/>
  <c r="D15" i="253"/>
  <c r="J17" i="253"/>
  <c r="K17" i="253" s="1"/>
  <c r="C16" i="253"/>
  <c r="D14" i="253"/>
  <c r="J34" i="252"/>
  <c r="J39" i="252"/>
  <c r="J40" i="252"/>
  <c r="J38" i="252"/>
  <c r="J42" i="252"/>
  <c r="J36" i="252"/>
  <c r="J37" i="252"/>
  <c r="J31" i="252"/>
  <c r="J35" i="252"/>
  <c r="J33" i="252"/>
  <c r="J29" i="252"/>
  <c r="J43" i="252"/>
  <c r="J32" i="252"/>
  <c r="J30" i="252"/>
  <c r="I46" i="252"/>
  <c r="I48" i="252" s="1"/>
  <c r="I23" i="252"/>
  <c r="F19" i="251"/>
  <c r="E18" i="251"/>
  <c r="G18" i="251"/>
  <c r="F17" i="251"/>
  <c r="G19" i="251"/>
  <c r="F18" i="251"/>
  <c r="E17" i="251"/>
  <c r="E19" i="251"/>
  <c r="G17" i="251"/>
  <c r="W83" i="256"/>
  <c r="W50" i="256"/>
  <c r="W33" i="256"/>
  <c r="W84" i="256"/>
  <c r="W15" i="256"/>
  <c r="W14" i="256"/>
  <c r="W49" i="256"/>
  <c r="W32" i="256"/>
  <c r="I24" i="278" l="1"/>
  <c r="J22" i="278"/>
  <c r="K23" i="278"/>
  <c r="A28" i="278" s="1"/>
  <c r="J24" i="278"/>
  <c r="I22" i="278"/>
  <c r="U99" i="273"/>
  <c r="E103" i="273" s="1"/>
  <c r="N23" i="269"/>
  <c r="P23" i="269" s="1"/>
  <c r="V45" i="282"/>
  <c r="V41" i="282"/>
  <c r="V48" i="282" s="1"/>
  <c r="V42" i="282"/>
  <c r="S41" i="282"/>
  <c r="V44" i="282"/>
  <c r="W44" i="282" s="1"/>
  <c r="E60" i="282" s="1"/>
  <c r="T40" i="282"/>
  <c r="S43" i="282"/>
  <c r="T42" i="282"/>
  <c r="S42" i="282"/>
  <c r="S40" i="282"/>
  <c r="U45" i="282"/>
  <c r="U43" i="282"/>
  <c r="U41" i="282"/>
  <c r="T41" i="282"/>
  <c r="T43" i="282"/>
  <c r="U40" i="282"/>
  <c r="U42" i="282"/>
  <c r="O49" i="282"/>
  <c r="S50" i="282"/>
  <c r="O48" i="282"/>
  <c r="O53" i="282"/>
  <c r="O52" i="282"/>
  <c r="O46" i="282"/>
  <c r="G25" i="278"/>
  <c r="E25" i="278"/>
  <c r="H24" i="278"/>
  <c r="H22" i="278"/>
  <c r="N21" i="269"/>
  <c r="P21" i="269" s="1"/>
  <c r="P20" i="269"/>
  <c r="D44" i="275"/>
  <c r="B93" i="273"/>
  <c r="U259" i="273"/>
  <c r="M154" i="273"/>
  <c r="P154" i="273" s="1"/>
  <c r="Q154" i="273" s="1"/>
  <c r="O153" i="273"/>
  <c r="R153" i="273" s="1"/>
  <c r="N153" i="273"/>
  <c r="D92" i="273"/>
  <c r="C38" i="275"/>
  <c r="D40" i="275"/>
  <c r="K35" i="275" s="1"/>
  <c r="E38" i="275"/>
  <c r="O316" i="273"/>
  <c r="R316" i="273" s="1"/>
  <c r="P316" i="273"/>
  <c r="Q316" i="273" s="1"/>
  <c r="M317" i="273"/>
  <c r="N316" i="273"/>
  <c r="U169" i="273"/>
  <c r="B91" i="273"/>
  <c r="I141" i="275"/>
  <c r="P141" i="275" s="1"/>
  <c r="I154" i="275"/>
  <c r="P154" i="275" s="1"/>
  <c r="H132" i="275"/>
  <c r="O132" i="275" s="1"/>
  <c r="I134" i="275"/>
  <c r="P134" i="275" s="1"/>
  <c r="H131" i="275"/>
  <c r="O131" i="275" s="1"/>
  <c r="I109" i="275"/>
  <c r="P109" i="275" s="1"/>
  <c r="D43" i="275"/>
  <c r="C41" i="275"/>
  <c r="J37" i="275" s="1"/>
  <c r="F36" i="275"/>
  <c r="D38" i="275"/>
  <c r="E41" i="275"/>
  <c r="E43" i="275"/>
  <c r="C43" i="275"/>
  <c r="K37" i="275"/>
  <c r="K41" i="275" s="1"/>
  <c r="O78" i="256"/>
  <c r="M63" i="256"/>
  <c r="O63" i="256" s="1"/>
  <c r="B95" i="256"/>
  <c r="B93" i="256"/>
  <c r="B92" i="256"/>
  <c r="B94" i="256"/>
  <c r="O77" i="256"/>
  <c r="O80" i="256"/>
  <c r="M62" i="256"/>
  <c r="O62" i="256" s="1"/>
  <c r="M61" i="256"/>
  <c r="O61" i="256" s="1"/>
  <c r="O43" i="256"/>
  <c r="M44" i="256"/>
  <c r="O44" i="256" s="1"/>
  <c r="M45" i="256"/>
  <c r="O45" i="256" s="1"/>
  <c r="M46" i="256"/>
  <c r="O46" i="256" s="1"/>
  <c r="O26" i="256"/>
  <c r="M27" i="256"/>
  <c r="O27" i="256" s="1"/>
  <c r="M28" i="256"/>
  <c r="O28" i="256" s="1"/>
  <c r="M29" i="256"/>
  <c r="O29" i="256" s="1"/>
  <c r="R62" i="256"/>
  <c r="R61" i="256"/>
  <c r="S62" i="256"/>
  <c r="X84" i="256"/>
  <c r="Z84" i="256"/>
  <c r="AA84" i="256"/>
  <c r="X83" i="256"/>
  <c r="Z83" i="256"/>
  <c r="AA83" i="256"/>
  <c r="D70" i="256"/>
  <c r="AA15" i="256"/>
  <c r="X15" i="256"/>
  <c r="D94" i="256" s="1"/>
  <c r="Z15" i="256"/>
  <c r="E94" i="256" s="1"/>
  <c r="X14" i="256"/>
  <c r="AA14" i="256"/>
  <c r="Z14" i="256"/>
  <c r="O8" i="256"/>
  <c r="M10" i="256"/>
  <c r="O10" i="256" s="1"/>
  <c r="M9" i="256"/>
  <c r="O9" i="256" s="1"/>
  <c r="X50" i="256"/>
  <c r="D93" i="256" s="1"/>
  <c r="AA50" i="256"/>
  <c r="Z50" i="256"/>
  <c r="E93" i="256" s="1"/>
  <c r="X49" i="256"/>
  <c r="AA49" i="256"/>
  <c r="Z49" i="256"/>
  <c r="AA33" i="256"/>
  <c r="X33" i="256"/>
  <c r="D92" i="256" s="1"/>
  <c r="Z33" i="256"/>
  <c r="E92" i="256" s="1"/>
  <c r="X32" i="256"/>
  <c r="AA32" i="256"/>
  <c r="Z32" i="256"/>
  <c r="D16" i="253"/>
  <c r="N15" i="253"/>
  <c r="P15" i="253" s="1"/>
  <c r="N16" i="253"/>
  <c r="P16" i="253" s="1"/>
  <c r="I25" i="252"/>
  <c r="N18" i="252" s="1"/>
  <c r="N29" i="252"/>
  <c r="N39" i="252"/>
  <c r="N43" i="252"/>
  <c r="N31" i="252"/>
  <c r="N35" i="252"/>
  <c r="N42" i="252"/>
  <c r="N34" i="252"/>
  <c r="N33" i="252"/>
  <c r="N37" i="252"/>
  <c r="N41" i="252"/>
  <c r="N38" i="252"/>
  <c r="N30" i="252"/>
  <c r="N36" i="252"/>
  <c r="N40" i="252"/>
  <c r="N32" i="252"/>
  <c r="N10" i="252"/>
  <c r="K4" i="251" a="1"/>
  <c r="Q4" i="251" a="1"/>
  <c r="W66" i="256"/>
  <c r="W67" i="256"/>
  <c r="I25" i="278" l="1"/>
  <c r="H25" i="278"/>
  <c r="C28" i="278"/>
  <c r="J25" i="278"/>
  <c r="K24" i="278"/>
  <c r="C29" i="278" s="1"/>
  <c r="B28" i="278"/>
  <c r="D28" i="278"/>
  <c r="K31" i="252"/>
  <c r="L31" i="252" s="1"/>
  <c r="O31" i="252" s="1"/>
  <c r="K35" i="252"/>
  <c r="L35" i="252" s="1"/>
  <c r="O35" i="252" s="1"/>
  <c r="K39" i="252"/>
  <c r="L39" i="252" s="1"/>
  <c r="K43" i="252"/>
  <c r="L43" i="252" s="1"/>
  <c r="K33" i="252"/>
  <c r="L33" i="252" s="1"/>
  <c r="K37" i="252"/>
  <c r="L37" i="252" s="1"/>
  <c r="K41" i="252"/>
  <c r="L41" i="252" s="1"/>
  <c r="K30" i="252"/>
  <c r="L30" i="252" s="1"/>
  <c r="K34" i="252"/>
  <c r="L34" i="252" s="1"/>
  <c r="K38" i="252"/>
  <c r="L38" i="252" s="1"/>
  <c r="K42" i="252"/>
  <c r="L42" i="252" s="1"/>
  <c r="K32" i="252"/>
  <c r="L32" i="252" s="1"/>
  <c r="O32" i="252" s="1"/>
  <c r="K36" i="252"/>
  <c r="L36" i="252" s="1"/>
  <c r="K40" i="252"/>
  <c r="L40" i="252" s="1"/>
  <c r="K29" i="252"/>
  <c r="L29" i="252" s="1"/>
  <c r="N20" i="252"/>
  <c r="N13" i="252"/>
  <c r="N6" i="252"/>
  <c r="N15" i="252"/>
  <c r="N8" i="252"/>
  <c r="W45" i="282"/>
  <c r="F61" i="282" s="1"/>
  <c r="V53" i="282"/>
  <c r="S48" i="282"/>
  <c r="S52" i="282"/>
  <c r="T53" i="282"/>
  <c r="D60" i="282"/>
  <c r="W41" i="282"/>
  <c r="E57" i="282" s="1"/>
  <c r="U50" i="282"/>
  <c r="E61" i="282"/>
  <c r="U52" i="282"/>
  <c r="F60" i="282"/>
  <c r="C60" i="282"/>
  <c r="W42" i="282"/>
  <c r="F58" i="282" s="1"/>
  <c r="S49" i="282"/>
  <c r="W43" i="282"/>
  <c r="F59" i="282" s="1"/>
  <c r="W40" i="282"/>
  <c r="E56" i="282" s="1"/>
  <c r="S53" i="282"/>
  <c r="S46" i="282"/>
  <c r="U53" i="282"/>
  <c r="U46" i="282"/>
  <c r="U48" i="282"/>
  <c r="U49" i="282"/>
  <c r="V49" i="282"/>
  <c r="T49" i="282"/>
  <c r="V50" i="282"/>
  <c r="T50" i="282"/>
  <c r="V46" i="282"/>
  <c r="V52" i="282"/>
  <c r="T52" i="282"/>
  <c r="T48" i="282"/>
  <c r="T46" i="282"/>
  <c r="K22" i="278"/>
  <c r="B27" i="278" s="1"/>
  <c r="N154" i="273"/>
  <c r="U261" i="273"/>
  <c r="E93" i="273" s="1"/>
  <c r="D93" i="273"/>
  <c r="O154" i="273"/>
  <c r="R154" i="273" s="1"/>
  <c r="R161" i="273" s="1"/>
  <c r="U148" i="273" s="1"/>
  <c r="U151" i="273" s="1"/>
  <c r="U153" i="273" s="1"/>
  <c r="E90" i="273" s="1"/>
  <c r="F35" i="275"/>
  <c r="F38" i="275" s="1"/>
  <c r="K34" i="275"/>
  <c r="K43" i="275" s="1"/>
  <c r="R36" i="275" s="1"/>
  <c r="C44" i="275"/>
  <c r="C40" i="275"/>
  <c r="E40" i="275"/>
  <c r="E44" i="275"/>
  <c r="M318" i="273"/>
  <c r="P317" i="273"/>
  <c r="Q317" i="273" s="1"/>
  <c r="O317" i="273"/>
  <c r="R317" i="273" s="1"/>
  <c r="N317" i="273"/>
  <c r="U171" i="273"/>
  <c r="E91" i="273" s="1"/>
  <c r="D91" i="273"/>
  <c r="I147" i="275"/>
  <c r="P147" i="275" s="1"/>
  <c r="I160" i="275"/>
  <c r="P160" i="275" s="1"/>
  <c r="I122" i="275"/>
  <c r="P122" i="275" s="1"/>
  <c r="H144" i="275"/>
  <c r="O144" i="275" s="1"/>
  <c r="H157" i="275"/>
  <c r="O157" i="275" s="1"/>
  <c r="H145" i="275"/>
  <c r="O145" i="275" s="1"/>
  <c r="H158" i="275"/>
  <c r="O158" i="275" s="1"/>
  <c r="J36" i="275"/>
  <c r="L36" i="275"/>
  <c r="L37" i="275"/>
  <c r="K44" i="275"/>
  <c r="B91" i="256"/>
  <c r="AA67" i="256"/>
  <c r="Z67" i="256"/>
  <c r="E91" i="256" s="1"/>
  <c r="X67" i="256"/>
  <c r="D91" i="256" s="1"/>
  <c r="AA66" i="256"/>
  <c r="X66" i="256"/>
  <c r="Z66" i="256"/>
  <c r="N17" i="253"/>
  <c r="P17" i="253" s="1"/>
  <c r="K9" i="252"/>
  <c r="L9" i="252" s="1"/>
  <c r="K13" i="252"/>
  <c r="L13" i="252" s="1"/>
  <c r="K17" i="252"/>
  <c r="L17" i="252" s="1"/>
  <c r="K6" i="252"/>
  <c r="L6" i="252" s="1"/>
  <c r="K10" i="252"/>
  <c r="L10" i="252" s="1"/>
  <c r="K14" i="252"/>
  <c r="L14" i="252" s="1"/>
  <c r="K18" i="252"/>
  <c r="L18" i="252" s="1"/>
  <c r="K7" i="252"/>
  <c r="L7" i="252" s="1"/>
  <c r="K11" i="252"/>
  <c r="L11" i="252" s="1"/>
  <c r="K15" i="252"/>
  <c r="L15" i="252" s="1"/>
  <c r="K19" i="252"/>
  <c r="L19" i="252" s="1"/>
  <c r="K8" i="252"/>
  <c r="L8" i="252" s="1"/>
  <c r="K12" i="252"/>
  <c r="L12" i="252" s="1"/>
  <c r="K16" i="252"/>
  <c r="L16" i="252" s="1"/>
  <c r="K20" i="252"/>
  <c r="L20" i="252" s="1"/>
  <c r="N11" i="252"/>
  <c r="N9" i="252"/>
  <c r="N19" i="252"/>
  <c r="N17" i="252"/>
  <c r="N7" i="252"/>
  <c r="N12" i="252"/>
  <c r="N14" i="252"/>
  <c r="N16" i="252"/>
  <c r="Y14" i="251"/>
  <c r="U14" i="251"/>
  <c r="Q14" i="251"/>
  <c r="X13" i="251"/>
  <c r="T13" i="251"/>
  <c r="AA12" i="251"/>
  <c r="W12" i="251"/>
  <c r="S12" i="251"/>
  <c r="Z11" i="251"/>
  <c r="V11" i="251"/>
  <c r="R11" i="251"/>
  <c r="Y10" i="251"/>
  <c r="U10" i="251"/>
  <c r="Q10" i="251"/>
  <c r="X9" i="251"/>
  <c r="T9" i="251"/>
  <c r="AA8" i="251"/>
  <c r="W8" i="251"/>
  <c r="S8" i="251"/>
  <c r="Z7" i="251"/>
  <c r="V7" i="251"/>
  <c r="R7" i="251"/>
  <c r="Y6" i="251"/>
  <c r="U6" i="251"/>
  <c r="Q6" i="251"/>
  <c r="X5" i="251"/>
  <c r="T5" i="251"/>
  <c r="AA4" i="251"/>
  <c r="W4" i="251"/>
  <c r="S4" i="251"/>
  <c r="AA14" i="251"/>
  <c r="X32" i="251" s="1"/>
  <c r="W14" i="251"/>
  <c r="S14" i="251"/>
  <c r="Z13" i="251"/>
  <c r="X31" i="251" s="1"/>
  <c r="V13" i="251"/>
  <c r="R13" i="251"/>
  <c r="Y12" i="251"/>
  <c r="X30" i="251" s="1"/>
  <c r="U12" i="251"/>
  <c r="Q12" i="251"/>
  <c r="X11" i="251"/>
  <c r="X29" i="251" s="1"/>
  <c r="T11" i="251"/>
  <c r="AA10" i="251"/>
  <c r="W10" i="251"/>
  <c r="X28" i="251" s="1"/>
  <c r="S10" i="251"/>
  <c r="Z9" i="251"/>
  <c r="V9" i="251"/>
  <c r="X27" i="251" s="1"/>
  <c r="R9" i="251"/>
  <c r="Y8" i="251"/>
  <c r="U8" i="251"/>
  <c r="X26" i="251" s="1"/>
  <c r="Q8" i="251"/>
  <c r="X7" i="251"/>
  <c r="T7" i="251"/>
  <c r="X25" i="251" s="1"/>
  <c r="AA6" i="251"/>
  <c r="W6" i="251"/>
  <c r="S6" i="251"/>
  <c r="X24" i="251" s="1"/>
  <c r="Z5" i="251"/>
  <c r="V5" i="251"/>
  <c r="R5" i="251"/>
  <c r="X23" i="251" s="1"/>
  <c r="Y4" i="251"/>
  <c r="U4" i="251"/>
  <c r="Q4" i="251"/>
  <c r="X22" i="251" s="1"/>
  <c r="Z14" i="251"/>
  <c r="V14" i="251"/>
  <c r="R14" i="251"/>
  <c r="Y13" i="251"/>
  <c r="U13" i="251"/>
  <c r="Q13" i="251"/>
  <c r="X12" i="251"/>
  <c r="T12" i="251"/>
  <c r="AA11" i="251"/>
  <c r="W11" i="251"/>
  <c r="S11" i="251"/>
  <c r="Z10" i="251"/>
  <c r="V10" i="251"/>
  <c r="R10" i="251"/>
  <c r="Y9" i="251"/>
  <c r="U9" i="251"/>
  <c r="Q9" i="251"/>
  <c r="X8" i="251"/>
  <c r="T8" i="251"/>
  <c r="AA7" i="251"/>
  <c r="W7" i="251"/>
  <c r="S7" i="251"/>
  <c r="Z6" i="251"/>
  <c r="V6" i="251"/>
  <c r="R6" i="251"/>
  <c r="Y5" i="251"/>
  <c r="U5" i="251"/>
  <c r="Q5" i="251"/>
  <c r="X4" i="251"/>
  <c r="T4" i="251"/>
  <c r="AA13" i="251"/>
  <c r="V12" i="251"/>
  <c r="Q11" i="251"/>
  <c r="W9" i="251"/>
  <c r="R8" i="251"/>
  <c r="X6" i="251"/>
  <c r="S5" i="251"/>
  <c r="W13" i="251"/>
  <c r="R12" i="251"/>
  <c r="X10" i="251"/>
  <c r="S9" i="251"/>
  <c r="Y7" i="251"/>
  <c r="T6" i="251"/>
  <c r="Z4" i="251"/>
  <c r="X14" i="251"/>
  <c r="S13" i="251"/>
  <c r="Y11" i="251"/>
  <c r="T10" i="251"/>
  <c r="Z8" i="251"/>
  <c r="U7" i="251"/>
  <c r="AA5" i="251"/>
  <c r="V4" i="251"/>
  <c r="T14" i="251"/>
  <c r="Z12" i="251"/>
  <c r="U11" i="251"/>
  <c r="AA9" i="251"/>
  <c r="V8" i="251"/>
  <c r="Q7" i="251"/>
  <c r="W5" i="251"/>
  <c r="R4" i="251"/>
  <c r="K5" i="251"/>
  <c r="K4" i="251"/>
  <c r="K6" i="251"/>
  <c r="M7" i="252" l="1"/>
  <c r="O7" i="252"/>
  <c r="M42" i="252"/>
  <c r="O42" i="252"/>
  <c r="M39" i="252"/>
  <c r="O39" i="252"/>
  <c r="M20" i="252"/>
  <c r="O20" i="252"/>
  <c r="M19" i="252"/>
  <c r="O19" i="252"/>
  <c r="M18" i="252"/>
  <c r="O18" i="252"/>
  <c r="M17" i="252"/>
  <c r="O17" i="252"/>
  <c r="M40" i="252"/>
  <c r="O40" i="252"/>
  <c r="M38" i="252"/>
  <c r="O38" i="252"/>
  <c r="M37" i="252"/>
  <c r="O37" i="252"/>
  <c r="M8" i="252"/>
  <c r="O8" i="252"/>
  <c r="M29" i="252"/>
  <c r="O29" i="252"/>
  <c r="M41" i="252"/>
  <c r="O41" i="252"/>
  <c r="M16" i="252"/>
  <c r="O16" i="252"/>
  <c r="M15" i="252"/>
  <c r="O15" i="252"/>
  <c r="M14" i="252"/>
  <c r="O14" i="252"/>
  <c r="M13" i="252"/>
  <c r="O13" i="252"/>
  <c r="M36" i="252"/>
  <c r="O36" i="252"/>
  <c r="M34" i="252"/>
  <c r="O34" i="252"/>
  <c r="M33" i="252"/>
  <c r="O33" i="252"/>
  <c r="M6" i="252"/>
  <c r="O6" i="252"/>
  <c r="M12" i="252"/>
  <c r="O12" i="252"/>
  <c r="M11" i="252"/>
  <c r="O11" i="252"/>
  <c r="M10" i="252"/>
  <c r="O10" i="252"/>
  <c r="M9" i="252"/>
  <c r="O9" i="252"/>
  <c r="M30" i="252"/>
  <c r="O30" i="252"/>
  <c r="M43" i="252"/>
  <c r="O43" i="252"/>
  <c r="K25" i="278"/>
  <c r="A29" i="278"/>
  <c r="B29" i="278"/>
  <c r="B30" i="278" s="1"/>
  <c r="H28" i="278" s="1"/>
  <c r="D29" i="278"/>
  <c r="E28" i="278"/>
  <c r="T71" i="252"/>
  <c r="C61" i="282"/>
  <c r="D61" i="282"/>
  <c r="D66" i="282" s="1"/>
  <c r="W72" i="252"/>
  <c r="W74" i="252"/>
  <c r="M32" i="252"/>
  <c r="W70" i="252"/>
  <c r="T74" i="252"/>
  <c r="T70" i="252"/>
  <c r="T73" i="252"/>
  <c r="T75" i="252"/>
  <c r="T76" i="252"/>
  <c r="T79" i="252"/>
  <c r="T77" i="252"/>
  <c r="W78" i="252"/>
  <c r="M35" i="252"/>
  <c r="W73" i="252"/>
  <c r="T81" i="252"/>
  <c r="T78" i="252"/>
  <c r="W77" i="252"/>
  <c r="W80" i="252"/>
  <c r="W75" i="252"/>
  <c r="M31" i="252"/>
  <c r="W69" i="252"/>
  <c r="D57" i="282"/>
  <c r="C56" i="282"/>
  <c r="E58" i="282"/>
  <c r="C59" i="282"/>
  <c r="E59" i="282"/>
  <c r="D59" i="282"/>
  <c r="D56" i="282"/>
  <c r="F56" i="282"/>
  <c r="C58" i="282"/>
  <c r="G60" i="282"/>
  <c r="D58" i="282"/>
  <c r="F57" i="282"/>
  <c r="C57" i="282"/>
  <c r="W53" i="282"/>
  <c r="W48" i="282"/>
  <c r="W49" i="282"/>
  <c r="F66" i="282"/>
  <c r="W50" i="282"/>
  <c r="W52" i="282"/>
  <c r="W46" i="282"/>
  <c r="D27" i="278"/>
  <c r="A27" i="278"/>
  <c r="C27" i="278"/>
  <c r="D90" i="273"/>
  <c r="B90" i="273"/>
  <c r="R34" i="275"/>
  <c r="K40" i="275"/>
  <c r="J35" i="275"/>
  <c r="J34" i="275"/>
  <c r="J43" i="275" s="1"/>
  <c r="Q34" i="275" s="1"/>
  <c r="K38" i="275"/>
  <c r="L34" i="275"/>
  <c r="L35" i="275"/>
  <c r="M319" i="273"/>
  <c r="O318" i="273"/>
  <c r="R318" i="273" s="1"/>
  <c r="P318" i="273"/>
  <c r="Q318" i="273" s="1"/>
  <c r="N318" i="273"/>
  <c r="I135" i="275"/>
  <c r="P135" i="275" s="1"/>
  <c r="M37" i="275"/>
  <c r="L41" i="275"/>
  <c r="M36" i="275"/>
  <c r="J41" i="275"/>
  <c r="R37" i="275"/>
  <c r="R35" i="275"/>
  <c r="M4" i="251" a="1"/>
  <c r="M11" i="251" s="1"/>
  <c r="U29" i="251" s="1"/>
  <c r="V29" i="251" s="1"/>
  <c r="T67" i="252"/>
  <c r="T69" i="252"/>
  <c r="W68" i="252"/>
  <c r="T72" i="252"/>
  <c r="T80" i="252"/>
  <c r="W81" i="252"/>
  <c r="W71" i="252"/>
  <c r="W76" i="252"/>
  <c r="W79" i="252"/>
  <c r="T68" i="252"/>
  <c r="W67" i="252"/>
  <c r="E29" i="278" l="1"/>
  <c r="G61" i="282"/>
  <c r="H27" i="278"/>
  <c r="M7" i="251"/>
  <c r="U25" i="251" s="1"/>
  <c r="V25" i="251" s="1"/>
  <c r="M10" i="251"/>
  <c r="U28" i="251" s="1"/>
  <c r="V28" i="251" s="1"/>
  <c r="M12" i="251"/>
  <c r="U30" i="251" s="1"/>
  <c r="V30" i="251" s="1"/>
  <c r="D68" i="282"/>
  <c r="M4" i="251"/>
  <c r="U22" i="251" s="1"/>
  <c r="V22" i="251" s="1"/>
  <c r="M9" i="251"/>
  <c r="U27" i="251" s="1"/>
  <c r="V27" i="251" s="1"/>
  <c r="C62" i="282"/>
  <c r="M6" i="251"/>
  <c r="U24" i="251" s="1"/>
  <c r="V24" i="251" s="1"/>
  <c r="M8" i="251"/>
  <c r="U26" i="251" s="1"/>
  <c r="V26" i="251" s="1"/>
  <c r="M13" i="251"/>
  <c r="U31" i="251" s="1"/>
  <c r="V31" i="251" s="1"/>
  <c r="M14" i="251"/>
  <c r="U32" i="251" s="1"/>
  <c r="V32" i="251" s="1"/>
  <c r="M5" i="251"/>
  <c r="U23" i="251" s="1"/>
  <c r="V23" i="251" s="1"/>
  <c r="D64" i="282"/>
  <c r="L56" i="282" s="1"/>
  <c r="E62" i="282"/>
  <c r="G56" i="282"/>
  <c r="G58" i="282"/>
  <c r="G57" i="282"/>
  <c r="F62" i="282"/>
  <c r="G59" i="282"/>
  <c r="D62" i="282"/>
  <c r="L61" i="282"/>
  <c r="L60" i="282"/>
  <c r="N60" i="282"/>
  <c r="N61" i="282"/>
  <c r="C69" i="282"/>
  <c r="E66" i="282"/>
  <c r="D69" i="282"/>
  <c r="E69" i="282"/>
  <c r="D65" i="282"/>
  <c r="F69" i="282"/>
  <c r="C66" i="282"/>
  <c r="E64" i="282"/>
  <c r="E68" i="282"/>
  <c r="F65" i="282"/>
  <c r="F64" i="282"/>
  <c r="F68" i="282"/>
  <c r="C64" i="282"/>
  <c r="C68" i="282"/>
  <c r="E65" i="282"/>
  <c r="C65" i="282"/>
  <c r="H29" i="278"/>
  <c r="D30" i="278"/>
  <c r="J27" i="278" s="1"/>
  <c r="C30" i="278"/>
  <c r="E27" i="278"/>
  <c r="A30" i="278"/>
  <c r="G27" i="278" s="1"/>
  <c r="R43" i="275"/>
  <c r="L38" i="275"/>
  <c r="L43" i="275"/>
  <c r="S34" i="275" s="1"/>
  <c r="J40" i="275"/>
  <c r="J44" i="275"/>
  <c r="Q37" i="275" s="1"/>
  <c r="J38" i="275"/>
  <c r="M34" i="275"/>
  <c r="L40" i="275"/>
  <c r="M35" i="275"/>
  <c r="L44" i="275"/>
  <c r="M320" i="273"/>
  <c r="N319" i="273"/>
  <c r="P319" i="273"/>
  <c r="Q319" i="273" s="1"/>
  <c r="O319" i="273"/>
  <c r="R319" i="273" s="1"/>
  <c r="I148" i="275"/>
  <c r="P148" i="275" s="1"/>
  <c r="I161" i="275"/>
  <c r="P161" i="275" s="1"/>
  <c r="R38" i="275"/>
  <c r="Q36" i="275"/>
  <c r="R40" i="275"/>
  <c r="R41" i="275"/>
  <c r="R44" i="275"/>
  <c r="O11" i="251"/>
  <c r="O7" i="251" l="1"/>
  <c r="O4" i="251"/>
  <c r="H30" i="278"/>
  <c r="O14" i="251"/>
  <c r="O10" i="251"/>
  <c r="O5" i="251"/>
  <c r="O12" i="251"/>
  <c r="O9" i="251"/>
  <c r="O6" i="251"/>
  <c r="O8" i="251"/>
  <c r="L57" i="282"/>
  <c r="O13" i="251"/>
  <c r="G62" i="282"/>
  <c r="N59" i="282"/>
  <c r="N58" i="282"/>
  <c r="M61" i="282"/>
  <c r="M60" i="282"/>
  <c r="K56" i="282"/>
  <c r="K57" i="282"/>
  <c r="L59" i="282"/>
  <c r="L58" i="282"/>
  <c r="K59" i="282"/>
  <c r="K58" i="282"/>
  <c r="M57" i="282"/>
  <c r="M56" i="282"/>
  <c r="M58" i="282"/>
  <c r="M59" i="282"/>
  <c r="N57" i="282"/>
  <c r="N56" i="282"/>
  <c r="K60" i="282"/>
  <c r="K61" i="282"/>
  <c r="L66" i="282"/>
  <c r="G69" i="282"/>
  <c r="G64" i="282"/>
  <c r="G65" i="282"/>
  <c r="G68" i="282"/>
  <c r="N66" i="282"/>
  <c r="G66" i="282"/>
  <c r="E30" i="278"/>
  <c r="G28" i="278"/>
  <c r="G29" i="278"/>
  <c r="I28" i="278"/>
  <c r="I29" i="278"/>
  <c r="I27" i="278"/>
  <c r="J28" i="278"/>
  <c r="J29" i="278"/>
  <c r="S36" i="275"/>
  <c r="M38" i="275"/>
  <c r="Q41" i="275"/>
  <c r="Q35" i="275"/>
  <c r="S37" i="275"/>
  <c r="S35" i="275"/>
  <c r="M321" i="273"/>
  <c r="P320" i="273"/>
  <c r="Q320" i="273" s="1"/>
  <c r="O320" i="273"/>
  <c r="R320" i="273" s="1"/>
  <c r="N320" i="273"/>
  <c r="Q43" i="275"/>
  <c r="T34" i="275"/>
  <c r="E47" i="275" s="1"/>
  <c r="O17" i="251" l="1"/>
  <c r="O19" i="251" s="1"/>
  <c r="O58" i="282"/>
  <c r="O59" i="282"/>
  <c r="O57" i="282"/>
  <c r="M66" i="282"/>
  <c r="O61" i="282"/>
  <c r="O56" i="282"/>
  <c r="O60" i="282"/>
  <c r="N69" i="282"/>
  <c r="V61" i="282" s="1"/>
  <c r="M62" i="282"/>
  <c r="K62" i="282"/>
  <c r="L69" i="282"/>
  <c r="T59" i="282" s="1"/>
  <c r="L62" i="282"/>
  <c r="N62" i="282"/>
  <c r="L64" i="282"/>
  <c r="K64" i="282"/>
  <c r="L68" i="282"/>
  <c r="T58" i="282" s="1"/>
  <c r="L65" i="282"/>
  <c r="M69" i="282"/>
  <c r="U61" i="282" s="1"/>
  <c r="K65" i="282"/>
  <c r="N68" i="282"/>
  <c r="V60" i="282" s="1"/>
  <c r="N64" i="282"/>
  <c r="K68" i="282"/>
  <c r="S58" i="282" s="1"/>
  <c r="M64" i="282"/>
  <c r="M68" i="282"/>
  <c r="U58" i="282" s="1"/>
  <c r="N65" i="282"/>
  <c r="K66" i="282"/>
  <c r="M65" i="282"/>
  <c r="K69" i="282"/>
  <c r="S59" i="282" s="1"/>
  <c r="G30" i="278"/>
  <c r="I30" i="278"/>
  <c r="K28" i="278"/>
  <c r="B33" i="278" s="1"/>
  <c r="K29" i="278"/>
  <c r="B34" i="278" s="1"/>
  <c r="K27" i="278"/>
  <c r="J30" i="278"/>
  <c r="S40" i="275"/>
  <c r="Q40" i="275"/>
  <c r="C47" i="275"/>
  <c r="D47" i="275"/>
  <c r="T36" i="275"/>
  <c r="E49" i="275" s="1"/>
  <c r="S43" i="275"/>
  <c r="Q44" i="275"/>
  <c r="Q38" i="275"/>
  <c r="T37" i="275"/>
  <c r="E50" i="275" s="1"/>
  <c r="S38" i="275"/>
  <c r="S41" i="275"/>
  <c r="S44" i="275"/>
  <c r="T35" i="275"/>
  <c r="D48" i="275" s="1"/>
  <c r="O321" i="273"/>
  <c r="R321" i="273" s="1"/>
  <c r="P321" i="273"/>
  <c r="Q321" i="273" s="1"/>
  <c r="M322" i="273"/>
  <c r="N321" i="273"/>
  <c r="W29" i="251" l="1"/>
  <c r="W23" i="251"/>
  <c r="W27" i="251"/>
  <c r="W22" i="251"/>
  <c r="W30" i="251"/>
  <c r="W31" i="251"/>
  <c r="W26" i="251"/>
  <c r="W24" i="251"/>
  <c r="W28" i="251"/>
  <c r="W25" i="251"/>
  <c r="W32" i="251"/>
  <c r="AC4" i="251" a="1"/>
  <c r="AC8" i="251" s="1"/>
  <c r="Y22" i="251"/>
  <c r="Z22" i="251" s="1"/>
  <c r="AB22" i="251"/>
  <c r="AB24" i="251"/>
  <c r="Y28" i="251"/>
  <c r="Z28" i="251" s="1"/>
  <c r="AB32" i="251"/>
  <c r="Y24" i="251"/>
  <c r="Z24" i="251" s="1"/>
  <c r="AB31" i="251"/>
  <c r="AB27" i="251"/>
  <c r="Y29" i="251"/>
  <c r="Z29" i="251" s="1"/>
  <c r="AB29" i="251"/>
  <c r="Y25" i="251"/>
  <c r="Z25" i="251" s="1"/>
  <c r="Y27" i="251"/>
  <c r="Z27" i="251" s="1"/>
  <c r="AB25" i="251"/>
  <c r="Y23" i="251"/>
  <c r="Z23" i="251" s="1"/>
  <c r="Y26" i="251"/>
  <c r="Z26" i="251" s="1"/>
  <c r="AB26" i="251"/>
  <c r="AB28" i="251"/>
  <c r="AB23" i="251"/>
  <c r="Y32" i="251"/>
  <c r="Z32" i="251" s="1"/>
  <c r="Y30" i="251"/>
  <c r="Z30" i="251" s="1"/>
  <c r="AB30" i="251"/>
  <c r="I17" i="251" a="1"/>
  <c r="K18" i="251" s="1"/>
  <c r="O62" i="282"/>
  <c r="O66" i="282"/>
  <c r="V59" i="282"/>
  <c r="U56" i="282"/>
  <c r="S57" i="282"/>
  <c r="U60" i="282"/>
  <c r="S61" i="282"/>
  <c r="V56" i="282"/>
  <c r="S60" i="282"/>
  <c r="T60" i="282"/>
  <c r="T56" i="282"/>
  <c r="U57" i="282"/>
  <c r="V58" i="282"/>
  <c r="U59" i="282"/>
  <c r="T57" i="282"/>
  <c r="T61" i="282"/>
  <c r="S56" i="282"/>
  <c r="V57" i="282"/>
  <c r="T65" i="282"/>
  <c r="O65" i="282"/>
  <c r="O64" i="282"/>
  <c r="O68" i="282"/>
  <c r="O69" i="282"/>
  <c r="V66" i="282"/>
  <c r="K30" i="278"/>
  <c r="C34" i="278"/>
  <c r="C33" i="278"/>
  <c r="D34" i="278"/>
  <c r="A34" i="278"/>
  <c r="B32" i="278"/>
  <c r="A32" i="278"/>
  <c r="D32" i="278"/>
  <c r="C32" i="278"/>
  <c r="A33" i="278"/>
  <c r="D33" i="278"/>
  <c r="C48" i="275"/>
  <c r="D49" i="275"/>
  <c r="C49" i="275"/>
  <c r="C56" i="275" s="1"/>
  <c r="E48" i="275"/>
  <c r="D50" i="275"/>
  <c r="C50" i="275"/>
  <c r="T38" i="275"/>
  <c r="E54" i="275"/>
  <c r="L50" i="275" s="1"/>
  <c r="O322" i="273"/>
  <c r="R322" i="273" s="1"/>
  <c r="R323" i="273" s="1"/>
  <c r="U310" i="273" s="1"/>
  <c r="N322" i="273"/>
  <c r="P322" i="273"/>
  <c r="Q322" i="273" s="1"/>
  <c r="F47" i="275"/>
  <c r="Y31" i="251"/>
  <c r="Z31" i="251" s="1"/>
  <c r="AC6" i="251" l="1"/>
  <c r="AC13" i="251"/>
  <c r="AC5" i="251"/>
  <c r="AC9" i="251"/>
  <c r="AC10" i="251"/>
  <c r="AC7" i="251"/>
  <c r="AC4" i="251"/>
  <c r="AA32" i="251"/>
  <c r="AC32" i="251"/>
  <c r="AA30" i="251"/>
  <c r="AC30" i="251"/>
  <c r="AA23" i="251"/>
  <c r="AC23" i="251"/>
  <c r="AA27" i="251"/>
  <c r="AC27" i="251"/>
  <c r="AA24" i="251"/>
  <c r="AC24" i="251"/>
  <c r="AA25" i="251"/>
  <c r="AC25" i="251"/>
  <c r="AA31" i="251"/>
  <c r="AC31" i="251"/>
  <c r="AA28" i="251"/>
  <c r="AC28" i="251"/>
  <c r="AA22" i="251"/>
  <c r="AC22" i="251"/>
  <c r="AA26" i="251"/>
  <c r="AC26" i="251"/>
  <c r="AA29" i="251"/>
  <c r="AC29" i="251"/>
  <c r="AC11" i="251"/>
  <c r="AC14" i="251"/>
  <c r="AC12" i="251"/>
  <c r="K17" i="251"/>
  <c r="J18" i="251"/>
  <c r="K10" i="251" s="1"/>
  <c r="I19" i="251"/>
  <c r="I17" i="251"/>
  <c r="K9" i="251" s="1"/>
  <c r="K19" i="251"/>
  <c r="K11" i="251" s="1"/>
  <c r="I18" i="251"/>
  <c r="J17" i="251"/>
  <c r="J19" i="251"/>
  <c r="V65" i="282"/>
  <c r="C35" i="278"/>
  <c r="I34" i="278" s="1"/>
  <c r="U62" i="282"/>
  <c r="V62" i="282"/>
  <c r="W57" i="282"/>
  <c r="C73" i="282" s="1"/>
  <c r="T62" i="282"/>
  <c r="W60" i="282"/>
  <c r="F76" i="282" s="1"/>
  <c r="T66" i="282"/>
  <c r="W58" i="282"/>
  <c r="V69" i="282"/>
  <c r="W59" i="282"/>
  <c r="E75" i="282" s="1"/>
  <c r="W61" i="282"/>
  <c r="D77" i="282" s="1"/>
  <c r="T69" i="282"/>
  <c r="V64" i="282"/>
  <c r="W56" i="282"/>
  <c r="E72" i="282" s="1"/>
  <c r="S62" i="282"/>
  <c r="T68" i="282"/>
  <c r="T64" i="282"/>
  <c r="V68" i="282"/>
  <c r="U69" i="282"/>
  <c r="U65" i="282"/>
  <c r="S69" i="282"/>
  <c r="S66" i="282"/>
  <c r="U64" i="282"/>
  <c r="U68" i="282"/>
  <c r="U66" i="282"/>
  <c r="S65" i="282"/>
  <c r="S64" i="282"/>
  <c r="S68" i="282"/>
  <c r="E34" i="278"/>
  <c r="E33" i="278"/>
  <c r="D35" i="278"/>
  <c r="J34" i="278" s="1"/>
  <c r="A35" i="278"/>
  <c r="E32" i="278"/>
  <c r="B35" i="278"/>
  <c r="F49" i="275"/>
  <c r="D56" i="275"/>
  <c r="E56" i="275"/>
  <c r="E53" i="275"/>
  <c r="L47" i="275" s="1"/>
  <c r="E57" i="275"/>
  <c r="E51" i="275"/>
  <c r="L49" i="275"/>
  <c r="L54" i="275" s="1"/>
  <c r="D54" i="275"/>
  <c r="B89" i="273"/>
  <c r="U313" i="273"/>
  <c r="I33" i="278" l="1"/>
  <c r="I32" i="278"/>
  <c r="E76" i="282"/>
  <c r="C76" i="282"/>
  <c r="D76" i="282"/>
  <c r="D72" i="282"/>
  <c r="F72" i="282"/>
  <c r="E73" i="282"/>
  <c r="C77" i="282"/>
  <c r="F73" i="282"/>
  <c r="C72" i="282"/>
  <c r="D73" i="282"/>
  <c r="W62" i="282"/>
  <c r="E77" i="282"/>
  <c r="F77" i="282"/>
  <c r="F75" i="282"/>
  <c r="C75" i="282"/>
  <c r="D75" i="282"/>
  <c r="C74" i="282"/>
  <c r="E74" i="282"/>
  <c r="D74" i="282"/>
  <c r="F74" i="282"/>
  <c r="W65" i="282"/>
  <c r="W68" i="282"/>
  <c r="W69" i="282"/>
  <c r="W64" i="282"/>
  <c r="W66" i="282"/>
  <c r="J32" i="278"/>
  <c r="J33" i="278"/>
  <c r="H33" i="278"/>
  <c r="H34" i="278"/>
  <c r="E35" i="278"/>
  <c r="G34" i="278"/>
  <c r="G33" i="278"/>
  <c r="H32" i="278"/>
  <c r="G32" i="278"/>
  <c r="L48" i="275"/>
  <c r="L57" i="275" s="1"/>
  <c r="S50" i="275" s="1"/>
  <c r="L56" i="275"/>
  <c r="S47" i="275" s="1"/>
  <c r="C57" i="275"/>
  <c r="F50" i="275"/>
  <c r="C54" i="275"/>
  <c r="K50" i="275"/>
  <c r="K49" i="275"/>
  <c r="D57" i="275"/>
  <c r="D53" i="275"/>
  <c r="K47" i="275" s="1"/>
  <c r="D51" i="275"/>
  <c r="F48" i="275"/>
  <c r="C53" i="275"/>
  <c r="C51" i="275"/>
  <c r="U315" i="273"/>
  <c r="E89" i="273" s="1"/>
  <c r="D89" i="273"/>
  <c r="I35" i="278" l="1"/>
  <c r="G76" i="282"/>
  <c r="C81" i="282"/>
  <c r="K75" i="282" s="1"/>
  <c r="C82" i="282"/>
  <c r="K76" i="282" s="1"/>
  <c r="G73" i="282"/>
  <c r="G72" i="282"/>
  <c r="F85" i="282"/>
  <c r="G74" i="282"/>
  <c r="D85" i="282"/>
  <c r="G75" i="282"/>
  <c r="G77" i="282"/>
  <c r="E82" i="282"/>
  <c r="C85" i="282"/>
  <c r="D81" i="282"/>
  <c r="E85" i="282"/>
  <c r="F82" i="282"/>
  <c r="F81" i="282"/>
  <c r="D82" i="282"/>
  <c r="E84" i="282"/>
  <c r="E81" i="282"/>
  <c r="D84" i="282"/>
  <c r="D80" i="282"/>
  <c r="D78" i="282"/>
  <c r="E78" i="282"/>
  <c r="C80" i="282"/>
  <c r="C84" i="282"/>
  <c r="C78" i="282"/>
  <c r="F80" i="282"/>
  <c r="F84" i="282"/>
  <c r="F78" i="282"/>
  <c r="E80" i="282"/>
  <c r="J35" i="278"/>
  <c r="G35" i="278"/>
  <c r="K32" i="278"/>
  <c r="A37" i="278" s="1"/>
  <c r="K33" i="278"/>
  <c r="B38" i="278" s="1"/>
  <c r="H35" i="278"/>
  <c r="K34" i="278"/>
  <c r="K48" i="275"/>
  <c r="K53" i="275" s="1"/>
  <c r="S48" i="275"/>
  <c r="S49" i="275"/>
  <c r="L51" i="275"/>
  <c r="L53" i="275"/>
  <c r="K54" i="275"/>
  <c r="J50" i="275"/>
  <c r="M50" i="275" s="1"/>
  <c r="J49" i="275"/>
  <c r="J48" i="275"/>
  <c r="J47" i="275"/>
  <c r="K56" i="275"/>
  <c r="R49" i="275" s="1"/>
  <c r="F51" i="275"/>
  <c r="K77" i="282" l="1"/>
  <c r="K82" i="282" s="1"/>
  <c r="B37" i="278"/>
  <c r="K74" i="282"/>
  <c r="K81" i="282" s="1"/>
  <c r="K73" i="282"/>
  <c r="K72" i="282"/>
  <c r="N72" i="282"/>
  <c r="N73" i="282"/>
  <c r="N77" i="282"/>
  <c r="N76" i="282"/>
  <c r="M73" i="282"/>
  <c r="M72" i="282"/>
  <c r="N74" i="282"/>
  <c r="N75" i="282"/>
  <c r="M74" i="282"/>
  <c r="M75" i="282"/>
  <c r="L74" i="282"/>
  <c r="L75" i="282"/>
  <c r="L72" i="282"/>
  <c r="L73" i="282"/>
  <c r="L76" i="282"/>
  <c r="L77" i="282"/>
  <c r="M77" i="282"/>
  <c r="M76" i="282"/>
  <c r="G85" i="282"/>
  <c r="G81" i="282"/>
  <c r="G78" i="282"/>
  <c r="G82" i="282"/>
  <c r="G80" i="282"/>
  <c r="G84" i="282"/>
  <c r="K35" i="278"/>
  <c r="C39" i="278"/>
  <c r="D39" i="278"/>
  <c r="A39" i="278"/>
  <c r="C38" i="278"/>
  <c r="D38" i="278"/>
  <c r="A38" i="278"/>
  <c r="B39" i="278"/>
  <c r="D37" i="278"/>
  <c r="C37" i="278"/>
  <c r="S54" i="275"/>
  <c r="S56" i="275"/>
  <c r="K57" i="275"/>
  <c r="R50" i="275" s="1"/>
  <c r="K51" i="275"/>
  <c r="S57" i="275"/>
  <c r="S51" i="275"/>
  <c r="S53" i="275"/>
  <c r="J54" i="275"/>
  <c r="M49" i="275"/>
  <c r="J51" i="275"/>
  <c r="M47" i="275"/>
  <c r="J56" i="275"/>
  <c r="Q47" i="275" s="1"/>
  <c r="J53" i="275"/>
  <c r="R47" i="275"/>
  <c r="J57" i="275"/>
  <c r="Q50" i="275" s="1"/>
  <c r="M48" i="275"/>
  <c r="K85" i="282" l="1"/>
  <c r="S75" i="282" s="1"/>
  <c r="M81" i="282"/>
  <c r="O77" i="282"/>
  <c r="L85" i="282"/>
  <c r="T75" i="282" s="1"/>
  <c r="M85" i="282"/>
  <c r="U73" i="282" s="1"/>
  <c r="N85" i="282"/>
  <c r="V75" i="282" s="1"/>
  <c r="L82" i="282"/>
  <c r="M82" i="282"/>
  <c r="O72" i="282"/>
  <c r="M78" i="282"/>
  <c r="O74" i="282"/>
  <c r="O75" i="282"/>
  <c r="O76" i="282"/>
  <c r="N81" i="282"/>
  <c r="M84" i="282"/>
  <c r="U74" i="282" s="1"/>
  <c r="O73" i="282"/>
  <c r="M80" i="282"/>
  <c r="N82" i="282"/>
  <c r="K80" i="282"/>
  <c r="K84" i="282"/>
  <c r="S72" i="282" s="1"/>
  <c r="L78" i="282"/>
  <c r="L80" i="282"/>
  <c r="L84" i="282"/>
  <c r="T76" i="282" s="1"/>
  <c r="N78" i="282"/>
  <c r="N80" i="282"/>
  <c r="N84" i="282"/>
  <c r="V76" i="282" s="1"/>
  <c r="L81" i="282"/>
  <c r="K78" i="282"/>
  <c r="E37" i="278"/>
  <c r="E38" i="278"/>
  <c r="E39" i="278"/>
  <c r="C40" i="278"/>
  <c r="I38" i="278" s="1"/>
  <c r="A40" i="278"/>
  <c r="D40" i="278"/>
  <c r="J38" i="278" s="1"/>
  <c r="B40" i="278"/>
  <c r="H39" i="278" s="1"/>
  <c r="R56" i="275"/>
  <c r="R54" i="275"/>
  <c r="R48" i="275"/>
  <c r="T50" i="275"/>
  <c r="E63" i="275" s="1"/>
  <c r="M51" i="275"/>
  <c r="Q49" i="275"/>
  <c r="T47" i="275"/>
  <c r="E60" i="275" s="1"/>
  <c r="Q48" i="275"/>
  <c r="S73" i="282" l="1"/>
  <c r="S80" i="282" s="1"/>
  <c r="S77" i="282"/>
  <c r="J37" i="278"/>
  <c r="T77" i="282"/>
  <c r="T82" i="282" s="1"/>
  <c r="O85" i="282"/>
  <c r="O82" i="282"/>
  <c r="T73" i="282"/>
  <c r="U75" i="282"/>
  <c r="U81" i="282" s="1"/>
  <c r="V77" i="282"/>
  <c r="V82" i="282" s="1"/>
  <c r="V73" i="282"/>
  <c r="U77" i="282"/>
  <c r="V72" i="282"/>
  <c r="O81" i="282"/>
  <c r="V74" i="282"/>
  <c r="T74" i="282"/>
  <c r="T81" i="282" s="1"/>
  <c r="U72" i="282"/>
  <c r="U80" i="282" s="1"/>
  <c r="T72" i="282"/>
  <c r="U76" i="282"/>
  <c r="S76" i="282"/>
  <c r="S74" i="282"/>
  <c r="O78" i="282"/>
  <c r="O84" i="282"/>
  <c r="O80" i="282"/>
  <c r="E40" i="278"/>
  <c r="G37" i="278"/>
  <c r="G39" i="278"/>
  <c r="J39" i="278"/>
  <c r="I39" i="278"/>
  <c r="H38" i="278"/>
  <c r="H37" i="278"/>
  <c r="I37" i="278"/>
  <c r="G38" i="278"/>
  <c r="D63" i="275"/>
  <c r="Q53" i="275"/>
  <c r="R51" i="275"/>
  <c r="C63" i="275"/>
  <c r="D60" i="275"/>
  <c r="C60" i="275"/>
  <c r="R57" i="275"/>
  <c r="R53" i="275"/>
  <c r="Q51" i="275"/>
  <c r="Q57" i="275"/>
  <c r="T48" i="275"/>
  <c r="E61" i="275" s="1"/>
  <c r="Q54" i="275"/>
  <c r="T49" i="275"/>
  <c r="Q56" i="275"/>
  <c r="S85" i="282" l="1"/>
  <c r="J40" i="278"/>
  <c r="U85" i="282"/>
  <c r="T85" i="282"/>
  <c r="V85" i="282"/>
  <c r="W77" i="282"/>
  <c r="F93" i="282" s="1"/>
  <c r="W75" i="282"/>
  <c r="C91" i="282" s="1"/>
  <c r="W73" i="282"/>
  <c r="F89" i="282" s="1"/>
  <c r="W74" i="282"/>
  <c r="E90" i="282" s="1"/>
  <c r="W76" i="282"/>
  <c r="C92" i="282" s="1"/>
  <c r="T80" i="282"/>
  <c r="U82" i="282"/>
  <c r="U78" i="282"/>
  <c r="U84" i="282"/>
  <c r="W72" i="282"/>
  <c r="C88" i="282" s="1"/>
  <c r="T84" i="282"/>
  <c r="T78" i="282"/>
  <c r="S81" i="282"/>
  <c r="S82" i="282"/>
  <c r="S78" i="282"/>
  <c r="V84" i="282"/>
  <c r="V78" i="282"/>
  <c r="V80" i="282"/>
  <c r="W80" i="282" s="1"/>
  <c r="V81" i="282"/>
  <c r="S84" i="282"/>
  <c r="G40" i="278"/>
  <c r="K37" i="278"/>
  <c r="D42" i="278" s="1"/>
  <c r="H40" i="278"/>
  <c r="K38" i="278"/>
  <c r="B43" i="278" s="1"/>
  <c r="I40" i="278"/>
  <c r="K39" i="278"/>
  <c r="B44" i="278" s="1"/>
  <c r="D61" i="275"/>
  <c r="D62" i="275"/>
  <c r="E62" i="275"/>
  <c r="C61" i="275"/>
  <c r="C62" i="275"/>
  <c r="T51" i="275"/>
  <c r="F60" i="275"/>
  <c r="W85" i="282" l="1"/>
  <c r="D93" i="282"/>
  <c r="C93" i="282"/>
  <c r="C98" i="282" s="1"/>
  <c r="E93" i="282"/>
  <c r="W82" i="282"/>
  <c r="D89" i="282"/>
  <c r="E92" i="282"/>
  <c r="E89" i="282"/>
  <c r="C89" i="282"/>
  <c r="F91" i="282"/>
  <c r="F101" i="282" s="1"/>
  <c r="E91" i="282"/>
  <c r="D90" i="282"/>
  <c r="F90" i="282"/>
  <c r="D91" i="282"/>
  <c r="C90" i="282"/>
  <c r="D88" i="282"/>
  <c r="E88" i="282"/>
  <c r="F88" i="282"/>
  <c r="F92" i="282"/>
  <c r="D92" i="282"/>
  <c r="C96" i="282"/>
  <c r="F96" i="282"/>
  <c r="W84" i="282"/>
  <c r="W81" i="282"/>
  <c r="W78" i="282"/>
  <c r="D44" i="278"/>
  <c r="C44" i="278"/>
  <c r="A43" i="278"/>
  <c r="C42" i="278"/>
  <c r="K40" i="278"/>
  <c r="B42" i="278"/>
  <c r="A44" i="278"/>
  <c r="C43" i="278"/>
  <c r="D43" i="278"/>
  <c r="A42" i="278"/>
  <c r="C66" i="275"/>
  <c r="J60" i="275" s="1"/>
  <c r="F63" i="275"/>
  <c r="C67" i="275"/>
  <c r="J63" i="275" s="1"/>
  <c r="C69" i="275"/>
  <c r="C70" i="275"/>
  <c r="C64" i="275"/>
  <c r="G93" i="282" l="1"/>
  <c r="E98" i="282"/>
  <c r="M92" i="282" s="1"/>
  <c r="G89" i="282"/>
  <c r="C101" i="282"/>
  <c r="J61" i="275"/>
  <c r="J66" i="275" s="1"/>
  <c r="C45" i="278"/>
  <c r="I44" i="278" s="1"/>
  <c r="E96" i="282"/>
  <c r="M89" i="282" s="1"/>
  <c r="E101" i="282"/>
  <c r="G88" i="282"/>
  <c r="G91" i="282"/>
  <c r="D101" i="282"/>
  <c r="F97" i="282"/>
  <c r="N90" i="282" s="1"/>
  <c r="G90" i="282"/>
  <c r="D96" i="282"/>
  <c r="L88" i="282" s="1"/>
  <c r="G92" i="282"/>
  <c r="K88" i="282"/>
  <c r="K89" i="282"/>
  <c r="N89" i="282"/>
  <c r="N88" i="282"/>
  <c r="K92" i="282"/>
  <c r="K93" i="282"/>
  <c r="F94" i="282"/>
  <c r="C94" i="282"/>
  <c r="D94" i="282"/>
  <c r="E94" i="282"/>
  <c r="D100" i="282"/>
  <c r="C100" i="282"/>
  <c r="E100" i="282"/>
  <c r="F98" i="282"/>
  <c r="E97" i="282"/>
  <c r="F100" i="282"/>
  <c r="D98" i="282"/>
  <c r="C97" i="282"/>
  <c r="D97" i="282"/>
  <c r="E44" i="278"/>
  <c r="A45" i="278"/>
  <c r="G42" i="278" s="1"/>
  <c r="E42" i="278"/>
  <c r="E43" i="278"/>
  <c r="D45" i="278"/>
  <c r="J43" i="278" s="1"/>
  <c r="B45" i="278"/>
  <c r="H42" i="278" s="1"/>
  <c r="F61" i="275"/>
  <c r="J62" i="275"/>
  <c r="J69" i="275" s="1"/>
  <c r="Q60" i="275" s="1"/>
  <c r="D67" i="275"/>
  <c r="K63" i="275" s="1"/>
  <c r="D69" i="275"/>
  <c r="E70" i="275"/>
  <c r="E64" i="275"/>
  <c r="E66" i="275"/>
  <c r="L60" i="275" s="1"/>
  <c r="D70" i="275"/>
  <c r="D66" i="275"/>
  <c r="D64" i="275"/>
  <c r="E67" i="275"/>
  <c r="L63" i="275" s="1"/>
  <c r="E69" i="275"/>
  <c r="F62" i="275"/>
  <c r="N91" i="282" l="1"/>
  <c r="N97" i="282" s="1"/>
  <c r="M93" i="282"/>
  <c r="M98" i="282" s="1"/>
  <c r="J70" i="275"/>
  <c r="Q63" i="275" s="1"/>
  <c r="M88" i="282"/>
  <c r="O88" i="282" s="1"/>
  <c r="I42" i="278"/>
  <c r="I43" i="278"/>
  <c r="G101" i="282"/>
  <c r="G96" i="282"/>
  <c r="L89" i="282"/>
  <c r="L96" i="282" s="1"/>
  <c r="L91" i="282"/>
  <c r="L90" i="282"/>
  <c r="M90" i="282"/>
  <c r="M91" i="282"/>
  <c r="K91" i="282"/>
  <c r="K90" i="282"/>
  <c r="N92" i="282"/>
  <c r="N100" i="282" s="1"/>
  <c r="V88" i="282" s="1"/>
  <c r="N93" i="282"/>
  <c r="K96" i="282"/>
  <c r="L93" i="282"/>
  <c r="L92" i="282"/>
  <c r="K98" i="282"/>
  <c r="G94" i="282"/>
  <c r="G100" i="282"/>
  <c r="G98" i="282"/>
  <c r="G97" i="282"/>
  <c r="N96" i="282"/>
  <c r="G44" i="278"/>
  <c r="H43" i="278"/>
  <c r="H44" i="278"/>
  <c r="J44" i="278"/>
  <c r="J42" i="278"/>
  <c r="E45" i="278"/>
  <c r="G43" i="278"/>
  <c r="F64" i="275"/>
  <c r="J67" i="275"/>
  <c r="M63" i="275"/>
  <c r="J64" i="275"/>
  <c r="L62" i="275"/>
  <c r="L67" i="275" s="1"/>
  <c r="K62" i="275"/>
  <c r="K67" i="275" s="1"/>
  <c r="Q62" i="275"/>
  <c r="K61" i="275"/>
  <c r="K60" i="275"/>
  <c r="L61" i="275"/>
  <c r="I45" i="278" l="1"/>
  <c r="Q61" i="275"/>
  <c r="Q66" i="275" s="1"/>
  <c r="M96" i="282"/>
  <c r="O96" i="282" s="1"/>
  <c r="K42" i="278"/>
  <c r="B47" i="278" s="1"/>
  <c r="G45" i="278"/>
  <c r="O92" i="282"/>
  <c r="O89" i="282"/>
  <c r="L97" i="282"/>
  <c r="O91" i="282"/>
  <c r="O93" i="282"/>
  <c r="L98" i="282"/>
  <c r="V92" i="282"/>
  <c r="V90" i="282"/>
  <c r="N101" i="282"/>
  <c r="M94" i="282"/>
  <c r="M101" i="282"/>
  <c r="U91" i="282" s="1"/>
  <c r="O90" i="282"/>
  <c r="N94" i="282"/>
  <c r="M97" i="282"/>
  <c r="M100" i="282"/>
  <c r="L100" i="282"/>
  <c r="T88" i="282" s="1"/>
  <c r="L101" i="282"/>
  <c r="T89" i="282" s="1"/>
  <c r="N98" i="282"/>
  <c r="K101" i="282"/>
  <c r="L94" i="282"/>
  <c r="K97" i="282"/>
  <c r="K100" i="282"/>
  <c r="K94" i="282"/>
  <c r="H45" i="278"/>
  <c r="K44" i="278"/>
  <c r="D49" i="278" s="1"/>
  <c r="K43" i="278"/>
  <c r="B48" i="278" s="1"/>
  <c r="J45" i="278"/>
  <c r="L69" i="275"/>
  <c r="S60" i="275" s="1"/>
  <c r="M62" i="275"/>
  <c r="Q67" i="275"/>
  <c r="K66" i="275"/>
  <c r="K64" i="275"/>
  <c r="M60" i="275"/>
  <c r="L66" i="275"/>
  <c r="L70" i="275"/>
  <c r="S63" i="275" s="1"/>
  <c r="K69" i="275"/>
  <c r="K70" i="275"/>
  <c r="R63" i="275" s="1"/>
  <c r="M61" i="275"/>
  <c r="L64" i="275"/>
  <c r="Q69" i="275"/>
  <c r="D47" i="278" l="1"/>
  <c r="A47" i="278"/>
  <c r="Q70" i="275"/>
  <c r="Q64" i="275"/>
  <c r="C47" i="278"/>
  <c r="K45" i="278"/>
  <c r="O98" i="282"/>
  <c r="T91" i="282"/>
  <c r="S88" i="282"/>
  <c r="S92" i="282"/>
  <c r="S89" i="282"/>
  <c r="S93" i="282"/>
  <c r="S91" i="282"/>
  <c r="S90" i="282"/>
  <c r="T90" i="282"/>
  <c r="T92" i="282"/>
  <c r="V89" i="282"/>
  <c r="V91" i="282"/>
  <c r="V93" i="282"/>
  <c r="V98" i="282" s="1"/>
  <c r="U92" i="282"/>
  <c r="U88" i="282"/>
  <c r="U90" i="282"/>
  <c r="U97" i="282" s="1"/>
  <c r="U89" i="282"/>
  <c r="U93" i="282"/>
  <c r="T93" i="282"/>
  <c r="O97" i="282"/>
  <c r="V100" i="282"/>
  <c r="O94" i="282"/>
  <c r="O100" i="282"/>
  <c r="O101" i="282"/>
  <c r="B49" i="278"/>
  <c r="B50" i="278" s="1"/>
  <c r="D48" i="278"/>
  <c r="C48" i="278"/>
  <c r="A48" i="278"/>
  <c r="C49" i="278"/>
  <c r="A49" i="278"/>
  <c r="S62" i="275"/>
  <c r="M64" i="275"/>
  <c r="S61" i="275"/>
  <c r="R61" i="275"/>
  <c r="T63" i="275"/>
  <c r="C76" i="275" s="1"/>
  <c r="R60" i="275"/>
  <c r="R62" i="275"/>
  <c r="D50" i="278" l="1"/>
  <c r="J48" i="278" s="1"/>
  <c r="E47" i="278"/>
  <c r="A50" i="278"/>
  <c r="G47" i="278" s="1"/>
  <c r="U98" i="282"/>
  <c r="V94" i="282"/>
  <c r="T98" i="282"/>
  <c r="V97" i="282"/>
  <c r="U101" i="282"/>
  <c r="W93" i="282"/>
  <c r="C109" i="282" s="1"/>
  <c r="W89" i="282"/>
  <c r="D105" i="282" s="1"/>
  <c r="W90" i="282"/>
  <c r="F106" i="282" s="1"/>
  <c r="W92" i="282"/>
  <c r="F108" i="282" s="1"/>
  <c r="V96" i="282"/>
  <c r="V101" i="282"/>
  <c r="W91" i="282"/>
  <c r="E107" i="282" s="1"/>
  <c r="W88" i="282"/>
  <c r="U100" i="282"/>
  <c r="U94" i="282"/>
  <c r="U96" i="282"/>
  <c r="T97" i="282"/>
  <c r="T101" i="282"/>
  <c r="T94" i="282"/>
  <c r="T100" i="282"/>
  <c r="T96" i="282"/>
  <c r="S98" i="282"/>
  <c r="S101" i="282"/>
  <c r="S94" i="282"/>
  <c r="S97" i="282"/>
  <c r="S96" i="282"/>
  <c r="S100" i="282"/>
  <c r="C50" i="278"/>
  <c r="I47" i="278" s="1"/>
  <c r="H47" i="278"/>
  <c r="H48" i="278"/>
  <c r="H49" i="278"/>
  <c r="E49" i="278"/>
  <c r="E48" i="278"/>
  <c r="E76" i="275"/>
  <c r="D76" i="275"/>
  <c r="S64" i="275"/>
  <c r="S67" i="275"/>
  <c r="R70" i="275"/>
  <c r="S66" i="275"/>
  <c r="S70" i="275"/>
  <c r="S69" i="275"/>
  <c r="T61" i="275"/>
  <c r="C74" i="275" s="1"/>
  <c r="C83" i="275" s="1"/>
  <c r="R67" i="275"/>
  <c r="T62" i="275"/>
  <c r="C75" i="275" s="1"/>
  <c r="R66" i="275"/>
  <c r="R69" i="275"/>
  <c r="R64" i="275"/>
  <c r="T60" i="275"/>
  <c r="D73" i="275" s="1"/>
  <c r="J47" i="278" l="1"/>
  <c r="K47" i="278" s="1"/>
  <c r="J49" i="278"/>
  <c r="I48" i="278"/>
  <c r="G49" i="278"/>
  <c r="G48" i="278"/>
  <c r="E50" i="278"/>
  <c r="I49" i="278"/>
  <c r="D109" i="282"/>
  <c r="E108" i="282"/>
  <c r="E109" i="282"/>
  <c r="D108" i="282"/>
  <c r="C105" i="282"/>
  <c r="F105" i="282"/>
  <c r="D106" i="282"/>
  <c r="W98" i="282"/>
  <c r="F109" i="282"/>
  <c r="C108" i="282"/>
  <c r="E106" i="282"/>
  <c r="C107" i="282"/>
  <c r="F107" i="282"/>
  <c r="F104" i="282"/>
  <c r="D104" i="282"/>
  <c r="D107" i="282"/>
  <c r="E105" i="282"/>
  <c r="C104" i="282"/>
  <c r="C106" i="282"/>
  <c r="G106" i="282" s="1"/>
  <c r="E104" i="282"/>
  <c r="W101" i="282"/>
  <c r="W100" i="282"/>
  <c r="W96" i="282"/>
  <c r="W97" i="282"/>
  <c r="W94" i="282"/>
  <c r="H50" i="278"/>
  <c r="D74" i="275"/>
  <c r="D83" i="275" s="1"/>
  <c r="E74" i="275"/>
  <c r="E83" i="275" s="1"/>
  <c r="D75" i="275"/>
  <c r="D82" i="275" s="1"/>
  <c r="C73" i="275"/>
  <c r="C82" i="275" s="1"/>
  <c r="E73" i="275"/>
  <c r="E75" i="275"/>
  <c r="T64" i="275"/>
  <c r="J50" i="278" l="1"/>
  <c r="G50" i="278"/>
  <c r="I50" i="278"/>
  <c r="K48" i="278"/>
  <c r="K49" i="278"/>
  <c r="C112" i="282"/>
  <c r="K105" i="282" s="1"/>
  <c r="G108" i="282"/>
  <c r="G109" i="282"/>
  <c r="G105" i="282"/>
  <c r="G107" i="282"/>
  <c r="G104" i="282"/>
  <c r="C117" i="282"/>
  <c r="C113" i="282"/>
  <c r="K107" i="282" s="1"/>
  <c r="D117" i="282"/>
  <c r="E114" i="282"/>
  <c r="E116" i="282"/>
  <c r="E113" i="282"/>
  <c r="C114" i="282"/>
  <c r="D116" i="282"/>
  <c r="D110" i="282"/>
  <c r="D112" i="282"/>
  <c r="F112" i="282"/>
  <c r="F110" i="282"/>
  <c r="F116" i="282"/>
  <c r="C110" i="282"/>
  <c r="D114" i="282"/>
  <c r="E117" i="282"/>
  <c r="D113" i="282"/>
  <c r="E110" i="282"/>
  <c r="E112" i="282"/>
  <c r="C116" i="282"/>
  <c r="F114" i="282"/>
  <c r="F117" i="282"/>
  <c r="F113" i="282"/>
  <c r="E82" i="275"/>
  <c r="F76" i="275"/>
  <c r="D80" i="275"/>
  <c r="K76" i="275" s="1"/>
  <c r="F74" i="275"/>
  <c r="K50" i="278" l="1"/>
  <c r="K104" i="282"/>
  <c r="K112" i="282" s="1"/>
  <c r="K106" i="282"/>
  <c r="K113" i="282" s="1"/>
  <c r="L105" i="282"/>
  <c r="L104" i="282"/>
  <c r="N109" i="282"/>
  <c r="N108" i="282"/>
  <c r="M108" i="282"/>
  <c r="M109" i="282"/>
  <c r="M106" i="282"/>
  <c r="M107" i="282"/>
  <c r="L107" i="282"/>
  <c r="L106" i="282"/>
  <c r="N107" i="282"/>
  <c r="N106" i="282"/>
  <c r="M104" i="282"/>
  <c r="M105" i="282"/>
  <c r="L109" i="282"/>
  <c r="L108" i="282"/>
  <c r="N104" i="282"/>
  <c r="N105" i="282"/>
  <c r="K108" i="282"/>
  <c r="K109" i="282"/>
  <c r="K117" i="282" s="1"/>
  <c r="S107" i="282" s="1"/>
  <c r="G117" i="282"/>
  <c r="G116" i="282"/>
  <c r="G113" i="282"/>
  <c r="G114" i="282"/>
  <c r="G110" i="282"/>
  <c r="G112" i="282"/>
  <c r="K75" i="275"/>
  <c r="K80" i="275" s="1"/>
  <c r="D79" i="275"/>
  <c r="K74" i="275" s="1"/>
  <c r="K83" i="275" s="1"/>
  <c r="R74" i="275" s="1"/>
  <c r="D77" i="275"/>
  <c r="F75" i="275"/>
  <c r="C80" i="275"/>
  <c r="J76" i="275" s="1"/>
  <c r="E79" i="275"/>
  <c r="L74" i="275" s="1"/>
  <c r="E77" i="275"/>
  <c r="E80" i="275"/>
  <c r="L76" i="275" s="1"/>
  <c r="C79" i="275"/>
  <c r="J74" i="275" s="1"/>
  <c r="F73" i="275"/>
  <c r="C77" i="275"/>
  <c r="M114" i="282" l="1"/>
  <c r="O104" i="282"/>
  <c r="N114" i="282"/>
  <c r="O107" i="282"/>
  <c r="L117" i="282"/>
  <c r="T105" i="282" s="1"/>
  <c r="O105" i="282"/>
  <c r="S105" i="282"/>
  <c r="O109" i="282"/>
  <c r="S109" i="282"/>
  <c r="O106" i="282"/>
  <c r="M116" i="282"/>
  <c r="U104" i="282" s="1"/>
  <c r="O108" i="282"/>
  <c r="M112" i="282"/>
  <c r="L114" i="282"/>
  <c r="N117" i="282"/>
  <c r="V109" i="282" s="1"/>
  <c r="N112" i="282"/>
  <c r="N116" i="282"/>
  <c r="V108" i="282" s="1"/>
  <c r="M117" i="282"/>
  <c r="K110" i="282"/>
  <c r="K114" i="282"/>
  <c r="K116" i="282"/>
  <c r="L113" i="282"/>
  <c r="L110" i="282"/>
  <c r="L116" i="282"/>
  <c r="T106" i="282" s="1"/>
  <c r="L112" i="282"/>
  <c r="N110" i="282"/>
  <c r="N113" i="282"/>
  <c r="M113" i="282"/>
  <c r="M110" i="282"/>
  <c r="L75" i="275"/>
  <c r="L80" i="275" s="1"/>
  <c r="R76" i="275"/>
  <c r="M76" i="275"/>
  <c r="L83" i="275"/>
  <c r="S76" i="275" s="1"/>
  <c r="F77" i="275"/>
  <c r="L73" i="275"/>
  <c r="J75" i="275"/>
  <c r="K73" i="275"/>
  <c r="J83" i="275"/>
  <c r="Q76" i="275" s="1"/>
  <c r="M74" i="275"/>
  <c r="J73" i="275"/>
  <c r="T109" i="282" l="1"/>
  <c r="T107" i="282"/>
  <c r="U106" i="282"/>
  <c r="U108" i="282"/>
  <c r="T108" i="282"/>
  <c r="V106" i="282"/>
  <c r="V104" i="282"/>
  <c r="T104" i="282"/>
  <c r="O117" i="282"/>
  <c r="S104" i="282"/>
  <c r="S106" i="282"/>
  <c r="S108" i="282"/>
  <c r="V107" i="282"/>
  <c r="U109" i="282"/>
  <c r="V105" i="282"/>
  <c r="U105" i="282"/>
  <c r="U107" i="282"/>
  <c r="O114" i="282"/>
  <c r="O112" i="282"/>
  <c r="O113" i="282"/>
  <c r="O116" i="282"/>
  <c r="O110" i="282"/>
  <c r="S117" i="282"/>
  <c r="R83" i="275"/>
  <c r="Q74" i="275"/>
  <c r="J80" i="275"/>
  <c r="M75" i="275"/>
  <c r="L77" i="275"/>
  <c r="L82" i="275"/>
  <c r="S75" i="275" s="1"/>
  <c r="L79" i="275"/>
  <c r="J79" i="275"/>
  <c r="M73" i="275"/>
  <c r="J82" i="275"/>
  <c r="Q75" i="275" s="1"/>
  <c r="J77" i="275"/>
  <c r="K79" i="275"/>
  <c r="K77" i="275"/>
  <c r="K82" i="275"/>
  <c r="R75" i="275" s="1"/>
  <c r="S74" i="275"/>
  <c r="T76" i="275"/>
  <c r="E89" i="275" s="1"/>
  <c r="T117" i="282" l="1"/>
  <c r="U116" i="282"/>
  <c r="T114" i="282"/>
  <c r="U112" i="282"/>
  <c r="W109" i="282"/>
  <c r="E125" i="282" s="1"/>
  <c r="T113" i="282"/>
  <c r="U113" i="282"/>
  <c r="V113" i="282"/>
  <c r="W108" i="282"/>
  <c r="F124" i="282" s="1"/>
  <c r="S114" i="282"/>
  <c r="W106" i="282"/>
  <c r="D122" i="282" s="1"/>
  <c r="W104" i="282"/>
  <c r="E120" i="282" s="1"/>
  <c r="W105" i="282"/>
  <c r="F121" i="282" s="1"/>
  <c r="W107" i="282"/>
  <c r="C123" i="282" s="1"/>
  <c r="V114" i="282"/>
  <c r="V117" i="282"/>
  <c r="U114" i="282"/>
  <c r="U110" i="282"/>
  <c r="S112" i="282"/>
  <c r="S110" i="282"/>
  <c r="S116" i="282"/>
  <c r="S113" i="282"/>
  <c r="V116" i="282"/>
  <c r="V110" i="282"/>
  <c r="V112" i="282"/>
  <c r="U117" i="282"/>
  <c r="T116" i="282"/>
  <c r="T110" i="282"/>
  <c r="T112" i="282"/>
  <c r="D89" i="275"/>
  <c r="C89" i="275"/>
  <c r="Q83" i="275"/>
  <c r="R73" i="275"/>
  <c r="R79" i="275" s="1"/>
  <c r="S73" i="275"/>
  <c r="M77" i="275"/>
  <c r="Q80" i="275"/>
  <c r="T75" i="275"/>
  <c r="C88" i="275" s="1"/>
  <c r="S83" i="275"/>
  <c r="T74" i="275"/>
  <c r="D87" i="275" s="1"/>
  <c r="R80" i="275"/>
  <c r="Q73" i="275"/>
  <c r="S80" i="275"/>
  <c r="F122" i="282" l="1"/>
  <c r="E122" i="282"/>
  <c r="D120" i="282"/>
  <c r="D123" i="282"/>
  <c r="D129" i="282" s="1"/>
  <c r="L123" i="282" s="1"/>
  <c r="C121" i="282"/>
  <c r="D121" i="282"/>
  <c r="D125" i="282"/>
  <c r="C125" i="282"/>
  <c r="F125" i="282"/>
  <c r="F130" i="282" s="1"/>
  <c r="N124" i="282" s="1"/>
  <c r="E121" i="282"/>
  <c r="E128" i="282" s="1"/>
  <c r="M120" i="282" s="1"/>
  <c r="E123" i="282"/>
  <c r="D124" i="282"/>
  <c r="E124" i="282"/>
  <c r="E130" i="282" s="1"/>
  <c r="M124" i="282" s="1"/>
  <c r="C120" i="282"/>
  <c r="C122" i="282"/>
  <c r="F123" i="282"/>
  <c r="F120" i="282"/>
  <c r="C124" i="282"/>
  <c r="W113" i="282"/>
  <c r="W114" i="282"/>
  <c r="W112" i="282"/>
  <c r="W117" i="282"/>
  <c r="W116" i="282"/>
  <c r="W110" i="282"/>
  <c r="C87" i="275"/>
  <c r="E88" i="275"/>
  <c r="E87" i="275"/>
  <c r="D88" i="275"/>
  <c r="D93" i="275" s="1"/>
  <c r="K88" i="275" s="1"/>
  <c r="R82" i="275"/>
  <c r="F89" i="275"/>
  <c r="R77" i="275"/>
  <c r="S82" i="275"/>
  <c r="S79" i="275"/>
  <c r="S77" i="275"/>
  <c r="Q77" i="275"/>
  <c r="Q82" i="275"/>
  <c r="Q79" i="275"/>
  <c r="T73" i="275"/>
  <c r="T77" i="275" s="1"/>
  <c r="E129" i="282" l="1"/>
  <c r="M123" i="282" s="1"/>
  <c r="E132" i="282"/>
  <c r="M125" i="282"/>
  <c r="M130" i="282" s="1"/>
  <c r="E126" i="282"/>
  <c r="D128" i="282"/>
  <c r="L121" i="282" s="1"/>
  <c r="F133" i="282"/>
  <c r="F129" i="282"/>
  <c r="N122" i="282" s="1"/>
  <c r="D130" i="282"/>
  <c r="L124" i="282" s="1"/>
  <c r="F128" i="282"/>
  <c r="N121" i="282" s="1"/>
  <c r="F132" i="282"/>
  <c r="F126" i="282"/>
  <c r="G125" i="282"/>
  <c r="C130" i="282"/>
  <c r="G124" i="282"/>
  <c r="G120" i="282"/>
  <c r="C126" i="282"/>
  <c r="C132" i="282"/>
  <c r="C128" i="282"/>
  <c r="K121" i="282" s="1"/>
  <c r="E133" i="282"/>
  <c r="M121" i="282"/>
  <c r="D126" i="282"/>
  <c r="N125" i="282"/>
  <c r="N130" i="282" s="1"/>
  <c r="G121" i="282"/>
  <c r="C133" i="282"/>
  <c r="L122" i="282"/>
  <c r="L129" i="282" s="1"/>
  <c r="G123" i="282"/>
  <c r="G122" i="282"/>
  <c r="C129" i="282"/>
  <c r="D132" i="282"/>
  <c r="D133" i="282"/>
  <c r="C86" i="275"/>
  <c r="E86" i="275"/>
  <c r="D86" i="275"/>
  <c r="E96" i="275"/>
  <c r="K89" i="275"/>
  <c r="K93" i="275" s="1"/>
  <c r="M122" i="282" l="1"/>
  <c r="M126" i="282" s="1"/>
  <c r="L120" i="282"/>
  <c r="L132" i="282" s="1"/>
  <c r="T120" i="282" s="1"/>
  <c r="N123" i="282"/>
  <c r="N129" i="282" s="1"/>
  <c r="L125" i="282"/>
  <c r="L133" i="282" s="1"/>
  <c r="T123" i="282" s="1"/>
  <c r="G132" i="282"/>
  <c r="G130" i="282"/>
  <c r="N120" i="282"/>
  <c r="N132" i="282" s="1"/>
  <c r="K122" i="282"/>
  <c r="G129" i="282"/>
  <c r="K123" i="282"/>
  <c r="G126" i="282"/>
  <c r="G133" i="282"/>
  <c r="M133" i="282"/>
  <c r="K120" i="282"/>
  <c r="G128" i="282"/>
  <c r="K124" i="282"/>
  <c r="M128" i="282"/>
  <c r="K125" i="282"/>
  <c r="O121" i="282"/>
  <c r="C93" i="275"/>
  <c r="J89" i="275" s="1"/>
  <c r="F88" i="275"/>
  <c r="C96" i="275"/>
  <c r="F87" i="275"/>
  <c r="D96" i="275"/>
  <c r="E93" i="275"/>
  <c r="L89" i="275" s="1"/>
  <c r="M129" i="282" l="1"/>
  <c r="M132" i="282"/>
  <c r="U122" i="282" s="1"/>
  <c r="K133" i="282"/>
  <c r="S125" i="282" s="1"/>
  <c r="L128" i="282"/>
  <c r="L126" i="282"/>
  <c r="N133" i="282"/>
  <c r="V121" i="282" s="1"/>
  <c r="N126" i="282"/>
  <c r="T121" i="282"/>
  <c r="T128" i="282" s="1"/>
  <c r="T125" i="282"/>
  <c r="L130" i="282"/>
  <c r="N128" i="282"/>
  <c r="O125" i="282"/>
  <c r="K132" i="282"/>
  <c r="O120" i="282"/>
  <c r="K128" i="282"/>
  <c r="K126" i="282"/>
  <c r="V120" i="282"/>
  <c r="V122" i="282"/>
  <c r="V124" i="282"/>
  <c r="K130" i="282"/>
  <c r="O124" i="282"/>
  <c r="U125" i="282"/>
  <c r="U123" i="282"/>
  <c r="K129" i="282"/>
  <c r="O122" i="282"/>
  <c r="U121" i="282"/>
  <c r="O123" i="282"/>
  <c r="T122" i="282"/>
  <c r="T124" i="282"/>
  <c r="J88" i="275"/>
  <c r="J93" i="275" s="1"/>
  <c r="L88" i="275"/>
  <c r="M89" i="275"/>
  <c r="C95" i="275"/>
  <c r="C92" i="275"/>
  <c r="J87" i="275" s="1"/>
  <c r="F86" i="275"/>
  <c r="F90" i="275" s="1"/>
  <c r="C90" i="275"/>
  <c r="E90" i="275"/>
  <c r="E92" i="275"/>
  <c r="L87" i="275" s="1"/>
  <c r="L96" i="275" s="1"/>
  <c r="S87" i="275" s="1"/>
  <c r="E95" i="275"/>
  <c r="D92" i="275"/>
  <c r="K87" i="275" s="1"/>
  <c r="D90" i="275"/>
  <c r="D95" i="275"/>
  <c r="O129" i="282" l="1"/>
  <c r="U120" i="282"/>
  <c r="U128" i="282" s="1"/>
  <c r="U124" i="282"/>
  <c r="U130" i="282" s="1"/>
  <c r="O132" i="282"/>
  <c r="S123" i="282"/>
  <c r="O130" i="282"/>
  <c r="T132" i="282"/>
  <c r="O128" i="282"/>
  <c r="S121" i="282"/>
  <c r="T133" i="282"/>
  <c r="S122" i="282"/>
  <c r="V125" i="282"/>
  <c r="O133" i="282"/>
  <c r="V123" i="282"/>
  <c r="T126" i="282"/>
  <c r="O126" i="282"/>
  <c r="U133" i="282"/>
  <c r="S124" i="282"/>
  <c r="U129" i="282"/>
  <c r="V128" i="282"/>
  <c r="V132" i="282"/>
  <c r="T130" i="282"/>
  <c r="T129" i="282"/>
  <c r="S120" i="282"/>
  <c r="M88" i="275"/>
  <c r="L93" i="275"/>
  <c r="M87" i="275"/>
  <c r="K96" i="275"/>
  <c r="R89" i="275" s="1"/>
  <c r="J96" i="275"/>
  <c r="Q89" i="275" s="1"/>
  <c r="K86" i="275"/>
  <c r="L86" i="275"/>
  <c r="S89" i="275"/>
  <c r="J86" i="275"/>
  <c r="U126" i="282" l="1"/>
  <c r="U132" i="282"/>
  <c r="S133" i="282"/>
  <c r="S129" i="282"/>
  <c r="W123" i="282"/>
  <c r="C139" i="282" s="1"/>
  <c r="W122" i="282"/>
  <c r="E138" i="282" s="1"/>
  <c r="W121" i="282"/>
  <c r="C137" i="282" s="1"/>
  <c r="V126" i="282"/>
  <c r="V133" i="282"/>
  <c r="W125" i="282"/>
  <c r="D141" i="282" s="1"/>
  <c r="V130" i="282"/>
  <c r="V129" i="282"/>
  <c r="S128" i="282"/>
  <c r="W128" i="282" s="1"/>
  <c r="S132" i="282"/>
  <c r="W132" i="282" s="1"/>
  <c r="S126" i="282"/>
  <c r="W120" i="282"/>
  <c r="W124" i="282"/>
  <c r="S130" i="282"/>
  <c r="R87" i="275"/>
  <c r="Q87" i="275"/>
  <c r="L92" i="275"/>
  <c r="L95" i="275"/>
  <c r="L90" i="275"/>
  <c r="S96" i="275"/>
  <c r="T89" i="275"/>
  <c r="C102" i="275" s="1"/>
  <c r="J95" i="275"/>
  <c r="Q88" i="275" s="1"/>
  <c r="J90" i="275"/>
  <c r="J92" i="275"/>
  <c r="M86" i="275"/>
  <c r="M90" i="275" s="1"/>
  <c r="K90" i="275"/>
  <c r="K95" i="275"/>
  <c r="R88" i="275" s="1"/>
  <c r="K92" i="275"/>
  <c r="D138" i="282" l="1"/>
  <c r="W133" i="282"/>
  <c r="W129" i="282"/>
  <c r="F139" i="282"/>
  <c r="D139" i="282"/>
  <c r="D145" i="282" s="1"/>
  <c r="L138" i="282" s="1"/>
  <c r="E139" i="282"/>
  <c r="E145" i="282" s="1"/>
  <c r="M139" i="282" s="1"/>
  <c r="C138" i="282"/>
  <c r="C145" i="282" s="1"/>
  <c r="K139" i="282" s="1"/>
  <c r="F138" i="282"/>
  <c r="E137" i="282"/>
  <c r="D137" i="282"/>
  <c r="F137" i="282"/>
  <c r="C141" i="282"/>
  <c r="C149" i="282" s="1"/>
  <c r="W130" i="282"/>
  <c r="E141" i="282"/>
  <c r="F141" i="282"/>
  <c r="D140" i="282"/>
  <c r="F140" i="282"/>
  <c r="E140" i="282"/>
  <c r="C140" i="282"/>
  <c r="W126" i="282"/>
  <c r="D136" i="282"/>
  <c r="F136" i="282"/>
  <c r="E136" i="282"/>
  <c r="C136" i="282"/>
  <c r="E102" i="275"/>
  <c r="D102" i="275"/>
  <c r="R96" i="275"/>
  <c r="T87" i="275"/>
  <c r="E100" i="275" s="1"/>
  <c r="Q96" i="275"/>
  <c r="R93" i="275"/>
  <c r="Q93" i="275"/>
  <c r="S86" i="275"/>
  <c r="S88" i="275"/>
  <c r="R86" i="275"/>
  <c r="Q86" i="275"/>
  <c r="F145" i="282" l="1"/>
  <c r="N138" i="282" s="1"/>
  <c r="G139" i="282"/>
  <c r="K138" i="282"/>
  <c r="K145" i="282" s="1"/>
  <c r="F149" i="282"/>
  <c r="G138" i="282"/>
  <c r="M138" i="282"/>
  <c r="M145" i="282" s="1"/>
  <c r="G137" i="282"/>
  <c r="D149" i="282"/>
  <c r="L139" i="282"/>
  <c r="L145" i="282" s="1"/>
  <c r="G141" i="282"/>
  <c r="E149" i="282"/>
  <c r="E146" i="282"/>
  <c r="M141" i="282" s="1"/>
  <c r="F144" i="282"/>
  <c r="N137" i="282" s="1"/>
  <c r="F142" i="282"/>
  <c r="F148" i="282"/>
  <c r="D148" i="282"/>
  <c r="D144" i="282"/>
  <c r="L137" i="282" s="1"/>
  <c r="D142" i="282"/>
  <c r="F146" i="282"/>
  <c r="N141" i="282" s="1"/>
  <c r="C144" i="282"/>
  <c r="C142" i="282"/>
  <c r="C148" i="282"/>
  <c r="G136" i="282"/>
  <c r="C146" i="282"/>
  <c r="K141" i="282" s="1"/>
  <c r="G140" i="282"/>
  <c r="D146" i="282"/>
  <c r="E144" i="282"/>
  <c r="E142" i="282"/>
  <c r="E148" i="282"/>
  <c r="T88" i="275"/>
  <c r="E101" i="275" s="1"/>
  <c r="D100" i="275"/>
  <c r="D109" i="275" s="1"/>
  <c r="C100" i="275"/>
  <c r="C109" i="275" s="1"/>
  <c r="F102" i="275"/>
  <c r="E109" i="275"/>
  <c r="S92" i="275"/>
  <c r="S90" i="275"/>
  <c r="S95" i="275"/>
  <c r="Q90" i="275"/>
  <c r="Q92" i="275"/>
  <c r="Q95" i="275"/>
  <c r="T86" i="275"/>
  <c r="E99" i="275" s="1"/>
  <c r="R90" i="275"/>
  <c r="R92" i="275"/>
  <c r="R95" i="275"/>
  <c r="S93" i="275"/>
  <c r="G145" i="282" l="1"/>
  <c r="N139" i="282"/>
  <c r="N145" i="282" s="1"/>
  <c r="O145" i="282" s="1"/>
  <c r="M140" i="282"/>
  <c r="M146" i="282" s="1"/>
  <c r="O138" i="282"/>
  <c r="G149" i="282"/>
  <c r="O139" i="282"/>
  <c r="N140" i="282"/>
  <c r="N146" i="282" s="1"/>
  <c r="L136" i="282"/>
  <c r="L144" i="282" s="1"/>
  <c r="K140" i="282"/>
  <c r="K146" i="282" s="1"/>
  <c r="N136" i="282"/>
  <c r="G144" i="282"/>
  <c r="K137" i="282"/>
  <c r="G142" i="282"/>
  <c r="M136" i="282"/>
  <c r="M137" i="282"/>
  <c r="G146" i="282"/>
  <c r="L141" i="282"/>
  <c r="O141" i="282" s="1"/>
  <c r="K136" i="282"/>
  <c r="G148" i="282"/>
  <c r="L140" i="282"/>
  <c r="C99" i="275"/>
  <c r="T90" i="275"/>
  <c r="D99" i="275"/>
  <c r="D101" i="275"/>
  <c r="D106" i="275" s="1"/>
  <c r="K102" i="275" s="1"/>
  <c r="C101" i="275"/>
  <c r="C106" i="275" s="1"/>
  <c r="J102" i="275" s="1"/>
  <c r="F100" i="275"/>
  <c r="N149" i="282" l="1"/>
  <c r="V139" i="282" s="1"/>
  <c r="N148" i="282"/>
  <c r="V136" i="282" s="1"/>
  <c r="O140" i="282"/>
  <c r="N142" i="282"/>
  <c r="N144" i="282"/>
  <c r="L149" i="282"/>
  <c r="T139" i="282" s="1"/>
  <c r="L148" i="282"/>
  <c r="T140" i="282" s="1"/>
  <c r="M149" i="282"/>
  <c r="U137" i="282" s="1"/>
  <c r="K142" i="282"/>
  <c r="K148" i="282"/>
  <c r="O136" i="282"/>
  <c r="K144" i="282"/>
  <c r="M144" i="282"/>
  <c r="M148" i="282"/>
  <c r="M142" i="282"/>
  <c r="K149" i="282"/>
  <c r="S137" i="282" s="1"/>
  <c r="O137" i="282"/>
  <c r="L146" i="282"/>
  <c r="O146" i="282" s="1"/>
  <c r="L142" i="282"/>
  <c r="J101" i="275"/>
  <c r="J106" i="275" s="1"/>
  <c r="C108" i="275"/>
  <c r="E105" i="275"/>
  <c r="L100" i="275" s="1"/>
  <c r="E103" i="275"/>
  <c r="E108" i="275"/>
  <c r="E106" i="275"/>
  <c r="L102" i="275" s="1"/>
  <c r="F101" i="275"/>
  <c r="K101" i="275"/>
  <c r="V137" i="282" l="1"/>
  <c r="V144" i="282" s="1"/>
  <c r="V140" i="282"/>
  <c r="V141" i="282"/>
  <c r="V138" i="282"/>
  <c r="T141" i="282"/>
  <c r="T146" i="282" s="1"/>
  <c r="T137" i="282"/>
  <c r="O142" i="282"/>
  <c r="U139" i="282"/>
  <c r="U141" i="282"/>
  <c r="U136" i="282"/>
  <c r="U138" i="282"/>
  <c r="U140" i="282"/>
  <c r="O148" i="282"/>
  <c r="S138" i="282"/>
  <c r="S140" i="282"/>
  <c r="O149" i="282"/>
  <c r="S139" i="282"/>
  <c r="S141" i="282"/>
  <c r="S136" i="282"/>
  <c r="O144" i="282"/>
  <c r="T138" i="282"/>
  <c r="T136" i="282"/>
  <c r="C103" i="275"/>
  <c r="F99" i="275"/>
  <c r="F103" i="275" s="1"/>
  <c r="C105" i="275"/>
  <c r="J100" i="275" s="1"/>
  <c r="D108" i="275"/>
  <c r="D103" i="275"/>
  <c r="D105" i="275"/>
  <c r="M102" i="275"/>
  <c r="L109" i="275"/>
  <c r="S100" i="275" s="1"/>
  <c r="L99" i="275"/>
  <c r="K106" i="275"/>
  <c r="L101" i="275"/>
  <c r="L106" i="275" s="1"/>
  <c r="V149" i="282" l="1"/>
  <c r="V142" i="282"/>
  <c r="V148" i="282"/>
  <c r="V145" i="282"/>
  <c r="V146" i="282"/>
  <c r="T149" i="282"/>
  <c r="W137" i="282"/>
  <c r="F153" i="282" s="1"/>
  <c r="T142" i="282"/>
  <c r="T144" i="282"/>
  <c r="T148" i="282"/>
  <c r="S149" i="282"/>
  <c r="W139" i="282"/>
  <c r="W138" i="282"/>
  <c r="F154" i="282" s="1"/>
  <c r="S145" i="282"/>
  <c r="U145" i="282"/>
  <c r="T145" i="282"/>
  <c r="S146" i="282"/>
  <c r="W140" i="282"/>
  <c r="E156" i="282" s="1"/>
  <c r="U146" i="282"/>
  <c r="S144" i="282"/>
  <c r="W136" i="282"/>
  <c r="F152" i="282" s="1"/>
  <c r="S142" i="282"/>
  <c r="S148" i="282"/>
  <c r="U149" i="282"/>
  <c r="U148" i="282"/>
  <c r="U144" i="282"/>
  <c r="U142" i="282"/>
  <c r="W141" i="282"/>
  <c r="J99" i="275"/>
  <c r="J105" i="275" s="1"/>
  <c r="S102" i="275"/>
  <c r="M101" i="275"/>
  <c r="J109" i="275"/>
  <c r="Q102" i="275" s="1"/>
  <c r="K99" i="275"/>
  <c r="K100" i="275"/>
  <c r="L103" i="275"/>
  <c r="L105" i="275"/>
  <c r="L108" i="275"/>
  <c r="S101" i="275" s="1"/>
  <c r="E152" i="282" l="1"/>
  <c r="D153" i="282"/>
  <c r="C153" i="282"/>
  <c r="E153" i="282"/>
  <c r="C156" i="282"/>
  <c r="D154" i="282"/>
  <c r="W149" i="282"/>
  <c r="D155" i="282"/>
  <c r="F155" i="282"/>
  <c r="F157" i="282"/>
  <c r="D157" i="282"/>
  <c r="F156" i="282"/>
  <c r="F164" i="282" s="1"/>
  <c r="D156" i="282"/>
  <c r="W142" i="282"/>
  <c r="W144" i="282"/>
  <c r="W148" i="282"/>
  <c r="C152" i="282"/>
  <c r="W146" i="282"/>
  <c r="E154" i="282"/>
  <c r="E155" i="282"/>
  <c r="E157" i="282"/>
  <c r="D152" i="282"/>
  <c r="F160" i="282"/>
  <c r="N153" i="282" s="1"/>
  <c r="C157" i="282"/>
  <c r="W145" i="282"/>
  <c r="C154" i="282"/>
  <c r="C155" i="282"/>
  <c r="J108" i="275"/>
  <c r="Q99" i="275" s="1"/>
  <c r="S109" i="275"/>
  <c r="J103" i="275"/>
  <c r="M99" i="275"/>
  <c r="Q100" i="275"/>
  <c r="S106" i="275"/>
  <c r="K105" i="275"/>
  <c r="K109" i="275"/>
  <c r="R102" i="275" s="1"/>
  <c r="M100" i="275"/>
  <c r="S99" i="275"/>
  <c r="K108" i="275"/>
  <c r="K103" i="275"/>
  <c r="E164" i="282" l="1"/>
  <c r="E160" i="282"/>
  <c r="M153" i="282" s="1"/>
  <c r="C162" i="282"/>
  <c r="K156" i="282" s="1"/>
  <c r="G153" i="282"/>
  <c r="D161" i="282"/>
  <c r="L154" i="282" s="1"/>
  <c r="N152" i="282"/>
  <c r="N160" i="282" s="1"/>
  <c r="D165" i="282"/>
  <c r="G152" i="282"/>
  <c r="C158" i="282"/>
  <c r="C164" i="282"/>
  <c r="C160" i="282"/>
  <c r="K152" i="282" s="1"/>
  <c r="D162" i="282"/>
  <c r="F158" i="282"/>
  <c r="E165" i="282"/>
  <c r="F162" i="282"/>
  <c r="N156" i="282" s="1"/>
  <c r="G157" i="282"/>
  <c r="G155" i="282"/>
  <c r="C165" i="282"/>
  <c r="F165" i="282"/>
  <c r="D164" i="282"/>
  <c r="D160" i="282"/>
  <c r="L153" i="282" s="1"/>
  <c r="D158" i="282"/>
  <c r="F161" i="282"/>
  <c r="N154" i="282" s="1"/>
  <c r="G154" i="282"/>
  <c r="C161" i="282"/>
  <c r="E158" i="282"/>
  <c r="G156" i="282"/>
  <c r="E161" i="282"/>
  <c r="M155" i="282" s="1"/>
  <c r="E162" i="282"/>
  <c r="M156" i="282" s="1"/>
  <c r="M103" i="275"/>
  <c r="Q101" i="275"/>
  <c r="Q109" i="275"/>
  <c r="T102" i="275"/>
  <c r="R100" i="275"/>
  <c r="S103" i="275"/>
  <c r="S105" i="275"/>
  <c r="S108" i="275"/>
  <c r="R99" i="275"/>
  <c r="R101" i="275"/>
  <c r="Q105" i="275"/>
  <c r="M152" i="282" l="1"/>
  <c r="M160" i="282" s="1"/>
  <c r="N157" i="282"/>
  <c r="N162" i="282" s="1"/>
  <c r="K157" i="282"/>
  <c r="K162" i="282" s="1"/>
  <c r="L155" i="282"/>
  <c r="L161" i="282" s="1"/>
  <c r="L152" i="282"/>
  <c r="G162" i="282"/>
  <c r="N164" i="282"/>
  <c r="V152" i="282" s="1"/>
  <c r="L157" i="282"/>
  <c r="L156" i="282"/>
  <c r="G164" i="282"/>
  <c r="M154" i="282"/>
  <c r="G165" i="282"/>
  <c r="N155" i="282"/>
  <c r="G160" i="282"/>
  <c r="K153" i="282"/>
  <c r="K160" i="282" s="1"/>
  <c r="M157" i="282"/>
  <c r="M165" i="282" s="1"/>
  <c r="U155" i="282" s="1"/>
  <c r="K154" i="282"/>
  <c r="K164" i="282" s="1"/>
  <c r="G161" i="282"/>
  <c r="K155" i="282"/>
  <c r="G158" i="282"/>
  <c r="Q103" i="275"/>
  <c r="T100" i="275"/>
  <c r="D113" i="275" s="1"/>
  <c r="E115" i="275"/>
  <c r="C115" i="275"/>
  <c r="D115" i="275"/>
  <c r="Q108" i="275"/>
  <c r="Q106" i="275"/>
  <c r="T101" i="275"/>
  <c r="E114" i="275" s="1"/>
  <c r="R109" i="275"/>
  <c r="R105" i="275"/>
  <c r="R108" i="275"/>
  <c r="T99" i="275"/>
  <c r="R103" i="275"/>
  <c r="R106" i="275"/>
  <c r="M164" i="282" l="1"/>
  <c r="U152" i="282" s="1"/>
  <c r="N165" i="282"/>
  <c r="V157" i="282" s="1"/>
  <c r="L158" i="282"/>
  <c r="N161" i="282"/>
  <c r="L160" i="282"/>
  <c r="O160" i="282" s="1"/>
  <c r="L162" i="282"/>
  <c r="L164" i="282"/>
  <c r="T154" i="282" s="1"/>
  <c r="O152" i="282"/>
  <c r="O156" i="282"/>
  <c r="L165" i="282"/>
  <c r="O157" i="282"/>
  <c r="V156" i="282"/>
  <c r="V154" i="282"/>
  <c r="S156" i="282"/>
  <c r="S152" i="282"/>
  <c r="O155" i="282"/>
  <c r="U153" i="282"/>
  <c r="M162" i="282"/>
  <c r="U157" i="282"/>
  <c r="N158" i="282"/>
  <c r="M161" i="282"/>
  <c r="M158" i="282"/>
  <c r="O153" i="282"/>
  <c r="K165" i="282"/>
  <c r="S155" i="282" s="1"/>
  <c r="K158" i="282"/>
  <c r="O154" i="282"/>
  <c r="K161" i="282"/>
  <c r="S154" i="282"/>
  <c r="C114" i="275"/>
  <c r="C119" i="275" s="1"/>
  <c r="J115" i="275" s="1"/>
  <c r="T103" i="275"/>
  <c r="E112" i="275"/>
  <c r="C112" i="275"/>
  <c r="E113" i="275"/>
  <c r="E122" i="275" s="1"/>
  <c r="C113" i="275"/>
  <c r="C122" i="275" s="1"/>
  <c r="D112" i="275"/>
  <c r="D114" i="275"/>
  <c r="D122" i="275"/>
  <c r="F115" i="275"/>
  <c r="E119" i="275"/>
  <c r="L115" i="275" s="1"/>
  <c r="U154" i="282" l="1"/>
  <c r="U156" i="282"/>
  <c r="U162" i="282" s="1"/>
  <c r="V155" i="282"/>
  <c r="V161" i="282" s="1"/>
  <c r="V162" i="282"/>
  <c r="V153" i="282"/>
  <c r="V164" i="282"/>
  <c r="O162" i="282"/>
  <c r="T152" i="282"/>
  <c r="O164" i="282"/>
  <c r="T156" i="282"/>
  <c r="W156" i="282" s="1"/>
  <c r="S153" i="282"/>
  <c r="T155" i="282"/>
  <c r="T161" i="282" s="1"/>
  <c r="T153" i="282"/>
  <c r="T157" i="282"/>
  <c r="O158" i="282"/>
  <c r="O161" i="282"/>
  <c r="S161" i="282"/>
  <c r="O165" i="282"/>
  <c r="S157" i="282"/>
  <c r="S164" i="282"/>
  <c r="U165" i="282"/>
  <c r="U160" i="282"/>
  <c r="F113" i="275"/>
  <c r="D118" i="275"/>
  <c r="K112" i="275" s="1"/>
  <c r="L114" i="275"/>
  <c r="L119" i="275" s="1"/>
  <c r="C118" i="275"/>
  <c r="J113" i="275" s="1"/>
  <c r="C116" i="275"/>
  <c r="F112" i="275"/>
  <c r="C121" i="275"/>
  <c r="D121" i="275"/>
  <c r="D116" i="275"/>
  <c r="D119" i="275"/>
  <c r="K115" i="275" s="1"/>
  <c r="F114" i="275"/>
  <c r="E118" i="275"/>
  <c r="L113" i="275" s="1"/>
  <c r="L122" i="275" s="1"/>
  <c r="S113" i="275" s="1"/>
  <c r="E121" i="275"/>
  <c r="E116" i="275"/>
  <c r="J114" i="275"/>
  <c r="U164" i="282" l="1"/>
  <c r="U161" i="282"/>
  <c r="W161" i="282" s="1"/>
  <c r="W154" i="282"/>
  <c r="C170" i="282" s="1"/>
  <c r="U158" i="282"/>
  <c r="V158" i="282"/>
  <c r="V165" i="282"/>
  <c r="V160" i="282"/>
  <c r="T164" i="282"/>
  <c r="W152" i="282"/>
  <c r="D168" i="282" s="1"/>
  <c r="T160" i="282"/>
  <c r="T162" i="282"/>
  <c r="W155" i="282"/>
  <c r="F171" i="282" s="1"/>
  <c r="W153" i="282"/>
  <c r="E169" i="282" s="1"/>
  <c r="T165" i="282"/>
  <c r="S160" i="282"/>
  <c r="T158" i="282"/>
  <c r="F172" i="282"/>
  <c r="D172" i="282"/>
  <c r="E172" i="282"/>
  <c r="W157" i="282"/>
  <c r="C173" i="282" s="1"/>
  <c r="S162" i="282"/>
  <c r="F170" i="282"/>
  <c r="C172" i="282"/>
  <c r="S158" i="282"/>
  <c r="S165" i="282"/>
  <c r="K113" i="275"/>
  <c r="K122" i="275" s="1"/>
  <c r="R113" i="275" s="1"/>
  <c r="J112" i="275"/>
  <c r="J118" i="275" s="1"/>
  <c r="J119" i="275"/>
  <c r="M115" i="275"/>
  <c r="J122" i="275"/>
  <c r="L112" i="275"/>
  <c r="S115" i="275"/>
  <c r="F116" i="275"/>
  <c r="K114" i="275"/>
  <c r="W164" i="282" l="1"/>
  <c r="D170" i="282"/>
  <c r="D180" i="282" s="1"/>
  <c r="E170" i="282"/>
  <c r="M113" i="275"/>
  <c r="W160" i="282"/>
  <c r="C168" i="282"/>
  <c r="C180" i="282" s="1"/>
  <c r="E168" i="282"/>
  <c r="E180" i="282" s="1"/>
  <c r="F168" i="282"/>
  <c r="F180" i="282" s="1"/>
  <c r="C169" i="282"/>
  <c r="W162" i="282"/>
  <c r="E171" i="282"/>
  <c r="C171" i="282"/>
  <c r="D171" i="282"/>
  <c r="D177" i="282" s="1"/>
  <c r="L171" i="282" s="1"/>
  <c r="D169" i="282"/>
  <c r="D176" i="282" s="1"/>
  <c r="L169" i="282" s="1"/>
  <c r="W158" i="282"/>
  <c r="F169" i="282"/>
  <c r="W165" i="282"/>
  <c r="C178" i="282"/>
  <c r="K172" i="282" s="1"/>
  <c r="G172" i="282"/>
  <c r="F173" i="282"/>
  <c r="D173" i="282"/>
  <c r="E173" i="282"/>
  <c r="F177" i="282"/>
  <c r="N171" i="282" s="1"/>
  <c r="K118" i="275"/>
  <c r="J116" i="275"/>
  <c r="J121" i="275"/>
  <c r="Q112" i="275" s="1"/>
  <c r="K119" i="275"/>
  <c r="K121" i="275"/>
  <c r="R112" i="275" s="1"/>
  <c r="L118" i="275"/>
  <c r="L121" i="275"/>
  <c r="L116" i="275"/>
  <c r="Q113" i="275"/>
  <c r="Q115" i="275"/>
  <c r="R115" i="275"/>
  <c r="S122" i="275"/>
  <c r="M112" i="275"/>
  <c r="K116" i="275"/>
  <c r="M114" i="275"/>
  <c r="G170" i="282" l="1"/>
  <c r="E177" i="282"/>
  <c r="M171" i="282" s="1"/>
  <c r="C176" i="282"/>
  <c r="K168" i="282" s="1"/>
  <c r="E176" i="282"/>
  <c r="M168" i="282" s="1"/>
  <c r="G168" i="282"/>
  <c r="E174" i="282"/>
  <c r="F176" i="282"/>
  <c r="N169" i="282" s="1"/>
  <c r="C174" i="282"/>
  <c r="N170" i="282"/>
  <c r="N177" i="282" s="1"/>
  <c r="G171" i="282"/>
  <c r="C177" i="282"/>
  <c r="C181" i="282"/>
  <c r="D181" i="282"/>
  <c r="L168" i="282"/>
  <c r="L176" i="282" s="1"/>
  <c r="G169" i="282"/>
  <c r="D174" i="282"/>
  <c r="G180" i="282"/>
  <c r="D178" i="282"/>
  <c r="L173" i="282" s="1"/>
  <c r="L181" i="282" s="1"/>
  <c r="K173" i="282"/>
  <c r="K178" i="282" s="1"/>
  <c r="L170" i="282"/>
  <c r="L177" i="282" s="1"/>
  <c r="F181" i="282"/>
  <c r="E178" i="282"/>
  <c r="M172" i="282" s="1"/>
  <c r="G173" i="282"/>
  <c r="F174" i="282"/>
  <c r="F178" i="282"/>
  <c r="N172" i="282" s="1"/>
  <c r="E181" i="282"/>
  <c r="M116" i="275"/>
  <c r="Q118" i="275"/>
  <c r="Q114" i="275"/>
  <c r="S112" i="275"/>
  <c r="S114" i="275"/>
  <c r="T115" i="275"/>
  <c r="E128" i="275" s="1"/>
  <c r="R122" i="275"/>
  <c r="T113" i="275"/>
  <c r="C126" i="275" s="1"/>
  <c r="Q122" i="275"/>
  <c r="R118" i="275"/>
  <c r="R114" i="275"/>
  <c r="M170" i="282" l="1"/>
  <c r="M180" i="282" s="1"/>
  <c r="U172" i="282" s="1"/>
  <c r="K169" i="282"/>
  <c r="G177" i="282"/>
  <c r="M169" i="282"/>
  <c r="M176" i="282" s="1"/>
  <c r="K171" i="282"/>
  <c r="G176" i="282"/>
  <c r="N168" i="282"/>
  <c r="N176" i="282" s="1"/>
  <c r="K170" i="282"/>
  <c r="G181" i="282"/>
  <c r="G174" i="282"/>
  <c r="L172" i="282"/>
  <c r="L174" i="282" s="1"/>
  <c r="T171" i="282"/>
  <c r="T173" i="282"/>
  <c r="T169" i="282"/>
  <c r="G178" i="282"/>
  <c r="M173" i="282"/>
  <c r="N173" i="282"/>
  <c r="N178" i="282" s="1"/>
  <c r="T112" i="275"/>
  <c r="E125" i="275" s="1"/>
  <c r="C128" i="275"/>
  <c r="D128" i="275"/>
  <c r="E126" i="275"/>
  <c r="D126" i="275"/>
  <c r="Q119" i="275"/>
  <c r="Q121" i="275"/>
  <c r="Q116" i="275"/>
  <c r="R121" i="275"/>
  <c r="R119" i="275"/>
  <c r="R116" i="275"/>
  <c r="T114" i="275"/>
  <c r="S119" i="275"/>
  <c r="S118" i="275"/>
  <c r="S121" i="275"/>
  <c r="S116" i="275"/>
  <c r="M177" i="282" l="1"/>
  <c r="O170" i="282"/>
  <c r="M181" i="282"/>
  <c r="U171" i="282" s="1"/>
  <c r="O169" i="282"/>
  <c r="K176" i="282"/>
  <c r="O176" i="282" s="1"/>
  <c r="K181" i="282"/>
  <c r="S169" i="282" s="1"/>
  <c r="O171" i="282"/>
  <c r="K177" i="282"/>
  <c r="O168" i="282"/>
  <c r="N180" i="282"/>
  <c r="V172" i="282" s="1"/>
  <c r="K174" i="282"/>
  <c r="K180" i="282"/>
  <c r="S170" i="282" s="1"/>
  <c r="O172" i="282"/>
  <c r="L180" i="282"/>
  <c r="T172" i="282" s="1"/>
  <c r="T178" i="282" s="1"/>
  <c r="L178" i="282"/>
  <c r="T181" i="282"/>
  <c r="N181" i="282"/>
  <c r="N174" i="282"/>
  <c r="S173" i="282"/>
  <c r="T116" i="275"/>
  <c r="U170" i="282"/>
  <c r="U168" i="282"/>
  <c r="M178" i="282"/>
  <c r="O173" i="282"/>
  <c r="M174" i="282"/>
  <c r="C127" i="275"/>
  <c r="C125" i="275"/>
  <c r="D125" i="275"/>
  <c r="D127" i="275"/>
  <c r="E127" i="275"/>
  <c r="F126" i="275"/>
  <c r="E135" i="275"/>
  <c r="D135" i="275"/>
  <c r="U169" i="282" l="1"/>
  <c r="U176" i="282" s="1"/>
  <c r="U173" i="282"/>
  <c r="U178" i="282" s="1"/>
  <c r="O177" i="282"/>
  <c r="S171" i="282"/>
  <c r="S177" i="282" s="1"/>
  <c r="V170" i="282"/>
  <c r="V168" i="282"/>
  <c r="S168" i="282"/>
  <c r="S172" i="282"/>
  <c r="S178" i="282" s="1"/>
  <c r="O174" i="282"/>
  <c r="O180" i="282"/>
  <c r="O178" i="282"/>
  <c r="T168" i="282"/>
  <c r="T170" i="282"/>
  <c r="T177" i="282" s="1"/>
  <c r="V169" i="282"/>
  <c r="V171" i="282"/>
  <c r="S181" i="282"/>
  <c r="O181" i="282"/>
  <c r="V173" i="282"/>
  <c r="U180" i="282"/>
  <c r="U181" i="282"/>
  <c r="U177" i="282"/>
  <c r="D132" i="275"/>
  <c r="K127" i="275" s="1"/>
  <c r="E132" i="275"/>
  <c r="L127" i="275" s="1"/>
  <c r="F128" i="275"/>
  <c r="C132" i="275"/>
  <c r="J128" i="275" s="1"/>
  <c r="C135" i="275"/>
  <c r="U174" i="282" l="1"/>
  <c r="W171" i="282"/>
  <c r="C187" i="282" s="1"/>
  <c r="V180" i="282"/>
  <c r="V176" i="282"/>
  <c r="S180" i="282"/>
  <c r="S174" i="282"/>
  <c r="W172" i="282"/>
  <c r="C188" i="282" s="1"/>
  <c r="S176" i="282"/>
  <c r="T174" i="282"/>
  <c r="T180" i="282"/>
  <c r="W168" i="282"/>
  <c r="C184" i="282" s="1"/>
  <c r="T176" i="282"/>
  <c r="W170" i="282"/>
  <c r="F186" i="282" s="1"/>
  <c r="D187" i="282"/>
  <c r="V177" i="282"/>
  <c r="W177" i="282" s="1"/>
  <c r="W169" i="282"/>
  <c r="C185" i="282" s="1"/>
  <c r="V178" i="282"/>
  <c r="W178" i="282" s="1"/>
  <c r="V181" i="282"/>
  <c r="W181" i="282" s="1"/>
  <c r="W173" i="282"/>
  <c r="V174" i="282"/>
  <c r="K128" i="275"/>
  <c r="K132" i="275" s="1"/>
  <c r="J127" i="275"/>
  <c r="J132" i="275" s="1"/>
  <c r="L128" i="275"/>
  <c r="L132" i="275" s="1"/>
  <c r="F127" i="275"/>
  <c r="D134" i="275"/>
  <c r="D131" i="275"/>
  <c r="K126" i="275" s="1"/>
  <c r="D129" i="275"/>
  <c r="E131" i="275"/>
  <c r="L126" i="275" s="1"/>
  <c r="E129" i="275"/>
  <c r="E134" i="275"/>
  <c r="C134" i="275"/>
  <c r="C131" i="275"/>
  <c r="J126" i="275" s="1"/>
  <c r="F125" i="275"/>
  <c r="C129" i="275"/>
  <c r="J59" i="107"/>
  <c r="K59" i="107"/>
  <c r="J60" i="107"/>
  <c r="K60" i="107"/>
  <c r="J61" i="107"/>
  <c r="K61" i="107"/>
  <c r="J62" i="107"/>
  <c r="K62" i="107"/>
  <c r="J63" i="107"/>
  <c r="K63" i="107"/>
  <c r="J64" i="107"/>
  <c r="K64" i="107"/>
  <c r="J65" i="107"/>
  <c r="K65" i="107"/>
  <c r="J66" i="107"/>
  <c r="K66" i="107"/>
  <c r="J67" i="107"/>
  <c r="K67" i="107"/>
  <c r="J68" i="107"/>
  <c r="K68" i="107"/>
  <c r="F59" i="107"/>
  <c r="G59" i="107"/>
  <c r="F60" i="107"/>
  <c r="G60" i="107"/>
  <c r="F61" i="107"/>
  <c r="G61" i="107"/>
  <c r="F62" i="107"/>
  <c r="G62" i="107"/>
  <c r="F63" i="107"/>
  <c r="G63" i="107"/>
  <c r="F64" i="107"/>
  <c r="G64" i="107"/>
  <c r="F65" i="107"/>
  <c r="G65" i="107"/>
  <c r="F66" i="107"/>
  <c r="G66" i="107"/>
  <c r="F67" i="107"/>
  <c r="G67" i="107"/>
  <c r="F68" i="107"/>
  <c r="G68" i="107"/>
  <c r="K58" i="107"/>
  <c r="J58" i="107"/>
  <c r="G58" i="107"/>
  <c r="F58" i="107"/>
  <c r="N83" i="105"/>
  <c r="N84" i="105" s="1"/>
  <c r="N85" i="105" s="1"/>
  <c r="N86" i="105" s="1"/>
  <c r="N87" i="105" s="1"/>
  <c r="N88" i="105" s="1"/>
  <c r="N89" i="105" s="1"/>
  <c r="N90" i="105" s="1"/>
  <c r="N91" i="105" s="1"/>
  <c r="N92" i="105" s="1"/>
  <c r="N93" i="105" s="1"/>
  <c r="N94" i="105" s="1"/>
  <c r="N95" i="105" s="1"/>
  <c r="N96" i="105" s="1"/>
  <c r="N97" i="105" s="1"/>
  <c r="N98" i="105" s="1"/>
  <c r="N99" i="105" s="1"/>
  <c r="N100" i="105" s="1"/>
  <c r="N101" i="105" s="1"/>
  <c r="O76" i="105"/>
  <c r="O78" i="105"/>
  <c r="O79" i="105"/>
  <c r="O80" i="105"/>
  <c r="O75" i="105"/>
  <c r="O96" i="105" s="1"/>
  <c r="O68" i="105"/>
  <c r="O69" i="105"/>
  <c r="O90" i="105" s="1"/>
  <c r="O70" i="105"/>
  <c r="O91" i="105" s="1"/>
  <c r="O71" i="105"/>
  <c r="O92" i="105" s="1"/>
  <c r="O72" i="105"/>
  <c r="O93" i="105" s="1"/>
  <c r="O73" i="105"/>
  <c r="O94" i="105" s="1"/>
  <c r="O74" i="105"/>
  <c r="O95" i="105" s="1"/>
  <c r="O65" i="105"/>
  <c r="O66" i="105"/>
  <c r="O61" i="105"/>
  <c r="O82" i="105" s="1"/>
  <c r="N62" i="105"/>
  <c r="N63" i="105" s="1"/>
  <c r="N64" i="105" s="1"/>
  <c r="N65" i="105" s="1"/>
  <c r="N66" i="105" s="1"/>
  <c r="N67" i="105" s="1"/>
  <c r="N68" i="105" s="1"/>
  <c r="N69" i="105" s="1"/>
  <c r="N70" i="105" s="1"/>
  <c r="N71" i="105" s="1"/>
  <c r="N72" i="105" s="1"/>
  <c r="N73" i="105" s="1"/>
  <c r="N74" i="105" s="1"/>
  <c r="N75" i="105" s="1"/>
  <c r="N76" i="105" s="1"/>
  <c r="N77" i="105" s="1"/>
  <c r="N78" i="105" s="1"/>
  <c r="N79" i="105" s="1"/>
  <c r="N80" i="105" s="1"/>
  <c r="N41" i="105"/>
  <c r="N42" i="105" s="1"/>
  <c r="N43" i="105" s="1"/>
  <c r="N44" i="105" s="1"/>
  <c r="N45" i="105" s="1"/>
  <c r="N46" i="105" s="1"/>
  <c r="N47" i="105" s="1"/>
  <c r="N48" i="105" s="1"/>
  <c r="N49" i="105" s="1"/>
  <c r="N50" i="105" s="1"/>
  <c r="N51" i="105" s="1"/>
  <c r="N52" i="105" s="1"/>
  <c r="N53" i="105" s="1"/>
  <c r="N54" i="105" s="1"/>
  <c r="N55" i="105" s="1"/>
  <c r="N56" i="105" s="1"/>
  <c r="N57" i="105" s="1"/>
  <c r="N58" i="105" s="1"/>
  <c r="N59" i="105" s="1"/>
  <c r="AQ31" i="107"/>
  <c r="AQ32" i="107"/>
  <c r="AQ33" i="107"/>
  <c r="AQ34" i="107"/>
  <c r="AQ35" i="107"/>
  <c r="AQ36" i="107"/>
  <c r="AQ37" i="107"/>
  <c r="AQ38" i="107"/>
  <c r="AQ39" i="107"/>
  <c r="AQ40" i="107"/>
  <c r="AQ30" i="107"/>
  <c r="AC31" i="107"/>
  <c r="AC32" i="107" s="1"/>
  <c r="AD27" i="107"/>
  <c r="AD26" i="107"/>
  <c r="AD25" i="107"/>
  <c r="AE25" i="107" s="1"/>
  <c r="AE30" i="107" s="1"/>
  <c r="AP30" i="107" s="1"/>
  <c r="I43" i="107"/>
  <c r="I44" i="107"/>
  <c r="I45" i="107"/>
  <c r="I46" i="107"/>
  <c r="I47" i="107"/>
  <c r="I48" i="107"/>
  <c r="I49" i="107"/>
  <c r="I50" i="107"/>
  <c r="I51" i="107"/>
  <c r="I52" i="107"/>
  <c r="I42" i="107"/>
  <c r="F43" i="107"/>
  <c r="F44" i="107"/>
  <c r="F45" i="107"/>
  <c r="F46" i="107"/>
  <c r="F47" i="107"/>
  <c r="F48" i="107"/>
  <c r="F49" i="107"/>
  <c r="F50" i="107"/>
  <c r="F51" i="107"/>
  <c r="F52" i="107"/>
  <c r="F42" i="107"/>
  <c r="E187" i="282" l="1"/>
  <c r="F187" i="282"/>
  <c r="W176" i="282"/>
  <c r="D188" i="282"/>
  <c r="W180" i="282"/>
  <c r="F188" i="282"/>
  <c r="E188" i="282"/>
  <c r="E186" i="282"/>
  <c r="F193" i="282"/>
  <c r="N186" i="282" s="1"/>
  <c r="F184" i="282"/>
  <c r="C186" i="282"/>
  <c r="C193" i="282" s="1"/>
  <c r="F185" i="282"/>
  <c r="D186" i="282"/>
  <c r="D193" i="282" s="1"/>
  <c r="L187" i="282" s="1"/>
  <c r="D184" i="282"/>
  <c r="E184" i="282"/>
  <c r="AF33" i="107"/>
  <c r="E185" i="282"/>
  <c r="D185" i="282"/>
  <c r="AF31" i="107"/>
  <c r="AF37" i="107"/>
  <c r="AF30" i="107"/>
  <c r="C192" i="282"/>
  <c r="K184" i="282" s="1"/>
  <c r="D189" i="282"/>
  <c r="E189" i="282"/>
  <c r="C189" i="282"/>
  <c r="AF40" i="107"/>
  <c r="AF36" i="107"/>
  <c r="AF32" i="107"/>
  <c r="F189" i="282"/>
  <c r="AF38" i="107"/>
  <c r="AF34" i="107"/>
  <c r="AF39" i="107"/>
  <c r="AF35" i="107"/>
  <c r="W174" i="282"/>
  <c r="M127" i="275"/>
  <c r="M128" i="275"/>
  <c r="F129" i="275"/>
  <c r="K135" i="275"/>
  <c r="R128" i="275" s="1"/>
  <c r="J125" i="275"/>
  <c r="L125" i="275"/>
  <c r="K125" i="275"/>
  <c r="J135" i="275"/>
  <c r="Q128" i="275" s="1"/>
  <c r="M126" i="275"/>
  <c r="L135" i="275"/>
  <c r="S128" i="275" s="1"/>
  <c r="AE32" i="107"/>
  <c r="AP32" i="107" s="1"/>
  <c r="AC33" i="107"/>
  <c r="AE31" i="107"/>
  <c r="AP31" i="107" s="1"/>
  <c r="R31" i="99"/>
  <c r="R32" i="99" s="1"/>
  <c r="A31" i="99"/>
  <c r="A32" i="99" s="1"/>
  <c r="A33" i="99" s="1"/>
  <c r="A34" i="99" s="1"/>
  <c r="A35" i="99" s="1"/>
  <c r="A36" i="99" s="1"/>
  <c r="A37" i="99" s="1"/>
  <c r="A38" i="99" s="1"/>
  <c r="A39" i="99" s="1"/>
  <c r="A40" i="99" s="1"/>
  <c r="AB5" i="99"/>
  <c r="AB6" i="99" s="1"/>
  <c r="AB7" i="99" s="1"/>
  <c r="AB8" i="99" s="1"/>
  <c r="AB9" i="99" s="1"/>
  <c r="AB10" i="99" s="1"/>
  <c r="AB11" i="99" s="1"/>
  <c r="AB12" i="99" s="1"/>
  <c r="AB13" i="99" s="1"/>
  <c r="AB14" i="99" s="1"/>
  <c r="S61" i="224"/>
  <c r="V61" i="224" s="1"/>
  <c r="Y61" i="224" s="1"/>
  <c r="S62" i="224"/>
  <c r="V62" i="224" s="1"/>
  <c r="Y62" i="224" s="1"/>
  <c r="S63" i="224"/>
  <c r="V63" i="224" s="1"/>
  <c r="Y63" i="224" s="1"/>
  <c r="S64" i="224"/>
  <c r="V64" i="224" s="1"/>
  <c r="Y64" i="224" s="1"/>
  <c r="S65" i="224"/>
  <c r="V65" i="224" s="1"/>
  <c r="Y65" i="224" s="1"/>
  <c r="S66" i="224"/>
  <c r="V66" i="224" s="1"/>
  <c r="Y66" i="224" s="1"/>
  <c r="S67" i="224"/>
  <c r="V67" i="224" s="1"/>
  <c r="Y67" i="224" s="1"/>
  <c r="S68" i="224"/>
  <c r="V68" i="224" s="1"/>
  <c r="Y68" i="224" s="1"/>
  <c r="S69" i="224"/>
  <c r="V69" i="224" s="1"/>
  <c r="Y69" i="224" s="1"/>
  <c r="S70" i="224"/>
  <c r="V70" i="224" s="1"/>
  <c r="Y70" i="224" s="1"/>
  <c r="S60" i="224"/>
  <c r="V60" i="224" s="1"/>
  <c r="Y60" i="224" s="1"/>
  <c r="P5" i="225"/>
  <c r="P6" i="225" s="1"/>
  <c r="P7" i="225" s="1"/>
  <c r="L5" i="225"/>
  <c r="L6" i="225"/>
  <c r="L7" i="225"/>
  <c r="L8" i="225"/>
  <c r="L9" i="225"/>
  <c r="L10" i="225"/>
  <c r="L11" i="225"/>
  <c r="L12" i="225"/>
  <c r="L13" i="225"/>
  <c r="L14" i="225"/>
  <c r="L15" i="225"/>
  <c r="L16" i="225"/>
  <c r="L17" i="225"/>
  <c r="L18" i="225"/>
  <c r="L19" i="225"/>
  <c r="L20" i="225"/>
  <c r="L21" i="225"/>
  <c r="L22" i="225"/>
  <c r="L23" i="225"/>
  <c r="L24" i="225"/>
  <c r="L25" i="225"/>
  <c r="L26" i="225"/>
  <c r="L27" i="225"/>
  <c r="L28" i="225"/>
  <c r="L29" i="225"/>
  <c r="L30" i="225"/>
  <c r="L31" i="225"/>
  <c r="L32" i="225"/>
  <c r="L33" i="225"/>
  <c r="L34" i="225"/>
  <c r="L35" i="225"/>
  <c r="L36" i="225"/>
  <c r="L37" i="225"/>
  <c r="L38" i="225"/>
  <c r="L39" i="225"/>
  <c r="L40" i="225"/>
  <c r="L41" i="225"/>
  <c r="L42" i="225"/>
  <c r="L43" i="225"/>
  <c r="L44" i="225"/>
  <c r="L45" i="225"/>
  <c r="L46" i="225"/>
  <c r="L47" i="225"/>
  <c r="L48" i="225"/>
  <c r="L49" i="225"/>
  <c r="L50" i="225"/>
  <c r="L51" i="225"/>
  <c r="L52" i="225"/>
  <c r="L53" i="225"/>
  <c r="L4" i="225"/>
  <c r="H4" i="225"/>
  <c r="I4" i="225"/>
  <c r="J4" i="225"/>
  <c r="H5" i="225"/>
  <c r="I5" i="225"/>
  <c r="J5" i="225"/>
  <c r="H6" i="225"/>
  <c r="I6" i="225"/>
  <c r="J6" i="225"/>
  <c r="H7" i="225"/>
  <c r="I7" i="225"/>
  <c r="J7" i="225"/>
  <c r="H8" i="225"/>
  <c r="I8" i="225"/>
  <c r="J8" i="225"/>
  <c r="H9" i="225"/>
  <c r="I9" i="225"/>
  <c r="J9" i="225"/>
  <c r="H10" i="225"/>
  <c r="I10" i="225"/>
  <c r="J10" i="225"/>
  <c r="H11" i="225"/>
  <c r="I11" i="225"/>
  <c r="J11" i="225"/>
  <c r="H12" i="225"/>
  <c r="I12" i="225"/>
  <c r="J12" i="225"/>
  <c r="H13" i="225"/>
  <c r="I13" i="225"/>
  <c r="J13" i="225"/>
  <c r="H14" i="225"/>
  <c r="I14" i="225"/>
  <c r="J14" i="225"/>
  <c r="H15" i="225"/>
  <c r="I15" i="225"/>
  <c r="J15" i="225"/>
  <c r="H16" i="225"/>
  <c r="I16" i="225"/>
  <c r="J16" i="225"/>
  <c r="H17" i="225"/>
  <c r="I17" i="225"/>
  <c r="J17" i="225"/>
  <c r="H18" i="225"/>
  <c r="I18" i="225"/>
  <c r="J18" i="225"/>
  <c r="H19" i="225"/>
  <c r="I19" i="225"/>
  <c r="J19" i="225"/>
  <c r="H20" i="225"/>
  <c r="I20" i="225"/>
  <c r="J20" i="225"/>
  <c r="H21" i="225"/>
  <c r="I21" i="225"/>
  <c r="J21" i="225"/>
  <c r="H22" i="225"/>
  <c r="I22" i="225"/>
  <c r="J22" i="225"/>
  <c r="H23" i="225"/>
  <c r="I23" i="225"/>
  <c r="J23" i="225"/>
  <c r="H24" i="225"/>
  <c r="I24" i="225"/>
  <c r="J24" i="225"/>
  <c r="H25" i="225"/>
  <c r="I25" i="225"/>
  <c r="J25" i="225"/>
  <c r="H26" i="225"/>
  <c r="I26" i="225"/>
  <c r="J26" i="225"/>
  <c r="H27" i="225"/>
  <c r="I27" i="225"/>
  <c r="J27" i="225"/>
  <c r="H28" i="225"/>
  <c r="I28" i="225"/>
  <c r="J28" i="225"/>
  <c r="H29" i="225"/>
  <c r="I29" i="225"/>
  <c r="J29" i="225"/>
  <c r="H30" i="225"/>
  <c r="I30" i="225"/>
  <c r="J30" i="225"/>
  <c r="H31" i="225"/>
  <c r="I31" i="225"/>
  <c r="J31" i="225"/>
  <c r="H32" i="225"/>
  <c r="I32" i="225"/>
  <c r="J32" i="225"/>
  <c r="H33" i="225"/>
  <c r="I33" i="225"/>
  <c r="J33" i="225"/>
  <c r="H34" i="225"/>
  <c r="I34" i="225"/>
  <c r="J34" i="225"/>
  <c r="H35" i="225"/>
  <c r="I35" i="225"/>
  <c r="J35" i="225"/>
  <c r="H36" i="225"/>
  <c r="I36" i="225"/>
  <c r="J36" i="225"/>
  <c r="H37" i="225"/>
  <c r="I37" i="225"/>
  <c r="J37" i="225"/>
  <c r="H38" i="225"/>
  <c r="I38" i="225"/>
  <c r="J38" i="225"/>
  <c r="H39" i="225"/>
  <c r="I39" i="225"/>
  <c r="J39" i="225"/>
  <c r="H40" i="225"/>
  <c r="I40" i="225"/>
  <c r="J40" i="225"/>
  <c r="H41" i="225"/>
  <c r="I41" i="225"/>
  <c r="J41" i="225"/>
  <c r="H42" i="225"/>
  <c r="I42" i="225"/>
  <c r="J42" i="225"/>
  <c r="H43" i="225"/>
  <c r="I43" i="225"/>
  <c r="J43" i="225"/>
  <c r="H44" i="225"/>
  <c r="I44" i="225"/>
  <c r="J44" i="225"/>
  <c r="H45" i="225"/>
  <c r="I45" i="225"/>
  <c r="J45" i="225"/>
  <c r="H46" i="225"/>
  <c r="I46" i="225"/>
  <c r="J46" i="225"/>
  <c r="H47" i="225"/>
  <c r="I47" i="225"/>
  <c r="J47" i="225"/>
  <c r="H48" i="225"/>
  <c r="I48" i="225"/>
  <c r="J48" i="225"/>
  <c r="H49" i="225"/>
  <c r="I49" i="225"/>
  <c r="J49" i="225"/>
  <c r="H50" i="225"/>
  <c r="I50" i="225"/>
  <c r="J50" i="225"/>
  <c r="H51" i="225"/>
  <c r="I51" i="225"/>
  <c r="J51" i="225"/>
  <c r="H52" i="225"/>
  <c r="I52" i="225"/>
  <c r="J52" i="225"/>
  <c r="H53" i="225"/>
  <c r="I53" i="225"/>
  <c r="J53" i="225"/>
  <c r="N11" i="102"/>
  <c r="N12" i="102" s="1"/>
  <c r="O7" i="102"/>
  <c r="O6" i="102"/>
  <c r="O5" i="102"/>
  <c r="P5" i="102" s="1"/>
  <c r="G187" i="282" l="1"/>
  <c r="E193" i="282"/>
  <c r="M187" i="282" s="1"/>
  <c r="D194" i="282"/>
  <c r="L188" i="282" s="1"/>
  <c r="G188" i="282"/>
  <c r="N187" i="282"/>
  <c r="N193" i="282" s="1"/>
  <c r="F196" i="282"/>
  <c r="E196" i="282"/>
  <c r="C190" i="282"/>
  <c r="F192" i="282"/>
  <c r="N185" i="282" s="1"/>
  <c r="C196" i="282"/>
  <c r="D192" i="282"/>
  <c r="L185" i="282" s="1"/>
  <c r="G186" i="282"/>
  <c r="G184" i="282"/>
  <c r="D196" i="282"/>
  <c r="Q10" i="102"/>
  <c r="D190" i="282"/>
  <c r="E190" i="282"/>
  <c r="E192" i="282"/>
  <c r="G185" i="282"/>
  <c r="N10" i="225" a="1"/>
  <c r="P10" i="225" s="1"/>
  <c r="E197" i="282"/>
  <c r="O22" i="225"/>
  <c r="P11" i="102"/>
  <c r="P10" i="102"/>
  <c r="P12" i="102"/>
  <c r="F190" i="282"/>
  <c r="F197" i="282"/>
  <c r="Q58" i="102"/>
  <c r="Q56" i="102"/>
  <c r="Q54" i="102"/>
  <c r="Q52" i="102"/>
  <c r="Q50" i="102"/>
  <c r="Q48" i="102"/>
  <c r="Q46" i="102"/>
  <c r="Q44" i="102"/>
  <c r="Q42" i="102"/>
  <c r="Q40" i="102"/>
  <c r="Q38" i="102"/>
  <c r="Q36" i="102"/>
  <c r="Q34" i="102"/>
  <c r="Q32" i="102"/>
  <c r="Q30" i="102"/>
  <c r="Q28" i="102"/>
  <c r="Q26" i="102"/>
  <c r="Q24" i="102"/>
  <c r="Q22" i="102"/>
  <c r="Q20" i="102"/>
  <c r="Q18" i="102"/>
  <c r="Q16" i="102"/>
  <c r="Q14" i="102"/>
  <c r="Q12" i="102"/>
  <c r="N13" i="102"/>
  <c r="Q59" i="102"/>
  <c r="Q57" i="102"/>
  <c r="Q55" i="102"/>
  <c r="Q53" i="102"/>
  <c r="Q51" i="102"/>
  <c r="Q49" i="102"/>
  <c r="Q47" i="102"/>
  <c r="Q45" i="102"/>
  <c r="Q43" i="102"/>
  <c r="Q41" i="102"/>
  <c r="Q39" i="102"/>
  <c r="Q37" i="102"/>
  <c r="Q35" i="102"/>
  <c r="Q33" i="102"/>
  <c r="Q31" i="102"/>
  <c r="Q29" i="102"/>
  <c r="Q27" i="102"/>
  <c r="Q25" i="102"/>
  <c r="Q23" i="102"/>
  <c r="Q21" i="102"/>
  <c r="Q19" i="102"/>
  <c r="Q17" i="102"/>
  <c r="Q15" i="102"/>
  <c r="Q13" i="102"/>
  <c r="Q11" i="102"/>
  <c r="R33" i="99"/>
  <c r="D197" i="282"/>
  <c r="F194" i="282"/>
  <c r="N188" i="282" s="1"/>
  <c r="E194" i="282"/>
  <c r="L186" i="282"/>
  <c r="L193" i="282" s="1"/>
  <c r="G189" i="282"/>
  <c r="C194" i="282"/>
  <c r="K189" i="282" s="1"/>
  <c r="C197" i="282"/>
  <c r="K186" i="282"/>
  <c r="G193" i="282"/>
  <c r="K187" i="282"/>
  <c r="K185" i="282"/>
  <c r="Q126" i="275"/>
  <c r="L131" i="275"/>
  <c r="L134" i="275"/>
  <c r="S127" i="275" s="1"/>
  <c r="L129" i="275"/>
  <c r="J131" i="275"/>
  <c r="M125" i="275"/>
  <c r="M129" i="275" s="1"/>
  <c r="J129" i="275"/>
  <c r="J134" i="275"/>
  <c r="Q127" i="275" s="1"/>
  <c r="S126" i="275"/>
  <c r="T128" i="275"/>
  <c r="C141" i="275" s="1"/>
  <c r="R126" i="275"/>
  <c r="K131" i="275"/>
  <c r="K134" i="275"/>
  <c r="R127" i="275" s="1"/>
  <c r="K129" i="275"/>
  <c r="AC34" i="107"/>
  <c r="AE33" i="107"/>
  <c r="AP33" i="107" s="1"/>
  <c r="L7" i="224"/>
  <c r="L8" i="224" s="1"/>
  <c r="Q19" i="224"/>
  <c r="A32" i="224"/>
  <c r="A33" i="224" s="1"/>
  <c r="A34" i="224" s="1"/>
  <c r="B28" i="224"/>
  <c r="B27" i="224"/>
  <c r="B26" i="224"/>
  <c r="C26" i="224" s="1"/>
  <c r="C31" i="224" s="1"/>
  <c r="I7" i="224"/>
  <c r="Z28" i="224" s="1"/>
  <c r="I8" i="224"/>
  <c r="I9" i="224"/>
  <c r="Z30" i="224" s="1"/>
  <c r="I10" i="224"/>
  <c r="I11" i="224"/>
  <c r="Z32" i="224" s="1"/>
  <c r="I12" i="224"/>
  <c r="Z33" i="224" s="1"/>
  <c r="I13" i="224"/>
  <c r="Z34" i="224" s="1"/>
  <c r="I14" i="224"/>
  <c r="I15" i="224"/>
  <c r="Z36" i="224" s="1"/>
  <c r="I16" i="224"/>
  <c r="I6" i="224"/>
  <c r="Z27" i="224" s="1"/>
  <c r="F7" i="224"/>
  <c r="S28" i="224" s="1"/>
  <c r="V28" i="224" s="1"/>
  <c r="G7" i="224"/>
  <c r="F8" i="224"/>
  <c r="S29" i="224" s="1"/>
  <c r="V29" i="224" s="1"/>
  <c r="G8" i="224"/>
  <c r="F9" i="224"/>
  <c r="S30" i="224" s="1"/>
  <c r="V30" i="224" s="1"/>
  <c r="G9" i="224"/>
  <c r="F10" i="224"/>
  <c r="S31" i="224" s="1"/>
  <c r="V31" i="224" s="1"/>
  <c r="G10" i="224"/>
  <c r="F11" i="224"/>
  <c r="S32" i="224" s="1"/>
  <c r="V32" i="224" s="1"/>
  <c r="G11" i="224"/>
  <c r="F12" i="224"/>
  <c r="S33" i="224" s="1"/>
  <c r="V33" i="224" s="1"/>
  <c r="G12" i="224"/>
  <c r="F13" i="224"/>
  <c r="S34" i="224" s="1"/>
  <c r="V34" i="224" s="1"/>
  <c r="G13" i="224"/>
  <c r="F14" i="224"/>
  <c r="S35" i="224" s="1"/>
  <c r="V35" i="224" s="1"/>
  <c r="G14" i="224"/>
  <c r="F15" i="224"/>
  <c r="S36" i="224" s="1"/>
  <c r="V36" i="224" s="1"/>
  <c r="G15" i="224"/>
  <c r="F16" i="224"/>
  <c r="S37" i="224" s="1"/>
  <c r="V37" i="224" s="1"/>
  <c r="G16" i="224"/>
  <c r="G6" i="224"/>
  <c r="F6" i="224"/>
  <c r="S27" i="224" s="1"/>
  <c r="V27" i="224" s="1"/>
  <c r="N105" i="223"/>
  <c r="N106" i="223" s="1"/>
  <c r="N107" i="223" s="1"/>
  <c r="N108" i="223" s="1"/>
  <c r="N109" i="223" s="1"/>
  <c r="N110" i="223" s="1"/>
  <c r="N111" i="223" s="1"/>
  <c r="N112" i="223" s="1"/>
  <c r="N113" i="223" s="1"/>
  <c r="N114" i="223" s="1"/>
  <c r="N115" i="223" s="1"/>
  <c r="N116" i="223" s="1"/>
  <c r="N117" i="223" s="1"/>
  <c r="N118" i="223" s="1"/>
  <c r="N81" i="223"/>
  <c r="N82" i="223" s="1"/>
  <c r="N57" i="223"/>
  <c r="N58" i="223" s="1"/>
  <c r="N59" i="223" s="1"/>
  <c r="N60" i="223" s="1"/>
  <c r="N61" i="223" s="1"/>
  <c r="N62" i="223" s="1"/>
  <c r="N63" i="223" s="1"/>
  <c r="N64" i="223" s="1"/>
  <c r="N65" i="223" s="1"/>
  <c r="N66" i="223" s="1"/>
  <c r="N67" i="223" s="1"/>
  <c r="N68" i="223" s="1"/>
  <c r="N69" i="223" s="1"/>
  <c r="N70" i="223" s="1"/>
  <c r="S33" i="223"/>
  <c r="S34" i="223" s="1"/>
  <c r="S35" i="223" s="1"/>
  <c r="S36" i="223" s="1"/>
  <c r="S37" i="223" s="1"/>
  <c r="S38" i="223" s="1"/>
  <c r="S39" i="223" s="1"/>
  <c r="S40" i="223" s="1"/>
  <c r="S41" i="223" s="1"/>
  <c r="S42" i="223" s="1"/>
  <c r="S43" i="223" s="1"/>
  <c r="S44" i="223" s="1"/>
  <c r="S45" i="223" s="1"/>
  <c r="S46" i="223" s="1"/>
  <c r="M23" i="223"/>
  <c r="E17" i="223"/>
  <c r="N43" i="223" s="1"/>
  <c r="Q43" i="223" s="1"/>
  <c r="T43" i="223" s="1"/>
  <c r="E18" i="223"/>
  <c r="N44" i="223" s="1"/>
  <c r="Q44" i="223" s="1"/>
  <c r="T44" i="223" s="1"/>
  <c r="E19" i="223"/>
  <c r="N45" i="223" s="1"/>
  <c r="Q45" i="223" s="1"/>
  <c r="T45" i="223" s="1"/>
  <c r="E20" i="223"/>
  <c r="N46" i="223" s="1"/>
  <c r="Q46" i="223" s="1"/>
  <c r="T46" i="223" s="1"/>
  <c r="G17" i="223"/>
  <c r="G18" i="223"/>
  <c r="G19" i="223"/>
  <c r="G20" i="223"/>
  <c r="G16" i="223"/>
  <c r="E16" i="223"/>
  <c r="N42" i="223" s="1"/>
  <c r="Q42" i="223" s="1"/>
  <c r="T42" i="223" s="1"/>
  <c r="G15" i="223"/>
  <c r="E15" i="223"/>
  <c r="N41" i="223" s="1"/>
  <c r="Q41" i="223" s="1"/>
  <c r="T41" i="223" s="1"/>
  <c r="G14" i="223"/>
  <c r="E14" i="223"/>
  <c r="N40" i="223" s="1"/>
  <c r="Q40" i="223" s="1"/>
  <c r="T40" i="223" s="1"/>
  <c r="G13" i="223"/>
  <c r="E13" i="223"/>
  <c r="N39" i="223" s="1"/>
  <c r="Q39" i="223" s="1"/>
  <c r="T39" i="223" s="1"/>
  <c r="G12" i="223"/>
  <c r="E12" i="223"/>
  <c r="N38" i="223" s="1"/>
  <c r="Q38" i="223" s="1"/>
  <c r="T38" i="223" s="1"/>
  <c r="G11" i="223"/>
  <c r="E11" i="223"/>
  <c r="N37" i="223" s="1"/>
  <c r="Q37" i="223" s="1"/>
  <c r="T37" i="223" s="1"/>
  <c r="G10" i="223"/>
  <c r="E10" i="223"/>
  <c r="N36" i="223" s="1"/>
  <c r="Q36" i="223" s="1"/>
  <c r="T36" i="223" s="1"/>
  <c r="G9" i="223"/>
  <c r="E9" i="223"/>
  <c r="N35" i="223" s="1"/>
  <c r="Q35" i="223" s="1"/>
  <c r="T35" i="223" s="1"/>
  <c r="G8" i="223"/>
  <c r="E8" i="223"/>
  <c r="N34" i="223" s="1"/>
  <c r="Q34" i="223" s="1"/>
  <c r="T34" i="223" s="1"/>
  <c r="G7" i="223"/>
  <c r="E7" i="223"/>
  <c r="N33" i="223" s="1"/>
  <c r="Q33" i="223" s="1"/>
  <c r="T33" i="223" s="1"/>
  <c r="G6" i="223"/>
  <c r="E6" i="223"/>
  <c r="N32" i="223" s="1"/>
  <c r="Q32" i="223" s="1"/>
  <c r="T32" i="223" s="1"/>
  <c r="M186" i="282" l="1"/>
  <c r="M193" i="282" s="1"/>
  <c r="L189" i="282"/>
  <c r="L194" i="282" s="1"/>
  <c r="L184" i="282"/>
  <c r="L196" i="282" s="1"/>
  <c r="N184" i="282"/>
  <c r="N192" i="282" s="1"/>
  <c r="G196" i="282"/>
  <c r="G192" i="282"/>
  <c r="G190" i="282"/>
  <c r="D34" i="224"/>
  <c r="O77" i="223"/>
  <c r="O12" i="225"/>
  <c r="P12" i="225"/>
  <c r="M184" i="282"/>
  <c r="M185" i="282"/>
  <c r="O185" i="282" s="1"/>
  <c r="Q13" i="225"/>
  <c r="N13" i="225"/>
  <c r="P11" i="225"/>
  <c r="Q11" i="225"/>
  <c r="N12" i="225"/>
  <c r="O13" i="225"/>
  <c r="N11" i="225"/>
  <c r="Q12" i="225"/>
  <c r="O11" i="225"/>
  <c r="P13" i="225"/>
  <c r="D23" i="223" a="1"/>
  <c r="E24" i="223" s="1"/>
  <c r="Q10" i="225"/>
  <c r="O10" i="225"/>
  <c r="N10" i="225"/>
  <c r="Z29" i="224"/>
  <c r="N83" i="223"/>
  <c r="O76" i="223"/>
  <c r="O75" i="223"/>
  <c r="P75" i="223" s="1"/>
  <c r="P82" i="223" s="1"/>
  <c r="Z37" i="224"/>
  <c r="D31" i="224"/>
  <c r="D32" i="224"/>
  <c r="D37" i="224"/>
  <c r="D40" i="224"/>
  <c r="D36" i="224"/>
  <c r="D41" i="224"/>
  <c r="D35" i="224"/>
  <c r="D38" i="224"/>
  <c r="D33" i="224"/>
  <c r="D39" i="224"/>
  <c r="M188" i="282"/>
  <c r="M189" i="282"/>
  <c r="Z35" i="224"/>
  <c r="Z31" i="224"/>
  <c r="C32" i="224"/>
  <c r="C33" i="224"/>
  <c r="O187" i="282"/>
  <c r="A35" i="224"/>
  <c r="C34" i="224"/>
  <c r="N14" i="102"/>
  <c r="P13" i="102"/>
  <c r="K197" i="282"/>
  <c r="S187" i="282" s="1"/>
  <c r="K192" i="282"/>
  <c r="K193" i="282"/>
  <c r="G194" i="282"/>
  <c r="K188" i="282"/>
  <c r="K190" i="282" s="1"/>
  <c r="G197" i="282"/>
  <c r="R34" i="99"/>
  <c r="N189" i="282"/>
  <c r="D141" i="275"/>
  <c r="Q135" i="275"/>
  <c r="E141" i="275"/>
  <c r="T126" i="275"/>
  <c r="C139" i="275" s="1"/>
  <c r="Q125" i="275"/>
  <c r="Q134" i="275" s="1"/>
  <c r="R132" i="275"/>
  <c r="S135" i="275"/>
  <c r="S132" i="275"/>
  <c r="R125" i="275"/>
  <c r="Q132" i="275"/>
  <c r="T127" i="275"/>
  <c r="D140" i="275" s="1"/>
  <c r="S125" i="275"/>
  <c r="R135" i="275"/>
  <c r="AC35" i="107"/>
  <c r="AE34" i="107"/>
  <c r="AP34" i="107" s="1"/>
  <c r="K11" i="224" a="1"/>
  <c r="M13" i="224" s="1"/>
  <c r="O193" i="282" l="1"/>
  <c r="O186" i="282"/>
  <c r="L197" i="282"/>
  <c r="T187" i="282" s="1"/>
  <c r="N196" i="282"/>
  <c r="V186" i="282" s="1"/>
  <c r="L190" i="282"/>
  <c r="L192" i="282"/>
  <c r="K196" i="282"/>
  <c r="S188" i="282" s="1"/>
  <c r="O184" i="282"/>
  <c r="W4" i="225" a="1"/>
  <c r="AI15" i="225" s="1"/>
  <c r="M192" i="282"/>
  <c r="D24" i="223"/>
  <c r="N4" i="225" a="1"/>
  <c r="N6" i="225" s="1"/>
  <c r="E23" i="223"/>
  <c r="D23" i="223"/>
  <c r="N197" i="282"/>
  <c r="T186" i="282"/>
  <c r="T188" i="282"/>
  <c r="O189" i="282"/>
  <c r="N190" i="282"/>
  <c r="N84" i="223"/>
  <c r="P83" i="223"/>
  <c r="M197" i="282"/>
  <c r="U189" i="282" s="1"/>
  <c r="Q81" i="223"/>
  <c r="Q83" i="223"/>
  <c r="Q85" i="223"/>
  <c r="Q87" i="223"/>
  <c r="Q89" i="223"/>
  <c r="Q91" i="223"/>
  <c r="Q93" i="223"/>
  <c r="Q82" i="223"/>
  <c r="Q86" i="223"/>
  <c r="Q88" i="223"/>
  <c r="Q92" i="223"/>
  <c r="Q84" i="223"/>
  <c r="Q90" i="223"/>
  <c r="Q94" i="223"/>
  <c r="Q80" i="223"/>
  <c r="K194" i="282"/>
  <c r="O188" i="282"/>
  <c r="N15" i="102"/>
  <c r="P14" i="102"/>
  <c r="A36" i="224"/>
  <c r="C35" i="224"/>
  <c r="M194" i="282"/>
  <c r="M196" i="282"/>
  <c r="M190" i="282"/>
  <c r="T184" i="282"/>
  <c r="R35" i="99"/>
  <c r="N194" i="282"/>
  <c r="T185" i="282"/>
  <c r="S185" i="282"/>
  <c r="S189" i="282"/>
  <c r="P80" i="223"/>
  <c r="P81" i="223"/>
  <c r="D139" i="275"/>
  <c r="C140" i="275"/>
  <c r="E139" i="275"/>
  <c r="Q131" i="275"/>
  <c r="E140" i="275"/>
  <c r="C148" i="275"/>
  <c r="Q129" i="275"/>
  <c r="T125" i="275"/>
  <c r="T129" i="275" s="1"/>
  <c r="S134" i="275"/>
  <c r="S131" i="275"/>
  <c r="S129" i="275"/>
  <c r="R134" i="275"/>
  <c r="R129" i="275"/>
  <c r="R131" i="275"/>
  <c r="AC36" i="107"/>
  <c r="AE35" i="107"/>
  <c r="AP35" i="107" s="1"/>
  <c r="M11" i="224"/>
  <c r="M12" i="224"/>
  <c r="K11" i="224"/>
  <c r="L11" i="224"/>
  <c r="L13" i="224"/>
  <c r="K13" i="224"/>
  <c r="K12" i="224"/>
  <c r="L12" i="224"/>
  <c r="T189" i="282" l="1"/>
  <c r="T193" i="282"/>
  <c r="O192" i="282"/>
  <c r="V188" i="282"/>
  <c r="V184" i="282"/>
  <c r="O196" i="282"/>
  <c r="S184" i="282"/>
  <c r="S192" i="282" s="1"/>
  <c r="S186" i="282"/>
  <c r="S193" i="282" s="1"/>
  <c r="AM33" i="225"/>
  <c r="W14" i="225"/>
  <c r="BL15" i="225"/>
  <c r="AJ21" i="225"/>
  <c r="BI33" i="225"/>
  <c r="Y7" i="225"/>
  <c r="AF14" i="225"/>
  <c r="AU18" i="225"/>
  <c r="AB14" i="225"/>
  <c r="AU9" i="225"/>
  <c r="AG4" i="225"/>
  <c r="AO52" i="225"/>
  <c r="AU29" i="225"/>
  <c r="BT52" i="225"/>
  <c r="AX5" i="225"/>
  <c r="AB7" i="225"/>
  <c r="AE9" i="225"/>
  <c r="BH52" i="225"/>
  <c r="AM14" i="225"/>
  <c r="BE6" i="225"/>
  <c r="AX20" i="225"/>
  <c r="BD6" i="225"/>
  <c r="AA42" i="225"/>
  <c r="BG53" i="225"/>
  <c r="AZ17" i="225"/>
  <c r="AC50" i="225"/>
  <c r="AH23" i="225"/>
  <c r="AH19" i="225"/>
  <c r="AM21" i="225"/>
  <c r="BN46" i="225"/>
  <c r="AA25" i="225"/>
  <c r="Z40" i="225"/>
  <c r="BI21" i="225"/>
  <c r="AP19" i="225"/>
  <c r="AK34" i="225"/>
  <c r="AV33" i="225"/>
  <c r="BD15" i="225"/>
  <c r="AJ38" i="225"/>
  <c r="BQ29" i="225"/>
  <c r="AN33" i="225"/>
  <c r="AD30" i="225"/>
  <c r="BC19" i="225"/>
  <c r="AW18" i="225"/>
  <c r="AP4" i="225"/>
  <c r="AP34" i="225"/>
  <c r="AH38" i="225"/>
  <c r="BM15" i="225"/>
  <c r="BO35" i="225"/>
  <c r="BM39" i="225"/>
  <c r="AA44" i="225"/>
  <c r="BM5" i="225"/>
  <c r="BE15" i="225"/>
  <c r="X33" i="225"/>
  <c r="AK14" i="225"/>
  <c r="BG38" i="225"/>
  <c r="BT24" i="225"/>
  <c r="AL52" i="225"/>
  <c r="AX11" i="225"/>
  <c r="AX10" i="225"/>
  <c r="BK19" i="225"/>
  <c r="BE7" i="225"/>
  <c r="BI30" i="225"/>
  <c r="AB10" i="225"/>
  <c r="AW41" i="225"/>
  <c r="BS9" i="225"/>
  <c r="AS35" i="225"/>
  <c r="AS41" i="225"/>
  <c r="AW6" i="225"/>
  <c r="AQ18" i="225"/>
  <c r="AI49" i="225"/>
  <c r="AI48" i="225"/>
  <c r="AZ29" i="225"/>
  <c r="BK25" i="225"/>
  <c r="AC39" i="225"/>
  <c r="BQ5" i="225"/>
  <c r="Y20" i="225"/>
  <c r="AF11" i="225"/>
  <c r="AT30" i="225"/>
  <c r="X5" i="225"/>
  <c r="AT25" i="225"/>
  <c r="AI27" i="225"/>
  <c r="BH41" i="225"/>
  <c r="BG44" i="225"/>
  <c r="AK25" i="225"/>
  <c r="AX22" i="225"/>
  <c r="BB47" i="225"/>
  <c r="AQ44" i="225"/>
  <c r="BQ27" i="225"/>
  <c r="W24" i="225"/>
  <c r="BI10" i="225"/>
  <c r="BP21" i="225"/>
  <c r="AM10" i="225"/>
  <c r="BQ40" i="225"/>
  <c r="AG29" i="225"/>
  <c r="AG13" i="225"/>
  <c r="AR23" i="225"/>
  <c r="AJ26" i="225"/>
  <c r="BQ48" i="225"/>
  <c r="AO25" i="225"/>
  <c r="BK5" i="225"/>
  <c r="BK6" i="225"/>
  <c r="AG15" i="225"/>
  <c r="BT38" i="225"/>
  <c r="BA13" i="225"/>
  <c r="AC53" i="225"/>
  <c r="AD42" i="225"/>
  <c r="AE48" i="225"/>
  <c r="AR17" i="225"/>
  <c r="AM44" i="225"/>
  <c r="BC14" i="225"/>
  <c r="AV4" i="225"/>
  <c r="AI46" i="225"/>
  <c r="BA25" i="225"/>
  <c r="BJ30" i="225"/>
  <c r="Y35" i="225"/>
  <c r="BD16" i="225"/>
  <c r="BC26" i="225"/>
  <c r="BB34" i="225"/>
  <c r="BQ20" i="225"/>
  <c r="BG25" i="225"/>
  <c r="BG34" i="225"/>
  <c r="BG22" i="225"/>
  <c r="AL36" i="225"/>
  <c r="AX13" i="225"/>
  <c r="Z49" i="225"/>
  <c r="AP9" i="225"/>
  <c r="AI38" i="225"/>
  <c r="BQ24" i="225"/>
  <c r="AS29" i="225"/>
  <c r="AY13" i="225"/>
  <c r="AI5" i="225"/>
  <c r="AF29" i="225"/>
  <c r="BH14" i="225"/>
  <c r="BA35" i="225"/>
  <c r="BI36" i="225"/>
  <c r="BB53" i="225"/>
  <c r="BA39" i="225"/>
  <c r="AE18" i="225"/>
  <c r="BG9" i="225"/>
  <c r="BT20" i="225"/>
  <c r="BM41" i="225"/>
  <c r="AP23" i="225"/>
  <c r="AZ20" i="225"/>
  <c r="BE4" i="225"/>
  <c r="BS15" i="225"/>
  <c r="AG5" i="225"/>
  <c r="W53" i="225"/>
  <c r="BD24" i="225"/>
  <c r="BP5" i="225"/>
  <c r="BT17" i="225"/>
  <c r="AE36" i="225"/>
  <c r="AR4" i="225"/>
  <c r="AA19" i="225"/>
  <c r="BP33" i="225"/>
  <c r="AA29" i="225"/>
  <c r="AZ7" i="225"/>
  <c r="BK45" i="225"/>
  <c r="BT14" i="225"/>
  <c r="AQ26" i="225"/>
  <c r="AN37" i="225"/>
  <c r="AW33" i="225"/>
  <c r="BE46" i="225"/>
  <c r="BO21" i="225"/>
  <c r="AJ25" i="225"/>
  <c r="AA17" i="225"/>
  <c r="BH30" i="225"/>
  <c r="Z11" i="225"/>
  <c r="AN21" i="225"/>
  <c r="AN13" i="225"/>
  <c r="Z8" i="225"/>
  <c r="AR25" i="225"/>
  <c r="AM13" i="225"/>
  <c r="AN26" i="225"/>
  <c r="BD30" i="225"/>
  <c r="AI44" i="225"/>
  <c r="AL42" i="225"/>
  <c r="AT49" i="225"/>
  <c r="AV10" i="225"/>
  <c r="AJ18" i="225"/>
  <c r="AL28" i="225"/>
  <c r="AQ9" i="225"/>
  <c r="BO18" i="225"/>
  <c r="AC13" i="225"/>
  <c r="BE32" i="225"/>
  <c r="BM43" i="225"/>
  <c r="AU22" i="225"/>
  <c r="BI23" i="225"/>
  <c r="AA5" i="225"/>
  <c r="AL6" i="225"/>
  <c r="AT24" i="225"/>
  <c r="BJ32" i="225"/>
  <c r="BO11" i="225"/>
  <c r="AW14" i="225"/>
  <c r="BM24" i="225"/>
  <c r="BR16" i="225"/>
  <c r="X30" i="225"/>
  <c r="W38" i="225"/>
  <c r="Y45" i="225"/>
  <c r="BJ41" i="225"/>
  <c r="AG44" i="225"/>
  <c r="AN9" i="225"/>
  <c r="BD27" i="225"/>
  <c r="AZ13" i="225"/>
  <c r="BT26" i="225"/>
  <c r="AE32" i="225"/>
  <c r="BC46" i="225"/>
  <c r="BB37" i="225"/>
  <c r="AS34" i="225"/>
  <c r="W47" i="225"/>
  <c r="AF24" i="225"/>
  <c r="AL44" i="225"/>
  <c r="AS22" i="225"/>
  <c r="AX7" i="225"/>
  <c r="AZ9" i="225"/>
  <c r="X25" i="225"/>
  <c r="BD33" i="225"/>
  <c r="AS13" i="225"/>
  <c r="AA15" i="225"/>
  <c r="X26" i="225"/>
  <c r="AI19" i="225"/>
  <c r="AN30" i="225"/>
  <c r="BO38" i="225"/>
  <c r="BQ45" i="225"/>
  <c r="AU34" i="225"/>
  <c r="BP30" i="225"/>
  <c r="BD18" i="225"/>
  <c r="AF31" i="225"/>
  <c r="BE10" i="225"/>
  <c r="BP13" i="225"/>
  <c r="AQ36" i="225"/>
  <c r="AD46" i="225"/>
  <c r="Y40" i="225"/>
  <c r="AP15" i="225"/>
  <c r="BT5" i="225"/>
  <c r="BL7" i="225"/>
  <c r="AQ42" i="225"/>
  <c r="AJ35" i="225"/>
  <c r="AU40" i="225"/>
  <c r="AY17" i="225"/>
  <c r="AP5" i="225"/>
  <c r="AO24" i="225"/>
  <c r="AB5" i="225"/>
  <c r="BN28" i="225"/>
  <c r="BB19" i="225"/>
  <c r="BE36" i="225"/>
  <c r="AR28" i="225"/>
  <c r="BO47" i="225"/>
  <c r="BQ31" i="225"/>
  <c r="BM9" i="225"/>
  <c r="BI48" i="225"/>
  <c r="AX51" i="225"/>
  <c r="BS18" i="225"/>
  <c r="AF16" i="225"/>
  <c r="AT26" i="225"/>
  <c r="BB44" i="225"/>
  <c r="AD15" i="225"/>
  <c r="AP30" i="225"/>
  <c r="AF7" i="225"/>
  <c r="AY7" i="225"/>
  <c r="AO35" i="225"/>
  <c r="BK46" i="225"/>
  <c r="AG35" i="225"/>
  <c r="X43" i="225"/>
  <c r="W8" i="225"/>
  <c r="AE11" i="225"/>
  <c r="BR30" i="225"/>
  <c r="AL14" i="225"/>
  <c r="AQ22" i="225"/>
  <c r="AB20" i="225"/>
  <c r="AB36" i="225"/>
  <c r="AQ46" i="225"/>
  <c r="AR48" i="225"/>
  <c r="BF4" i="225"/>
  <c r="BB11" i="225"/>
  <c r="AI14" i="225"/>
  <c r="BR28" i="225"/>
  <c r="AN35" i="225"/>
  <c r="AS16" i="225"/>
  <c r="BG19" i="225"/>
  <c r="AJ28" i="225"/>
  <c r="AI22" i="225"/>
  <c r="AS33" i="225"/>
  <c r="AY40" i="225"/>
  <c r="BA47" i="225"/>
  <c r="Y27" i="225"/>
  <c r="AM28" i="225"/>
  <c r="AE5" i="225"/>
  <c r="AB33" i="225"/>
  <c r="AI12" i="225"/>
  <c r="BQ15" i="225"/>
  <c r="AM38" i="225"/>
  <c r="BK51" i="225"/>
  <c r="Y15" i="225"/>
  <c r="BL9" i="225"/>
  <c r="AF40" i="225"/>
  <c r="BF5" i="225"/>
  <c r="AU37" i="225"/>
  <c r="AU4" i="225"/>
  <c r="AT13" i="225"/>
  <c r="BF16" i="225"/>
  <c r="Y43" i="225"/>
  <c r="AV7" i="225"/>
  <c r="BI41" i="225"/>
  <c r="AH5" i="225"/>
  <c r="AP24" i="225"/>
  <c r="AY38" i="225"/>
  <c r="AF22" i="225"/>
  <c r="BF10" i="225"/>
  <c r="AE28" i="225"/>
  <c r="BT4" i="225"/>
  <c r="AL27" i="225"/>
  <c r="BD25" i="225"/>
  <c r="W27" i="225"/>
  <c r="BJ12" i="225"/>
  <c r="AO27" i="225"/>
  <c r="W21" i="225"/>
  <c r="BP29" i="225"/>
  <c r="AQ8" i="225"/>
  <c r="AJ5" i="225"/>
  <c r="BC44" i="225"/>
  <c r="AT35" i="225"/>
  <c r="BK23" i="225"/>
  <c r="AE25" i="225"/>
  <c r="AR6" i="225"/>
  <c r="AH36" i="225"/>
  <c r="BH23" i="225"/>
  <c r="BL5" i="225"/>
  <c r="BG47" i="225"/>
  <c r="BA48" i="225"/>
  <c r="X41" i="225"/>
  <c r="AV28" i="225"/>
  <c r="AM11" i="225"/>
  <c r="BR5" i="225"/>
  <c r="AW48" i="225"/>
  <c r="AO37" i="225"/>
  <c r="BR14" i="225"/>
  <c r="AV11" i="225"/>
  <c r="AD32" i="225"/>
  <c r="Y4" i="225"/>
  <c r="BI29" i="225"/>
  <c r="AK41" i="225"/>
  <c r="AH29" i="225"/>
  <c r="Z36" i="225"/>
  <c r="AD13" i="225"/>
  <c r="AU7" i="225"/>
  <c r="BE41" i="225"/>
  <c r="BC21" i="225"/>
  <c r="BR18" i="225"/>
  <c r="AA37" i="225"/>
  <c r="AN4" i="225"/>
  <c r="BJ29" i="225"/>
  <c r="AZ40" i="225"/>
  <c r="BO48" i="225"/>
  <c r="AN6" i="225"/>
  <c r="BM12" i="225"/>
  <c r="BM16" i="225"/>
  <c r="AB19" i="225"/>
  <c r="BC20" i="225"/>
  <c r="AE22" i="225"/>
  <c r="BF23" i="225"/>
  <c r="AG25" i="225"/>
  <c r="BG26" i="225"/>
  <c r="AI28" i="225"/>
  <c r="BE29" i="225"/>
  <c r="BL30" i="225"/>
  <c r="BS31" i="225"/>
  <c r="AA33" i="225"/>
  <c r="AI34" i="225"/>
  <c r="AP35" i="225"/>
  <c r="AT36" i="225"/>
  <c r="AM37" i="225"/>
  <c r="AF38" i="225"/>
  <c r="X39" i="225"/>
  <c r="BO39" i="225"/>
  <c r="BH40" i="225"/>
  <c r="AZ41" i="225"/>
  <c r="AS42" i="225"/>
  <c r="AL43" i="225"/>
  <c r="AD44" i="225"/>
  <c r="W45" i="225"/>
  <c r="BN45" i="225"/>
  <c r="BF46" i="225"/>
  <c r="AY47" i="225"/>
  <c r="AP48" i="225"/>
  <c r="X49" i="225"/>
  <c r="BD49" i="225"/>
  <c r="AL50" i="225"/>
  <c r="BR50" i="225"/>
  <c r="AZ51" i="225"/>
  <c r="BS5" i="225"/>
  <c r="AW12" i="225"/>
  <c r="AX16" i="225"/>
  <c r="BQ18" i="225"/>
  <c r="AV20" i="225"/>
  <c r="X22" i="225"/>
  <c r="AX23" i="225"/>
  <c r="Y25" i="225"/>
  <c r="AZ26" i="225"/>
  <c r="AB28" i="225"/>
  <c r="AY29" i="225"/>
  <c r="BG30" i="225"/>
  <c r="BN31" i="225"/>
  <c r="BT32" i="225"/>
  <c r="AC34" i="225"/>
  <c r="AK35" i="225"/>
  <c r="AP36" i="225"/>
  <c r="AI37" i="225"/>
  <c r="AB38" i="225"/>
  <c r="BR38" i="225"/>
  <c r="BK39" i="225"/>
  <c r="BD40" i="225"/>
  <c r="AV41" i="225"/>
  <c r="AO42" i="225"/>
  <c r="AH43" i="225"/>
  <c r="Z44" i="225"/>
  <c r="BQ44" i="225"/>
  <c r="BJ45" i="225"/>
  <c r="BB46" i="225"/>
  <c r="AU47" i="225"/>
  <c r="AM48" i="225"/>
  <c r="BS48" i="225"/>
  <c r="BA49" i="225"/>
  <c r="AI50" i="225"/>
  <c r="BO50" i="225"/>
  <c r="AW51" i="225"/>
  <c r="AP10" i="225"/>
  <c r="AD18" i="225"/>
  <c r="AT21" i="225"/>
  <c r="AU24" i="225"/>
  <c r="AX27" i="225"/>
  <c r="AK30" i="225"/>
  <c r="AY32" i="225"/>
  <c r="BM34" i="225"/>
  <c r="BQ36" i="225"/>
  <c r="BB38" i="225"/>
  <c r="AN40" i="225"/>
  <c r="Y42" i="225"/>
  <c r="BH43" i="225"/>
  <c r="AC8" i="225"/>
  <c r="AH14" i="225"/>
  <c r="AV17" i="225"/>
  <c r="AU19" i="225"/>
  <c r="Y21" i="225"/>
  <c r="AY22" i="225"/>
  <c r="Y24" i="225"/>
  <c r="AY25" i="225"/>
  <c r="AW11" i="225"/>
  <c r="AY18" i="225"/>
  <c r="BJ21" i="225"/>
  <c r="BL24" i="225"/>
  <c r="AT27" i="225"/>
  <c r="AP29" i="225"/>
  <c r="AC31" i="225"/>
  <c r="AW32" i="225"/>
  <c r="BR33" i="225"/>
  <c r="BC35" i="225"/>
  <c r="BP36" i="225"/>
  <c r="BS37" i="225"/>
  <c r="AI39" i="225"/>
  <c r="AL40" i="225"/>
  <c r="AP41" i="225"/>
  <c r="BD42" i="225"/>
  <c r="BG43" i="225"/>
  <c r="BJ44" i="225"/>
  <c r="Z46" i="225"/>
  <c r="AD47" i="225"/>
  <c r="AG48" i="225"/>
  <c r="AF49" i="225"/>
  <c r="BT49" i="225"/>
  <c r="BJ50" i="225"/>
  <c r="BH51" i="225"/>
  <c r="AV9" i="225"/>
  <c r="BP15" i="225"/>
  <c r="AO19" i="225"/>
  <c r="AK21" i="225"/>
  <c r="AE23" i="225"/>
  <c r="AS25" i="225"/>
  <c r="AM27" i="225"/>
  <c r="AI29" i="225"/>
  <c r="W31" i="225"/>
  <c r="AR32" i="225"/>
  <c r="BM33" i="225"/>
  <c r="AX35" i="225"/>
  <c r="BL36" i="225"/>
  <c r="BO37" i="225"/>
  <c r="AE39" i="225"/>
  <c r="AH40" i="225"/>
  <c r="AL41" i="225"/>
  <c r="AZ42" i="225"/>
  <c r="BC43" i="225"/>
  <c r="BF44" i="225"/>
  <c r="BT45" i="225"/>
  <c r="Z47" i="225"/>
  <c r="AC48" i="225"/>
  <c r="AC49" i="225"/>
  <c r="BQ49" i="225"/>
  <c r="BG50" i="225"/>
  <c r="BE51" i="225"/>
  <c r="AY15" i="225"/>
  <c r="BG20" i="225"/>
  <c r="AI25" i="225"/>
  <c r="Y29" i="225"/>
  <c r="W32" i="225"/>
  <c r="AQ35" i="225"/>
  <c r="BJ37" i="225"/>
  <c r="BP39" i="225"/>
  <c r="AT42" i="225"/>
  <c r="BA44" i="225"/>
  <c r="AL46" i="225"/>
  <c r="X48" i="225"/>
  <c r="AO49" i="225"/>
  <c r="BC50" i="225"/>
  <c r="BQ51" i="225"/>
  <c r="AY52" i="225"/>
  <c r="AG53" i="225"/>
  <c r="BM53" i="225"/>
  <c r="BK15" i="225"/>
  <c r="AA20" i="225"/>
  <c r="AC23" i="225"/>
  <c r="AE26" i="225"/>
  <c r="AE29" i="225"/>
  <c r="AX31" i="225"/>
  <c r="BK33" i="225"/>
  <c r="AA36" i="225"/>
  <c r="BN37" i="225"/>
  <c r="AY39" i="225"/>
  <c r="AJ41" i="225"/>
  <c r="BT42" i="225"/>
  <c r="BE44" i="225"/>
  <c r="AP46" i="225"/>
  <c r="AB48" i="225"/>
  <c r="AR49" i="225"/>
  <c r="BF50" i="225"/>
  <c r="BT51" i="225"/>
  <c r="BB52" i="225"/>
  <c r="AJ53" i="225"/>
  <c r="BP53" i="225"/>
  <c r="AI16" i="225"/>
  <c r="AZ22" i="225"/>
  <c r="BD28" i="225"/>
  <c r="BM32" i="225"/>
  <c r="AD37" i="225"/>
  <c r="BT40" i="225"/>
  <c r="AI45" i="225"/>
  <c r="AH48" i="225"/>
  <c r="BK50" i="225"/>
  <c r="BC52" i="225"/>
  <c r="AU5" i="225"/>
  <c r="AW16" i="225"/>
  <c r="AS20" i="225"/>
  <c r="AU23" i="225"/>
  <c r="AJ4" i="225"/>
  <c r="AV15" i="225"/>
  <c r="BO19" i="225"/>
  <c r="BP22" i="225"/>
  <c r="BS25" i="225"/>
  <c r="BN27" i="225"/>
  <c r="BS29" i="225"/>
  <c r="AP31" i="225"/>
  <c r="BL32" i="225"/>
  <c r="AW34" i="225"/>
  <c r="BR35" i="225"/>
  <c r="AB37" i="225"/>
  <c r="AP38" i="225"/>
  <c r="AT39" i="225"/>
  <c r="AW40" i="225"/>
  <c r="BK41" i="225"/>
  <c r="BN42" i="225"/>
  <c r="BR43" i="225"/>
  <c r="AH45" i="225"/>
  <c r="AK46" i="225"/>
  <c r="AN47" i="225"/>
  <c r="AX48" i="225"/>
  <c r="AN49" i="225"/>
  <c r="AD50" i="225"/>
  <c r="AB51" i="225"/>
  <c r="BP51" i="225"/>
  <c r="AG11" i="225"/>
  <c r="AJ17" i="225"/>
  <c r="BI19" i="225"/>
  <c r="BB21" i="225"/>
  <c r="BQ23" i="225"/>
  <c r="BM25" i="225"/>
  <c r="BF27" i="225"/>
  <c r="BN29" i="225"/>
  <c r="AK31" i="225"/>
  <c r="BG32" i="225"/>
  <c r="AR34" i="225"/>
  <c r="BM35" i="225"/>
  <c r="X37" i="225"/>
  <c r="AL38" i="225"/>
  <c r="AP39" i="225"/>
  <c r="AS40" i="225"/>
  <c r="BG41" i="225"/>
  <c r="BJ42" i="225"/>
  <c r="BN43" i="225"/>
  <c r="AD45" i="225"/>
  <c r="AG46" i="225"/>
  <c r="AJ47" i="225"/>
  <c r="AU48" i="225"/>
  <c r="AK49" i="225"/>
  <c r="AA50" i="225"/>
  <c r="Y51" i="225"/>
  <c r="BM51" i="225"/>
  <c r="BO16" i="225"/>
  <c r="AG22" i="225"/>
  <c r="W26" i="225"/>
  <c r="BG29" i="225"/>
  <c r="AD33" i="225"/>
  <c r="BS35" i="225"/>
  <c r="AG38" i="225"/>
  <c r="BI40" i="225"/>
  <c r="BP42" i="225"/>
  <c r="X45" i="225"/>
  <c r="BH46" i="225"/>
  <c r="AQ48" i="225"/>
  <c r="BE49" i="225"/>
  <c r="BS50" i="225"/>
  <c r="AA52" i="225"/>
  <c r="BG52" i="225"/>
  <c r="AO53" i="225"/>
  <c r="AJ7" i="225"/>
  <c r="AB17" i="225"/>
  <c r="BM20" i="225"/>
  <c r="BN23" i="225"/>
  <c r="BP26" i="225"/>
  <c r="BM29" i="225"/>
  <c r="AB32" i="225"/>
  <c r="AO34" i="225"/>
  <c r="AZ36" i="225"/>
  <c r="AK38" i="225"/>
  <c r="BT39" i="225"/>
  <c r="BF41" i="225"/>
  <c r="AQ43" i="225"/>
  <c r="AB45" i="225"/>
  <c r="Z18" i="225"/>
  <c r="AS24" i="225"/>
  <c r="BT28" i="225"/>
  <c r="AI32" i="225"/>
  <c r="AA35" i="225"/>
  <c r="BH37" i="225"/>
  <c r="AB40" i="225"/>
  <c r="AH42" i="225"/>
  <c r="AZ44" i="225"/>
  <c r="BQ46" i="225"/>
  <c r="BN48" i="225"/>
  <c r="BB50" i="225"/>
  <c r="BJ7" i="225"/>
  <c r="AP18" i="225"/>
  <c r="BI22" i="225"/>
  <c r="BS26" i="225"/>
  <c r="AR30" i="225"/>
  <c r="AY33" i="225"/>
  <c r="BA36" i="225"/>
  <c r="BH38" i="225"/>
  <c r="AA41" i="225"/>
  <c r="AR43" i="225"/>
  <c r="AY45" i="225"/>
  <c r="BP47" i="225"/>
  <c r="BI49" i="225"/>
  <c r="AO51" i="225"/>
  <c r="BQ19" i="225"/>
  <c r="AK28" i="225"/>
  <c r="AJ34" i="225"/>
  <c r="AU39" i="225"/>
  <c r="AF44" i="225"/>
  <c r="AZ47" i="225"/>
  <c r="AM50" i="225"/>
  <c r="AQ52" i="225"/>
  <c r="BE53" i="225"/>
  <c r="AM19" i="225"/>
  <c r="AQ25" i="225"/>
  <c r="BS30" i="225"/>
  <c r="AW35" i="225"/>
  <c r="AD39" i="225"/>
  <c r="AX42" i="225"/>
  <c r="BS45" i="225"/>
  <c r="AT48" i="225"/>
  <c r="Z50" i="225"/>
  <c r="BD51" i="225"/>
  <c r="BJ52" i="225"/>
  <c r="AZ53" i="225"/>
  <c r="BL11" i="225"/>
  <c r="AC24" i="225"/>
  <c r="AD31" i="225"/>
  <c r="AJ36" i="225"/>
  <c r="BL41" i="225"/>
  <c r="AW46" i="225"/>
  <c r="AE50" i="225"/>
  <c r="BS52" i="225"/>
  <c r="AG12" i="225"/>
  <c r="BF19" i="225"/>
  <c r="AJ24" i="225"/>
  <c r="AK27" i="225"/>
  <c r="AB30" i="225"/>
  <c r="AQ32" i="225"/>
  <c r="BD34" i="225"/>
  <c r="BJ36" i="225"/>
  <c r="AV38" i="225"/>
  <c r="AG40" i="225"/>
  <c r="BP41" i="225"/>
  <c r="BB43" i="225"/>
  <c r="AM45" i="225"/>
  <c r="X47" i="225"/>
  <c r="BB48" i="225"/>
  <c r="BP49" i="225"/>
  <c r="AF51" i="225"/>
  <c r="AH52" i="225"/>
  <c r="BN52" i="225"/>
  <c r="AV53" i="225"/>
  <c r="AX14" i="225"/>
  <c r="AM23" i="225"/>
  <c r="AQ29" i="225"/>
  <c r="AY34" i="225"/>
  <c r="AR38" i="225"/>
  <c r="AQ41" i="225"/>
  <c r="BS43" i="225"/>
  <c r="BK47" i="225"/>
  <c r="AU50" i="225"/>
  <c r="AU52" i="225"/>
  <c r="BI53" i="225"/>
  <c r="BI11" i="225"/>
  <c r="BR4" i="225"/>
  <c r="BM52" i="225"/>
  <c r="AY51" i="225"/>
  <c r="AK50" i="225"/>
  <c r="W49" i="225"/>
  <c r="AX47" i="225"/>
  <c r="BL45" i="225"/>
  <c r="AC44" i="225"/>
  <c r="AR42" i="225"/>
  <c r="BF40" i="225"/>
  <c r="W39" i="225"/>
  <c r="AL37" i="225"/>
  <c r="AM35" i="225"/>
  <c r="Z33" i="225"/>
  <c r="BK30" i="225"/>
  <c r="AF28" i="225"/>
  <c r="AD25" i="225"/>
  <c r="AC22" i="225"/>
  <c r="W19" i="225"/>
  <c r="Z14" i="225"/>
  <c r="BT7" i="225"/>
  <c r="AP53" i="225"/>
  <c r="AB52" i="225"/>
  <c r="BL50" i="225"/>
  <c r="AX49" i="225"/>
  <c r="AJ48" i="225"/>
  <c r="AX46" i="225"/>
  <c r="BM44" i="225"/>
  <c r="AD43" i="225"/>
  <c r="AR41" i="225"/>
  <c r="BG39" i="225"/>
  <c r="X38" i="225"/>
  <c r="AK36" i="225"/>
  <c r="X34" i="225"/>
  <c r="BI31" i="225"/>
  <c r="AT29" i="225"/>
  <c r="AR26" i="225"/>
  <c r="AQ23" i="225"/>
  <c r="AN20" i="225"/>
  <c r="AM16" i="225"/>
  <c r="BS10" i="225"/>
  <c r="AA4" i="225"/>
  <c r="AO5" i="225"/>
  <c r="BC6" i="225"/>
  <c r="BQ7" i="225"/>
  <c r="AG9" i="225"/>
  <c r="AU10" i="225"/>
  <c r="AL5" i="225"/>
  <c r="W7" i="225"/>
  <c r="BF8" i="225"/>
  <c r="AR10" i="225"/>
  <c r="BJ11" i="225"/>
  <c r="Z13" i="225"/>
  <c r="AN14" i="225"/>
  <c r="BB15" i="225"/>
  <c r="BP16" i="225"/>
  <c r="AF18" i="225"/>
  <c r="AL4" i="225"/>
  <c r="BA6" i="225"/>
  <c r="BN8" i="225"/>
  <c r="Y11" i="225"/>
  <c r="BI12" i="225"/>
  <c r="AT14" i="225"/>
  <c r="AE16" i="225"/>
  <c r="BO17" i="225"/>
  <c r="AV19" i="225"/>
  <c r="BJ20" i="225"/>
  <c r="Z22" i="225"/>
  <c r="AN23" i="225"/>
  <c r="BB24" i="225"/>
  <c r="BP25" i="225"/>
  <c r="AF27" i="225"/>
  <c r="AU13" i="225"/>
  <c r="AA7" i="225"/>
  <c r="AI53" i="225"/>
  <c r="BS51" i="225"/>
  <c r="BE50" i="225"/>
  <c r="AQ49" i="225"/>
  <c r="Z48" i="225"/>
  <c r="AO46" i="225"/>
  <c r="BD44" i="225"/>
  <c r="BR42" i="225"/>
  <c r="AI41" i="225"/>
  <c r="AZ4" i="225"/>
  <c r="AK20" i="225"/>
  <c r="AM26" i="225"/>
  <c r="AJ30" i="225"/>
  <c r="AP33" i="225"/>
  <c r="AI36" i="225"/>
  <c r="BA38" i="225"/>
  <c r="BR40" i="225"/>
  <c r="AA43" i="225"/>
  <c r="AR45" i="225"/>
  <c r="BJ47" i="225"/>
  <c r="AV49" i="225"/>
  <c r="AJ51" i="225"/>
  <c r="BM13" i="225"/>
  <c r="AC20" i="225"/>
  <c r="AK24" i="225"/>
  <c r="AS28" i="225"/>
  <c r="AY31" i="225"/>
  <c r="BE34" i="225"/>
  <c r="AT37" i="225"/>
  <c r="AZ39" i="225"/>
  <c r="BR41" i="225"/>
  <c r="AK44" i="225"/>
  <c r="AR46" i="225"/>
  <c r="BC48" i="225"/>
  <c r="AQ50" i="225"/>
  <c r="BL6" i="225"/>
  <c r="BT22" i="225"/>
  <c r="BM30" i="225"/>
  <c r="AV36" i="225"/>
  <c r="AF41" i="225"/>
  <c r="AT45" i="225"/>
  <c r="BG48" i="225"/>
  <c r="AK51" i="225"/>
  <c r="BO52" i="225"/>
  <c r="BK10" i="225"/>
  <c r="BA21" i="225"/>
  <c r="BE27" i="225"/>
  <c r="BD32" i="225"/>
  <c r="W37" i="225"/>
  <c r="AR40" i="225"/>
  <c r="BL43" i="225"/>
  <c r="BL46" i="225"/>
  <c r="BJ48" i="225"/>
  <c r="AP50" i="225"/>
  <c r="AD52" i="225"/>
  <c r="BR52" i="225"/>
  <c r="BH53" i="225"/>
  <c r="BA17" i="225"/>
  <c r="BB25" i="225"/>
  <c r="BF31" i="225"/>
  <c r="BT37" i="225"/>
  <c r="AB43" i="225"/>
  <c r="AP47" i="225"/>
  <c r="AS51" i="225"/>
  <c r="AK53" i="225"/>
  <c r="BM14" i="225"/>
  <c r="AG21" i="225"/>
  <c r="W25" i="225"/>
  <c r="X28" i="225"/>
  <c r="BE30" i="225"/>
  <c r="BS32" i="225"/>
  <c r="AH35" i="225"/>
  <c r="AH37" i="225"/>
  <c r="BQ38" i="225"/>
  <c r="BB40" i="225"/>
  <c r="AN42" i="225"/>
  <c r="Y44" i="225"/>
  <c r="BH45" i="225"/>
  <c r="AT47" i="225"/>
  <c r="BR48" i="225"/>
  <c r="AH50" i="225"/>
  <c r="AV51" i="225"/>
  <c r="AP52" i="225"/>
  <c r="X53" i="225"/>
  <c r="BD53" i="225"/>
  <c r="BC18" i="225"/>
  <c r="BO24" i="225"/>
  <c r="AZ30" i="225"/>
  <c r="BF35" i="225"/>
  <c r="AJ39" i="225"/>
  <c r="AJ42" i="225"/>
  <c r="BL44" i="225"/>
  <c r="AY48" i="225"/>
  <c r="AC51" i="225"/>
  <c r="BK52" i="225"/>
  <c r="BQ53" i="225"/>
  <c r="AN10" i="225"/>
  <c r="BK53" i="225"/>
  <c r="AW52" i="225"/>
  <c r="AI51" i="225"/>
  <c r="BS49" i="225"/>
  <c r="BE48" i="225"/>
  <c r="AB47" i="225"/>
  <c r="AQ45" i="225"/>
  <c r="BF43" i="225"/>
  <c r="BT41" i="225"/>
  <c r="AK40" i="225"/>
  <c r="AZ38" i="225"/>
  <c r="BN36" i="225"/>
  <c r="BI34" i="225"/>
  <c r="AV32" i="225"/>
  <c r="AG30" i="225"/>
  <c r="AS27" i="225"/>
  <c r="AQ24" i="225"/>
  <c r="AO21" i="225"/>
  <c r="W18" i="225"/>
  <c r="BF12" i="225"/>
  <c r="AB6" i="225"/>
  <c r="Z53" i="225"/>
  <c r="BJ51" i="225"/>
  <c r="AV50" i="225"/>
  <c r="AH49" i="225"/>
  <c r="BL47" i="225"/>
  <c r="AC46" i="225"/>
  <c r="AR44" i="225"/>
  <c r="BF42" i="225"/>
  <c r="W41" i="225"/>
  <c r="AL39" i="225"/>
  <c r="AZ37" i="225"/>
  <c r="BG35" i="225"/>
  <c r="AT33" i="225"/>
  <c r="AE31" i="225"/>
  <c r="BG28" i="225"/>
  <c r="BE25" i="225"/>
  <c r="BC22" i="225"/>
  <c r="BA19" i="225"/>
  <c r="BS14" i="225"/>
  <c r="AB9" i="225"/>
  <c r="AQ4" i="225"/>
  <c r="BE5" i="225"/>
  <c r="BS6" i="225"/>
  <c r="AI8" i="225"/>
  <c r="AW9" i="225"/>
  <c r="X4" i="225"/>
  <c r="BG5" i="225"/>
  <c r="AR7" i="225"/>
  <c r="AD9" i="225"/>
  <c r="BL10" i="225"/>
  <c r="AB12" i="225"/>
  <c r="AP13" i="225"/>
  <c r="BD14" i="225"/>
  <c r="BR15" i="225"/>
  <c r="AH17" i="225"/>
  <c r="AV18" i="225"/>
  <c r="BP4" i="225"/>
  <c r="AE7" i="225"/>
  <c r="AR9" i="225"/>
  <c r="AU11" i="225"/>
  <c r="AF13" i="225"/>
  <c r="BO14" i="225"/>
  <c r="BA16" i="225"/>
  <c r="AL18" i="225"/>
  <c r="BL19" i="225"/>
  <c r="AB21" i="225"/>
  <c r="AP22" i="225"/>
  <c r="BD23" i="225"/>
  <c r="BR24" i="225"/>
  <c r="AH26" i="225"/>
  <c r="AV27" i="225"/>
  <c r="AA12" i="225"/>
  <c r="AN5" i="225"/>
  <c r="BQ52" i="225"/>
  <c r="BC51" i="225"/>
  <c r="AO50" i="225"/>
  <c r="AA49" i="225"/>
  <c r="BC47" i="225"/>
  <c r="BR45" i="225"/>
  <c r="AH44" i="225"/>
  <c r="AW42" i="225"/>
  <c r="AL23" i="225"/>
  <c r="BE31" i="225"/>
  <c r="AX37" i="225"/>
  <c r="X42" i="225"/>
  <c r="AV46" i="225"/>
  <c r="AT50" i="225"/>
  <c r="BM17" i="225"/>
  <c r="AF26" i="225"/>
  <c r="AK33" i="225"/>
  <c r="AW38" i="225"/>
  <c r="W43" i="225"/>
  <c r="BF47" i="225"/>
  <c r="AG51" i="225"/>
  <c r="BH26" i="225"/>
  <c r="Z39" i="225"/>
  <c r="AE47" i="225"/>
  <c r="AI52" i="225"/>
  <c r="AO18" i="225"/>
  <c r="AQ30" i="225"/>
  <c r="BF38" i="225"/>
  <c r="AX45" i="225"/>
  <c r="BH49" i="225"/>
  <c r="AT52" i="225"/>
  <c r="BB8" i="225"/>
  <c r="W30" i="225"/>
  <c r="BF39" i="225"/>
  <c r="AW49" i="225"/>
  <c r="AA9" i="225"/>
  <c r="BH22" i="225"/>
  <c r="AX29" i="225"/>
  <c r="AB34" i="225"/>
  <c r="Z38" i="225"/>
  <c r="AU41" i="225"/>
  <c r="BP44" i="225"/>
  <c r="AL48" i="225"/>
  <c r="BN50" i="225"/>
  <c r="BF52" i="225"/>
  <c r="BT53" i="225"/>
  <c r="BO27" i="225"/>
  <c r="AY37" i="225"/>
  <c r="AX43" i="225"/>
  <c r="BM49" i="225"/>
  <c r="AS53" i="225"/>
  <c r="BF6" i="225"/>
  <c r="BO51" i="225"/>
  <c r="AM49" i="225"/>
  <c r="AJ46" i="225"/>
  <c r="BM42" i="225"/>
  <c r="AR39" i="225"/>
  <c r="BQ35" i="225"/>
  <c r="AO31" i="225"/>
  <c r="BO25" i="225"/>
  <c r="BN19" i="225"/>
  <c r="BH9" i="225"/>
  <c r="AR52" i="225"/>
  <c r="BN49" i="225"/>
  <c r="BT46" i="225"/>
  <c r="AY43" i="225"/>
  <c r="AD40" i="225"/>
  <c r="BH36" i="225"/>
  <c r="AM32" i="225"/>
  <c r="AE27" i="225"/>
  <c r="AD21" i="225"/>
  <c r="AK12" i="225"/>
  <c r="Y5" i="225"/>
  <c r="BA7" i="225"/>
  <c r="AE10" i="225"/>
  <c r="AZ6" i="225"/>
  <c r="BT9" i="225"/>
  <c r="BH12" i="225"/>
  <c r="AL15" i="225"/>
  <c r="BN17" i="225"/>
  <c r="X6" i="225"/>
  <c r="AZ10" i="225"/>
  <c r="Y14" i="225"/>
  <c r="AS17" i="225"/>
  <c r="AT20" i="225"/>
  <c r="X23" i="225"/>
  <c r="AZ25" i="225"/>
  <c r="BK14" i="225"/>
  <c r="AY53" i="225"/>
  <c r="W51" i="225"/>
  <c r="AS48" i="225"/>
  <c r="AA45" i="225"/>
  <c r="BD41" i="225"/>
  <c r="AX39" i="225"/>
  <c r="BL37" i="225"/>
  <c r="Y36" i="225"/>
  <c r="BJ33" i="225"/>
  <c r="AU31" i="225"/>
  <c r="AD29" i="225"/>
  <c r="AB26" i="225"/>
  <c r="Z23" i="225"/>
  <c r="X20" i="225"/>
  <c r="BI15" i="225"/>
  <c r="AC10" i="225"/>
  <c r="BJ53" i="225"/>
  <c r="AV52" i="225"/>
  <c r="AH51" i="225"/>
  <c r="BR49" i="225"/>
  <c r="BD48" i="225"/>
  <c r="AA47" i="225"/>
  <c r="AP45" i="225"/>
  <c r="BD43" i="225"/>
  <c r="BS41" i="225"/>
  <c r="AJ40" i="225"/>
  <c r="AX38" i="225"/>
  <c r="BM36" i="225"/>
  <c r="BH34" i="225"/>
  <c r="AS32" i="225"/>
  <c r="AF30" i="225"/>
  <c r="AP27" i="225"/>
  <c r="AN24" i="225"/>
  <c r="AL21" i="225"/>
  <c r="BS17" i="225"/>
  <c r="AY12" i="225"/>
  <c r="Z6" i="225"/>
  <c r="BS4" i="225"/>
  <c r="AI6" i="225"/>
  <c r="AW7" i="225"/>
  <c r="BK8" i="225"/>
  <c r="AA10" i="225"/>
  <c r="BI4" i="225"/>
  <c r="AT6" i="225"/>
  <c r="AF8" i="225"/>
  <c r="BO9" i="225"/>
  <c r="AP11" i="225"/>
  <c r="BD12" i="225"/>
  <c r="BR13" i="225"/>
  <c r="AH15" i="225"/>
  <c r="AV16" i="225"/>
  <c r="BJ17" i="225"/>
  <c r="Z19" i="225"/>
  <c r="BO5" i="225"/>
  <c r="AD8" i="225"/>
  <c r="AS10" i="225"/>
  <c r="AH12" i="225"/>
  <c r="BQ13" i="225"/>
  <c r="BC15" i="225"/>
  <c r="AN17" i="225"/>
  <c r="Y19" i="225"/>
  <c r="AP20" i="225"/>
  <c r="BD21" i="225"/>
  <c r="BR22" i="225"/>
  <c r="AH24" i="225"/>
  <c r="AV25" i="225"/>
  <c r="BJ26" i="225"/>
  <c r="Z28" i="225"/>
  <c r="BB7" i="225"/>
  <c r="Y52" i="225"/>
  <c r="AU49" i="225"/>
  <c r="AT46" i="225"/>
  <c r="Z43" i="225"/>
  <c r="BC39" i="225"/>
  <c r="AF36" i="225"/>
  <c r="BC31" i="225"/>
  <c r="AK26" i="225"/>
  <c r="AG20" i="225"/>
  <c r="BD10" i="225"/>
  <c r="AZ52" i="225"/>
  <c r="X50" i="225"/>
  <c r="AF47" i="225"/>
  <c r="BJ43" i="225"/>
  <c r="AO40" i="225"/>
  <c r="BR36" i="225"/>
  <c r="BA32" i="225"/>
  <c r="AY27" i="225"/>
  <c r="AU21" i="225"/>
  <c r="BR12" i="225"/>
  <c r="BO4" i="225"/>
  <c r="Y10" i="225"/>
  <c r="AC27" i="225"/>
  <c r="BE33" i="225"/>
  <c r="BL38" i="225"/>
  <c r="AV43" i="225"/>
  <c r="BT47" i="225"/>
  <c r="AR51" i="225"/>
  <c r="BO20" i="225"/>
  <c r="BM28" i="225"/>
  <c r="BT34" i="225"/>
  <c r="X40" i="225"/>
  <c r="AV44" i="225"/>
  <c r="BK48" i="225"/>
  <c r="AI13" i="225"/>
  <c r="AS31" i="225"/>
  <c r="BB41" i="225"/>
  <c r="Y49" i="225"/>
  <c r="Y53" i="225"/>
  <c r="AN22" i="225"/>
  <c r="AI33" i="225"/>
  <c r="BM40" i="225"/>
  <c r="AI47" i="225"/>
  <c r="X51" i="225"/>
  <c r="AB53" i="225"/>
  <c r="AY19" i="225"/>
  <c r="W34" i="225"/>
  <c r="AP44" i="225"/>
  <c r="W52" i="225"/>
  <c r="BL17" i="225"/>
  <c r="BI25" i="225"/>
  <c r="AI31" i="225"/>
  <c r="BK35" i="225"/>
  <c r="AN39" i="225"/>
  <c r="BI42" i="225"/>
  <c r="AF46" i="225"/>
  <c r="AJ49" i="225"/>
  <c r="BL51" i="225"/>
  <c r="AF53" i="225"/>
  <c r="AM20" i="225"/>
  <c r="AK32" i="225"/>
  <c r="AC40" i="225"/>
  <c r="BD45" i="225"/>
  <c r="BI51" i="225"/>
  <c r="AU14" i="225"/>
  <c r="AU53" i="225"/>
  <c r="BQ50" i="225"/>
  <c r="AO48" i="225"/>
  <c r="BT44" i="225"/>
  <c r="AY41" i="225"/>
  <c r="AD38" i="225"/>
  <c r="AG34" i="225"/>
  <c r="BC29" i="225"/>
  <c r="BB23" i="225"/>
  <c r="BI16" i="225"/>
  <c r="AO4" i="225"/>
  <c r="AT51" i="225"/>
  <c r="BP48" i="225"/>
  <c r="BF45" i="225"/>
  <c r="AK42" i="225"/>
  <c r="BN38" i="225"/>
  <c r="AE35" i="225"/>
  <c r="BA30" i="225"/>
  <c r="BP24" i="225"/>
  <c r="BF18" i="225"/>
  <c r="AP7" i="225"/>
  <c r="W6" i="225"/>
  <c r="AY8" i="225"/>
  <c r="AS4" i="225"/>
  <c r="BN7" i="225"/>
  <c r="AD11" i="225"/>
  <c r="BF13" i="225"/>
  <c r="AJ16" i="225"/>
  <c r="BL18" i="225"/>
  <c r="BG7" i="225"/>
  <c r="BP11" i="225"/>
  <c r="AM15" i="225"/>
  <c r="BG18" i="225"/>
  <c r="AR21" i="225"/>
  <c r="BT23" i="225"/>
  <c r="AX26" i="225"/>
  <c r="BJ10" i="225"/>
  <c r="BA52" i="225"/>
  <c r="Y50" i="225"/>
  <c r="AH47" i="225"/>
  <c r="BK43" i="225"/>
  <c r="BL40" i="225"/>
  <c r="AB39" i="225"/>
  <c r="AQ37" i="225"/>
  <c r="AU35" i="225"/>
  <c r="AG33" i="225"/>
  <c r="BQ30" i="225"/>
  <c r="AQ28" i="225"/>
  <c r="AM25" i="225"/>
  <c r="AM22" i="225"/>
  <c r="AK19" i="225"/>
  <c r="AP14" i="225"/>
  <c r="AO8" i="225"/>
  <c r="AT53" i="225"/>
  <c r="AF52" i="225"/>
  <c r="BP50" i="225"/>
  <c r="BB49" i="225"/>
  <c r="AN48" i="225"/>
  <c r="BD46" i="225"/>
  <c r="BR44" i="225"/>
  <c r="AI43" i="225"/>
  <c r="AX41" i="225"/>
  <c r="BL39" i="225"/>
  <c r="AC38" i="225"/>
  <c r="AR36" i="225"/>
  <c r="AE34" i="225"/>
  <c r="BO31" i="225"/>
  <c r="BB29" i="225"/>
  <c r="BA26" i="225"/>
  <c r="BA23" i="225"/>
  <c r="AY20" i="225"/>
  <c r="BC16" i="225"/>
  <c r="AI11" i="225"/>
  <c r="W4" i="225"/>
  <c r="AK5" i="225"/>
  <c r="AY6" i="225"/>
  <c r="BM7" i="225"/>
  <c r="AC9" i="225"/>
  <c r="AQ10" i="225"/>
  <c r="AF5" i="225"/>
  <c r="BP6" i="225"/>
  <c r="BA8" i="225"/>
  <c r="AL10" i="225"/>
  <c r="BF11" i="225"/>
  <c r="BT12" i="225"/>
  <c r="AJ14" i="225"/>
  <c r="AX15" i="225"/>
  <c r="BL16" i="225"/>
  <c r="AB18" i="225"/>
  <c r="AF4" i="225"/>
  <c r="AS6" i="225"/>
  <c r="BH8" i="225"/>
  <c r="BR10" i="225"/>
  <c r="BC12" i="225"/>
  <c r="AO14" i="225"/>
  <c r="Z16" i="225"/>
  <c r="BI17" i="225"/>
  <c r="AR19" i="225"/>
  <c r="BF20" i="225"/>
  <c r="BT21" i="225"/>
  <c r="AJ23" i="225"/>
  <c r="AX24" i="225"/>
  <c r="BL25" i="225"/>
  <c r="AB27" i="225"/>
  <c r="AP28" i="225"/>
  <c r="BS53" i="225"/>
  <c r="AQ51" i="225"/>
  <c r="BM48" i="225"/>
  <c r="BB45" i="225"/>
  <c r="AG42" i="225"/>
  <c r="BJ38" i="225"/>
  <c r="Z35" i="225"/>
  <c r="AV30" i="225"/>
  <c r="BI24" i="225"/>
  <c r="AX18" i="225"/>
  <c r="Z7" i="225"/>
  <c r="BR51" i="225"/>
  <c r="AP49" i="225"/>
  <c r="AN46" i="225"/>
  <c r="BQ42" i="225"/>
  <c r="AV39" i="225"/>
  <c r="X36" i="225"/>
  <c r="AT31" i="225"/>
  <c r="Y26" i="225"/>
  <c r="W20" i="225"/>
  <c r="Z10" i="225"/>
  <c r="AW5" i="225"/>
  <c r="AA8" i="225"/>
  <c r="BC10" i="225"/>
  <c r="AH7" i="225"/>
  <c r="BB10" i="225"/>
  <c r="AH13" i="225"/>
  <c r="BJ15" i="225"/>
  <c r="AN18" i="225"/>
  <c r="BN6" i="225"/>
  <c r="AJ11" i="225"/>
  <c r="BE14" i="225"/>
  <c r="AA18" i="225"/>
  <c r="BR20" i="225"/>
  <c r="AV23" i="225"/>
  <c r="Z26" i="225"/>
  <c r="AT28" i="225"/>
  <c r="BH29" i="225"/>
  <c r="X31" i="225"/>
  <c r="AL32" i="225"/>
  <c r="AZ33" i="225"/>
  <c r="BN34" i="225"/>
  <c r="AD36" i="225"/>
  <c r="AX6" i="225"/>
  <c r="BB9" i="225"/>
  <c r="AE12" i="225"/>
  <c r="AS14" i="225"/>
  <c r="BG16" i="225"/>
  <c r="AC6" i="225"/>
  <c r="AH10" i="225"/>
  <c r="AO13" i="225"/>
  <c r="AQ16" i="225"/>
  <c r="X19" i="225"/>
  <c r="BK20" i="225"/>
  <c r="AV22" i="225"/>
  <c r="AG24" i="225"/>
  <c r="BQ25" i="225"/>
  <c r="BB27" i="225"/>
  <c r="AM29" i="225"/>
  <c r="BP8" i="225"/>
  <c r="AR13" i="225"/>
  <c r="AU17" i="225"/>
  <c r="AI20" i="225"/>
  <c r="AW22" i="225"/>
  <c r="BK24" i="225"/>
  <c r="Z27" i="225"/>
  <c r="AO29" i="225"/>
  <c r="AA31" i="225"/>
  <c r="BK32" i="225"/>
  <c r="AV34" i="225"/>
  <c r="AG36" i="225"/>
  <c r="AW37" i="225"/>
  <c r="BK38" i="225"/>
  <c r="AW30" i="225"/>
  <c r="AE41" i="225"/>
  <c r="BL49" i="225"/>
  <c r="BE24" i="225"/>
  <c r="BD37" i="225"/>
  <c r="BM46" i="225"/>
  <c r="BG23" i="225"/>
  <c r="BO45" i="225"/>
  <c r="AW13" i="225"/>
  <c r="AR37" i="225"/>
  <c r="AB49" i="225"/>
  <c r="W5" i="225"/>
  <c r="BM38" i="225"/>
  <c r="BA53" i="225"/>
  <c r="BL28" i="225"/>
  <c r="BC37" i="225"/>
  <c r="AT44" i="225"/>
  <c r="AX50" i="225"/>
  <c r="BL53" i="225"/>
  <c r="BF36" i="225"/>
  <c r="AG49" i="225"/>
  <c r="AW8" i="225"/>
  <c r="BC49" i="225"/>
  <c r="AJ43" i="225"/>
  <c r="AS36" i="225"/>
  <c r="BE26" i="225"/>
  <c r="AN11" i="225"/>
  <c r="AF50" i="225"/>
  <c r="BT43" i="225"/>
  <c r="AE37" i="225"/>
  <c r="BS27" i="225"/>
  <c r="BC13" i="225"/>
  <c r="AK7" i="225"/>
  <c r="AD6" i="225"/>
  <c r="AR12" i="225"/>
  <c r="AX17" i="225"/>
  <c r="X10" i="225"/>
  <c r="X17" i="225"/>
  <c r="BF22" i="225"/>
  <c r="BL27" i="225"/>
  <c r="AM51" i="225"/>
  <c r="AV45" i="225"/>
  <c r="BS39" i="225"/>
  <c r="AX36" i="225"/>
  <c r="AA32" i="225"/>
  <c r="BM26" i="225"/>
  <c r="BI20" i="225"/>
  <c r="BG11" i="225"/>
  <c r="BL52" i="225"/>
  <c r="AJ50" i="225"/>
  <c r="AV47" i="225"/>
  <c r="AB44" i="225"/>
  <c r="BE40" i="225"/>
  <c r="AJ37" i="225"/>
  <c r="Y33" i="225"/>
  <c r="AC28" i="225"/>
  <c r="Y22" i="225"/>
  <c r="BT13" i="225"/>
  <c r="BC4" i="225"/>
  <c r="AG7" i="225"/>
  <c r="BI9" i="225"/>
  <c r="Y6" i="225"/>
  <c r="AT9" i="225"/>
  <c r="AN12" i="225"/>
  <c r="BP14" i="225"/>
  <c r="AT17" i="225"/>
  <c r="AM5" i="225"/>
  <c r="BN9" i="225"/>
  <c r="AV13" i="225"/>
  <c r="BQ16" i="225"/>
  <c r="Z20" i="225"/>
  <c r="BB22" i="225"/>
  <c r="AF25" i="225"/>
  <c r="BH27" i="225"/>
  <c r="BE52" i="225"/>
  <c r="AM47" i="225"/>
  <c r="AV40" i="225"/>
  <c r="BI32" i="225"/>
  <c r="BG21" i="225"/>
  <c r="AH53" i="225"/>
  <c r="Y48" i="225"/>
  <c r="AH41" i="225"/>
  <c r="BG33" i="225"/>
  <c r="W23" i="225"/>
  <c r="AI4" i="225"/>
  <c r="BG8" i="225"/>
  <c r="AV5" i="225"/>
  <c r="BJ9" i="225"/>
  <c r="BN13" i="225"/>
  <c r="Z17" i="225"/>
  <c r="BH5" i="225"/>
  <c r="AC12" i="225"/>
  <c r="AP16" i="225"/>
  <c r="AL20" i="225"/>
  <c r="AD24" i="225"/>
  <c r="AN27" i="225"/>
  <c r="AR29" i="225"/>
  <c r="AN31" i="225"/>
  <c r="BR32" i="225"/>
  <c r="AX34" i="225"/>
  <c r="AK4" i="225"/>
  <c r="AB8" i="225"/>
  <c r="BA11" i="225"/>
  <c r="X15" i="225"/>
  <c r="AD4" i="225"/>
  <c r="AF9" i="225"/>
  <c r="AC14" i="225"/>
  <c r="BP17" i="225"/>
  <c r="AO20" i="225"/>
  <c r="BQ22" i="225"/>
  <c r="Z25" i="225"/>
  <c r="AG27" i="225"/>
  <c r="BL4" i="225"/>
  <c r="AQ11" i="225"/>
  <c r="AT16" i="225"/>
  <c r="BL20" i="225"/>
  <c r="BC23" i="225"/>
  <c r="AV26" i="225"/>
  <c r="BK29" i="225"/>
  <c r="BR31" i="225"/>
  <c r="AA34" i="225"/>
  <c r="AY36" i="225"/>
  <c r="AE38" i="225"/>
  <c r="BI39" i="225"/>
  <c r="Y41" i="225"/>
  <c r="AM42" i="225"/>
  <c r="BA43" i="225"/>
  <c r="BO44" i="225"/>
  <c r="AE46" i="225"/>
  <c r="AS47" i="225"/>
  <c r="AR11" i="225"/>
  <c r="BI52" i="225"/>
  <c r="AG50" i="225"/>
  <c r="AR47" i="225"/>
  <c r="X44" i="225"/>
  <c r="BA40" i="225"/>
  <c r="AF37" i="225"/>
  <c r="BQ32" i="225"/>
  <c r="W28" i="225"/>
  <c r="BQ21" i="225"/>
  <c r="BE13" i="225"/>
  <c r="AL53" i="225"/>
  <c r="BH50" i="225"/>
  <c r="AD48" i="225"/>
  <c r="BH44" i="225"/>
  <c r="AM41" i="225"/>
  <c r="BP37" i="225"/>
  <c r="BO33" i="225"/>
  <c r="AK29" i="225"/>
  <c r="AG23" i="225"/>
  <c r="BT15" i="225"/>
  <c r="AE4" i="225"/>
  <c r="BG6" i="225"/>
  <c r="AK9" i="225"/>
  <c r="AQ5" i="225"/>
  <c r="BL8" i="225"/>
  <c r="BN11" i="225"/>
  <c r="AR14" i="225"/>
  <c r="BT16" i="225"/>
  <c r="AT4" i="225"/>
  <c r="W9" i="225"/>
  <c r="BN12" i="225"/>
  <c r="AK16" i="225"/>
  <c r="AZ19" i="225"/>
  <c r="AD22" i="225"/>
  <c r="BF24" i="225"/>
  <c r="AJ27" i="225"/>
  <c r="X29" i="225"/>
  <c r="AL30" i="225"/>
  <c r="AZ31" i="225"/>
  <c r="BN32" i="225"/>
  <c r="AD34" i="225"/>
  <c r="AR35" i="225"/>
  <c r="BM4" i="225"/>
  <c r="BP7" i="225"/>
  <c r="BO10" i="225"/>
  <c r="AE13" i="225"/>
  <c r="AS15" i="225"/>
  <c r="BG17" i="225"/>
  <c r="BR7" i="225"/>
  <c r="BD11" i="225"/>
  <c r="BF14" i="225"/>
  <c r="BH17" i="225"/>
  <c r="BM19" i="225"/>
  <c r="AX21" i="225"/>
  <c r="AI23" i="225"/>
  <c r="BS24" i="225"/>
  <c r="BD26" i="225"/>
  <c r="AO28" i="225"/>
  <c r="BN5" i="225"/>
  <c r="AC11" i="225"/>
  <c r="AF15" i="225"/>
  <c r="BN18" i="225"/>
  <c r="AI21" i="225"/>
  <c r="AW23" i="225"/>
  <c r="BJ25" i="225"/>
  <c r="AA28" i="225"/>
  <c r="AC30" i="225"/>
  <c r="BM31" i="225"/>
  <c r="AX33" i="225"/>
  <c r="AI35" i="225"/>
  <c r="BK36" i="225"/>
  <c r="AA38" i="225"/>
  <c r="AO39" i="225"/>
  <c r="BC40" i="225"/>
  <c r="BQ41" i="225"/>
  <c r="AG43" i="225"/>
  <c r="AU44" i="225"/>
  <c r="BI45" i="225"/>
  <c r="Y47" i="225"/>
  <c r="AU12" i="225"/>
  <c r="AS50" i="225"/>
  <c r="AN44" i="225"/>
  <c r="AV37" i="225"/>
  <c r="AY28" i="225"/>
  <c r="BI14" i="225"/>
  <c r="BT50" i="225"/>
  <c r="Z45" i="225"/>
  <c r="AC16" i="225"/>
  <c r="BK34" i="225"/>
  <c r="AO44" i="225"/>
  <c r="Z4" i="225"/>
  <c r="AE30" i="225"/>
  <c r="BN40" i="225"/>
  <c r="AS49" i="225"/>
  <c r="BF33" i="225"/>
  <c r="W50" i="225"/>
  <c r="BA24" i="225"/>
  <c r="AC42" i="225"/>
  <c r="AN51" i="225"/>
  <c r="Z21" i="225"/>
  <c r="AB46" i="225"/>
  <c r="BK18" i="225"/>
  <c r="BK31" i="225"/>
  <c r="BJ39" i="225"/>
  <c r="BA46" i="225"/>
  <c r="Z52" i="225"/>
  <c r="BM21" i="225"/>
  <c r="AX40" i="225"/>
  <c r="AE52" i="225"/>
  <c r="AE53" i="225"/>
  <c r="BS47" i="225"/>
  <c r="AD41" i="225"/>
  <c r="BB33" i="225"/>
  <c r="BO22" i="225"/>
  <c r="BF53" i="225"/>
  <c r="AZ48" i="225"/>
  <c r="BN41" i="225"/>
  <c r="AZ34" i="225"/>
  <c r="AE24" i="225"/>
  <c r="AY5" i="225"/>
  <c r="BO8" i="225"/>
  <c r="AK8" i="225"/>
  <c r="X14" i="225"/>
  <c r="AD19" i="225"/>
  <c r="AM12" i="225"/>
  <c r="AE19" i="225"/>
  <c r="AL24" i="225"/>
  <c r="BT8" i="225"/>
  <c r="BG49" i="225"/>
  <c r="AP43" i="225"/>
  <c r="BE38" i="225"/>
  <c r="BP34" i="225"/>
  <c r="AO30" i="225"/>
  <c r="AZ24" i="225"/>
  <c r="AI18" i="225"/>
  <c r="BB6" i="225"/>
  <c r="BN51" i="225"/>
  <c r="AL49" i="225"/>
  <c r="AH46" i="225"/>
  <c r="BL42" i="225"/>
  <c r="AQ39" i="225"/>
  <c r="BN35" i="225"/>
  <c r="AM31" i="225"/>
  <c r="BN25" i="225"/>
  <c r="BJ19" i="225"/>
  <c r="BC9" i="225"/>
  <c r="BA5" i="225"/>
  <c r="AE8" i="225"/>
  <c r="BG10" i="225"/>
  <c r="AM7" i="225"/>
  <c r="BH10" i="225"/>
  <c r="AL13" i="225"/>
  <c r="BN15" i="225"/>
  <c r="AR18" i="225"/>
  <c r="X7" i="225"/>
  <c r="AO11" i="225"/>
  <c r="BJ14" i="225"/>
  <c r="AG18" i="225"/>
  <c r="X21" i="225"/>
  <c r="AZ23" i="225"/>
  <c r="AD26" i="225"/>
  <c r="BK13" i="225"/>
  <c r="BI50" i="225"/>
  <c r="BI44" i="225"/>
  <c r="BR37" i="225"/>
  <c r="AL29" i="225"/>
  <c r="AA16" i="225"/>
  <c r="AL51" i="225"/>
  <c r="AU45" i="225"/>
  <c r="BD38" i="225"/>
  <c r="AM30" i="225"/>
  <c r="AH18" i="225"/>
  <c r="AE6" i="225"/>
  <c r="AO9" i="225"/>
  <c r="AO6" i="225"/>
  <c r="AL11" i="225"/>
  <c r="AV14" i="225"/>
  <c r="BF17" i="225"/>
  <c r="X8" i="225"/>
  <c r="BS12" i="225"/>
  <c r="AI17" i="225"/>
  <c r="AZ21" i="225"/>
  <c r="BJ24" i="225"/>
  <c r="BT27" i="225"/>
  <c r="Z30" i="225"/>
  <c r="BD31" i="225"/>
  <c r="AJ33" i="225"/>
  <c r="AF35" i="225"/>
  <c r="Z5" i="225"/>
  <c r="BM8" i="225"/>
  <c r="BG12" i="225"/>
  <c r="AZ15" i="225"/>
  <c r="AD5" i="225"/>
  <c r="AB11" i="225"/>
  <c r="BQ14" i="225"/>
  <c r="AT18" i="225"/>
  <c r="AH21" i="225"/>
  <c r="AO23" i="225"/>
  <c r="AU25" i="225"/>
  <c r="Y28" i="225"/>
  <c r="AH6" i="225"/>
  <c r="AP12" i="225"/>
  <c r="AK18" i="225"/>
  <c r="AP21" i="225"/>
  <c r="AI24" i="225"/>
  <c r="BC27" i="225"/>
  <c r="AI30" i="225"/>
  <c r="AO32" i="225"/>
  <c r="BQ34" i="225"/>
  <c r="BO36" i="225"/>
  <c r="AU38" i="225"/>
  <c r="AA40" i="225"/>
  <c r="AO41" i="225"/>
  <c r="BC42" i="225"/>
  <c r="BQ43" i="225"/>
  <c r="AG45" i="225"/>
  <c r="AU46" i="225"/>
  <c r="BI47" i="225"/>
  <c r="Y8" i="225"/>
  <c r="AC52" i="225"/>
  <c r="AY49" i="225"/>
  <c r="AZ46" i="225"/>
  <c r="AE43" i="225"/>
  <c r="BH39" i="225"/>
  <c r="AN36" i="225"/>
  <c r="BJ31" i="225"/>
  <c r="AU26" i="225"/>
  <c r="AR20" i="225"/>
  <c r="W11" i="225"/>
  <c r="BD52" i="225"/>
  <c r="AB50" i="225"/>
  <c r="AL47" i="225"/>
  <c r="BO43" i="225"/>
  <c r="AT40" i="225"/>
  <c r="Z37" i="225"/>
  <c r="BH32" i="225"/>
  <c r="BI27" i="225"/>
  <c r="BF21" i="225"/>
  <c r="AJ13" i="225"/>
  <c r="BK4" i="225"/>
  <c r="AO7" i="225"/>
  <c r="BQ9" i="225"/>
  <c r="AJ6" i="225"/>
  <c r="BD9" i="225"/>
  <c r="AV12" i="225"/>
  <c r="Z15" i="225"/>
  <c r="BB17" i="225"/>
  <c r="AZ5" i="225"/>
  <c r="AD10" i="225"/>
  <c r="BG13" i="225"/>
  <c r="AC17" i="225"/>
  <c r="AH20" i="225"/>
  <c r="BJ22" i="225"/>
  <c r="AN25" i="225"/>
  <c r="BP27" i="225"/>
  <c r="AN29" i="225"/>
  <c r="BB30" i="225"/>
  <c r="BP31" i="225"/>
  <c r="AF33" i="225"/>
  <c r="AT34" i="225"/>
  <c r="BH35" i="225"/>
  <c r="BC5" i="225"/>
  <c r="BD8" i="225"/>
  <c r="AS11" i="225"/>
  <c r="BH13" i="225"/>
  <c r="W16" i="225"/>
  <c r="BQ4" i="225"/>
  <c r="BR8" i="225"/>
  <c r="AQ12" i="225"/>
  <c r="AU15" i="225"/>
  <c r="AM18" i="225"/>
  <c r="AJ20" i="225"/>
  <c r="BS21" i="225"/>
  <c r="BE23" i="225"/>
  <c r="AP25" i="225"/>
  <c r="AA27" i="225"/>
  <c r="BK28" i="225"/>
  <c r="AI7" i="225"/>
  <c r="AD12" i="225"/>
  <c r="AG16" i="225"/>
  <c r="AX19" i="225"/>
  <c r="BK21" i="225"/>
  <c r="AA24" i="225"/>
  <c r="AO26" i="225"/>
  <c r="BC28" i="225"/>
  <c r="AY30" i="225"/>
  <c r="AJ32" i="225"/>
  <c r="BS33" i="225"/>
  <c r="BE35" i="225"/>
  <c r="AC37" i="225"/>
  <c r="AQ38" i="225"/>
  <c r="BE39" i="225"/>
  <c r="BS40" i="225"/>
  <c r="AI42" i="225"/>
  <c r="AW43" i="225"/>
  <c r="BK44" i="225"/>
  <c r="AA46" i="225"/>
  <c r="AO47" i="225"/>
  <c r="BJ5" i="225"/>
  <c r="AE49" i="225"/>
  <c r="BB42" i="225"/>
  <c r="BB35" i="225"/>
  <c r="AX25" i="225"/>
  <c r="BJ8" i="225"/>
  <c r="BF49" i="225"/>
  <c r="AN43" i="225"/>
  <c r="AW36" i="225"/>
  <c r="BL26" i="225"/>
  <c r="AY11" i="225"/>
  <c r="BI7" i="225"/>
  <c r="BJ6" i="225"/>
  <c r="BP12" i="225"/>
  <c r="X18" i="225"/>
  <c r="BM10" i="225"/>
  <c r="BD17" i="225"/>
  <c r="AF23" i="225"/>
  <c r="AH28" i="225"/>
  <c r="BN30" i="225"/>
  <c r="AR33" i="225"/>
  <c r="BT35" i="225"/>
  <c r="AH9" i="225"/>
  <c r="AE14" i="225"/>
  <c r="BD5" i="225"/>
  <c r="W13" i="225"/>
  <c r="BI18" i="225"/>
  <c r="AK22" i="225"/>
  <c r="BF25" i="225"/>
  <c r="AC29" i="225"/>
  <c r="BQ12" i="225"/>
  <c r="BS19" i="225"/>
  <c r="AV24" i="225"/>
  <c r="Z29" i="225"/>
  <c r="AZ32" i="225"/>
  <c r="W36" i="225"/>
  <c r="BC38" i="225"/>
  <c r="AG41" i="225"/>
  <c r="BI43" i="225"/>
  <c r="AM46" i="225"/>
  <c r="AC15" i="225"/>
  <c r="AF45" i="225"/>
  <c r="AG32" i="225"/>
  <c r="BP52" i="225"/>
  <c r="BJ40" i="225"/>
  <c r="AJ22" i="225"/>
  <c r="BE9" i="225"/>
  <c r="BL14" i="225"/>
  <c r="AQ13" i="225"/>
  <c r="AB25" i="225"/>
  <c r="BL31" i="225"/>
  <c r="AR5" i="225"/>
  <c r="BO15" i="225"/>
  <c r="AJ15" i="225"/>
  <c r="AY23" i="225"/>
  <c r="BM6" i="225"/>
  <c r="BE21" i="225"/>
  <c r="AS30" i="225"/>
  <c r="Y37" i="225"/>
  <c r="AE42" i="225"/>
  <c r="BQ47" i="225"/>
  <c r="AW50" i="225"/>
  <c r="BH42" i="225"/>
  <c r="BH28" i="225"/>
  <c r="Z51" i="225"/>
  <c r="AN38" i="225"/>
  <c r="AM17" i="225"/>
  <c r="AE51" i="225"/>
  <c r="AL45" i="225"/>
  <c r="AT38" i="225"/>
  <c r="AA30" i="225"/>
  <c r="BK17" i="225"/>
  <c r="BF51" i="225"/>
  <c r="X46" i="225"/>
  <c r="AF39" i="225"/>
  <c r="Y31" i="225"/>
  <c r="AS19" i="225"/>
  <c r="BI5" i="225"/>
  <c r="AC4" i="225"/>
  <c r="BP10" i="225"/>
  <c r="X16" i="225"/>
  <c r="AL7" i="225"/>
  <c r="W15" i="225"/>
  <c r="AF21" i="225"/>
  <c r="AL26" i="225"/>
  <c r="BL29" i="225"/>
  <c r="AP32" i="225"/>
  <c r="BR34" i="225"/>
  <c r="BI6" i="225"/>
  <c r="AL12" i="225"/>
  <c r="BN16" i="225"/>
  <c r="AT10" i="225"/>
  <c r="BB16" i="225"/>
  <c r="BP20" i="225"/>
  <c r="AM24" i="225"/>
  <c r="BG27" i="225"/>
  <c r="AJ9" i="225"/>
  <c r="BE17" i="225"/>
  <c r="BD22" i="225"/>
  <c r="AH27" i="225"/>
  <c r="AG31" i="225"/>
  <c r="BA34" i="225"/>
  <c r="BA37" i="225"/>
  <c r="AE40" i="225"/>
  <c r="BG42" i="225"/>
  <c r="AK45" i="225"/>
  <c r="BM47" i="225"/>
  <c r="BP46" i="225"/>
  <c r="BR29" i="225"/>
  <c r="BB51" i="225"/>
  <c r="AA39" i="225"/>
  <c r="AG19" i="225"/>
  <c r="AH4" i="225"/>
  <c r="AB16" i="225"/>
  <c r="AB15" i="225"/>
  <c r="AP26" i="225"/>
  <c r="AT32" i="225"/>
  <c r="BR6" i="225"/>
  <c r="W17" i="225"/>
  <c r="BJ16" i="225"/>
  <c r="AR24" i="225"/>
  <c r="AX9" i="225"/>
  <c r="BK22" i="225"/>
  <c r="AL31" i="225"/>
  <c r="BE37" i="225"/>
  <c r="BK42" i="225"/>
  <c r="AK47" i="225"/>
  <c r="BI35" i="225"/>
  <c r="AM9" i="225"/>
  <c r="AT43" i="225"/>
  <c r="BQ37" i="225"/>
  <c r="BH24" i="225"/>
  <c r="BF32" i="225"/>
  <c r="AQ6" i="225"/>
  <c r="AG39" i="225"/>
  <c r="AW25" i="225"/>
  <c r="AS26" i="225"/>
  <c r="AQ7" i="225"/>
  <c r="BT33" i="225"/>
  <c r="AJ19" i="225"/>
  <c r="AP8" i="225"/>
  <c r="BE43" i="225"/>
  <c r="AU32" i="225"/>
  <c r="BE12" i="225"/>
  <c r="BA18" i="225"/>
  <c r="Z9" i="225"/>
  <c r="AD28" i="225"/>
  <c r="BR17" i="225"/>
  <c r="BS11" i="225"/>
  <c r="BJ27" i="225"/>
  <c r="AK11" i="225"/>
  <c r="BL21" i="225"/>
  <c r="AW47" i="225"/>
  <c r="AK37" i="225"/>
  <c r="AB22" i="225"/>
  <c r="BO23" i="225"/>
  <c r="AL16" i="225"/>
  <c r="Z32" i="225"/>
  <c r="AD14" i="225"/>
  <c r="AI10" i="225"/>
  <c r="AF32" i="225"/>
  <c r="BJ49" i="225"/>
  <c r="AH31" i="225"/>
  <c r="W46" i="225"/>
  <c r="AI40" i="225"/>
  <c r="W33" i="225"/>
  <c r="AW20" i="225"/>
  <c r="BM27" i="225"/>
  <c r="AL19" i="225"/>
  <c r="BG14" i="225"/>
  <c r="X35" i="225"/>
  <c r="BB28" i="225"/>
  <c r="BE11" i="225"/>
  <c r="BT10" i="225"/>
  <c r="AN8" i="225"/>
  <c r="AV42" i="225"/>
  <c r="AQ17" i="225"/>
  <c r="AU43" i="225"/>
  <c r="AG47" i="225"/>
  <c r="W44" i="225"/>
  <c r="BK40" i="225"/>
  <c r="BS36" i="225"/>
  <c r="BP32" i="225"/>
  <c r="AN28" i="225"/>
  <c r="AW21" i="225"/>
  <c r="BD13" i="225"/>
  <c r="AZ28" i="225"/>
  <c r="AT23" i="225"/>
  <c r="AF19" i="225"/>
  <c r="Z12" i="225"/>
  <c r="BG15" i="225"/>
  <c r="BK9" i="225"/>
  <c r="AZ35" i="225"/>
  <c r="BH31" i="225"/>
  <c r="AX28" i="225"/>
  <c r="AT22" i="225"/>
  <c r="AK13" i="225"/>
  <c r="AZ18" i="225"/>
  <c r="AF12" i="225"/>
  <c r="BA9" i="225"/>
  <c r="BI8" i="225"/>
  <c r="AW28" i="225"/>
  <c r="BP40" i="225"/>
  <c r="AD49" i="225"/>
  <c r="AO12" i="225"/>
  <c r="AN32" i="225"/>
  <c r="BO41" i="225"/>
  <c r="BO49" i="225"/>
  <c r="BS23" i="225"/>
  <c r="AE45" i="225"/>
  <c r="BE22" i="225"/>
  <c r="AS44" i="225"/>
  <c r="AA53" i="225"/>
  <c r="AS43" i="225"/>
  <c r="AY35" i="225"/>
  <c r="AG26" i="225"/>
  <c r="BQ11" i="225"/>
  <c r="BN21" i="225"/>
  <c r="BE8" i="225"/>
  <c r="AT8" i="225"/>
  <c r="AX30" i="225"/>
  <c r="BT19" i="225"/>
  <c r="AP17" i="225"/>
  <c r="AC7" i="225"/>
  <c r="AE33" i="225"/>
  <c r="AN50" i="225"/>
  <c r="BD36" i="225"/>
  <c r="AA51" i="225"/>
  <c r="BS46" i="225"/>
  <c r="AC43" i="225"/>
  <c r="BQ39" i="225"/>
  <c r="BG36" i="225"/>
  <c r="BG31" i="225"/>
  <c r="BK26" i="225"/>
  <c r="AA21" i="225"/>
  <c r="BN10" i="225"/>
  <c r="AQ27" i="225"/>
  <c r="AD23" i="225"/>
  <c r="AW17" i="225"/>
  <c r="BF9" i="225"/>
  <c r="AK15" i="225"/>
  <c r="BF7" i="225"/>
  <c r="BF34" i="225"/>
  <c r="AV31" i="225"/>
  <c r="X27" i="225"/>
  <c r="BB20" i="225"/>
  <c r="AX12" i="225"/>
  <c r="BH16" i="225"/>
  <c r="AG10" i="225"/>
  <c r="Y9" i="225"/>
  <c r="Y17" i="225"/>
  <c r="X32" i="225"/>
  <c r="BC41" i="225"/>
  <c r="AX53" i="225"/>
  <c r="AO33" i="225"/>
  <c r="BH47" i="225"/>
  <c r="BE47" i="225"/>
  <c r="AC45" i="225"/>
  <c r="AY42" i="225"/>
  <c r="W40" i="225"/>
  <c r="AS37" i="225"/>
  <c r="AQ34" i="225"/>
  <c r="BT30" i="225"/>
  <c r="BQ26" i="225"/>
  <c r="AO22" i="225"/>
  <c r="AG17" i="225"/>
  <c r="AX8" i="225"/>
  <c r="AW27" i="225"/>
  <c r="AB24" i="225"/>
  <c r="BE20" i="225"/>
  <c r="AH16" i="225"/>
  <c r="BR9" i="225"/>
  <c r="AY16" i="225"/>
  <c r="Y12" i="225"/>
  <c r="AP6" i="225"/>
  <c r="BJ34" i="225"/>
  <c r="AH32" i="225"/>
  <c r="BD29" i="225"/>
  <c r="BT25" i="225"/>
  <c r="BN20" i="225"/>
  <c r="AY14" i="225"/>
  <c r="BH6" i="225"/>
  <c r="BF15" i="225"/>
  <c r="AW10" i="225"/>
  <c r="AY10" i="225"/>
  <c r="AS5" i="225"/>
  <c r="AF20" i="225"/>
  <c r="BA31" i="225"/>
  <c r="BB39" i="225"/>
  <c r="AS46" i="225"/>
  <c r="X52" i="225"/>
  <c r="BJ18" i="225"/>
  <c r="BC30" i="225"/>
  <c r="BP38" i="225"/>
  <c r="BG45" i="225"/>
  <c r="AU51" i="225"/>
  <c r="AA48" i="225"/>
  <c r="AW45" i="225"/>
  <c r="BS42" i="225"/>
  <c r="AQ40" i="225"/>
  <c r="AG37" i="225"/>
  <c r="AH33" i="225"/>
  <c r="AG28" i="225"/>
  <c r="BR21" i="225"/>
  <c r="AQ14" i="225"/>
  <c r="AU28" i="225"/>
  <c r="BJ23" i="225"/>
  <c r="AW19" i="225"/>
  <c r="BM11" i="225"/>
  <c r="AD16" i="225"/>
  <c r="AO10" i="225"/>
  <c r="AV35" i="225"/>
  <c r="BT31" i="225"/>
  <c r="BJ28" i="225"/>
  <c r="AH22" i="225"/>
  <c r="BL13" i="225"/>
  <c r="BT18" i="225"/>
  <c r="BR11" i="225"/>
  <c r="W10" i="225"/>
  <c r="BA15" i="225"/>
  <c r="BK37" i="225"/>
  <c r="BD50" i="225"/>
  <c r="BK27" i="225"/>
  <c r="BP43" i="225"/>
  <c r="AA11" i="225"/>
  <c r="BP23" i="225"/>
  <c r="BB18" i="225"/>
  <c r="BK11" i="225"/>
  <c r="BH18" i="225"/>
  <c r="BB13" i="225"/>
  <c r="BH7" i="225"/>
  <c r="AU8" i="225"/>
  <c r="BK7" i="225"/>
  <c r="AC25" i="225"/>
  <c r="AL35" i="225"/>
  <c r="AP42" i="225"/>
  <c r="BT48" i="225"/>
  <c r="BJ4" i="225"/>
  <c r="BM23" i="225"/>
  <c r="AN34" i="225"/>
  <c r="AB42" i="225"/>
  <c r="BO53" i="225"/>
  <c r="AD20" i="225"/>
  <c r="AT5" i="225"/>
  <c r="AY9" i="225"/>
  <c r="BG4" i="225"/>
  <c r="BO32" i="225"/>
  <c r="AQ47" i="225"/>
  <c r="BA20" i="225"/>
  <c r="BN39" i="225"/>
  <c r="AG52" i="225"/>
  <c r="BE42" i="225"/>
  <c r="AX52" i="225"/>
  <c r="Z41" i="225"/>
  <c r="W22" i="225"/>
  <c r="AD27" i="225"/>
  <c r="AJ44" i="225"/>
  <c r="BA51" i="225"/>
  <c r="AY50" i="225"/>
  <c r="AC32" i="225"/>
  <c r="BC45" i="225"/>
  <c r="AQ21" i="225"/>
  <c r="BR39" i="225"/>
  <c r="AJ52" i="225"/>
  <c r="Z31" i="225"/>
  <c r="Y46" i="225"/>
  <c r="W48" i="225"/>
  <c r="AS45" i="225"/>
  <c r="BO42" i="225"/>
  <c r="AM40" i="225"/>
  <c r="BI37" i="225"/>
  <c r="BL34" i="225"/>
  <c r="AQ31" i="225"/>
  <c r="AU27" i="225"/>
  <c r="BS22" i="225"/>
  <c r="AC18" i="225"/>
  <c r="BP9" i="225"/>
  <c r="BR27" i="225"/>
  <c r="AW24" i="225"/>
  <c r="AC21" i="225"/>
  <c r="BS16" i="225"/>
  <c r="BQ10" i="225"/>
  <c r="AE17" i="225"/>
  <c r="BA12" i="225"/>
  <c r="AD7" i="225"/>
  <c r="AB35" i="225"/>
  <c r="AX32" i="225"/>
  <c r="BT29" i="225"/>
  <c r="BB26" i="225"/>
  <c r="AV21" i="225"/>
  <c r="AR15" i="225"/>
  <c r="BO7" i="225"/>
  <c r="AN16" i="225"/>
  <c r="AH11" i="225"/>
  <c r="AX4" i="225"/>
  <c r="AA6" i="225"/>
  <c r="AS18" i="225"/>
  <c r="AU30" i="225"/>
  <c r="BI38" i="225"/>
  <c r="AZ45" i="225"/>
  <c r="AP51" i="225"/>
  <c r="AO16" i="225"/>
  <c r="AW29" i="225"/>
  <c r="Y38" i="225"/>
  <c r="BN44" i="225"/>
  <c r="BM50" i="225"/>
  <c r="AA14" i="225"/>
  <c r="BM45" i="225"/>
  <c r="AK43" i="225"/>
  <c r="BG40" i="225"/>
  <c r="BM37" i="225"/>
  <c r="BC33" i="225"/>
  <c r="BI28" i="225"/>
  <c r="AA23" i="225"/>
  <c r="AQ15" i="225"/>
  <c r="BP28" i="225"/>
  <c r="BC24" i="225"/>
  <c r="BR19" i="225"/>
  <c r="BB12" i="225"/>
  <c r="AK17" i="225"/>
  <c r="X11" i="225"/>
  <c r="BL35" i="225"/>
  <c r="BB32" i="225"/>
  <c r="AB29" i="225"/>
  <c r="BN22" i="225"/>
  <c r="AW15" i="225"/>
  <c r="BA4" i="225"/>
  <c r="AZ12" i="225"/>
  <c r="BD4" i="225"/>
  <c r="AV6" i="225"/>
  <c r="BO34" i="225"/>
  <c r="BH48" i="225"/>
  <c r="AK23" i="225"/>
  <c r="AN41" i="225"/>
  <c r="AM53" i="225"/>
  <c r="BN24" i="225"/>
  <c r="BH19" i="225"/>
  <c r="AA13" i="225"/>
  <c r="BH4" i="225"/>
  <c r="AZ14" i="225"/>
  <c r="X9" i="225"/>
  <c r="AS9" i="225"/>
  <c r="AM4" i="225"/>
  <c r="BM22" i="225"/>
  <c r="BA33" i="225"/>
  <c r="AB41" i="225"/>
  <c r="BR47" i="225"/>
  <c r="AD53" i="225"/>
  <c r="AY21" i="225"/>
  <c r="BC32" i="225"/>
  <c r="AP40" i="225"/>
  <c r="AK52" i="225"/>
  <c r="BH21" i="225"/>
  <c r="AL8" i="225"/>
  <c r="AT11" i="225"/>
  <c r="AM6" i="225"/>
  <c r="Y30" i="225"/>
  <c r="AJ45" i="225"/>
  <c r="AO15" i="225"/>
  <c r="BG37" i="225"/>
  <c r="BA50" i="225"/>
  <c r="BR46" i="225"/>
  <c r="AN53" i="225"/>
  <c r="AF43" i="225"/>
  <c r="AW26" i="225"/>
  <c r="AC35" i="225"/>
  <c r="BD47" i="225"/>
  <c r="AW53" i="225"/>
  <c r="AC19" i="225"/>
  <c r="AC36" i="225"/>
  <c r="BF48" i="225"/>
  <c r="BA28" i="225"/>
  <c r="BB31" i="225"/>
  <c r="AO17" i="225"/>
  <c r="BR26" i="225"/>
  <c r="BO46" i="225"/>
  <c r="BC36" i="225"/>
  <c r="BS20" i="225"/>
  <c r="Y23" i="225"/>
  <c r="AE15" i="225"/>
  <c r="AR31" i="225"/>
  <c r="AS12" i="225"/>
  <c r="BS8" i="225"/>
  <c r="AC41" i="225"/>
  <c r="BQ28" i="225"/>
  <c r="W29" i="225"/>
  <c r="BK12" i="225"/>
  <c r="BP35" i="225"/>
  <c r="AB23" i="225"/>
  <c r="BL12" i="225"/>
  <c r="BA45" i="225"/>
  <c r="BA10" i="225"/>
  <c r="BO12" i="225"/>
  <c r="AS8" i="225"/>
  <c r="BS44" i="225"/>
  <c r="AF34" i="225"/>
  <c r="BE16" i="225"/>
  <c r="AU20" i="225"/>
  <c r="BH11" i="225"/>
  <c r="AV29" i="225"/>
  <c r="AF6" i="225"/>
  <c r="AC5" i="225"/>
  <c r="BB36" i="225"/>
  <c r="AN52" i="225"/>
  <c r="AM39" i="225"/>
  <c r="AO45" i="225"/>
  <c r="BS38" i="225"/>
  <c r="BA29" i="225"/>
  <c r="BQ17" i="225"/>
  <c r="AC26" i="225"/>
  <c r="BI13" i="225"/>
  <c r="AT12" i="225"/>
  <c r="BH33" i="225"/>
  <c r="BL23" i="225"/>
  <c r="AT7" i="225"/>
  <c r="BC7" i="225"/>
  <c r="AL25" i="225"/>
  <c r="BP45" i="225"/>
  <c r="X24" i="225"/>
  <c r="BK49" i="225"/>
  <c r="AY46" i="225"/>
  <c r="AO43" i="225"/>
  <c r="AW39" i="225"/>
  <c r="AM36" i="225"/>
  <c r="Y32" i="225"/>
  <c r="AA26" i="225"/>
  <c r="AQ20" i="225"/>
  <c r="BC11" i="225"/>
  <c r="BO26" i="225"/>
  <c r="BA22" i="225"/>
  <c r="Y18" i="225"/>
  <c r="AR8" i="225"/>
  <c r="BA14" i="225"/>
  <c r="AJ8" i="225"/>
  <c r="AL34" i="225"/>
  <c r="AB31" i="225"/>
  <c r="AZ27" i="225"/>
  <c r="BP19" i="225"/>
  <c r="AZ11" i="225"/>
  <c r="AL17" i="225"/>
  <c r="AI9" i="225"/>
  <c r="AM8" i="225"/>
  <c r="BB14" i="225"/>
  <c r="AL33" i="225"/>
  <c r="BA42" i="225"/>
  <c r="AR50" i="225"/>
  <c r="AE21" i="225"/>
  <c r="BC34" i="225"/>
  <c r="AZ43" i="225"/>
  <c r="AS52" i="225"/>
  <c r="BO29" i="225"/>
  <c r="AV48" i="225"/>
  <c r="AU33" i="225"/>
  <c r="BN47" i="225"/>
  <c r="AK6" i="225"/>
  <c r="BO40" i="225"/>
  <c r="BN33" i="225"/>
  <c r="BR23" i="225"/>
  <c r="BE28" i="225"/>
  <c r="AE20" i="225"/>
  <c r="BB4" i="225"/>
  <c r="BD35" i="225"/>
  <c r="AJ29" i="225"/>
  <c r="BK16" i="225"/>
  <c r="AJ12" i="225"/>
  <c r="AY4" i="225"/>
  <c r="AP37" i="225"/>
  <c r="BT11" i="225"/>
  <c r="AO38" i="225"/>
  <c r="BC53" i="225"/>
  <c r="BE45" i="225"/>
  <c r="AU42" i="225"/>
  <c r="AK39" i="225"/>
  <c r="AD35" i="225"/>
  <c r="BO30" i="225"/>
  <c r="BC25" i="225"/>
  <c r="BE18" i="225"/>
  <c r="AH8" i="225"/>
  <c r="AY26" i="225"/>
  <c r="AS21" i="225"/>
  <c r="Y16" i="225"/>
  <c r="BD7" i="225"/>
  <c r="X13" i="225"/>
  <c r="AG6" i="225"/>
  <c r="Z34" i="225"/>
  <c r="AH30" i="225"/>
  <c r="BH25" i="225"/>
  <c r="AN19" i="225"/>
  <c r="AZ8" i="225"/>
  <c r="AT15" i="225"/>
  <c r="AV8" i="225"/>
  <c r="AU6" i="225"/>
  <c r="BH20" i="225"/>
  <c r="AM34" i="225"/>
  <c r="BI46" i="225"/>
  <c r="AT19" i="225"/>
  <c r="AH39" i="225"/>
  <c r="BG51" i="225"/>
  <c r="BG46" i="225"/>
  <c r="AE44" i="225"/>
  <c r="BA41" i="225"/>
  <c r="Y39" i="225"/>
  <c r="AU36" i="225"/>
  <c r="AC33" i="225"/>
  <c r="BF29" i="225"/>
  <c r="AH25" i="225"/>
  <c r="BD20" i="225"/>
  <c r="AG14" i="225"/>
  <c r="AW4" i="225"/>
  <c r="AI26" i="225"/>
  <c r="BL22" i="225"/>
  <c r="AQ19" i="225"/>
  <c r="BS13" i="225"/>
  <c r="BQ6" i="225"/>
  <c r="BN14" i="225"/>
  <c r="AF10" i="225"/>
  <c r="AB4" i="225"/>
  <c r="BL33" i="225"/>
  <c r="AJ31" i="225"/>
  <c r="BF28" i="225"/>
  <c r="Z24" i="225"/>
  <c r="BM18" i="225"/>
  <c r="W12" i="225"/>
  <c r="BP18" i="225"/>
  <c r="BJ13" i="225"/>
  <c r="BS7" i="225"/>
  <c r="BC8" i="225"/>
  <c r="BT6" i="225"/>
  <c r="BG24" i="225"/>
  <c r="W35" i="225"/>
  <c r="AF42" i="225"/>
  <c r="BL48" i="225"/>
  <c r="BR53" i="225"/>
  <c r="AS23" i="225"/>
  <c r="Y34" i="225"/>
  <c r="AT41" i="225"/>
  <c r="AK48" i="225"/>
  <c r="AQ53" i="225"/>
  <c r="AC47" i="225"/>
  <c r="AY44" i="225"/>
  <c r="W42" i="225"/>
  <c r="AS39" i="225"/>
  <c r="BJ35" i="225"/>
  <c r="AW31" i="225"/>
  <c r="BR25" i="225"/>
  <c r="BE19" i="225"/>
  <c r="AJ10" i="225"/>
  <c r="BI26" i="225"/>
  <c r="AA22" i="225"/>
  <c r="AF17" i="225"/>
  <c r="AG8" i="225"/>
  <c r="BO13" i="225"/>
  <c r="AN7" i="225"/>
  <c r="AH34" i="225"/>
  <c r="BF30" i="225"/>
  <c r="BF26" i="225"/>
  <c r="BD19" i="225"/>
  <c r="AK10" i="225"/>
  <c r="AR16" i="225"/>
  <c r="BQ8" i="225"/>
  <c r="AS7" i="225"/>
  <c r="AY24" i="225"/>
  <c r="Z42" i="225"/>
  <c r="BN53" i="225"/>
  <c r="BQ33" i="225"/>
  <c r="AF48" i="225"/>
  <c r="AR27" i="225"/>
  <c r="AL22" i="225"/>
  <c r="AU16" i="225"/>
  <c r="AL9" i="225"/>
  <c r="AD17" i="225"/>
  <c r="X12" i="225"/>
  <c r="BB5" i="225"/>
  <c r="BO6" i="225"/>
  <c r="AN15" i="225"/>
  <c r="BO28" i="225"/>
  <c r="BF37" i="225"/>
  <c r="AW44" i="225"/>
  <c r="AZ50" i="225"/>
  <c r="Y13" i="225"/>
  <c r="BA27" i="225"/>
  <c r="BT36" i="225"/>
  <c r="BJ46" i="225"/>
  <c r="BN26" i="225"/>
  <c r="BH15" i="225"/>
  <c r="AZ16" i="225"/>
  <c r="BN4" i="225"/>
  <c r="BC17" i="225"/>
  <c r="AS38" i="225"/>
  <c r="AD51" i="225"/>
  <c r="BS28" i="225"/>
  <c r="AX44" i="225"/>
  <c r="AB13" i="225"/>
  <c r="AQ33" i="225"/>
  <c r="AZ49" i="225"/>
  <c r="AO36" i="225"/>
  <c r="AM52" i="225"/>
  <c r="AR53" i="225"/>
  <c r="BS34" i="225"/>
  <c r="AM43" i="225"/>
  <c r="AN45" i="225"/>
  <c r="AR22" i="225"/>
  <c r="BD39" i="225"/>
  <c r="O190" i="282"/>
  <c r="N5" i="225"/>
  <c r="N7" i="225"/>
  <c r="N4" i="225"/>
  <c r="I6" i="223" a="1"/>
  <c r="I7" i="223" s="1"/>
  <c r="O6" i="223" a="1"/>
  <c r="O197" i="282"/>
  <c r="V185" i="282"/>
  <c r="V187" i="282"/>
  <c r="R36" i="99"/>
  <c r="A37" i="224"/>
  <c r="C36" i="224"/>
  <c r="S194" i="282"/>
  <c r="V189" i="282"/>
  <c r="T197" i="282"/>
  <c r="T196" i="282"/>
  <c r="T190" i="282"/>
  <c r="T192" i="282"/>
  <c r="U188" i="282"/>
  <c r="U184" i="282"/>
  <c r="U186" i="282"/>
  <c r="N85" i="223"/>
  <c r="P84" i="223"/>
  <c r="T194" i="282"/>
  <c r="S197" i="282"/>
  <c r="N16" i="102"/>
  <c r="P15" i="102"/>
  <c r="O194" i="282"/>
  <c r="U185" i="282"/>
  <c r="U187" i="282"/>
  <c r="E138" i="275"/>
  <c r="C138" i="275"/>
  <c r="D138" i="275"/>
  <c r="F139" i="275"/>
  <c r="F141" i="275"/>
  <c r="D148" i="275"/>
  <c r="D145" i="275"/>
  <c r="K141" i="275" s="1"/>
  <c r="AC37" i="107"/>
  <c r="AE36" i="107"/>
  <c r="AP36" i="107" s="1"/>
  <c r="S6" i="224" a="1"/>
  <c r="K6" i="224" a="1"/>
  <c r="K7" i="224" s="1"/>
  <c r="V196" i="282" l="1"/>
  <c r="W184" i="282"/>
  <c r="D200" i="282" s="1"/>
  <c r="S196" i="282"/>
  <c r="S190" i="282"/>
  <c r="W186" i="282"/>
  <c r="F202" i="282" s="1"/>
  <c r="S4" i="225" a="1"/>
  <c r="S7" i="225" s="1"/>
  <c r="U7" i="225" s="1"/>
  <c r="I6" i="223"/>
  <c r="K6" i="223" s="1" a="1"/>
  <c r="Q6" i="223"/>
  <c r="S8" i="223"/>
  <c r="U10" i="223"/>
  <c r="W12" i="223"/>
  <c r="R14" i="223"/>
  <c r="Y15" i="223"/>
  <c r="P17" i="223"/>
  <c r="V18" i="223"/>
  <c r="AC19" i="223"/>
  <c r="R10" i="223"/>
  <c r="Q14" i="223"/>
  <c r="S7" i="223"/>
  <c r="U9" i="223"/>
  <c r="W11" i="223"/>
  <c r="X13" i="223"/>
  <c r="O15" i="223"/>
  <c r="V16" i="223"/>
  <c r="AB17" i="223"/>
  <c r="S19" i="223"/>
  <c r="Z20" i="223"/>
  <c r="O8" i="223"/>
  <c r="Q10" i="223"/>
  <c r="S12" i="223"/>
  <c r="P14" i="223"/>
  <c r="V15" i="223"/>
  <c r="AB16" i="223"/>
  <c r="T18" i="223"/>
  <c r="Z19" i="223"/>
  <c r="O7" i="223"/>
  <c r="Q9" i="223"/>
  <c r="AB12" i="223"/>
  <c r="O17" i="223"/>
  <c r="T17" i="223"/>
  <c r="Y17" i="223"/>
  <c r="X16" i="223"/>
  <c r="AA6" i="223"/>
  <c r="P11" i="223"/>
  <c r="T15" i="223"/>
  <c r="X19" i="223"/>
  <c r="Z8" i="223"/>
  <c r="O13" i="223"/>
  <c r="S10" i="223"/>
  <c r="W14" i="223"/>
  <c r="AA18" i="223"/>
  <c r="AC7" i="223"/>
  <c r="R12" i="223"/>
  <c r="U8" i="223"/>
  <c r="Y12" i="223"/>
  <c r="AC16" i="223"/>
  <c r="P6" i="223"/>
  <c r="T10" i="223"/>
  <c r="X7" i="223"/>
  <c r="AB11" i="223"/>
  <c r="Q16" i="223"/>
  <c r="U20" i="223"/>
  <c r="W9" i="223"/>
  <c r="Y6" i="223"/>
  <c r="AA8" i="223"/>
  <c r="AC10" i="223"/>
  <c r="P13" i="223"/>
  <c r="X14" i="223"/>
  <c r="O16" i="223"/>
  <c r="U17" i="223"/>
  <c r="AB18" i="223"/>
  <c r="S20" i="223"/>
  <c r="S11" i="223"/>
  <c r="AB14" i="223"/>
  <c r="AA7" i="223"/>
  <c r="AC9" i="223"/>
  <c r="P12" i="223"/>
  <c r="AC13" i="223"/>
  <c r="U15" i="223"/>
  <c r="AA16" i="223"/>
  <c r="R18" i="223"/>
  <c r="Y19" i="223"/>
  <c r="U6" i="223"/>
  <c r="W8" i="223"/>
  <c r="Y10" i="223"/>
  <c r="AA12" i="223"/>
  <c r="U14" i="223"/>
  <c r="AA15" i="223"/>
  <c r="S17" i="223"/>
  <c r="Y18" i="223"/>
  <c r="P20" i="223"/>
  <c r="W7" i="223"/>
  <c r="Y9" i="223"/>
  <c r="AA13" i="223"/>
  <c r="U18" i="223"/>
  <c r="Z18" i="223"/>
  <c r="Q19" i="223"/>
  <c r="P18" i="223"/>
  <c r="AB7" i="223"/>
  <c r="Q12" i="223"/>
  <c r="U16" i="223"/>
  <c r="Y20" i="223"/>
  <c r="AA9" i="223"/>
  <c r="P7" i="223"/>
  <c r="T11" i="223"/>
  <c r="X15" i="223"/>
  <c r="AB19" i="223"/>
  <c r="O9" i="223"/>
  <c r="S13" i="223"/>
  <c r="V9" i="223"/>
  <c r="Z13" i="223"/>
  <c r="O18" i="223"/>
  <c r="Q7" i="223"/>
  <c r="U11" i="223"/>
  <c r="Y8" i="223"/>
  <c r="AC12" i="223"/>
  <c r="R17" i="223"/>
  <c r="T6" i="223"/>
  <c r="X10" i="223"/>
  <c r="R7" i="223"/>
  <c r="T9" i="223"/>
  <c r="W13" i="223"/>
  <c r="AC14" i="223"/>
  <c r="T16" i="223"/>
  <c r="AA17" i="223"/>
  <c r="R19" i="223"/>
  <c r="X20" i="223"/>
  <c r="T12" i="223"/>
  <c r="R6" i="223"/>
  <c r="T8" i="223"/>
  <c r="V10" i="223"/>
  <c r="X12" i="223"/>
  <c r="T14" i="223"/>
  <c r="Z15" i="223"/>
  <c r="Q17" i="223"/>
  <c r="X18" i="223"/>
  <c r="O20" i="223"/>
  <c r="AC6" i="223"/>
  <c r="P9" i="223"/>
  <c r="R11" i="223"/>
  <c r="T13" i="223"/>
  <c r="Z14" i="223"/>
  <c r="R16" i="223"/>
  <c r="X17" i="223"/>
  <c r="O19" i="223"/>
  <c r="V20" i="223"/>
  <c r="P8" i="223"/>
  <c r="V11" i="223"/>
  <c r="Z16" i="223"/>
  <c r="U13" i="223"/>
  <c r="Q13" i="223"/>
  <c r="AC18" i="223"/>
  <c r="Z11" i="223"/>
  <c r="AC17" i="223"/>
  <c r="Z10" i="223"/>
  <c r="AA19" i="223"/>
  <c r="W20" i="223"/>
  <c r="AC8" i="223"/>
  <c r="V17" i="223"/>
  <c r="AB10" i="223"/>
  <c r="U12" i="223"/>
  <c r="AC20" i="223"/>
  <c r="S6" i="223"/>
  <c r="AA14" i="223"/>
  <c r="R8" i="223"/>
  <c r="Z9" i="223"/>
  <c r="S18" i="223"/>
  <c r="Y11" i="223"/>
  <c r="O6" i="223"/>
  <c r="Q18" i="223"/>
  <c r="Z6" i="223"/>
  <c r="Y14" i="223"/>
  <c r="T20" i="223"/>
  <c r="U19" i="223"/>
  <c r="AA11" i="223"/>
  <c r="AC15" i="223"/>
  <c r="R15" i="223"/>
  <c r="O10" i="223"/>
  <c r="AC11" i="223"/>
  <c r="V13" i="223"/>
  <c r="AB6" i="223"/>
  <c r="T7" i="223"/>
  <c r="AB15" i="223"/>
  <c r="AA10" i="223"/>
  <c r="T19" i="223"/>
  <c r="Z12" i="223"/>
  <c r="O12" i="223"/>
  <c r="Y13" i="223"/>
  <c r="W18" i="223"/>
  <c r="S9" i="223"/>
  <c r="Z7" i="223"/>
  <c r="AB13" i="223"/>
  <c r="W19" i="223"/>
  <c r="AB8" i="223"/>
  <c r="P16" i="223"/>
  <c r="V7" i="223"/>
  <c r="Q15" i="223"/>
  <c r="AA20" i="223"/>
  <c r="V14" i="223"/>
  <c r="R20" i="223"/>
  <c r="V19" i="223"/>
  <c r="R13" i="223"/>
  <c r="X6" i="223"/>
  <c r="Q8" i="223"/>
  <c r="Y16" i="223"/>
  <c r="P10" i="223"/>
  <c r="W10" i="223"/>
  <c r="P19" i="223"/>
  <c r="V12" i="223"/>
  <c r="O14" i="223"/>
  <c r="U7" i="223"/>
  <c r="AB9" i="223"/>
  <c r="S15" i="223"/>
  <c r="V6" i="223"/>
  <c r="O11" i="223"/>
  <c r="W17" i="223"/>
  <c r="X9" i="223"/>
  <c r="W16" i="223"/>
  <c r="X8" i="223"/>
  <c r="W15" i="223"/>
  <c r="S16" i="223"/>
  <c r="AB20" i="223"/>
  <c r="S14" i="223"/>
  <c r="Y7" i="223"/>
  <c r="R9" i="223"/>
  <c r="Z17" i="223"/>
  <c r="Q11" i="223"/>
  <c r="X11" i="223"/>
  <c r="Q20" i="223"/>
  <c r="W6" i="223"/>
  <c r="P15" i="223"/>
  <c r="V8" i="223"/>
  <c r="U197" i="282"/>
  <c r="N86" i="223"/>
  <c r="P85" i="223"/>
  <c r="K8" i="224"/>
  <c r="W185" i="282"/>
  <c r="W188" i="282"/>
  <c r="E204" i="282" s="1"/>
  <c r="U194" i="282"/>
  <c r="U193" i="282"/>
  <c r="W187" i="282"/>
  <c r="F203" i="282" s="1"/>
  <c r="N17" i="102"/>
  <c r="P16" i="102"/>
  <c r="V190" i="282"/>
  <c r="V192" i="282"/>
  <c r="A38" i="224"/>
  <c r="C37" i="224"/>
  <c r="K6" i="224"/>
  <c r="D202" i="282"/>
  <c r="U196" i="282"/>
  <c r="U192" i="282"/>
  <c r="U190" i="282"/>
  <c r="V194" i="282"/>
  <c r="R37" i="99"/>
  <c r="V197" i="282"/>
  <c r="V193" i="282"/>
  <c r="W189" i="282"/>
  <c r="F205" i="282" s="1"/>
  <c r="E148" i="275"/>
  <c r="F140" i="275"/>
  <c r="C145" i="275"/>
  <c r="J141" i="275" s="1"/>
  <c r="E145" i="275"/>
  <c r="L141" i="275" s="1"/>
  <c r="K140" i="275"/>
  <c r="AC38" i="107"/>
  <c r="AE37" i="107"/>
  <c r="AP37" i="107" s="1"/>
  <c r="AA11" i="224"/>
  <c r="T16" i="224"/>
  <c r="W7" i="224"/>
  <c r="U13" i="224"/>
  <c r="AB16" i="224"/>
  <c r="AB8" i="224"/>
  <c r="Z14" i="224"/>
  <c r="V10" i="224"/>
  <c r="W15" i="224"/>
  <c r="S6" i="224"/>
  <c r="X7" i="224"/>
  <c r="AC8" i="224"/>
  <c r="W10" i="224"/>
  <c r="AB11" i="224"/>
  <c r="V13" i="224"/>
  <c r="AA14" i="224"/>
  <c r="U16" i="224"/>
  <c r="X6" i="224"/>
  <c r="AC7" i="224"/>
  <c r="W9" i="224"/>
  <c r="AB10" i="224"/>
  <c r="V12" i="224"/>
  <c r="AA13" i="224"/>
  <c r="U15" i="224"/>
  <c r="Z16" i="224"/>
  <c r="V7" i="224"/>
  <c r="AA8" i="224"/>
  <c r="U10" i="224"/>
  <c r="Z11" i="224"/>
  <c r="T13" i="224"/>
  <c r="Y14" i="224"/>
  <c r="V14" i="224"/>
  <c r="X8" i="224"/>
  <c r="S15" i="224"/>
  <c r="Y9" i="224"/>
  <c r="Z15" i="224"/>
  <c r="Z10" i="224"/>
  <c r="W6" i="224"/>
  <c r="AB7" i="224"/>
  <c r="V9" i="224"/>
  <c r="AA10" i="224"/>
  <c r="U12" i="224"/>
  <c r="Z13" i="224"/>
  <c r="T15" i="224"/>
  <c r="Y16" i="224"/>
  <c r="AB6" i="224"/>
  <c r="V8" i="224"/>
  <c r="AA9" i="224"/>
  <c r="U11" i="224"/>
  <c r="Z12" i="224"/>
  <c r="T14" i="224"/>
  <c r="Y15" i="224"/>
  <c r="U6" i="224"/>
  <c r="Z7" i="224"/>
  <c r="T9" i="224"/>
  <c r="Y10" i="224"/>
  <c r="S12" i="224"/>
  <c r="X13" i="224"/>
  <c r="AA16" i="224"/>
  <c r="AB12" i="224"/>
  <c r="S7" i="224"/>
  <c r="AC13" i="224"/>
  <c r="T8" i="224"/>
  <c r="AC14" i="224"/>
  <c r="U9" i="224"/>
  <c r="AA6" i="224"/>
  <c r="U8" i="224"/>
  <c r="Z9" i="224"/>
  <c r="T11" i="224"/>
  <c r="Y12" i="224"/>
  <c r="S14" i="224"/>
  <c r="X15" i="224"/>
  <c r="AC16" i="224"/>
  <c r="U7" i="224"/>
  <c r="Z8" i="224"/>
  <c r="T10" i="224"/>
  <c r="Y11" i="224"/>
  <c r="S13" i="224"/>
  <c r="X14" i="224"/>
  <c r="AC15" i="224"/>
  <c r="Y6" i="224"/>
  <c r="S8" i="224"/>
  <c r="X9" i="224"/>
  <c r="AC10" i="224"/>
  <c r="W12" i="224"/>
  <c r="AB13" i="224"/>
  <c r="S16" i="224"/>
  <c r="W11" i="224"/>
  <c r="X16" i="224"/>
  <c r="X12" i="224"/>
  <c r="X11" i="224"/>
  <c r="T7" i="224"/>
  <c r="AC12" i="224"/>
  <c r="Y7" i="224"/>
  <c r="W13" i="224"/>
  <c r="W8" i="224"/>
  <c r="U14" i="224"/>
  <c r="S11" i="224"/>
  <c r="T12" i="224"/>
  <c r="Y8" i="224"/>
  <c r="W14" i="224"/>
  <c r="S9" i="224"/>
  <c r="AB14" i="224"/>
  <c r="AB9" i="224"/>
  <c r="V15" i="224"/>
  <c r="Z6" i="224"/>
  <c r="AA7" i="224"/>
  <c r="S10" i="224"/>
  <c r="AB15" i="224"/>
  <c r="X10" i="224"/>
  <c r="V16" i="224"/>
  <c r="V11" i="224"/>
  <c r="AC9" i="224"/>
  <c r="W16" i="224"/>
  <c r="V6" i="224"/>
  <c r="T6" i="224"/>
  <c r="AC11" i="224"/>
  <c r="AC6" i="224"/>
  <c r="AA12" i="224"/>
  <c r="AA15" i="224"/>
  <c r="Y13" i="224"/>
  <c r="F200" i="282" l="1"/>
  <c r="E200" i="282"/>
  <c r="C200" i="282"/>
  <c r="E202" i="282"/>
  <c r="C202" i="282"/>
  <c r="W196" i="282"/>
  <c r="S5" i="225"/>
  <c r="U5" i="225" s="1"/>
  <c r="S43" i="225"/>
  <c r="U43" i="225" s="1"/>
  <c r="S44" i="225"/>
  <c r="U44" i="225" s="1"/>
  <c r="S8" i="225"/>
  <c r="U8" i="225" s="1"/>
  <c r="S50" i="225"/>
  <c r="U50" i="225" s="1"/>
  <c r="S40" i="225"/>
  <c r="U40" i="225" s="1"/>
  <c r="S20" i="225"/>
  <c r="U20" i="225" s="1"/>
  <c r="S34" i="225"/>
  <c r="U34" i="225" s="1"/>
  <c r="S38" i="225"/>
  <c r="U38" i="225" s="1"/>
  <c r="S14" i="225"/>
  <c r="U14" i="225" s="1"/>
  <c r="S28" i="225"/>
  <c r="U28" i="225" s="1"/>
  <c r="S12" i="225"/>
  <c r="U12" i="225" s="1"/>
  <c r="S53" i="225"/>
  <c r="U53" i="225" s="1"/>
  <c r="S24" i="225"/>
  <c r="U24" i="225" s="1"/>
  <c r="S39" i="225"/>
  <c r="U39" i="225" s="1"/>
  <c r="S30" i="225"/>
  <c r="U30" i="225" s="1"/>
  <c r="S41" i="225"/>
  <c r="U41" i="225" s="1"/>
  <c r="S16" i="225"/>
  <c r="U16" i="225" s="1"/>
  <c r="S25" i="225"/>
  <c r="U25" i="225" s="1"/>
  <c r="S13" i="225"/>
  <c r="U13" i="225" s="1"/>
  <c r="S17" i="225"/>
  <c r="U17" i="225" s="1"/>
  <c r="W197" i="282"/>
  <c r="S15" i="225"/>
  <c r="U15" i="225" s="1"/>
  <c r="S47" i="225"/>
  <c r="U47" i="225" s="1"/>
  <c r="S22" i="225"/>
  <c r="U22" i="225" s="1"/>
  <c r="S11" i="225"/>
  <c r="U11" i="225" s="1"/>
  <c r="S26" i="225"/>
  <c r="U26" i="225" s="1"/>
  <c r="S52" i="225"/>
  <c r="U52" i="225" s="1"/>
  <c r="S46" i="225"/>
  <c r="U46" i="225" s="1"/>
  <c r="S21" i="225"/>
  <c r="U21" i="225" s="1"/>
  <c r="S48" i="225"/>
  <c r="U48" i="225" s="1"/>
  <c r="S18" i="225"/>
  <c r="U18" i="225" s="1"/>
  <c r="S29" i="225"/>
  <c r="U29" i="225" s="1"/>
  <c r="S32" i="225"/>
  <c r="U32" i="225" s="1"/>
  <c r="S31" i="225"/>
  <c r="U31" i="225" s="1"/>
  <c r="S6" i="225"/>
  <c r="U6" i="225" s="1"/>
  <c r="S4" i="225"/>
  <c r="U4" i="225" s="1"/>
  <c r="S33" i="225"/>
  <c r="U33" i="225" s="1"/>
  <c r="S35" i="225"/>
  <c r="U35" i="225" s="1"/>
  <c r="S10" i="225"/>
  <c r="U10" i="225" s="1"/>
  <c r="S19" i="225"/>
  <c r="U19" i="225" s="1"/>
  <c r="S27" i="225"/>
  <c r="U27" i="225" s="1"/>
  <c r="S9" i="225"/>
  <c r="U9" i="225" s="1"/>
  <c r="S42" i="225"/>
  <c r="U42" i="225" s="1"/>
  <c r="S45" i="225"/>
  <c r="U45" i="225" s="1"/>
  <c r="S51" i="225"/>
  <c r="U51" i="225" s="1"/>
  <c r="S37" i="225"/>
  <c r="U37" i="225" s="1"/>
  <c r="S23" i="225"/>
  <c r="U23" i="225" s="1"/>
  <c r="S36" i="225"/>
  <c r="U36" i="225" s="1"/>
  <c r="S49" i="225"/>
  <c r="U49" i="225" s="1"/>
  <c r="O6" i="224" a="1"/>
  <c r="O15" i="224" s="1"/>
  <c r="Q15" i="224" s="1"/>
  <c r="W193" i="282"/>
  <c r="W194" i="282"/>
  <c r="F209" i="282"/>
  <c r="N202" i="282" s="1"/>
  <c r="N18" i="102"/>
  <c r="P17" i="102"/>
  <c r="C201" i="282"/>
  <c r="D201" i="282"/>
  <c r="A39" i="224"/>
  <c r="C38" i="224"/>
  <c r="C203" i="282"/>
  <c r="D203" i="282"/>
  <c r="D209" i="282" s="1"/>
  <c r="L203" i="282" s="1"/>
  <c r="D205" i="282"/>
  <c r="E205" i="282"/>
  <c r="E210" i="282" s="1"/>
  <c r="M204" i="282" s="1"/>
  <c r="C205" i="282"/>
  <c r="F201" i="282"/>
  <c r="F213" i="282" s="1"/>
  <c r="E203" i="282"/>
  <c r="F204" i="282"/>
  <c r="C204" i="282"/>
  <c r="D204" i="282"/>
  <c r="W190" i="282"/>
  <c r="E201" i="282"/>
  <c r="R38" i="99"/>
  <c r="W192" i="282"/>
  <c r="N87" i="223"/>
  <c r="P86" i="223"/>
  <c r="L140" i="275"/>
  <c r="L145" i="275" s="1"/>
  <c r="M141" i="275"/>
  <c r="F138" i="275"/>
  <c r="F142" i="275" s="1"/>
  <c r="C142" i="275"/>
  <c r="C144" i="275"/>
  <c r="D147" i="275"/>
  <c r="D144" i="275"/>
  <c r="D142" i="275"/>
  <c r="K145" i="275"/>
  <c r="J140" i="275"/>
  <c r="E147" i="275"/>
  <c r="E142" i="275"/>
  <c r="E144" i="275"/>
  <c r="L139" i="275" s="1"/>
  <c r="C147" i="275"/>
  <c r="AC39" i="107"/>
  <c r="AE38" i="107"/>
  <c r="AP38" i="107" s="1"/>
  <c r="K8" i="223"/>
  <c r="M8" i="223" s="1"/>
  <c r="O34" i="223" s="1"/>
  <c r="K15" i="223"/>
  <c r="M15" i="223" s="1"/>
  <c r="O41" i="223" s="1"/>
  <c r="K14" i="223"/>
  <c r="M14" i="223" s="1"/>
  <c r="O40" i="223" s="1"/>
  <c r="K13" i="223"/>
  <c r="M13" i="223" s="1"/>
  <c r="O39" i="223" s="1"/>
  <c r="K12" i="223"/>
  <c r="M12" i="223" s="1"/>
  <c r="O38" i="223" s="1"/>
  <c r="K7" i="223"/>
  <c r="M7" i="223" s="1"/>
  <c r="O33" i="223" s="1"/>
  <c r="K17" i="223"/>
  <c r="M17" i="223" s="1"/>
  <c r="O43" i="223" s="1"/>
  <c r="K18" i="223"/>
  <c r="M18" i="223" s="1"/>
  <c r="O44" i="223" s="1"/>
  <c r="K9" i="223"/>
  <c r="M9" i="223" s="1"/>
  <c r="O35" i="223" s="1"/>
  <c r="K19" i="223"/>
  <c r="M19" i="223" s="1"/>
  <c r="O45" i="223" s="1"/>
  <c r="K10" i="223"/>
  <c r="M10" i="223" s="1"/>
  <c r="O36" i="223" s="1"/>
  <c r="K20" i="223"/>
  <c r="M20" i="223" s="1"/>
  <c r="O46" i="223" s="1"/>
  <c r="K11" i="223"/>
  <c r="M11" i="223" s="1"/>
  <c r="O37" i="223" s="1"/>
  <c r="K6" i="223"/>
  <c r="M6" i="223" s="1"/>
  <c r="O32" i="223" s="1"/>
  <c r="K16" i="223"/>
  <c r="M16" i="223" s="1"/>
  <c r="O42" i="223" s="1"/>
  <c r="G200" i="282" l="1"/>
  <c r="E212" i="282"/>
  <c r="G202" i="282"/>
  <c r="E209" i="282"/>
  <c r="M203" i="282" s="1"/>
  <c r="C212" i="282"/>
  <c r="O12" i="224"/>
  <c r="Q12" i="224" s="1"/>
  <c r="T33" i="224" s="1"/>
  <c r="O10" i="224"/>
  <c r="Q10" i="224" s="1"/>
  <c r="T64" i="224" s="1"/>
  <c r="O13" i="224"/>
  <c r="Q13" i="224" s="1"/>
  <c r="T34" i="224" s="1"/>
  <c r="O6" i="224"/>
  <c r="Q6" i="224" s="1"/>
  <c r="T60" i="224" s="1"/>
  <c r="O16" i="224"/>
  <c r="Q16" i="224" s="1"/>
  <c r="T37" i="224" s="1"/>
  <c r="O8" i="224"/>
  <c r="Q8" i="224" s="1"/>
  <c r="T29" i="224" s="1"/>
  <c r="O14" i="224"/>
  <c r="Q14" i="224" s="1"/>
  <c r="T35" i="224" s="1"/>
  <c r="O11" i="224"/>
  <c r="Q11" i="224" s="1"/>
  <c r="T65" i="224" s="1"/>
  <c r="O9" i="224"/>
  <c r="Q9" i="224" s="1"/>
  <c r="T30" i="224" s="1"/>
  <c r="O21" i="225"/>
  <c r="O23" i="225" s="1"/>
  <c r="N16" i="225" s="1" a="1"/>
  <c r="Q16" i="225" s="1"/>
  <c r="O7" i="224"/>
  <c r="Q7" i="224" s="1"/>
  <c r="T28" i="224" s="1"/>
  <c r="F208" i="282"/>
  <c r="N201" i="282" s="1"/>
  <c r="F210" i="282"/>
  <c r="N205" i="282" s="1"/>
  <c r="G203" i="282"/>
  <c r="D213" i="282"/>
  <c r="D206" i="282"/>
  <c r="D208" i="282"/>
  <c r="N88" i="223"/>
  <c r="P87" i="223"/>
  <c r="D210" i="282"/>
  <c r="L205" i="282" s="1"/>
  <c r="D212" i="282"/>
  <c r="G205" i="282"/>
  <c r="F206" i="282"/>
  <c r="A40" i="224"/>
  <c r="C39" i="224"/>
  <c r="T31" i="224"/>
  <c r="E213" i="282"/>
  <c r="E208" i="282"/>
  <c r="M200" i="282" s="1"/>
  <c r="L202" i="282"/>
  <c r="F212" i="282"/>
  <c r="C209" i="282"/>
  <c r="G201" i="282"/>
  <c r="C213" i="282"/>
  <c r="C208" i="282"/>
  <c r="K201" i="282" s="1"/>
  <c r="C206" i="282"/>
  <c r="T36" i="224"/>
  <c r="T69" i="224"/>
  <c r="R39" i="99"/>
  <c r="C210" i="282"/>
  <c r="K204" i="282" s="1"/>
  <c r="G204" i="282"/>
  <c r="M205" i="282"/>
  <c r="M210" i="282" s="1"/>
  <c r="E206" i="282"/>
  <c r="N19" i="102"/>
  <c r="P18" i="102"/>
  <c r="N203" i="282"/>
  <c r="L138" i="275"/>
  <c r="L142" i="275" s="1"/>
  <c r="J138" i="275"/>
  <c r="J139" i="275"/>
  <c r="J145" i="275"/>
  <c r="M140" i="275"/>
  <c r="L148" i="275"/>
  <c r="S141" i="275" s="1"/>
  <c r="K138" i="275"/>
  <c r="K139" i="275"/>
  <c r="AC40" i="107"/>
  <c r="AE40" i="107" s="1"/>
  <c r="AP40" i="107" s="1"/>
  <c r="AE39" i="107"/>
  <c r="AP39" i="107" s="1"/>
  <c r="O53" i="223"/>
  <c r="O52" i="223"/>
  <c r="O51" i="223"/>
  <c r="P51" i="223" s="1"/>
  <c r="M22" i="223"/>
  <c r="M24" i="223" s="1"/>
  <c r="R39" i="223" s="1"/>
  <c r="M202" i="282" l="1"/>
  <c r="T66" i="224"/>
  <c r="T27" i="224"/>
  <c r="T68" i="224"/>
  <c r="T67" i="224"/>
  <c r="T70" i="224"/>
  <c r="T32" i="224"/>
  <c r="T62" i="224"/>
  <c r="T63" i="224"/>
  <c r="O17" i="225"/>
  <c r="P17" i="225"/>
  <c r="P18" i="225"/>
  <c r="Q18" i="225"/>
  <c r="O18" i="225"/>
  <c r="P16" i="225"/>
  <c r="N16" i="225"/>
  <c r="N18" i="225"/>
  <c r="Q19" i="225"/>
  <c r="N17" i="225"/>
  <c r="N19" i="225"/>
  <c r="P19" i="225"/>
  <c r="T61" i="224"/>
  <c r="G212" i="282"/>
  <c r="O16" i="225"/>
  <c r="O19" i="225"/>
  <c r="Q17" i="225"/>
  <c r="N200" i="282"/>
  <c r="N208" i="282" s="1"/>
  <c r="Q18" i="224"/>
  <c r="Q20" i="224" s="1"/>
  <c r="W68" i="224" s="1"/>
  <c r="L204" i="282"/>
  <c r="L210" i="282" s="1"/>
  <c r="M201" i="282"/>
  <c r="N20" i="102"/>
  <c r="P19" i="102"/>
  <c r="R40" i="99"/>
  <c r="G206" i="282"/>
  <c r="L201" i="282"/>
  <c r="L200" i="282"/>
  <c r="M209" i="282"/>
  <c r="K202" i="282"/>
  <c r="G209" i="282"/>
  <c r="G210" i="282"/>
  <c r="M212" i="282"/>
  <c r="U204" i="282" s="1"/>
  <c r="N213" i="282"/>
  <c r="V201" i="282" s="1"/>
  <c r="G208" i="282"/>
  <c r="K200" i="282"/>
  <c r="A41" i="224"/>
  <c r="C41" i="224" s="1"/>
  <c r="C40" i="224"/>
  <c r="N89" i="223"/>
  <c r="P88" i="223"/>
  <c r="G213" i="282"/>
  <c r="L209" i="282"/>
  <c r="N209" i="282"/>
  <c r="K205" i="282"/>
  <c r="K210" i="282" s="1"/>
  <c r="K203" i="282"/>
  <c r="N204" i="282"/>
  <c r="L144" i="275"/>
  <c r="L147" i="275"/>
  <c r="S140" i="275" s="1"/>
  <c r="S139" i="275"/>
  <c r="K147" i="275"/>
  <c r="R140" i="275" s="1"/>
  <c r="K142" i="275"/>
  <c r="K144" i="275"/>
  <c r="M139" i="275"/>
  <c r="J148" i="275"/>
  <c r="Q141" i="275" s="1"/>
  <c r="K148" i="275"/>
  <c r="R141" i="275" s="1"/>
  <c r="M138" i="275"/>
  <c r="J147" i="275"/>
  <c r="Q140" i="275" s="1"/>
  <c r="J142" i="275"/>
  <c r="J144" i="275"/>
  <c r="K16" i="224" a="1"/>
  <c r="K18" i="224" s="1"/>
  <c r="R35" i="223"/>
  <c r="R40" i="223"/>
  <c r="Q58" i="223"/>
  <c r="Q62" i="223"/>
  <c r="Q64" i="223"/>
  <c r="Q68" i="223"/>
  <c r="Q70" i="223"/>
  <c r="Q57" i="223"/>
  <c r="Q59" i="223"/>
  <c r="Q61" i="223"/>
  <c r="Q63" i="223"/>
  <c r="Q65" i="223"/>
  <c r="Q67" i="223"/>
  <c r="Q69" i="223"/>
  <c r="Q60" i="223"/>
  <c r="Q66" i="223"/>
  <c r="Q56" i="223"/>
  <c r="G23" i="223" a="1"/>
  <c r="H24" i="223" s="1"/>
  <c r="I12" i="223" s="1"/>
  <c r="R32" i="223"/>
  <c r="R37" i="223"/>
  <c r="R43" i="223"/>
  <c r="R44" i="223"/>
  <c r="R34" i="223"/>
  <c r="R41" i="223"/>
  <c r="R33" i="223"/>
  <c r="R36" i="223"/>
  <c r="R46" i="223"/>
  <c r="R38" i="223"/>
  <c r="P58" i="223"/>
  <c r="P60" i="223"/>
  <c r="P62" i="223"/>
  <c r="P64" i="223"/>
  <c r="P66" i="223"/>
  <c r="P68" i="223"/>
  <c r="P70" i="223"/>
  <c r="P57" i="223"/>
  <c r="P61" i="223"/>
  <c r="P65" i="223"/>
  <c r="P69" i="223"/>
  <c r="P56" i="223"/>
  <c r="P59" i="223"/>
  <c r="P63" i="223"/>
  <c r="P67" i="223"/>
  <c r="R45" i="223"/>
  <c r="R42" i="223"/>
  <c r="G24" i="223"/>
  <c r="M206" i="282" l="1"/>
  <c r="W36" i="224"/>
  <c r="Q4" i="225" a="1"/>
  <c r="Q4" i="225" s="1"/>
  <c r="W66" i="224"/>
  <c r="W34" i="224"/>
  <c r="W64" i="224"/>
  <c r="K16" i="224"/>
  <c r="M213" i="282"/>
  <c r="U203" i="282" s="1"/>
  <c r="G23" i="223"/>
  <c r="I11" i="223" s="1"/>
  <c r="O201" i="282"/>
  <c r="W32" i="224"/>
  <c r="W28" i="224"/>
  <c r="M208" i="282"/>
  <c r="M16" i="224"/>
  <c r="W31" i="224"/>
  <c r="W29" i="224"/>
  <c r="W27" i="224"/>
  <c r="W63" i="224"/>
  <c r="W62" i="224"/>
  <c r="W60" i="224"/>
  <c r="W69" i="224"/>
  <c r="M17" i="224"/>
  <c r="W30" i="224"/>
  <c r="W67" i="224"/>
  <c r="W61" i="224"/>
  <c r="W70" i="224"/>
  <c r="L16" i="224"/>
  <c r="W37" i="224"/>
  <c r="W35" i="224"/>
  <c r="W33" i="224"/>
  <c r="W65" i="224"/>
  <c r="K17" i="224"/>
  <c r="K213" i="282"/>
  <c r="S201" i="282" s="1"/>
  <c r="U32" i="223" a="1"/>
  <c r="U37" i="223" s="1"/>
  <c r="L17" i="224"/>
  <c r="L18" i="224"/>
  <c r="M18" i="224"/>
  <c r="U200" i="282"/>
  <c r="V203" i="282"/>
  <c r="N210" i="282"/>
  <c r="O210" i="282" s="1"/>
  <c r="O203" i="282"/>
  <c r="O205" i="282"/>
  <c r="K212" i="282"/>
  <c r="K208" i="282"/>
  <c r="K206" i="282"/>
  <c r="O200" i="282"/>
  <c r="O204" i="282"/>
  <c r="N212" i="282"/>
  <c r="L206" i="282"/>
  <c r="L208" i="282"/>
  <c r="L212" i="282"/>
  <c r="T200" i="282" s="1"/>
  <c r="N21" i="102"/>
  <c r="P20" i="102"/>
  <c r="U202" i="282"/>
  <c r="N90" i="223"/>
  <c r="P89" i="223"/>
  <c r="V205" i="282"/>
  <c r="N206" i="282"/>
  <c r="K209" i="282"/>
  <c r="O209" i="282" s="1"/>
  <c r="O202" i="282"/>
  <c r="L213" i="282"/>
  <c r="S148" i="275"/>
  <c r="S138" i="275"/>
  <c r="S144" i="275" s="1"/>
  <c r="S145" i="275"/>
  <c r="R138" i="275"/>
  <c r="Q138" i="275"/>
  <c r="M142" i="275"/>
  <c r="R139" i="275"/>
  <c r="T141" i="275"/>
  <c r="E154" i="275" s="1"/>
  <c r="T140" i="275"/>
  <c r="E153" i="275" s="1"/>
  <c r="Q145" i="275"/>
  <c r="Q139" i="275"/>
  <c r="R145" i="275"/>
  <c r="H23" i="223"/>
  <c r="U201" i="282" l="1"/>
  <c r="U208" i="282" s="1"/>
  <c r="Q5" i="225"/>
  <c r="Q7" i="225"/>
  <c r="Q6" i="225"/>
  <c r="Z60" i="224" a="1"/>
  <c r="Z65" i="224" s="1"/>
  <c r="Y27" i="224" a="1"/>
  <c r="Y33" i="224" s="1"/>
  <c r="U205" i="282"/>
  <c r="S203" i="282"/>
  <c r="V213" i="282"/>
  <c r="U38" i="223"/>
  <c r="S205" i="282"/>
  <c r="U33" i="223"/>
  <c r="M6" i="224" a="1"/>
  <c r="M6" i="224" s="1"/>
  <c r="U212" i="282"/>
  <c r="U44" i="223"/>
  <c r="U41" i="223"/>
  <c r="U36" i="223"/>
  <c r="U45" i="223"/>
  <c r="U46" i="223"/>
  <c r="U34" i="223"/>
  <c r="U42" i="223"/>
  <c r="U40" i="223"/>
  <c r="U35" i="223"/>
  <c r="U43" i="223"/>
  <c r="U39" i="223"/>
  <c r="U32" i="223"/>
  <c r="V200" i="282"/>
  <c r="V202" i="282"/>
  <c r="T203" i="282"/>
  <c r="T205" i="282"/>
  <c r="N91" i="223"/>
  <c r="P90" i="223"/>
  <c r="O212" i="282"/>
  <c r="S204" i="282"/>
  <c r="V204" i="282"/>
  <c r="T202" i="282"/>
  <c r="T204" i="282"/>
  <c r="O206" i="282"/>
  <c r="S200" i="282"/>
  <c r="T201" i="282"/>
  <c r="S202" i="282"/>
  <c r="N22" i="102"/>
  <c r="P21" i="102"/>
  <c r="O208" i="282"/>
  <c r="O213" i="282"/>
  <c r="U209" i="282"/>
  <c r="C154" i="275"/>
  <c r="D154" i="275"/>
  <c r="S142" i="275"/>
  <c r="C153" i="275"/>
  <c r="D153" i="275"/>
  <c r="S147" i="275"/>
  <c r="R147" i="275"/>
  <c r="R144" i="275"/>
  <c r="T138" i="275"/>
  <c r="D151" i="275" s="1"/>
  <c r="R148" i="275"/>
  <c r="Q147" i="275"/>
  <c r="Q144" i="275"/>
  <c r="Q142" i="275"/>
  <c r="R142" i="275"/>
  <c r="Q148" i="275"/>
  <c r="T139" i="275"/>
  <c r="E152" i="275" s="1"/>
  <c r="U206" i="282" l="1"/>
  <c r="Z62" i="224"/>
  <c r="Z69" i="224"/>
  <c r="Z64" i="224"/>
  <c r="Z66" i="224"/>
  <c r="U210" i="282"/>
  <c r="Z61" i="224"/>
  <c r="Z68" i="224"/>
  <c r="S213" i="282"/>
  <c r="Z70" i="224"/>
  <c r="Z63" i="224"/>
  <c r="Y27" i="224"/>
  <c r="Z67" i="224"/>
  <c r="Z60" i="224"/>
  <c r="Y31" i="224"/>
  <c r="U213" i="282"/>
  <c r="M7" i="224"/>
  <c r="W205" i="282"/>
  <c r="E221" i="282" s="1"/>
  <c r="Y34" i="224"/>
  <c r="Y32" i="224"/>
  <c r="Y28" i="224"/>
  <c r="Y37" i="224"/>
  <c r="Y36" i="224"/>
  <c r="Y30" i="224"/>
  <c r="Y35" i="224"/>
  <c r="Y29" i="224"/>
  <c r="T212" i="282"/>
  <c r="M8" i="224"/>
  <c r="O99" i="223"/>
  <c r="P99" i="223" s="1"/>
  <c r="P118" i="223" s="1"/>
  <c r="O100" i="223"/>
  <c r="O101" i="223"/>
  <c r="W204" i="282"/>
  <c r="E220" i="282" s="1"/>
  <c r="S210" i="282"/>
  <c r="V208" i="282"/>
  <c r="V212" i="282"/>
  <c r="V206" i="282"/>
  <c r="T210" i="282"/>
  <c r="S212" i="282"/>
  <c r="W202" i="282"/>
  <c r="E218" i="282" s="1"/>
  <c r="S209" i="282"/>
  <c r="T213" i="282"/>
  <c r="T209" i="282"/>
  <c r="T206" i="282"/>
  <c r="N92" i="223"/>
  <c r="P91" i="223"/>
  <c r="W201" i="282"/>
  <c r="W203" i="282"/>
  <c r="D219" i="282" s="1"/>
  <c r="N23" i="102"/>
  <c r="P22" i="102"/>
  <c r="S206" i="282"/>
  <c r="S208" i="282"/>
  <c r="W200" i="282"/>
  <c r="F216" i="282" s="1"/>
  <c r="V210" i="282"/>
  <c r="T208" i="282"/>
  <c r="V209" i="282"/>
  <c r="C152" i="275"/>
  <c r="C151" i="275"/>
  <c r="E151" i="275"/>
  <c r="D152" i="275"/>
  <c r="T142" i="275"/>
  <c r="D158" i="275"/>
  <c r="K153" i="275" s="1"/>
  <c r="F154" i="275"/>
  <c r="C158" i="275"/>
  <c r="J153" i="275" s="1"/>
  <c r="E158" i="275"/>
  <c r="R4" i="208"/>
  <c r="R5" i="208" s="1"/>
  <c r="O117" i="221"/>
  <c r="N117" i="221"/>
  <c r="N115" i="221"/>
  <c r="O115" i="221"/>
  <c r="P102" i="221"/>
  <c r="P101" i="221"/>
  <c r="P100" i="221"/>
  <c r="P99" i="221"/>
  <c r="O99" i="221"/>
  <c r="O100" i="221"/>
  <c r="O101" i="221"/>
  <c r="O102" i="221"/>
  <c r="N102" i="221"/>
  <c r="N100" i="221"/>
  <c r="N101" i="221"/>
  <c r="N99" i="221"/>
  <c r="J75" i="221"/>
  <c r="I75" i="221"/>
  <c r="J74" i="221"/>
  <c r="I74" i="221"/>
  <c r="J73" i="221"/>
  <c r="I73" i="221"/>
  <c r="J72" i="221"/>
  <c r="I72" i="221"/>
  <c r="J71" i="221"/>
  <c r="I71" i="221"/>
  <c r="J70" i="221"/>
  <c r="I70" i="221"/>
  <c r="J69" i="221"/>
  <c r="I69" i="221"/>
  <c r="J68" i="221"/>
  <c r="I68" i="221"/>
  <c r="J67" i="221"/>
  <c r="I67" i="221"/>
  <c r="J66" i="221"/>
  <c r="I66" i="221"/>
  <c r="J65" i="221"/>
  <c r="I65" i="221"/>
  <c r="J64" i="221"/>
  <c r="I64" i="221"/>
  <c r="J63" i="221"/>
  <c r="I63" i="221"/>
  <c r="J62" i="221"/>
  <c r="I62" i="221"/>
  <c r="J61" i="221"/>
  <c r="I61" i="221"/>
  <c r="J60" i="221"/>
  <c r="I60" i="221"/>
  <c r="J59" i="221"/>
  <c r="I59" i="221"/>
  <c r="J58" i="221"/>
  <c r="I58" i="221"/>
  <c r="J57" i="221"/>
  <c r="I57" i="221"/>
  <c r="J56" i="221"/>
  <c r="I56" i="221"/>
  <c r="J55" i="221"/>
  <c r="I55" i="221"/>
  <c r="J54" i="221"/>
  <c r="I54" i="221"/>
  <c r="J53" i="221"/>
  <c r="I53" i="221"/>
  <c r="J52" i="221"/>
  <c r="I52" i="221"/>
  <c r="J51" i="221"/>
  <c r="I51" i="221"/>
  <c r="J50" i="221"/>
  <c r="I50" i="221"/>
  <c r="J49" i="221"/>
  <c r="I49" i="221"/>
  <c r="H36" i="221"/>
  <c r="I36" i="221"/>
  <c r="G36" i="221"/>
  <c r="H35" i="221"/>
  <c r="I35" i="221"/>
  <c r="G35" i="221"/>
  <c r="I8" i="221"/>
  <c r="J8" i="221"/>
  <c r="D221" i="282" l="1"/>
  <c r="D218" i="282"/>
  <c r="D225" i="282" s="1"/>
  <c r="L219" i="282" s="1"/>
  <c r="W213" i="282"/>
  <c r="C221" i="282"/>
  <c r="F221" i="282"/>
  <c r="E226" i="282"/>
  <c r="M220" i="282" s="1"/>
  <c r="Q109" i="223"/>
  <c r="P109" i="223"/>
  <c r="P116" i="223"/>
  <c r="P117" i="223"/>
  <c r="P111" i="223"/>
  <c r="P106" i="223"/>
  <c r="P107" i="223"/>
  <c r="P110" i="223"/>
  <c r="P112" i="223"/>
  <c r="Q104" i="223"/>
  <c r="O105" i="221"/>
  <c r="N114" i="221" s="1"/>
  <c r="P105" i="221"/>
  <c r="R105" i="221" s="1"/>
  <c r="P105" i="223"/>
  <c r="P108" i="223"/>
  <c r="P113" i="223"/>
  <c r="P104" i="223"/>
  <c r="Q112" i="223"/>
  <c r="N105" i="221"/>
  <c r="O114" i="221" s="1"/>
  <c r="Q106" i="223"/>
  <c r="P114" i="223"/>
  <c r="P115" i="223"/>
  <c r="Q118" i="223"/>
  <c r="C216" i="282"/>
  <c r="Q105" i="223"/>
  <c r="Q110" i="223"/>
  <c r="Q117" i="223"/>
  <c r="Q114" i="223"/>
  <c r="Q108" i="223"/>
  <c r="Q107" i="223"/>
  <c r="Q113" i="223"/>
  <c r="Q115" i="223"/>
  <c r="F218" i="282"/>
  <c r="Q111" i="223"/>
  <c r="Q116" i="223"/>
  <c r="F220" i="282"/>
  <c r="C218" i="282"/>
  <c r="G218" i="282" s="1"/>
  <c r="W212" i="282"/>
  <c r="H37" i="221"/>
  <c r="P115" i="221"/>
  <c r="W208" i="282"/>
  <c r="N24" i="102"/>
  <c r="P23" i="102"/>
  <c r="N93" i="223"/>
  <c r="P92" i="223"/>
  <c r="D220" i="282"/>
  <c r="E217" i="282"/>
  <c r="F217" i="282"/>
  <c r="F224" i="282" s="1"/>
  <c r="C217" i="282"/>
  <c r="D217" i="282"/>
  <c r="W206" i="282"/>
  <c r="E216" i="282"/>
  <c r="D216" i="282"/>
  <c r="W209" i="282"/>
  <c r="C220" i="282"/>
  <c r="E219" i="282"/>
  <c r="E225" i="282" s="1"/>
  <c r="F219" i="282"/>
  <c r="C219" i="282"/>
  <c r="W210" i="282"/>
  <c r="K154" i="275"/>
  <c r="K158" i="275" s="1"/>
  <c r="E160" i="275"/>
  <c r="D160" i="275"/>
  <c r="F153" i="275"/>
  <c r="J154" i="275"/>
  <c r="C161" i="275"/>
  <c r="F151" i="275"/>
  <c r="C160" i="275"/>
  <c r="C157" i="275"/>
  <c r="J152" i="275" s="1"/>
  <c r="C155" i="275"/>
  <c r="L153" i="275"/>
  <c r="M153" i="275" s="1"/>
  <c r="L154" i="275"/>
  <c r="N103" i="221"/>
  <c r="O112" i="221" s="1"/>
  <c r="N104" i="221"/>
  <c r="O113" i="221" s="1"/>
  <c r="O103" i="221"/>
  <c r="N112" i="221" s="1"/>
  <c r="O104" i="221"/>
  <c r="N113" i="221" s="1"/>
  <c r="P103" i="221"/>
  <c r="R103" i="221" s="1"/>
  <c r="P104" i="221"/>
  <c r="R104" i="221" s="1"/>
  <c r="I37" i="221"/>
  <c r="J36" i="221"/>
  <c r="J35" i="221"/>
  <c r="G37" i="221"/>
  <c r="G221" i="282" l="1"/>
  <c r="P114" i="221"/>
  <c r="M221" i="282"/>
  <c r="M226" i="282" s="1"/>
  <c r="F228" i="282"/>
  <c r="F226" i="282"/>
  <c r="N220" i="282" s="1"/>
  <c r="F222" i="282"/>
  <c r="L218" i="282"/>
  <c r="L225" i="282" s="1"/>
  <c r="C225" i="282"/>
  <c r="K218" i="282" s="1"/>
  <c r="C222" i="282"/>
  <c r="M219" i="282"/>
  <c r="M218" i="282"/>
  <c r="N217" i="282"/>
  <c r="N216" i="282"/>
  <c r="C226" i="282"/>
  <c r="G220" i="282"/>
  <c r="D229" i="282"/>
  <c r="N94" i="223"/>
  <c r="P94" i="223" s="1"/>
  <c r="P93" i="223"/>
  <c r="C224" i="282"/>
  <c r="F229" i="282"/>
  <c r="E224" i="282"/>
  <c r="M216" i="282" s="1"/>
  <c r="E228" i="282"/>
  <c r="C228" i="282"/>
  <c r="G217" i="282"/>
  <c r="C229" i="282"/>
  <c r="Q114" i="221"/>
  <c r="R114" i="221" s="1"/>
  <c r="G219" i="282"/>
  <c r="F225" i="282"/>
  <c r="N218" i="282" s="1"/>
  <c r="D228" i="282"/>
  <c r="D224" i="282"/>
  <c r="L216" i="282" s="1"/>
  <c r="D222" i="282"/>
  <c r="D226" i="282"/>
  <c r="L221" i="282" s="1"/>
  <c r="E229" i="282"/>
  <c r="E222" i="282"/>
  <c r="N25" i="102"/>
  <c r="P24" i="102"/>
  <c r="G216" i="282"/>
  <c r="L158" i="275"/>
  <c r="J151" i="275"/>
  <c r="J160" i="275" s="1"/>
  <c r="Q153" i="275" s="1"/>
  <c r="J161" i="275"/>
  <c r="Q154" i="275" s="1"/>
  <c r="D161" i="275"/>
  <c r="J158" i="275"/>
  <c r="M154" i="275"/>
  <c r="D155" i="275"/>
  <c r="F152" i="275"/>
  <c r="F155" i="275" s="1"/>
  <c r="D157" i="275"/>
  <c r="K151" i="275" s="1"/>
  <c r="E161" i="275"/>
  <c r="E155" i="275"/>
  <c r="E157" i="275"/>
  <c r="P112" i="221"/>
  <c r="Q112" i="221" s="1"/>
  <c r="R112" i="221" s="1"/>
  <c r="N119" i="221"/>
  <c r="P113" i="221"/>
  <c r="Q113" i="221" s="1"/>
  <c r="R113" i="221" s="1"/>
  <c r="J37" i="221"/>
  <c r="G42" i="221" s="1"/>
  <c r="J157" i="275" l="1"/>
  <c r="N221" i="282"/>
  <c r="N226" i="282" s="1"/>
  <c r="K219" i="282"/>
  <c r="M217" i="282"/>
  <c r="M222" i="282" s="1"/>
  <c r="G45" i="221"/>
  <c r="G229" i="282"/>
  <c r="L220" i="282"/>
  <c r="L228" i="282" s="1"/>
  <c r="T218" i="282" s="1"/>
  <c r="G222" i="282"/>
  <c r="G46" i="221"/>
  <c r="G43" i="221"/>
  <c r="N219" i="282"/>
  <c r="G224" i="282"/>
  <c r="K216" i="282"/>
  <c r="O218" i="282"/>
  <c r="M225" i="282"/>
  <c r="L217" i="282"/>
  <c r="G226" i="282"/>
  <c r="K221" i="282"/>
  <c r="G228" i="282"/>
  <c r="N224" i="282"/>
  <c r="N228" i="282"/>
  <c r="V218" i="282" s="1"/>
  <c r="N26" i="102"/>
  <c r="P25" i="102"/>
  <c r="K217" i="282"/>
  <c r="M228" i="282"/>
  <c r="U220" i="282" s="1"/>
  <c r="G225" i="282"/>
  <c r="K220" i="282"/>
  <c r="J155" i="275"/>
  <c r="Q152" i="275"/>
  <c r="Q161" i="275" s="1"/>
  <c r="Q151" i="275"/>
  <c r="Q160" i="275" s="1"/>
  <c r="L152" i="275"/>
  <c r="L151" i="275"/>
  <c r="K160" i="275"/>
  <c r="R153" i="275" s="1"/>
  <c r="Q158" i="275"/>
  <c r="J8" i="275"/>
  <c r="J59" i="276" s="1"/>
  <c r="K152" i="275"/>
  <c r="J9" i="275"/>
  <c r="G41" i="221"/>
  <c r="G44" i="221"/>
  <c r="N222" i="282" l="1"/>
  <c r="O219" i="282"/>
  <c r="M224" i="282"/>
  <c r="N225" i="282"/>
  <c r="M229" i="282"/>
  <c r="U221" i="282" s="1"/>
  <c r="U226" i="282" s="1"/>
  <c r="L222" i="282"/>
  <c r="K225" i="282"/>
  <c r="N229" i="282"/>
  <c r="V219" i="282" s="1"/>
  <c r="L226" i="282"/>
  <c r="U218" i="282"/>
  <c r="U216" i="282"/>
  <c r="O220" i="282"/>
  <c r="K226" i="282"/>
  <c r="N27" i="102"/>
  <c r="P26" i="102"/>
  <c r="L229" i="282"/>
  <c r="L224" i="282"/>
  <c r="K228" i="282"/>
  <c r="S216" i="282" s="1"/>
  <c r="K224" i="282"/>
  <c r="K222" i="282"/>
  <c r="O216" i="282"/>
  <c r="K229" i="282"/>
  <c r="S217" i="282" s="1"/>
  <c r="O217" i="282"/>
  <c r="O221" i="282"/>
  <c r="V216" i="282"/>
  <c r="V220" i="282"/>
  <c r="T220" i="282"/>
  <c r="T216" i="282"/>
  <c r="J6" i="275"/>
  <c r="J57" i="276" s="1"/>
  <c r="W331" i="273"/>
  <c r="M338" i="273" s="1"/>
  <c r="O338" i="273" s="1"/>
  <c r="R338" i="273" s="1"/>
  <c r="J60" i="276"/>
  <c r="J7" i="275"/>
  <c r="W329" i="273" s="1"/>
  <c r="M332" i="273" s="1"/>
  <c r="Q157" i="275"/>
  <c r="Q155" i="275"/>
  <c r="R151" i="275"/>
  <c r="K6" i="275" s="1"/>
  <c r="K57" i="276" s="1"/>
  <c r="L161" i="275"/>
  <c r="S154" i="275" s="1"/>
  <c r="L9" i="275" s="1"/>
  <c r="W328" i="273"/>
  <c r="M329" i="273" s="1"/>
  <c r="W330" i="273"/>
  <c r="M335" i="273" s="1"/>
  <c r="J13" i="275"/>
  <c r="K8" i="275"/>
  <c r="K59" i="276" s="1"/>
  <c r="L157" i="275"/>
  <c r="L155" i="275"/>
  <c r="L160" i="275"/>
  <c r="S153" i="275" s="1"/>
  <c r="M151" i="275"/>
  <c r="K161" i="275"/>
  <c r="M152" i="275"/>
  <c r="K155" i="275"/>
  <c r="K157" i="275"/>
  <c r="W35" i="221"/>
  <c r="W34" i="221"/>
  <c r="J30" i="221"/>
  <c r="I30" i="221"/>
  <c r="J29" i="221"/>
  <c r="I29" i="221"/>
  <c r="J28" i="221"/>
  <c r="I28" i="221"/>
  <c r="J27" i="221"/>
  <c r="I27" i="221"/>
  <c r="J26" i="221"/>
  <c r="I26" i="221"/>
  <c r="J25" i="221"/>
  <c r="I25" i="221"/>
  <c r="J24" i="221"/>
  <c r="I24" i="221"/>
  <c r="J23" i="221"/>
  <c r="I23" i="221"/>
  <c r="J22" i="221"/>
  <c r="I22" i="221"/>
  <c r="J21" i="221"/>
  <c r="I21" i="221"/>
  <c r="J20" i="221"/>
  <c r="I20" i="221"/>
  <c r="J19" i="221"/>
  <c r="I19" i="221"/>
  <c r="J18" i="221"/>
  <c r="I18" i="221"/>
  <c r="J17" i="221"/>
  <c r="I17" i="221"/>
  <c r="J16" i="221"/>
  <c r="I16" i="221"/>
  <c r="J15" i="221"/>
  <c r="I15" i="221"/>
  <c r="J14" i="221"/>
  <c r="I14" i="221"/>
  <c r="J13" i="221"/>
  <c r="I13" i="221"/>
  <c r="J12" i="221"/>
  <c r="I12" i="221"/>
  <c r="J11" i="221"/>
  <c r="I11" i="221"/>
  <c r="J10" i="221"/>
  <c r="I10" i="221"/>
  <c r="J9" i="221"/>
  <c r="I9" i="221"/>
  <c r="J7" i="221"/>
  <c r="I7" i="221"/>
  <c r="J6" i="221"/>
  <c r="I6" i="221"/>
  <c r="J5" i="221"/>
  <c r="I5" i="221"/>
  <c r="J4" i="221"/>
  <c r="I4" i="221"/>
  <c r="V217" i="282" l="1"/>
  <c r="O225" i="282"/>
  <c r="V221" i="282"/>
  <c r="O226" i="282"/>
  <c r="U217" i="282"/>
  <c r="U224" i="282" s="1"/>
  <c r="U219" i="282"/>
  <c r="U228" i="282"/>
  <c r="S221" i="282"/>
  <c r="W216" i="282"/>
  <c r="F232" i="282" s="1"/>
  <c r="S224" i="282"/>
  <c r="T219" i="282"/>
  <c r="T221" i="282"/>
  <c r="T226" i="282" s="1"/>
  <c r="V224" i="282"/>
  <c r="V228" i="282"/>
  <c r="O222" i="282"/>
  <c r="O228" i="282"/>
  <c r="S218" i="282"/>
  <c r="S220" i="282"/>
  <c r="V226" i="282"/>
  <c r="T228" i="282"/>
  <c r="O229" i="282"/>
  <c r="S219" i="282"/>
  <c r="O224" i="282"/>
  <c r="T217" i="282"/>
  <c r="N28" i="102"/>
  <c r="P27" i="102"/>
  <c r="V225" i="282"/>
  <c r="P338" i="273"/>
  <c r="Q338" i="273" s="1"/>
  <c r="N338" i="273"/>
  <c r="J15" i="275"/>
  <c r="Y331" i="273"/>
  <c r="M340" i="273" s="1"/>
  <c r="N340" i="273" s="1"/>
  <c r="L60" i="276"/>
  <c r="J12" i="275"/>
  <c r="J58" i="276"/>
  <c r="J10" i="275"/>
  <c r="J16" i="275"/>
  <c r="R160" i="275"/>
  <c r="M155" i="275"/>
  <c r="S151" i="275"/>
  <c r="T151" i="275" s="1"/>
  <c r="S152" i="275"/>
  <c r="L7" i="275" s="1"/>
  <c r="L58" i="276" s="1"/>
  <c r="R152" i="275"/>
  <c r="R154" i="275"/>
  <c r="N329" i="273"/>
  <c r="O329" i="273"/>
  <c r="R329" i="273" s="1"/>
  <c r="P329" i="273"/>
  <c r="Q329" i="273" s="1"/>
  <c r="X330" i="273"/>
  <c r="M336" i="273" s="1"/>
  <c r="N335" i="273"/>
  <c r="O335" i="273"/>
  <c r="R335" i="273" s="1"/>
  <c r="P335" i="273"/>
  <c r="Q335" i="273" s="1"/>
  <c r="S158" i="275"/>
  <c r="L8" i="275"/>
  <c r="L59" i="276" s="1"/>
  <c r="T153" i="275"/>
  <c r="P332" i="273"/>
  <c r="Q332" i="273" s="1"/>
  <c r="N332" i="273"/>
  <c r="O332" i="273"/>
  <c r="R332" i="273" s="1"/>
  <c r="K15" i="275"/>
  <c r="X328" i="273"/>
  <c r="M330" i="273" s="1"/>
  <c r="O38" i="219"/>
  <c r="W26" i="219"/>
  <c r="O37" i="219"/>
  <c r="K39" i="219"/>
  <c r="K40" i="219"/>
  <c r="K41" i="219"/>
  <c r="K42" i="219"/>
  <c r="K43" i="219"/>
  <c r="K38" i="219"/>
  <c r="G45" i="219" s="1"/>
  <c r="J43" i="219"/>
  <c r="I43" i="219"/>
  <c r="J42" i="219"/>
  <c r="I42" i="219"/>
  <c r="J41" i="219"/>
  <c r="I41" i="219"/>
  <c r="J40" i="219"/>
  <c r="I40" i="219"/>
  <c r="J39" i="219"/>
  <c r="I39" i="219"/>
  <c r="J38" i="219"/>
  <c r="I38" i="219"/>
  <c r="V222" i="282" l="1"/>
  <c r="V229" i="282"/>
  <c r="W217" i="282"/>
  <c r="C233" i="282" s="1"/>
  <c r="U229" i="282"/>
  <c r="U225" i="282"/>
  <c r="G48" i="219"/>
  <c r="U222" i="282"/>
  <c r="S222" i="282"/>
  <c r="T222" i="282"/>
  <c r="G46" i="219"/>
  <c r="N29" i="102"/>
  <c r="P28" i="102"/>
  <c r="G47" i="219"/>
  <c r="T229" i="282"/>
  <c r="T224" i="282"/>
  <c r="W224" i="282" s="1"/>
  <c r="S226" i="282"/>
  <c r="W226" i="282" s="1"/>
  <c r="W220" i="282"/>
  <c r="C236" i="282" s="1"/>
  <c r="S228" i="282"/>
  <c r="W228" i="282" s="1"/>
  <c r="W219" i="282"/>
  <c r="D235" i="282" s="1"/>
  <c r="T225" i="282"/>
  <c r="E232" i="282"/>
  <c r="S229" i="282"/>
  <c r="C232" i="282"/>
  <c r="D232" i="282"/>
  <c r="W218" i="282"/>
  <c r="C234" i="282" s="1"/>
  <c r="S225" i="282"/>
  <c r="W221" i="282"/>
  <c r="D237" i="282" s="1"/>
  <c r="P340" i="273"/>
  <c r="Q340" i="273" s="1"/>
  <c r="O340" i="273"/>
  <c r="R340" i="273" s="1"/>
  <c r="S160" i="275"/>
  <c r="L6" i="275"/>
  <c r="S157" i="275"/>
  <c r="S161" i="275"/>
  <c r="S155" i="275"/>
  <c r="N330" i="273"/>
  <c r="O330" i="273"/>
  <c r="R330" i="273" s="1"/>
  <c r="P330" i="273"/>
  <c r="Q330" i="273" s="1"/>
  <c r="O336" i="273"/>
  <c r="R336" i="273" s="1"/>
  <c r="N336" i="273"/>
  <c r="P336" i="273"/>
  <c r="Q336" i="273" s="1"/>
  <c r="W8" i="275"/>
  <c r="Y330" i="273"/>
  <c r="M337" i="273" s="1"/>
  <c r="L13" i="275"/>
  <c r="M8" i="275"/>
  <c r="L16" i="275"/>
  <c r="Y329" i="273"/>
  <c r="M334" i="273" s="1"/>
  <c r="R161" i="275"/>
  <c r="K9" i="275"/>
  <c r="K60" i="276" s="1"/>
  <c r="T154" i="275"/>
  <c r="R158" i="275"/>
  <c r="K7" i="275"/>
  <c r="K58" i="276" s="1"/>
  <c r="T152" i="275"/>
  <c r="R155" i="275"/>
  <c r="R157" i="275"/>
  <c r="Q47" i="220"/>
  <c r="R47" i="220" s="1"/>
  <c r="Q46" i="220"/>
  <c r="R46" i="220" s="1"/>
  <c r="Q45" i="220"/>
  <c r="R45" i="220" s="1"/>
  <c r="P47" i="220"/>
  <c r="S47" i="220" s="1"/>
  <c r="P46" i="220"/>
  <c r="S46" i="220" s="1"/>
  <c r="P45" i="220"/>
  <c r="S45" i="220" s="1"/>
  <c r="P51" i="220"/>
  <c r="Q36" i="220"/>
  <c r="R36" i="220" s="1"/>
  <c r="Q35" i="220"/>
  <c r="R35" i="220" s="1"/>
  <c r="Q34" i="220"/>
  <c r="R34" i="220" s="1"/>
  <c r="P36" i="220"/>
  <c r="S36" i="220" s="1"/>
  <c r="P35" i="220"/>
  <c r="S35" i="220" s="1"/>
  <c r="P34" i="220"/>
  <c r="S34" i="220" s="1"/>
  <c r="P40" i="220"/>
  <c r="Q25" i="220"/>
  <c r="R25" i="220" s="1"/>
  <c r="Q24" i="220"/>
  <c r="R24" i="220" s="1"/>
  <c r="Q23" i="220"/>
  <c r="R23" i="220" s="1"/>
  <c r="P25" i="220"/>
  <c r="S25" i="220" s="1"/>
  <c r="P24" i="220"/>
  <c r="S24" i="220" s="1"/>
  <c r="P23" i="220"/>
  <c r="S23" i="220" s="1"/>
  <c r="P29" i="220"/>
  <c r="P18" i="220"/>
  <c r="Q14" i="220"/>
  <c r="R14" i="220" s="1"/>
  <c r="Q13" i="220"/>
  <c r="R13" i="220" s="1"/>
  <c r="Q12" i="220"/>
  <c r="R12" i="220" s="1"/>
  <c r="P14" i="220"/>
  <c r="S14" i="220" s="1"/>
  <c r="P13" i="220"/>
  <c r="S13" i="220" s="1"/>
  <c r="P12" i="220"/>
  <c r="S12" i="220" s="1"/>
  <c r="P4" i="220"/>
  <c r="Q4" i="220"/>
  <c r="P5" i="220"/>
  <c r="Q5" i="220"/>
  <c r="P6" i="220"/>
  <c r="Q6" i="220"/>
  <c r="O6" i="220"/>
  <c r="O5" i="220"/>
  <c r="J33" i="219"/>
  <c r="I33" i="219"/>
  <c r="J32" i="219"/>
  <c r="I32" i="219"/>
  <c r="J31" i="219"/>
  <c r="I31" i="219"/>
  <c r="J30" i="219"/>
  <c r="I30" i="219"/>
  <c r="J29" i="219"/>
  <c r="I29" i="219"/>
  <c r="J28" i="219"/>
  <c r="I28" i="219"/>
  <c r="J27" i="219"/>
  <c r="I27" i="219"/>
  <c r="J26" i="219"/>
  <c r="I26" i="219"/>
  <c r="J25" i="219"/>
  <c r="I25" i="219"/>
  <c r="J24" i="219"/>
  <c r="I24" i="219"/>
  <c r="J23" i="219"/>
  <c r="I23" i="219"/>
  <c r="J22" i="219"/>
  <c r="I22" i="219"/>
  <c r="J21" i="219"/>
  <c r="I21" i="219"/>
  <c r="J20" i="219"/>
  <c r="I20" i="219"/>
  <c r="J19" i="219"/>
  <c r="I19" i="219"/>
  <c r="J18" i="219"/>
  <c r="I18" i="219"/>
  <c r="J17" i="219"/>
  <c r="I17" i="219"/>
  <c r="J16" i="219"/>
  <c r="I16" i="219"/>
  <c r="J15" i="219"/>
  <c r="I15" i="219"/>
  <c r="J14" i="219"/>
  <c r="I14" i="219"/>
  <c r="J13" i="219"/>
  <c r="I13" i="219"/>
  <c r="J12" i="219"/>
  <c r="I12" i="219"/>
  <c r="J11" i="219"/>
  <c r="I11" i="219"/>
  <c r="J10" i="219"/>
  <c r="I10" i="219"/>
  <c r="J9" i="219"/>
  <c r="I9" i="219"/>
  <c r="J8" i="219"/>
  <c r="I8" i="219"/>
  <c r="J7" i="219"/>
  <c r="I7" i="219"/>
  <c r="J6" i="219"/>
  <c r="I6" i="219"/>
  <c r="J5" i="219"/>
  <c r="I5" i="219"/>
  <c r="J4" i="219"/>
  <c r="I4" i="219"/>
  <c r="G49" i="219" l="1"/>
  <c r="R4" i="220"/>
  <c r="D233" i="282"/>
  <c r="D245" i="282" s="1"/>
  <c r="E233" i="282"/>
  <c r="E240" i="282" s="1"/>
  <c r="M232" i="282" s="1"/>
  <c r="F233" i="282"/>
  <c r="F240" i="282" s="1"/>
  <c r="N232" i="282" s="1"/>
  <c r="G50" i="219"/>
  <c r="W225" i="282"/>
  <c r="C235" i="282"/>
  <c r="C241" i="282" s="1"/>
  <c r="N30" i="102"/>
  <c r="P29" i="102"/>
  <c r="E235" i="282"/>
  <c r="F235" i="282"/>
  <c r="E236" i="282"/>
  <c r="D236" i="282"/>
  <c r="F236" i="282"/>
  <c r="C240" i="282"/>
  <c r="K233" i="282" s="1"/>
  <c r="C244" i="282"/>
  <c r="G232" i="282"/>
  <c r="D234" i="282"/>
  <c r="F234" i="282"/>
  <c r="E234" i="282"/>
  <c r="E237" i="282"/>
  <c r="C237" i="282"/>
  <c r="C242" i="282" s="1"/>
  <c r="K236" i="282" s="1"/>
  <c r="F237" i="282"/>
  <c r="W222" i="282"/>
  <c r="W229" i="282"/>
  <c r="L12" i="275"/>
  <c r="L57" i="276"/>
  <c r="M6" i="275"/>
  <c r="L10" i="275"/>
  <c r="Y328" i="273"/>
  <c r="M331" i="273" s="1"/>
  <c r="N331" i="273" s="1"/>
  <c r="V8" i="275"/>
  <c r="L15" i="275"/>
  <c r="M15" i="275" s="1"/>
  <c r="X329" i="273"/>
  <c r="M333" i="273" s="1"/>
  <c r="K16" i="275"/>
  <c r="M16" i="275" s="1"/>
  <c r="V6" i="275"/>
  <c r="M7" i="275"/>
  <c r="K10" i="275"/>
  <c r="V7" i="275"/>
  <c r="K12" i="275"/>
  <c r="O337" i="273"/>
  <c r="R337" i="273" s="1"/>
  <c r="P337" i="273"/>
  <c r="Q337" i="273" s="1"/>
  <c r="N337" i="273"/>
  <c r="T155" i="275"/>
  <c r="M9" i="275"/>
  <c r="X331" i="273"/>
  <c r="M339" i="273" s="1"/>
  <c r="W6" i="275"/>
  <c r="K13" i="275"/>
  <c r="M13" i="275" s="1"/>
  <c r="W7" i="275"/>
  <c r="O334" i="273"/>
  <c r="R334" i="273" s="1"/>
  <c r="P334" i="273"/>
  <c r="Q334" i="273" s="1"/>
  <c r="N334" i="273"/>
  <c r="R5" i="220"/>
  <c r="R48" i="220"/>
  <c r="N51" i="220" s="1"/>
  <c r="S48" i="220"/>
  <c r="R37" i="220"/>
  <c r="N40" i="220" s="1"/>
  <c r="S37" i="220"/>
  <c r="S26" i="220"/>
  <c r="R26" i="220"/>
  <c r="N29" i="220" s="1"/>
  <c r="R15" i="220"/>
  <c r="N18" i="220" s="1"/>
  <c r="S15" i="220"/>
  <c r="Q7" i="220"/>
  <c r="O7" i="220"/>
  <c r="R6" i="220"/>
  <c r="P7" i="220"/>
  <c r="D240" i="282" l="1"/>
  <c r="L232" i="282" s="1"/>
  <c r="G233" i="282"/>
  <c r="N233" i="282"/>
  <c r="N240" i="282" s="1"/>
  <c r="C238" i="282"/>
  <c r="E245" i="282"/>
  <c r="D244" i="282"/>
  <c r="C245" i="282"/>
  <c r="E244" i="282"/>
  <c r="E241" i="282"/>
  <c r="M235" i="282" s="1"/>
  <c r="K234" i="282"/>
  <c r="F241" i="282"/>
  <c r="N235" i="282" s="1"/>
  <c r="F244" i="282"/>
  <c r="F238" i="282"/>
  <c r="K232" i="282"/>
  <c r="F245" i="282"/>
  <c r="D242" i="282"/>
  <c r="G234" i="282"/>
  <c r="G235" i="282"/>
  <c r="D238" i="282"/>
  <c r="G237" i="282"/>
  <c r="K237" i="282"/>
  <c r="D241" i="282"/>
  <c r="L235" i="282" s="1"/>
  <c r="M233" i="282"/>
  <c r="E238" i="282"/>
  <c r="G236" i="282"/>
  <c r="F242" i="282"/>
  <c r="N237" i="282" s="1"/>
  <c r="N31" i="102"/>
  <c r="P30" i="102"/>
  <c r="O40" i="220"/>
  <c r="Q40" i="220" s="1"/>
  <c r="R40" i="220" s="1"/>
  <c r="K235" i="282"/>
  <c r="E242" i="282"/>
  <c r="M236" i="282" s="1"/>
  <c r="M12" i="275"/>
  <c r="M10" i="275"/>
  <c r="O331" i="273"/>
  <c r="R331" i="273" s="1"/>
  <c r="P331" i="273"/>
  <c r="Q331" i="273" s="1"/>
  <c r="O339" i="273"/>
  <c r="R339" i="273" s="1"/>
  <c r="P339" i="273"/>
  <c r="Q339" i="273" s="1"/>
  <c r="N339" i="273"/>
  <c r="O333" i="273"/>
  <c r="R333" i="273" s="1"/>
  <c r="N333" i="273"/>
  <c r="P333" i="273"/>
  <c r="Q333" i="273" s="1"/>
  <c r="O51" i="220"/>
  <c r="Q51" i="220" s="1"/>
  <c r="R51" i="220" s="1"/>
  <c r="O29" i="220"/>
  <c r="Q29" i="220" s="1"/>
  <c r="R29" i="220" s="1"/>
  <c r="O18" i="220"/>
  <c r="Q18" i="220" s="1"/>
  <c r="R18" i="220" s="1"/>
  <c r="Q9" i="218"/>
  <c r="Q5" i="218"/>
  <c r="V4" i="218"/>
  <c r="U4" i="218"/>
  <c r="AA7" i="218" s="1"/>
  <c r="AA22" i="218" s="1"/>
  <c r="T4" i="218"/>
  <c r="AA6" i="218" s="1"/>
  <c r="AA21" i="218" s="1"/>
  <c r="L233" i="282" l="1"/>
  <c r="O233" i="282" s="1"/>
  <c r="G240" i="282"/>
  <c r="M237" i="282"/>
  <c r="M245" i="282" s="1"/>
  <c r="U235" i="282" s="1"/>
  <c r="G245" i="282"/>
  <c r="G238" i="282"/>
  <c r="G241" i="282"/>
  <c r="N236" i="282"/>
  <c r="N242" i="282" s="1"/>
  <c r="N234" i="282"/>
  <c r="N241" i="282" s="1"/>
  <c r="M234" i="282"/>
  <c r="M244" i="282" s="1"/>
  <c r="G244" i="282"/>
  <c r="O235" i="282"/>
  <c r="M240" i="282"/>
  <c r="G242" i="282"/>
  <c r="L237" i="282"/>
  <c r="K241" i="282"/>
  <c r="N245" i="282"/>
  <c r="L234" i="282"/>
  <c r="K242" i="282"/>
  <c r="K244" i="282"/>
  <c r="K240" i="282"/>
  <c r="K238" i="282"/>
  <c r="O232" i="282"/>
  <c r="N32" i="102"/>
  <c r="P31" i="102"/>
  <c r="L236" i="282"/>
  <c r="K245" i="282"/>
  <c r="S237" i="282" s="1"/>
  <c r="R341" i="273"/>
  <c r="U328" i="273" s="1"/>
  <c r="U331" i="273" s="1"/>
  <c r="Z5" i="218"/>
  <c r="Z30" i="218" s="1"/>
  <c r="Q11" i="218"/>
  <c r="U15" i="218" s="1"/>
  <c r="Q7" i="218"/>
  <c r="U14" i="218" s="1"/>
  <c r="Q8" i="218"/>
  <c r="T10" i="218" s="1"/>
  <c r="Q10" i="218"/>
  <c r="Q6" i="218"/>
  <c r="T20" i="218"/>
  <c r="S4" i="218"/>
  <c r="Y15" i="218" s="1"/>
  <c r="Q4" i="218"/>
  <c r="AA8" i="218"/>
  <c r="AA23" i="218" s="1"/>
  <c r="AA13" i="218"/>
  <c r="AA15" i="218"/>
  <c r="AA11" i="218"/>
  <c r="AA9" i="218"/>
  <c r="AA10" i="218" s="1"/>
  <c r="AA24" i="218" s="1"/>
  <c r="L240" i="282" l="1"/>
  <c r="O240" i="282" s="1"/>
  <c r="M242" i="282"/>
  <c r="M241" i="282"/>
  <c r="M238" i="282"/>
  <c r="O234" i="282"/>
  <c r="U237" i="282"/>
  <c r="S235" i="282"/>
  <c r="AA12" i="218"/>
  <c r="AA25" i="218" s="1"/>
  <c r="N238" i="282"/>
  <c r="U233" i="282"/>
  <c r="U245" i="282" s="1"/>
  <c r="N244" i="282"/>
  <c r="V232" i="282" s="1"/>
  <c r="L242" i="282"/>
  <c r="O236" i="282"/>
  <c r="S236" i="282"/>
  <c r="S234" i="282"/>
  <c r="O237" i="282"/>
  <c r="S232" i="282"/>
  <c r="U236" i="282"/>
  <c r="U242" i="282" s="1"/>
  <c r="U232" i="282"/>
  <c r="V235" i="282"/>
  <c r="V233" i="282"/>
  <c r="S233" i="282"/>
  <c r="N33" i="102"/>
  <c r="P32" i="102"/>
  <c r="U234" i="282"/>
  <c r="L245" i="282"/>
  <c r="T237" i="282" s="1"/>
  <c r="L238" i="282"/>
  <c r="L241" i="282"/>
  <c r="L244" i="282"/>
  <c r="V237" i="282"/>
  <c r="B106" i="273"/>
  <c r="U333" i="273"/>
  <c r="E106" i="273" s="1"/>
  <c r="D106" i="273"/>
  <c r="U19" i="218"/>
  <c r="Y7" i="218"/>
  <c r="Y8" i="218"/>
  <c r="AA5" i="218"/>
  <c r="AB5" i="218" s="1"/>
  <c r="T19" i="218"/>
  <c r="T21" i="218" s="1"/>
  <c r="Y6" i="218"/>
  <c r="Y9" i="218"/>
  <c r="U16" i="218"/>
  <c r="Z15" i="218"/>
  <c r="AB15" i="218" s="1"/>
  <c r="T14" i="218"/>
  <c r="V14" i="218" s="1"/>
  <c r="T9" i="218"/>
  <c r="T11" i="218" s="1"/>
  <c r="U9" i="218"/>
  <c r="T15" i="218"/>
  <c r="V15" i="218" s="1"/>
  <c r="Y11" i="218"/>
  <c r="Y13" i="218"/>
  <c r="U20" i="218"/>
  <c r="V20" i="218" s="1"/>
  <c r="U10" i="218"/>
  <c r="V10" i="218" s="1"/>
  <c r="AA14" i="218"/>
  <c r="AA26" i="218" s="1"/>
  <c r="O242" i="282" l="1"/>
  <c r="O241" i="282"/>
  <c r="V236" i="282"/>
  <c r="V242" i="282" s="1"/>
  <c r="O238" i="282"/>
  <c r="V234" i="282"/>
  <c r="W237" i="282"/>
  <c r="F253" i="282" s="1"/>
  <c r="T234" i="282"/>
  <c r="T232" i="282"/>
  <c r="W232" i="282" s="1"/>
  <c r="C248" i="282" s="1"/>
  <c r="V245" i="282"/>
  <c r="S244" i="282"/>
  <c r="S240" i="282"/>
  <c r="S238" i="282"/>
  <c r="V240" i="282"/>
  <c r="N34" i="102"/>
  <c r="P33" i="102"/>
  <c r="S241" i="282"/>
  <c r="B123" i="273"/>
  <c r="D123" i="273" s="1"/>
  <c r="D126" i="273" s="1"/>
  <c r="B114" i="273"/>
  <c r="D114" i="273" s="1"/>
  <c r="D117" i="273" s="1"/>
  <c r="U241" i="282"/>
  <c r="S245" i="282"/>
  <c r="U244" i="282"/>
  <c r="U238" i="282"/>
  <c r="U240" i="282"/>
  <c r="O244" i="282"/>
  <c r="T236" i="282"/>
  <c r="T235" i="282"/>
  <c r="T233" i="282"/>
  <c r="W233" i="282" s="1"/>
  <c r="O245" i="282"/>
  <c r="S242" i="282"/>
  <c r="AA30" i="218"/>
  <c r="Z11" i="218"/>
  <c r="AB11" i="218" s="1"/>
  <c r="U11" i="218"/>
  <c r="V11" i="218" s="1"/>
  <c r="T16" i="218"/>
  <c r="V16" i="218" s="1"/>
  <c r="V19" i="218"/>
  <c r="Z8" i="218" s="1"/>
  <c r="V9" i="218"/>
  <c r="Z6" i="218" s="1"/>
  <c r="Z21" i="218" s="1"/>
  <c r="AB21" i="218" s="1"/>
  <c r="U21" i="218"/>
  <c r="V21" i="218" s="1"/>
  <c r="Z9" i="218"/>
  <c r="AB9" i="218" s="1"/>
  <c r="Z13" i="218"/>
  <c r="AB13" i="218" s="1"/>
  <c r="AA16" i="218"/>
  <c r="AA27" i="218" s="1"/>
  <c r="W236" i="282" l="1"/>
  <c r="F252" i="282" s="1"/>
  <c r="F258" i="282" s="1"/>
  <c r="N252" i="282" s="1"/>
  <c r="V244" i="282"/>
  <c r="V238" i="282"/>
  <c r="E248" i="282"/>
  <c r="V241" i="282"/>
  <c r="D253" i="282"/>
  <c r="E249" i="282"/>
  <c r="F249" i="282"/>
  <c r="C249" i="282"/>
  <c r="W235" i="282"/>
  <c r="D251" i="282" s="1"/>
  <c r="D248" i="282"/>
  <c r="T240" i="282"/>
  <c r="W240" i="282" s="1"/>
  <c r="T238" i="282"/>
  <c r="T244" i="282"/>
  <c r="T242" i="282"/>
  <c r="W242" i="282" s="1"/>
  <c r="T241" i="282"/>
  <c r="D249" i="282"/>
  <c r="T245" i="282"/>
  <c r="W245" i="282" s="1"/>
  <c r="W234" i="282"/>
  <c r="N35" i="102"/>
  <c r="P34" i="102"/>
  <c r="F248" i="282"/>
  <c r="C253" i="282"/>
  <c r="E253" i="282"/>
  <c r="Z7" i="218"/>
  <c r="Z10" i="218" s="1"/>
  <c r="AB10" i="218" s="1"/>
  <c r="Z23" i="218"/>
  <c r="AB23" i="218" s="1"/>
  <c r="Z12" i="218"/>
  <c r="AB12" i="218" s="1"/>
  <c r="AB8" i="218"/>
  <c r="AB6" i="218"/>
  <c r="AA17" i="218"/>
  <c r="AA28" i="218" s="1"/>
  <c r="D252" i="282" l="1"/>
  <c r="D258" i="282" s="1"/>
  <c r="L253" i="282" s="1"/>
  <c r="C252" i="282"/>
  <c r="E252" i="282"/>
  <c r="E258" i="282" s="1"/>
  <c r="M252" i="282" s="1"/>
  <c r="W244" i="282"/>
  <c r="W241" i="282"/>
  <c r="N253" i="282"/>
  <c r="N258" i="282" s="1"/>
  <c r="Z22" i="218"/>
  <c r="AB22" i="218" s="1"/>
  <c r="G248" i="282"/>
  <c r="AB7" i="218"/>
  <c r="G249" i="282"/>
  <c r="N36" i="102"/>
  <c r="P35" i="102"/>
  <c r="D261" i="282"/>
  <c r="F256" i="282"/>
  <c r="N249" i="282" s="1"/>
  <c r="F250" i="282"/>
  <c r="F260" i="282" s="1"/>
  <c r="E250" i="282"/>
  <c r="C250" i="282"/>
  <c r="C258" i="282"/>
  <c r="D256" i="282"/>
  <c r="L249" i="282" s="1"/>
  <c r="C256" i="282"/>
  <c r="K249" i="282" s="1"/>
  <c r="W238" i="282"/>
  <c r="E256" i="282"/>
  <c r="M248" i="282" s="1"/>
  <c r="D250" i="282"/>
  <c r="C251" i="282"/>
  <c r="C261" i="282" s="1"/>
  <c r="E251" i="282"/>
  <c r="E261" i="282" s="1"/>
  <c r="F251" i="282"/>
  <c r="G253" i="282"/>
  <c r="Z14" i="218"/>
  <c r="Z26" i="218" s="1"/>
  <c r="AB26" i="218" s="1"/>
  <c r="Z25" i="218"/>
  <c r="AB25" i="218" s="1"/>
  <c r="Z24" i="218"/>
  <c r="AB24" i="218" s="1"/>
  <c r="AE21" i="218"/>
  <c r="AE22" i="218"/>
  <c r="AE25" i="218"/>
  <c r="AE24" i="218"/>
  <c r="AE23" i="218"/>
  <c r="AE26" i="218"/>
  <c r="AE27" i="218"/>
  <c r="D254" i="282" l="1"/>
  <c r="G252" i="282"/>
  <c r="L248" i="282"/>
  <c r="L256" i="282" s="1"/>
  <c r="G258" i="282"/>
  <c r="N248" i="282"/>
  <c r="N256" i="282" s="1"/>
  <c r="L252" i="282"/>
  <c r="G250" i="282"/>
  <c r="C257" i="282"/>
  <c r="K251" i="282" s="1"/>
  <c r="C260" i="282"/>
  <c r="C254" i="282"/>
  <c r="K253" i="282"/>
  <c r="G251" i="282"/>
  <c r="M249" i="282"/>
  <c r="M256" i="282" s="1"/>
  <c r="G256" i="282"/>
  <c r="K248" i="282"/>
  <c r="K252" i="282"/>
  <c r="E254" i="282"/>
  <c r="E257" i="282"/>
  <c r="M251" i="282" s="1"/>
  <c r="E260" i="282"/>
  <c r="F254" i="282"/>
  <c r="F261" i="282"/>
  <c r="G261" i="282" s="1"/>
  <c r="AB14" i="218"/>
  <c r="D257" i="282"/>
  <c r="L251" i="282" s="1"/>
  <c r="L261" i="282" s="1"/>
  <c r="D260" i="282"/>
  <c r="F257" i="282"/>
  <c r="N251" i="282" s="1"/>
  <c r="N261" i="282" s="1"/>
  <c r="N37" i="102"/>
  <c r="P36" i="102"/>
  <c r="M253" i="282"/>
  <c r="Z16" i="218"/>
  <c r="Z27" i="218" s="1"/>
  <c r="AB27" i="218" s="1"/>
  <c r="O252" i="282" l="1"/>
  <c r="L258" i="282"/>
  <c r="G254" i="282"/>
  <c r="O249" i="282"/>
  <c r="L250" i="282"/>
  <c r="L257" i="282" s="1"/>
  <c r="T251" i="282"/>
  <c r="T249" i="282"/>
  <c r="O253" i="282"/>
  <c r="N250" i="282"/>
  <c r="N254" i="282" s="1"/>
  <c r="V251" i="282"/>
  <c r="V253" i="282"/>
  <c r="V249" i="282"/>
  <c r="O251" i="282"/>
  <c r="M250" i="282"/>
  <c r="N38" i="102"/>
  <c r="P37" i="102"/>
  <c r="K261" i="282"/>
  <c r="S251" i="282" s="1"/>
  <c r="M261" i="282"/>
  <c r="U253" i="282" s="1"/>
  <c r="O248" i="282"/>
  <c r="K256" i="282"/>
  <c r="O256" i="282" s="1"/>
  <c r="G260" i="282"/>
  <c r="M258" i="282"/>
  <c r="K250" i="282"/>
  <c r="K260" i="282" s="1"/>
  <c r="S248" i="282" s="1"/>
  <c r="G257" i="282"/>
  <c r="K258" i="282"/>
  <c r="T253" i="282"/>
  <c r="Z17" i="218"/>
  <c r="AB17" i="218" s="1"/>
  <c r="AB16" i="218"/>
  <c r="L260" i="282" l="1"/>
  <c r="T248" i="282" s="1"/>
  <c r="L254" i="282"/>
  <c r="U249" i="282"/>
  <c r="O258" i="282"/>
  <c r="N257" i="282"/>
  <c r="N260" i="282"/>
  <c r="V248" i="282" s="1"/>
  <c r="M257" i="282"/>
  <c r="M254" i="282"/>
  <c r="M260" i="282"/>
  <c r="T261" i="282"/>
  <c r="V261" i="282"/>
  <c r="Z28" i="218"/>
  <c r="AB28" i="218" s="1"/>
  <c r="AC22" i="218" s="1"/>
  <c r="AD22" i="218" s="1"/>
  <c r="S252" i="282"/>
  <c r="N39" i="102"/>
  <c r="P38" i="102"/>
  <c r="K257" i="282"/>
  <c r="O250" i="282"/>
  <c r="O254" i="282" s="1"/>
  <c r="S250" i="282"/>
  <c r="K254" i="282"/>
  <c r="O261" i="282"/>
  <c r="S249" i="282"/>
  <c r="S256" i="282" s="1"/>
  <c r="S253" i="282"/>
  <c r="U251" i="282"/>
  <c r="W251" i="282" s="1"/>
  <c r="AC24" i="218"/>
  <c r="AD24" i="218" s="1"/>
  <c r="AC21" i="218" l="1"/>
  <c r="AD21" i="218" s="1"/>
  <c r="T252" i="282"/>
  <c r="T258" i="282" s="1"/>
  <c r="T250" i="282"/>
  <c r="T257" i="282" s="1"/>
  <c r="AC26" i="218"/>
  <c r="AD26" i="218" s="1"/>
  <c r="AC27" i="218"/>
  <c r="AD27" i="218" s="1"/>
  <c r="AC23" i="218"/>
  <c r="AD23" i="218" s="1"/>
  <c r="AC25" i="218"/>
  <c r="AD25" i="218" s="1"/>
  <c r="V250" i="282"/>
  <c r="V252" i="282"/>
  <c r="O257" i="282"/>
  <c r="O260" i="282"/>
  <c r="U261" i="282"/>
  <c r="D267" i="282"/>
  <c r="C267" i="282"/>
  <c r="F267" i="282"/>
  <c r="S257" i="282"/>
  <c r="U250" i="282"/>
  <c r="U248" i="282"/>
  <c r="U252" i="282"/>
  <c r="V257" i="282"/>
  <c r="S260" i="282"/>
  <c r="W249" i="282"/>
  <c r="C265" i="282" s="1"/>
  <c r="S261" i="282"/>
  <c r="V256" i="282"/>
  <c r="N40" i="102"/>
  <c r="P39" i="102"/>
  <c r="E267" i="282"/>
  <c r="S258" i="282"/>
  <c r="W253" i="282"/>
  <c r="T256" i="282"/>
  <c r="S254" i="282"/>
  <c r="W252" i="282" l="1"/>
  <c r="C268" i="282" s="1"/>
  <c r="W261" i="282"/>
  <c r="T260" i="282"/>
  <c r="V254" i="282"/>
  <c r="T254" i="282"/>
  <c r="V260" i="282"/>
  <c r="V258" i="282"/>
  <c r="D269" i="282"/>
  <c r="E269" i="282"/>
  <c r="F269" i="282"/>
  <c r="U257" i="282"/>
  <c r="W257" i="282" s="1"/>
  <c r="W250" i="282"/>
  <c r="E266" i="282" s="1"/>
  <c r="U258" i="282"/>
  <c r="N41" i="102"/>
  <c r="P40" i="102"/>
  <c r="G267" i="282"/>
  <c r="C269" i="282"/>
  <c r="D265" i="282"/>
  <c r="F265" i="282"/>
  <c r="E265" i="282"/>
  <c r="U260" i="282"/>
  <c r="U254" i="282"/>
  <c r="U256" i="282"/>
  <c r="W256" i="282" s="1"/>
  <c r="W248" i="282"/>
  <c r="P10" i="217"/>
  <c r="K39" i="216"/>
  <c r="M5" i="217"/>
  <c r="M6" i="217"/>
  <c r="M7" i="217"/>
  <c r="M8" i="217"/>
  <c r="M9" i="217"/>
  <c r="M10" i="217"/>
  <c r="M11" i="217"/>
  <c r="M12" i="217"/>
  <c r="M13" i="217"/>
  <c r="M14" i="217"/>
  <c r="M15" i="217"/>
  <c r="M4" i="217"/>
  <c r="Q8" i="217"/>
  <c r="Q6" i="217"/>
  <c r="Q5" i="217"/>
  <c r="Q10" i="217"/>
  <c r="I5" i="217"/>
  <c r="J5" i="217"/>
  <c r="K5" i="217"/>
  <c r="J27" i="217" s="1"/>
  <c r="L5" i="217"/>
  <c r="I6" i="217"/>
  <c r="J6" i="217"/>
  <c r="K6" i="217"/>
  <c r="K27" i="217" s="1"/>
  <c r="L6" i="217"/>
  <c r="I7" i="217"/>
  <c r="J7" i="217"/>
  <c r="K7" i="217"/>
  <c r="L27" i="217" s="1"/>
  <c r="L7" i="217"/>
  <c r="I8" i="217"/>
  <c r="J8" i="217"/>
  <c r="K8" i="217"/>
  <c r="I28" i="217" s="1"/>
  <c r="L8" i="217"/>
  <c r="I9" i="217"/>
  <c r="J9" i="217"/>
  <c r="K9" i="217"/>
  <c r="J28" i="217" s="1"/>
  <c r="L9" i="217"/>
  <c r="I10" i="217"/>
  <c r="J10" i="217"/>
  <c r="K10" i="217"/>
  <c r="K28" i="217" s="1"/>
  <c r="L10" i="217"/>
  <c r="I11" i="217"/>
  <c r="J11" i="217"/>
  <c r="K11" i="217"/>
  <c r="L28" i="217" s="1"/>
  <c r="L11" i="217"/>
  <c r="I12" i="217"/>
  <c r="J12" i="217"/>
  <c r="K12" i="217"/>
  <c r="I29" i="217" s="1"/>
  <c r="L12" i="217"/>
  <c r="I13" i="217"/>
  <c r="J13" i="217"/>
  <c r="K13" i="217"/>
  <c r="J29" i="217" s="1"/>
  <c r="L13" i="217"/>
  <c r="I14" i="217"/>
  <c r="J14" i="217"/>
  <c r="K14" i="217"/>
  <c r="K29" i="217" s="1"/>
  <c r="L14" i="217"/>
  <c r="I15" i="217"/>
  <c r="J15" i="217"/>
  <c r="K15" i="217"/>
  <c r="L29" i="217" s="1"/>
  <c r="L15" i="217"/>
  <c r="L4" i="217"/>
  <c r="K4" i="217"/>
  <c r="I27" i="217" s="1"/>
  <c r="J4" i="217"/>
  <c r="I4" i="217"/>
  <c r="L6" i="216"/>
  <c r="L26" i="216"/>
  <c r="L25" i="216"/>
  <c r="L20" i="216"/>
  <c r="L19" i="216"/>
  <c r="L18" i="216"/>
  <c r="L8" i="216"/>
  <c r="L7" i="216"/>
  <c r="L12" i="216"/>
  <c r="L13" i="216"/>
  <c r="L14" i="216"/>
  <c r="L44" i="216"/>
  <c r="M44" i="216"/>
  <c r="N44" i="216"/>
  <c r="L45" i="216"/>
  <c r="M45" i="216"/>
  <c r="N45" i="216"/>
  <c r="L46" i="216"/>
  <c r="M46" i="216"/>
  <c r="N46" i="216"/>
  <c r="K46" i="216"/>
  <c r="K45" i="216"/>
  <c r="N39" i="216"/>
  <c r="N40" i="216"/>
  <c r="N41" i="216"/>
  <c r="K44" i="216"/>
  <c r="I31" i="216"/>
  <c r="H35" i="216"/>
  <c r="Q40" i="216" s="1"/>
  <c r="I33" i="216"/>
  <c r="I35" i="216"/>
  <c r="I30" i="216"/>
  <c r="L39" i="216"/>
  <c r="M39" i="216"/>
  <c r="L40" i="216"/>
  <c r="M40" i="216"/>
  <c r="L41" i="216"/>
  <c r="M41" i="216"/>
  <c r="K41" i="216"/>
  <c r="K40" i="216"/>
  <c r="H41" i="216"/>
  <c r="H40" i="216"/>
  <c r="H39" i="216"/>
  <c r="H47" i="216"/>
  <c r="H46" i="216"/>
  <c r="H45" i="216"/>
  <c r="H44" i="216"/>
  <c r="I23" i="216"/>
  <c r="J23" i="216"/>
  <c r="K23" i="216"/>
  <c r="I24" i="216"/>
  <c r="J24" i="216"/>
  <c r="K24" i="216"/>
  <c r="I25" i="216"/>
  <c r="J25" i="216"/>
  <c r="K25" i="216"/>
  <c r="I26" i="216"/>
  <c r="J26" i="216"/>
  <c r="K26" i="216"/>
  <c r="H26" i="216"/>
  <c r="H25" i="216"/>
  <c r="H24" i="216"/>
  <c r="H23" i="216"/>
  <c r="I17" i="216"/>
  <c r="J17" i="216"/>
  <c r="K17" i="216"/>
  <c r="I18" i="216"/>
  <c r="J18" i="216"/>
  <c r="K18" i="216"/>
  <c r="I19" i="216"/>
  <c r="J19" i="216"/>
  <c r="K19" i="216"/>
  <c r="I20" i="216"/>
  <c r="J20" i="216"/>
  <c r="K20" i="216"/>
  <c r="H20" i="216"/>
  <c r="H19" i="216"/>
  <c r="H18" i="216"/>
  <c r="H17" i="216"/>
  <c r="K14" i="216"/>
  <c r="K13" i="216"/>
  <c r="K12" i="216"/>
  <c r="K11" i="216"/>
  <c r="K8" i="216"/>
  <c r="K7" i="216"/>
  <c r="K6" i="216"/>
  <c r="K5" i="216"/>
  <c r="J5" i="216"/>
  <c r="J6" i="216"/>
  <c r="J7" i="216"/>
  <c r="J8" i="216"/>
  <c r="J11" i="216"/>
  <c r="J12" i="216"/>
  <c r="J13" i="216"/>
  <c r="J14" i="216"/>
  <c r="I6" i="216"/>
  <c r="I14" i="216"/>
  <c r="H14" i="216"/>
  <c r="I13" i="216"/>
  <c r="H13" i="216"/>
  <c r="I12" i="216"/>
  <c r="H12" i="216"/>
  <c r="I11" i="216"/>
  <c r="H11" i="216"/>
  <c r="I8" i="216"/>
  <c r="H8" i="216"/>
  <c r="I7" i="216"/>
  <c r="H7" i="216"/>
  <c r="H6" i="216"/>
  <c r="I5" i="216"/>
  <c r="H5" i="216"/>
  <c r="H22" i="215"/>
  <c r="K13" i="215"/>
  <c r="J13" i="215"/>
  <c r="I13" i="215"/>
  <c r="K8" i="215"/>
  <c r="K7" i="215"/>
  <c r="K6" i="215"/>
  <c r="J8" i="215"/>
  <c r="J7" i="215"/>
  <c r="J6" i="215"/>
  <c r="I8" i="215"/>
  <c r="I7" i="215"/>
  <c r="I6" i="215"/>
  <c r="H13" i="215"/>
  <c r="H7" i="215"/>
  <c r="H8" i="215"/>
  <c r="H6" i="215"/>
  <c r="I19" i="215" s="1"/>
  <c r="K12" i="215"/>
  <c r="J12" i="215"/>
  <c r="I12" i="215"/>
  <c r="H12" i="215"/>
  <c r="K11" i="215"/>
  <c r="J11" i="215"/>
  <c r="I11" i="215"/>
  <c r="H11" i="215"/>
  <c r="K10" i="215"/>
  <c r="J10" i="215"/>
  <c r="I10" i="215"/>
  <c r="H10" i="215"/>
  <c r="D277" i="282" l="1"/>
  <c r="F268" i="282"/>
  <c r="F274" i="282" s="1"/>
  <c r="N268" i="282" s="1"/>
  <c r="E268" i="282"/>
  <c r="E274" i="282" s="1"/>
  <c r="D268" i="282"/>
  <c r="D274" i="282" s="1"/>
  <c r="L268" i="282" s="1"/>
  <c r="F277" i="282"/>
  <c r="W258" i="282"/>
  <c r="W260" i="282"/>
  <c r="H19" i="215"/>
  <c r="I22" i="215"/>
  <c r="J19" i="217"/>
  <c r="J18" i="217"/>
  <c r="W254" i="282"/>
  <c r="C264" i="282"/>
  <c r="F264" i="282"/>
  <c r="D264" i="282"/>
  <c r="E264" i="282"/>
  <c r="G269" i="282"/>
  <c r="N42" i="102"/>
  <c r="P41" i="102"/>
  <c r="I18" i="215"/>
  <c r="I20" i="215" s="1"/>
  <c r="H18" i="215"/>
  <c r="E277" i="282"/>
  <c r="C266" i="282"/>
  <c r="D266" i="282"/>
  <c r="F266" i="282"/>
  <c r="P8" i="217"/>
  <c r="R8" i="217" s="1"/>
  <c r="C277" i="282"/>
  <c r="C274" i="282"/>
  <c r="K269" i="282" s="1"/>
  <c r="E273" i="282"/>
  <c r="M267" i="282" s="1"/>
  <c r="Q39" i="216"/>
  <c r="Q41" i="216" s="1"/>
  <c r="J24" i="217"/>
  <c r="J23" i="217"/>
  <c r="U5" i="217"/>
  <c r="G265" i="282"/>
  <c r="U6" i="217"/>
  <c r="J22" i="217"/>
  <c r="J17" i="217"/>
  <c r="I19" i="217"/>
  <c r="I21" i="217"/>
  <c r="I24" i="217"/>
  <c r="I23" i="217"/>
  <c r="I22" i="217"/>
  <c r="I17" i="217"/>
  <c r="J21" i="217"/>
  <c r="I18" i="217"/>
  <c r="H33" i="216"/>
  <c r="Q7" i="217"/>
  <c r="U7" i="217" s="1"/>
  <c r="I32" i="216"/>
  <c r="H31" i="216"/>
  <c r="L17" i="216"/>
  <c r="L23" i="216"/>
  <c r="L5" i="216"/>
  <c r="H30" i="216" s="1"/>
  <c r="L11" i="216"/>
  <c r="M31" i="216"/>
  <c r="L24" i="216"/>
  <c r="C25" i="214"/>
  <c r="C26" i="214" s="1"/>
  <c r="D25" i="214"/>
  <c r="D26" i="214" s="1"/>
  <c r="E25" i="214"/>
  <c r="E26" i="214" s="1"/>
  <c r="F25" i="214"/>
  <c r="F26" i="214" s="1"/>
  <c r="C27" i="214"/>
  <c r="D27" i="214"/>
  <c r="E27" i="214"/>
  <c r="F27" i="214"/>
  <c r="C28" i="214"/>
  <c r="D28" i="214"/>
  <c r="E28" i="214"/>
  <c r="F28" i="214"/>
  <c r="C29" i="214"/>
  <c r="D29" i="214"/>
  <c r="E29" i="214"/>
  <c r="F29" i="214"/>
  <c r="B29" i="214"/>
  <c r="B28" i="214"/>
  <c r="B27" i="214"/>
  <c r="B25" i="214"/>
  <c r="B26" i="214" s="1"/>
  <c r="K15" i="214"/>
  <c r="I6" i="214"/>
  <c r="I7" i="214"/>
  <c r="M268" i="282" l="1"/>
  <c r="M269" i="282"/>
  <c r="G268" i="282"/>
  <c r="K23" i="217"/>
  <c r="M18" i="215"/>
  <c r="H20" i="215"/>
  <c r="J20" i="215" s="1"/>
  <c r="K17" i="217"/>
  <c r="K24" i="217"/>
  <c r="M266" i="282"/>
  <c r="M273" i="282" s="1"/>
  <c r="G277" i="282"/>
  <c r="K18" i="217"/>
  <c r="K19" i="217"/>
  <c r="L269" i="282"/>
  <c r="L274" i="282" s="1"/>
  <c r="C272" i="282"/>
  <c r="K264" i="282" s="1"/>
  <c r="C276" i="282"/>
  <c r="G264" i="282"/>
  <c r="C270" i="282"/>
  <c r="P6" i="217"/>
  <c r="R6" i="217" s="1"/>
  <c r="S6" i="217" s="1"/>
  <c r="T6" i="217" s="1"/>
  <c r="K22" i="217"/>
  <c r="N269" i="282"/>
  <c r="N274" i="282" s="1"/>
  <c r="E272" i="282"/>
  <c r="E270" i="282"/>
  <c r="E276" i="282"/>
  <c r="D273" i="282"/>
  <c r="L267" i="282" s="1"/>
  <c r="F272" i="282"/>
  <c r="N265" i="282" s="1"/>
  <c r="F270" i="282"/>
  <c r="F276" i="282"/>
  <c r="G266" i="282"/>
  <c r="C273" i="282"/>
  <c r="G274" i="282"/>
  <c r="K268" i="282"/>
  <c r="F273" i="282"/>
  <c r="N267" i="282" s="1"/>
  <c r="N43" i="102"/>
  <c r="P42" i="102"/>
  <c r="D276" i="282"/>
  <c r="D272" i="282"/>
  <c r="L265" i="282" s="1"/>
  <c r="D270" i="282"/>
  <c r="K21" i="217"/>
  <c r="P5" i="217"/>
  <c r="H32" i="216"/>
  <c r="M30" i="216"/>
  <c r="M32" i="216"/>
  <c r="J33" i="216"/>
  <c r="J19" i="215"/>
  <c r="J18" i="215"/>
  <c r="M19" i="215"/>
  <c r="M6" i="214"/>
  <c r="M7" i="214"/>
  <c r="M8" i="214"/>
  <c r="M9" i="214"/>
  <c r="M10" i="214"/>
  <c r="M11" i="214"/>
  <c r="M12" i="214"/>
  <c r="M13" i="214"/>
  <c r="M14" i="214"/>
  <c r="M274" i="282" l="1"/>
  <c r="O269" i="282"/>
  <c r="N264" i="282"/>
  <c r="L264" i="282"/>
  <c r="L272" i="282" s="1"/>
  <c r="L266" i="282"/>
  <c r="L273" i="282" s="1"/>
  <c r="G276" i="282"/>
  <c r="K274" i="282"/>
  <c r="O268" i="282"/>
  <c r="M264" i="282"/>
  <c r="M265" i="282"/>
  <c r="N44" i="102"/>
  <c r="P43" i="102"/>
  <c r="N277" i="282"/>
  <c r="V265" i="282" s="1"/>
  <c r="F41" i="214"/>
  <c r="F42" i="214" s="1"/>
  <c r="F43" i="214"/>
  <c r="F44" i="214"/>
  <c r="F45" i="214"/>
  <c r="K266" i="282"/>
  <c r="K276" i="282" s="1"/>
  <c r="G273" i="282"/>
  <c r="K267" i="282"/>
  <c r="G272" i="282"/>
  <c r="K265" i="282"/>
  <c r="K272" i="282" s="1"/>
  <c r="P7" i="217"/>
  <c r="R7" i="217" s="1"/>
  <c r="S7" i="217" s="1"/>
  <c r="T7" i="217" s="1"/>
  <c r="L277" i="282"/>
  <c r="T265" i="282" s="1"/>
  <c r="N266" i="282"/>
  <c r="G270" i="282"/>
  <c r="J30" i="216"/>
  <c r="K30" i="216" s="1"/>
  <c r="L30" i="216" s="1"/>
  <c r="J31" i="216"/>
  <c r="K31" i="216" s="1"/>
  <c r="L31" i="216" s="1"/>
  <c r="K19" i="215"/>
  <c r="L19" i="215" s="1"/>
  <c r="K18" i="215"/>
  <c r="L18" i="215" s="1"/>
  <c r="M17" i="214"/>
  <c r="M16" i="214"/>
  <c r="M19" i="214"/>
  <c r="U35" i="214" s="1"/>
  <c r="M18" i="214"/>
  <c r="O274" i="282" l="1"/>
  <c r="N276" i="282"/>
  <c r="V266" i="282" s="1"/>
  <c r="L270" i="282"/>
  <c r="N272" i="282"/>
  <c r="N270" i="282"/>
  <c r="L276" i="282"/>
  <c r="T264" i="282" s="1"/>
  <c r="V269" i="282"/>
  <c r="S264" i="282"/>
  <c r="S268" i="282"/>
  <c r="U32" i="214"/>
  <c r="N45" i="102"/>
  <c r="P44" i="102"/>
  <c r="U29" i="214"/>
  <c r="U33" i="214"/>
  <c r="U30" i="214"/>
  <c r="N273" i="282"/>
  <c r="U31" i="214"/>
  <c r="K277" i="282"/>
  <c r="S265" i="282" s="1"/>
  <c r="O265" i="282"/>
  <c r="O267" i="282"/>
  <c r="U37" i="214"/>
  <c r="M276" i="282"/>
  <c r="M272" i="282"/>
  <c r="M270" i="282"/>
  <c r="U34" i="214"/>
  <c r="K270" i="282"/>
  <c r="K273" i="282"/>
  <c r="O266" i="282"/>
  <c r="S266" i="282"/>
  <c r="U36" i="214"/>
  <c r="M277" i="282"/>
  <c r="U265" i="282" s="1"/>
  <c r="T267" i="282"/>
  <c r="T269" i="282"/>
  <c r="V267" i="282"/>
  <c r="O264" i="282"/>
  <c r="R5" i="217"/>
  <c r="S5" i="217" s="1"/>
  <c r="T5" i="217" s="1"/>
  <c r="J32" i="216"/>
  <c r="K32" i="216" s="1"/>
  <c r="L32" i="216" s="1"/>
  <c r="F19" i="214"/>
  <c r="E19" i="214"/>
  <c r="D19" i="214"/>
  <c r="C19" i="214"/>
  <c r="B19" i="214"/>
  <c r="F18" i="214"/>
  <c r="E18" i="214"/>
  <c r="D18" i="214"/>
  <c r="C18" i="214"/>
  <c r="B18" i="214"/>
  <c r="F17" i="214"/>
  <c r="E17" i="214"/>
  <c r="D17" i="214"/>
  <c r="C17" i="214"/>
  <c r="B17" i="214"/>
  <c r="F16" i="214"/>
  <c r="E16" i="214"/>
  <c r="D16" i="214"/>
  <c r="C16" i="214"/>
  <c r="B16" i="214"/>
  <c r="J15" i="214"/>
  <c r="I15" i="214"/>
  <c r="K14" i="214"/>
  <c r="J14" i="214"/>
  <c r="I14" i="214"/>
  <c r="L13" i="214"/>
  <c r="K13" i="214"/>
  <c r="J13" i="214"/>
  <c r="I13" i="214"/>
  <c r="L12" i="214"/>
  <c r="K12" i="214"/>
  <c r="J12" i="214"/>
  <c r="I12" i="214"/>
  <c r="L11" i="214"/>
  <c r="K11" i="214"/>
  <c r="J11" i="214"/>
  <c r="I11" i="214"/>
  <c r="L10" i="214"/>
  <c r="K10" i="214"/>
  <c r="J10" i="214"/>
  <c r="I10" i="214"/>
  <c r="L9" i="214"/>
  <c r="K9" i="214"/>
  <c r="J9" i="214"/>
  <c r="I9" i="214"/>
  <c r="L8" i="214"/>
  <c r="K8" i="214"/>
  <c r="J8" i="214"/>
  <c r="I8" i="214"/>
  <c r="L7" i="214"/>
  <c r="K7" i="214"/>
  <c r="J7" i="214"/>
  <c r="L6" i="214"/>
  <c r="K6" i="214"/>
  <c r="J6" i="214"/>
  <c r="O18" i="187"/>
  <c r="O273" i="282" l="1"/>
  <c r="T266" i="282"/>
  <c r="V268" i="282"/>
  <c r="V277" i="282"/>
  <c r="V264" i="282"/>
  <c r="O272" i="282"/>
  <c r="T268" i="282"/>
  <c r="O270" i="282"/>
  <c r="S267" i="282"/>
  <c r="S273" i="282" s="1"/>
  <c r="D43" i="214"/>
  <c r="D45" i="214"/>
  <c r="D41" i="214"/>
  <c r="D42" i="214" s="1"/>
  <c r="D44" i="214"/>
  <c r="E43" i="214"/>
  <c r="E45" i="214"/>
  <c r="E41" i="214"/>
  <c r="E42" i="214" s="1"/>
  <c r="E44" i="214"/>
  <c r="N46" i="102"/>
  <c r="P45" i="102"/>
  <c r="R11" i="214"/>
  <c r="R15" i="214"/>
  <c r="R10" i="214"/>
  <c r="R17" i="214"/>
  <c r="R9" i="214"/>
  <c r="R13" i="214"/>
  <c r="R8" i="214"/>
  <c r="R12" i="214"/>
  <c r="R14" i="214"/>
  <c r="R16" i="214"/>
  <c r="T273" i="282"/>
  <c r="V273" i="282"/>
  <c r="S272" i="282"/>
  <c r="S276" i="282"/>
  <c r="T12" i="214"/>
  <c r="T11" i="214"/>
  <c r="T15" i="214"/>
  <c r="T10" i="214"/>
  <c r="T14" i="214"/>
  <c r="T9" i="214"/>
  <c r="T13" i="214"/>
  <c r="T8" i="214"/>
  <c r="B41" i="214"/>
  <c r="B42" i="214" s="1"/>
  <c r="B43" i="214"/>
  <c r="B45" i="214"/>
  <c r="B44" i="214"/>
  <c r="U9" i="214"/>
  <c r="U13" i="214"/>
  <c r="U16" i="214"/>
  <c r="U8" i="214"/>
  <c r="U12" i="214"/>
  <c r="U11" i="214"/>
  <c r="U15" i="214"/>
  <c r="U10" i="214"/>
  <c r="U14" i="214"/>
  <c r="V274" i="282"/>
  <c r="W265" i="282"/>
  <c r="C281" i="282" s="1"/>
  <c r="C41" i="214"/>
  <c r="C42" i="214" s="1"/>
  <c r="C43" i="214"/>
  <c r="C44" i="214"/>
  <c r="C45" i="214"/>
  <c r="U267" i="282"/>
  <c r="W267" i="282" s="1"/>
  <c r="F283" i="282" s="1"/>
  <c r="U269" i="282"/>
  <c r="U264" i="282"/>
  <c r="U268" i="282"/>
  <c r="U266" i="282"/>
  <c r="O277" i="282"/>
  <c r="S269" i="282"/>
  <c r="T272" i="282"/>
  <c r="T277" i="282"/>
  <c r="O276" i="282"/>
  <c r="Q9" i="214"/>
  <c r="Q10" i="214"/>
  <c r="Q11" i="214"/>
  <c r="Q12" i="214"/>
  <c r="Q13" i="214"/>
  <c r="Q14" i="214"/>
  <c r="Q15" i="214"/>
  <c r="Q16" i="214"/>
  <c r="Q8" i="214"/>
  <c r="Q17" i="214"/>
  <c r="S12" i="214"/>
  <c r="S16" i="214"/>
  <c r="S17" i="214"/>
  <c r="S9" i="214"/>
  <c r="S13" i="214"/>
  <c r="S10" i="214"/>
  <c r="S14" i="214"/>
  <c r="S8" i="214"/>
  <c r="S11" i="214"/>
  <c r="S15" i="214"/>
  <c r="L16" i="214"/>
  <c r="L18" i="214"/>
  <c r="L17" i="214"/>
  <c r="L19" i="214"/>
  <c r="T34" i="214" s="1"/>
  <c r="K18" i="214"/>
  <c r="K17" i="214"/>
  <c r="K16" i="214"/>
  <c r="K19" i="214"/>
  <c r="J17" i="214"/>
  <c r="J19" i="214"/>
  <c r="R32" i="214" s="1"/>
  <c r="J16" i="214"/>
  <c r="J18" i="214"/>
  <c r="B21" i="214"/>
  <c r="V270" i="282" l="1"/>
  <c r="T270" i="282"/>
  <c r="V276" i="282"/>
  <c r="W264" i="282"/>
  <c r="D280" i="282" s="1"/>
  <c r="V272" i="282"/>
  <c r="T276" i="282"/>
  <c r="T274" i="282"/>
  <c r="R35" i="214"/>
  <c r="R31" i="214"/>
  <c r="T35" i="214"/>
  <c r="T32" i="214"/>
  <c r="T33" i="214"/>
  <c r="W269" i="282"/>
  <c r="C285" i="282" s="1"/>
  <c r="U273" i="282"/>
  <c r="W273" i="282" s="1"/>
  <c r="E283" i="282"/>
  <c r="R34" i="214"/>
  <c r="R30" i="214"/>
  <c r="T29" i="214"/>
  <c r="T31" i="214"/>
  <c r="U274" i="282"/>
  <c r="R38" i="214"/>
  <c r="T30" i="214"/>
  <c r="R37" i="214"/>
  <c r="R33" i="214"/>
  <c r="S274" i="282"/>
  <c r="N47" i="102"/>
  <c r="P46" i="102"/>
  <c r="T36" i="214"/>
  <c r="U277" i="282"/>
  <c r="F281" i="282"/>
  <c r="D281" i="282"/>
  <c r="S277" i="282"/>
  <c r="C283" i="282"/>
  <c r="U276" i="282"/>
  <c r="U270" i="282"/>
  <c r="U272" i="282"/>
  <c r="R29" i="214"/>
  <c r="D283" i="282"/>
  <c r="S270" i="282"/>
  <c r="W266" i="282"/>
  <c r="R36" i="214"/>
  <c r="W268" i="282"/>
  <c r="E281" i="282"/>
  <c r="S38" i="214"/>
  <c r="S31" i="214"/>
  <c r="S35" i="214"/>
  <c r="S32" i="214"/>
  <c r="S36" i="214"/>
  <c r="S33" i="214"/>
  <c r="S30" i="214"/>
  <c r="S34" i="214"/>
  <c r="S29" i="214"/>
  <c r="S37" i="214"/>
  <c r="F280" i="282" l="1"/>
  <c r="F288" i="282" s="1"/>
  <c r="N281" i="282" s="1"/>
  <c r="W276" i="282"/>
  <c r="E280" i="282"/>
  <c r="E288" i="282" s="1"/>
  <c r="M280" i="282" s="1"/>
  <c r="C280" i="282"/>
  <c r="W272" i="282"/>
  <c r="W277" i="282"/>
  <c r="E285" i="282"/>
  <c r="E293" i="282" s="1"/>
  <c r="F282" i="282"/>
  <c r="D282" i="282"/>
  <c r="C282" i="282"/>
  <c r="C293" i="282"/>
  <c r="G283" i="282"/>
  <c r="N48" i="102"/>
  <c r="P47" i="102"/>
  <c r="F285" i="282"/>
  <c r="F293" i="282" s="1"/>
  <c r="D285" i="282"/>
  <c r="D293" i="282" s="1"/>
  <c r="W274" i="282"/>
  <c r="G281" i="282"/>
  <c r="W270" i="282"/>
  <c r="F284" i="282"/>
  <c r="C284" i="282"/>
  <c r="D284" i="282"/>
  <c r="E284" i="282"/>
  <c r="E282" i="282"/>
  <c r="D288" i="282"/>
  <c r="L280" i="282" s="1"/>
  <c r="E290" i="282" l="1"/>
  <c r="M284" i="282" s="1"/>
  <c r="G280" i="282"/>
  <c r="C288" i="282"/>
  <c r="K281" i="282" s="1"/>
  <c r="F292" i="282"/>
  <c r="F286" i="282"/>
  <c r="C292" i="282"/>
  <c r="G285" i="282"/>
  <c r="N280" i="282"/>
  <c r="N288" i="282" s="1"/>
  <c r="N49" i="102"/>
  <c r="P48" i="102"/>
  <c r="D290" i="282"/>
  <c r="L285" i="282" s="1"/>
  <c r="D292" i="282"/>
  <c r="C290" i="282"/>
  <c r="K284" i="282" s="1"/>
  <c r="G284" i="282"/>
  <c r="C286" i="282"/>
  <c r="G293" i="282"/>
  <c r="G282" i="282"/>
  <c r="C289" i="282"/>
  <c r="E289" i="282"/>
  <c r="M283" i="282" s="1"/>
  <c r="F290" i="282"/>
  <c r="N284" i="282" s="1"/>
  <c r="M281" i="282"/>
  <c r="M288" i="282" s="1"/>
  <c r="D289" i="282"/>
  <c r="L283" i="282" s="1"/>
  <c r="E286" i="282"/>
  <c r="D286" i="282"/>
  <c r="F289" i="282"/>
  <c r="N283" i="282" s="1"/>
  <c r="L281" i="282"/>
  <c r="L288" i="282" s="1"/>
  <c r="E292" i="282"/>
  <c r="N10" i="211"/>
  <c r="N15" i="211"/>
  <c r="N8" i="211"/>
  <c r="N9" i="211"/>
  <c r="G11" i="210"/>
  <c r="N9" i="210" s="1"/>
  <c r="N15" i="210"/>
  <c r="S11" i="209"/>
  <c r="T11" i="209"/>
  <c r="R11" i="209"/>
  <c r="H16" i="206"/>
  <c r="G16" i="206"/>
  <c r="H14" i="206"/>
  <c r="Q12" i="206" s="1"/>
  <c r="K10" i="206"/>
  <c r="J10" i="206"/>
  <c r="I10" i="206"/>
  <c r="P8" i="206" s="1"/>
  <c r="S8" i="206" s="1"/>
  <c r="H10" i="206"/>
  <c r="G10" i="206"/>
  <c r="Q8" i="206" s="1"/>
  <c r="R8" i="206" s="1"/>
  <c r="K9" i="206"/>
  <c r="J9" i="206"/>
  <c r="I9" i="206"/>
  <c r="H9" i="206"/>
  <c r="G9" i="206"/>
  <c r="K8" i="206"/>
  <c r="J8" i="206"/>
  <c r="I8" i="206"/>
  <c r="P6" i="206" s="1"/>
  <c r="S6" i="206" s="1"/>
  <c r="H8" i="206"/>
  <c r="G8" i="206"/>
  <c r="Q6" i="206" s="1"/>
  <c r="R6" i="206" s="1"/>
  <c r="K7" i="206"/>
  <c r="J7" i="206"/>
  <c r="I7" i="206"/>
  <c r="P5" i="206" s="1"/>
  <c r="S5" i="206" s="1"/>
  <c r="H7" i="206"/>
  <c r="G7" i="206"/>
  <c r="Q5" i="206" s="1"/>
  <c r="R5" i="206" s="1"/>
  <c r="T11" i="200"/>
  <c r="S11" i="200"/>
  <c r="S12" i="200" s="1"/>
  <c r="S13" i="200" s="1"/>
  <c r="T10" i="200"/>
  <c r="R8" i="200"/>
  <c r="R11" i="200"/>
  <c r="R12" i="200" s="1"/>
  <c r="R13" i="200" s="1"/>
  <c r="R9" i="200"/>
  <c r="S9" i="200" s="1"/>
  <c r="T9" i="200" s="1"/>
  <c r="S6" i="200"/>
  <c r="S8" i="200" s="1"/>
  <c r="N7" i="203"/>
  <c r="X7" i="203"/>
  <c r="X6" i="203"/>
  <c r="O7" i="203"/>
  <c r="N125" i="204"/>
  <c r="O125" i="204" s="1"/>
  <c r="P125" i="204" s="1"/>
  <c r="Q125" i="204" s="1"/>
  <c r="R125" i="204" s="1"/>
  <c r="S125" i="204" s="1"/>
  <c r="T125" i="204" s="1"/>
  <c r="U125" i="204" s="1"/>
  <c r="V125" i="204" s="1"/>
  <c r="W125" i="204" s="1"/>
  <c r="C125" i="204"/>
  <c r="D125" i="204" s="1"/>
  <c r="E125" i="204" s="1"/>
  <c r="F125" i="204" s="1"/>
  <c r="G125" i="204" s="1"/>
  <c r="H125" i="204" s="1"/>
  <c r="I125" i="204" s="1"/>
  <c r="J125" i="204" s="1"/>
  <c r="K125" i="204" s="1"/>
  <c r="L125" i="204" s="1"/>
  <c r="N95" i="204"/>
  <c r="O95" i="204" s="1"/>
  <c r="P95" i="204" s="1"/>
  <c r="Q95" i="204" s="1"/>
  <c r="R95" i="204" s="1"/>
  <c r="S95" i="204" s="1"/>
  <c r="T95" i="204" s="1"/>
  <c r="U95" i="204" s="1"/>
  <c r="V95" i="204" s="1"/>
  <c r="W95" i="204" s="1"/>
  <c r="C95" i="204"/>
  <c r="D95" i="204" s="1"/>
  <c r="E95" i="204" s="1"/>
  <c r="F95" i="204" s="1"/>
  <c r="G95" i="204" s="1"/>
  <c r="H95" i="204" s="1"/>
  <c r="I95" i="204" s="1"/>
  <c r="J95" i="204" s="1"/>
  <c r="K95" i="204" s="1"/>
  <c r="L95" i="204" s="1"/>
  <c r="N65" i="204"/>
  <c r="O65" i="204" s="1"/>
  <c r="P65" i="204" s="1"/>
  <c r="Q65" i="204" s="1"/>
  <c r="R65" i="204" s="1"/>
  <c r="S65" i="204" s="1"/>
  <c r="T65" i="204" s="1"/>
  <c r="U65" i="204" s="1"/>
  <c r="V65" i="204" s="1"/>
  <c r="W65" i="204" s="1"/>
  <c r="C65" i="204"/>
  <c r="D65" i="204" s="1"/>
  <c r="E65" i="204" s="1"/>
  <c r="F65" i="204" s="1"/>
  <c r="G65" i="204" s="1"/>
  <c r="H65" i="204" s="1"/>
  <c r="I65" i="204" s="1"/>
  <c r="J65" i="204" s="1"/>
  <c r="K65" i="204" s="1"/>
  <c r="L65" i="204" s="1"/>
  <c r="N35" i="204"/>
  <c r="O35" i="204" s="1"/>
  <c r="P35" i="204" s="1"/>
  <c r="Q35" i="204" s="1"/>
  <c r="R35" i="204" s="1"/>
  <c r="S35" i="204" s="1"/>
  <c r="T35" i="204" s="1"/>
  <c r="U35" i="204" s="1"/>
  <c r="V35" i="204" s="1"/>
  <c r="W35" i="204" s="1"/>
  <c r="C35" i="204"/>
  <c r="D35" i="204" s="1"/>
  <c r="E35" i="204" s="1"/>
  <c r="F35" i="204" s="1"/>
  <c r="G35" i="204" s="1"/>
  <c r="H35" i="204" s="1"/>
  <c r="I35" i="204" s="1"/>
  <c r="J35" i="204" s="1"/>
  <c r="K35" i="204" s="1"/>
  <c r="L35" i="204" s="1"/>
  <c r="N5" i="204"/>
  <c r="O5" i="204" s="1"/>
  <c r="P5" i="204" s="1"/>
  <c r="Q5" i="204" s="1"/>
  <c r="R5" i="204" s="1"/>
  <c r="S5" i="204" s="1"/>
  <c r="T5" i="204" s="1"/>
  <c r="U5" i="204" s="1"/>
  <c r="V5" i="204" s="1"/>
  <c r="W5" i="204" s="1"/>
  <c r="C5" i="204"/>
  <c r="D5" i="204" s="1"/>
  <c r="E5" i="204" s="1"/>
  <c r="F5" i="204" s="1"/>
  <c r="G5" i="204" s="1"/>
  <c r="H5" i="204" s="1"/>
  <c r="I5" i="204" s="1"/>
  <c r="J5" i="204" s="1"/>
  <c r="K5" i="204" s="1"/>
  <c r="L5" i="204" s="1"/>
  <c r="AA7" i="203"/>
  <c r="AA12" i="203"/>
  <c r="AA11" i="203"/>
  <c r="AA10" i="203"/>
  <c r="AA9" i="203"/>
  <c r="AA8" i="203"/>
  <c r="N11" i="203"/>
  <c r="X9" i="203"/>
  <c r="X22" i="203"/>
  <c r="G288" i="282" l="1"/>
  <c r="M285" i="282"/>
  <c r="M290" i="282" s="1"/>
  <c r="N11" i="211"/>
  <c r="O7" i="211" s="1"/>
  <c r="P7" i="211" s="1"/>
  <c r="K280" i="282"/>
  <c r="K288" i="282" s="1"/>
  <c r="O288" i="282" s="1"/>
  <c r="N282" i="282"/>
  <c r="N292" i="282" s="1"/>
  <c r="V280" i="282" s="1"/>
  <c r="G286" i="282"/>
  <c r="P11" i="203"/>
  <c r="U11" i="209"/>
  <c r="T12" i="209" s="1"/>
  <c r="M282" i="282"/>
  <c r="M289" i="282" s="1"/>
  <c r="L293" i="282"/>
  <c r="T281" i="282" s="1"/>
  <c r="N285" i="282"/>
  <c r="L284" i="282"/>
  <c r="O284" i="282" s="1"/>
  <c r="G15" i="206"/>
  <c r="G14" i="206" s="1"/>
  <c r="I14" i="206" s="1"/>
  <c r="G292" i="282"/>
  <c r="P7" i="203"/>
  <c r="L282" i="282"/>
  <c r="G290" i="282"/>
  <c r="K285" i="282"/>
  <c r="I16" i="206"/>
  <c r="K282" i="282"/>
  <c r="G289" i="282"/>
  <c r="K283" i="282"/>
  <c r="N50" i="102"/>
  <c r="P49" i="102"/>
  <c r="O281" i="282"/>
  <c r="N10" i="210"/>
  <c r="N8" i="210"/>
  <c r="N7" i="210"/>
  <c r="R9" i="206"/>
  <c r="S9" i="206"/>
  <c r="H15" i="206"/>
  <c r="R12" i="206" s="1"/>
  <c r="S12" i="206" s="1"/>
  <c r="T6" i="200"/>
  <c r="T8" i="200" s="1"/>
  <c r="T12" i="200" s="1"/>
  <c r="T13" i="200" s="1"/>
  <c r="X10" i="203"/>
  <c r="R12" i="209" l="1"/>
  <c r="M293" i="282"/>
  <c r="U285" i="282" s="1"/>
  <c r="N289" i="282"/>
  <c r="O9" i="211"/>
  <c r="P9" i="211" s="1"/>
  <c r="O280" i="282"/>
  <c r="N286" i="282"/>
  <c r="T285" i="282"/>
  <c r="V284" i="282"/>
  <c r="T283" i="282"/>
  <c r="V282" i="282"/>
  <c r="N290" i="282"/>
  <c r="L290" i="282"/>
  <c r="L286" i="282"/>
  <c r="N293" i="282"/>
  <c r="S12" i="209"/>
  <c r="M292" i="282"/>
  <c r="U280" i="282" s="1"/>
  <c r="M286" i="282"/>
  <c r="K289" i="282"/>
  <c r="O282" i="282"/>
  <c r="N51" i="102"/>
  <c r="P50" i="102"/>
  <c r="O283" i="282"/>
  <c r="K293" i="282"/>
  <c r="S285" i="282" s="1"/>
  <c r="L289" i="282"/>
  <c r="L292" i="282"/>
  <c r="O285" i="282"/>
  <c r="K286" i="282"/>
  <c r="K290" i="282"/>
  <c r="K292" i="282"/>
  <c r="S282" i="282" s="1"/>
  <c r="O10" i="211"/>
  <c r="P10" i="211" s="1"/>
  <c r="N16" i="211"/>
  <c r="P15" i="211" s="1"/>
  <c r="O8" i="211"/>
  <c r="P8" i="211" s="1"/>
  <c r="N11" i="210"/>
  <c r="O9" i="210" s="1"/>
  <c r="P9" i="210" s="1"/>
  <c r="L14" i="206"/>
  <c r="I15" i="206"/>
  <c r="X12" i="203"/>
  <c r="X11" i="203"/>
  <c r="X14" i="203"/>
  <c r="X13" i="203"/>
  <c r="U283" i="282" l="1"/>
  <c r="U281" i="282"/>
  <c r="U288" i="282" s="1"/>
  <c r="P11" i="211"/>
  <c r="O16" i="211" s="1"/>
  <c r="R15" i="211" s="1"/>
  <c r="U282" i="282"/>
  <c r="T293" i="282"/>
  <c r="V292" i="282"/>
  <c r="U284" i="282"/>
  <c r="O290" i="282"/>
  <c r="O286" i="282"/>
  <c r="V281" i="282"/>
  <c r="V283" i="282"/>
  <c r="V285" i="282"/>
  <c r="V290" i="282" s="1"/>
  <c r="S283" i="282"/>
  <c r="S289" i="282" s="1"/>
  <c r="O289" i="282"/>
  <c r="T282" i="282"/>
  <c r="T280" i="282"/>
  <c r="T284" i="282"/>
  <c r="N52" i="102"/>
  <c r="P51" i="102"/>
  <c r="O292" i="282"/>
  <c r="S280" i="282"/>
  <c r="S284" i="282"/>
  <c r="S281" i="282"/>
  <c r="O293" i="282"/>
  <c r="N16" i="210"/>
  <c r="P15" i="210" s="1"/>
  <c r="O7" i="210"/>
  <c r="P7" i="210" s="1"/>
  <c r="O10" i="210"/>
  <c r="P10" i="210" s="1"/>
  <c r="O8" i="210"/>
  <c r="P8" i="210" s="1"/>
  <c r="N12" i="206"/>
  <c r="J14" i="206"/>
  <c r="K14" i="206" s="1"/>
  <c r="X16" i="203"/>
  <c r="U293" i="282" l="1"/>
  <c r="U289" i="282"/>
  <c r="U292" i="282"/>
  <c r="U286" i="282"/>
  <c r="U290" i="282"/>
  <c r="V286" i="282"/>
  <c r="V289" i="282"/>
  <c r="V288" i="282"/>
  <c r="V293" i="282"/>
  <c r="W285" i="282"/>
  <c r="C301" i="282" s="1"/>
  <c r="W280" i="282"/>
  <c r="D296" i="282" s="1"/>
  <c r="S288" i="282"/>
  <c r="S292" i="282"/>
  <c r="S286" i="282"/>
  <c r="T290" i="282"/>
  <c r="T292" i="282"/>
  <c r="T288" i="282"/>
  <c r="T286" i="282"/>
  <c r="W281" i="282"/>
  <c r="S293" i="282"/>
  <c r="T289" i="282"/>
  <c r="W283" i="282"/>
  <c r="W282" i="282"/>
  <c r="W284" i="282"/>
  <c r="S290" i="282"/>
  <c r="N53" i="102"/>
  <c r="P52" i="102"/>
  <c r="P11" i="210"/>
  <c r="O16" i="210" s="1"/>
  <c r="R15" i="210" s="1"/>
  <c r="Q15" i="211"/>
  <c r="O12" i="206"/>
  <c r="P12" i="206" s="1"/>
  <c r="T12" i="206" s="1"/>
  <c r="X18" i="203"/>
  <c r="Q7" i="203"/>
  <c r="R7" i="203" s="1"/>
  <c r="S7" i="203" s="1"/>
  <c r="AB9" i="203" l="1"/>
  <c r="AC9" i="203" s="1"/>
  <c r="D301" i="282"/>
  <c r="F301" i="282"/>
  <c r="E301" i="282"/>
  <c r="W293" i="282"/>
  <c r="W289" i="282"/>
  <c r="W292" i="282"/>
  <c r="F300" i="282"/>
  <c r="E300" i="282"/>
  <c r="D299" i="282"/>
  <c r="F299" i="282"/>
  <c r="E299" i="282"/>
  <c r="F297" i="282"/>
  <c r="D297" i="282"/>
  <c r="E297" i="282"/>
  <c r="N54" i="102"/>
  <c r="P53" i="102"/>
  <c r="F298" i="282"/>
  <c r="C298" i="282"/>
  <c r="E298" i="282"/>
  <c r="D298" i="282"/>
  <c r="D300" i="282"/>
  <c r="W286" i="282"/>
  <c r="F296" i="282"/>
  <c r="E296" i="282"/>
  <c r="C300" i="282"/>
  <c r="C297" i="282"/>
  <c r="W288" i="282"/>
  <c r="Q15" i="210"/>
  <c r="W290" i="282"/>
  <c r="C299" i="282"/>
  <c r="C296" i="282"/>
  <c r="AB8" i="203"/>
  <c r="AC8" i="203" s="1"/>
  <c r="AB11" i="203"/>
  <c r="AC11" i="203" s="1"/>
  <c r="AB7" i="203"/>
  <c r="AC7" i="203" s="1"/>
  <c r="AB10" i="203"/>
  <c r="AC10" i="203" s="1"/>
  <c r="AB12" i="203"/>
  <c r="AC12" i="203" s="1"/>
  <c r="Q11" i="203"/>
  <c r="R11" i="203" s="1"/>
  <c r="S11" i="203" s="1"/>
  <c r="G301" i="282" l="1"/>
  <c r="E306" i="282"/>
  <c r="M300" i="282" s="1"/>
  <c r="D308" i="282"/>
  <c r="G297" i="282"/>
  <c r="C309" i="282"/>
  <c r="D309" i="282"/>
  <c r="C306" i="282"/>
  <c r="G300" i="282"/>
  <c r="F305" i="282"/>
  <c r="N298" i="282" s="1"/>
  <c r="G299" i="282"/>
  <c r="E302" i="282"/>
  <c r="E304" i="282"/>
  <c r="M296" i="282" s="1"/>
  <c r="E308" i="282"/>
  <c r="D304" i="282"/>
  <c r="L296" i="282" s="1"/>
  <c r="D305" i="282"/>
  <c r="L299" i="282" s="1"/>
  <c r="F306" i="282"/>
  <c r="N301" i="282" s="1"/>
  <c r="G298" i="282"/>
  <c r="C305" i="282"/>
  <c r="K299" i="282" s="1"/>
  <c r="C304" i="282"/>
  <c r="K297" i="282" s="1"/>
  <c r="G296" i="282"/>
  <c r="C302" i="282"/>
  <c r="C308" i="282"/>
  <c r="D306" i="282"/>
  <c r="L301" i="282" s="1"/>
  <c r="F304" i="282"/>
  <c r="N297" i="282" s="1"/>
  <c r="F308" i="282"/>
  <c r="F302" i="282"/>
  <c r="D302" i="282"/>
  <c r="E305" i="282"/>
  <c r="M299" i="282" s="1"/>
  <c r="N55" i="102"/>
  <c r="P54" i="102"/>
  <c r="E309" i="282"/>
  <c r="F309" i="282"/>
  <c r="U7" i="203"/>
  <c r="T7" i="203"/>
  <c r="U11" i="203"/>
  <c r="T11" i="203"/>
  <c r="M301" i="282" l="1"/>
  <c r="M306" i="282" s="1"/>
  <c r="M298" i="282"/>
  <c r="L297" i="282"/>
  <c r="L309" i="282" s="1"/>
  <c r="T299" i="282" s="1"/>
  <c r="L298" i="282"/>
  <c r="L305" i="282" s="1"/>
  <c r="N299" i="282"/>
  <c r="K296" i="282"/>
  <c r="K304" i="282" s="1"/>
  <c r="G308" i="282"/>
  <c r="N296" i="282"/>
  <c r="N304" i="282" s="1"/>
  <c r="O299" i="282"/>
  <c r="M308" i="282"/>
  <c r="U300" i="282" s="1"/>
  <c r="G306" i="282"/>
  <c r="K301" i="282"/>
  <c r="K309" i="282" s="1"/>
  <c r="M297" i="282"/>
  <c r="M305" i="282"/>
  <c r="L300" i="282"/>
  <c r="G302" i="282"/>
  <c r="G304" i="282"/>
  <c r="N300" i="282"/>
  <c r="K300" i="282"/>
  <c r="G309" i="282"/>
  <c r="N56" i="102"/>
  <c r="P55" i="102"/>
  <c r="K298" i="282"/>
  <c r="G305" i="282"/>
  <c r="O19" i="200"/>
  <c r="P19" i="200"/>
  <c r="Q19" i="200"/>
  <c r="R19" i="200"/>
  <c r="S19" i="200"/>
  <c r="T19" i="200"/>
  <c r="P18" i="200"/>
  <c r="Q18" i="200"/>
  <c r="R18" i="200"/>
  <c r="S18" i="200"/>
  <c r="T18" i="200"/>
  <c r="O18" i="200"/>
  <c r="T17" i="200"/>
  <c r="T21" i="200" s="1"/>
  <c r="S17" i="200"/>
  <c r="S21" i="200" s="1"/>
  <c r="R17" i="200"/>
  <c r="R21" i="200" s="1"/>
  <c r="Q17" i="200"/>
  <c r="Q21" i="200" s="1"/>
  <c r="P17" i="200"/>
  <c r="P21" i="200" s="1"/>
  <c r="O17" i="200"/>
  <c r="O21" i="200" s="1"/>
  <c r="O297" i="282" l="1"/>
  <c r="L304" i="282"/>
  <c r="N302" i="282"/>
  <c r="L302" i="282"/>
  <c r="N309" i="282"/>
  <c r="V297" i="282" s="1"/>
  <c r="N305" i="282"/>
  <c r="N308" i="282"/>
  <c r="V298" i="282" s="1"/>
  <c r="O296" i="282"/>
  <c r="L308" i="282"/>
  <c r="T298" i="282" s="1"/>
  <c r="T305" i="282" s="1"/>
  <c r="T297" i="282"/>
  <c r="T301" i="282"/>
  <c r="S297" i="282"/>
  <c r="S299" i="282"/>
  <c r="K305" i="282"/>
  <c r="O298" i="282"/>
  <c r="M309" i="282"/>
  <c r="M304" i="282"/>
  <c r="O300" i="282"/>
  <c r="K306" i="282"/>
  <c r="K302" i="282"/>
  <c r="N306" i="282"/>
  <c r="U298" i="282"/>
  <c r="M302" i="282"/>
  <c r="N57" i="102"/>
  <c r="P56" i="102"/>
  <c r="K308" i="282"/>
  <c r="S298" i="282" s="1"/>
  <c r="L306" i="282"/>
  <c r="O301" i="282"/>
  <c r="S301" i="282"/>
  <c r="U296" i="282"/>
  <c r="S20" i="200"/>
  <c r="S22" i="200" s="1"/>
  <c r="P20" i="200"/>
  <c r="P22" i="200" s="1"/>
  <c r="T20" i="200"/>
  <c r="T22" i="200" s="1"/>
  <c r="O20" i="200"/>
  <c r="O22" i="200" s="1"/>
  <c r="Q20" i="200"/>
  <c r="Q22" i="200" s="1"/>
  <c r="R20" i="200"/>
  <c r="R22" i="200" s="1"/>
  <c r="H15" i="198"/>
  <c r="S101" i="198" s="1"/>
  <c r="K7" i="198"/>
  <c r="K8" i="198"/>
  <c r="K9" i="198"/>
  <c r="K10" i="198"/>
  <c r="H18" i="198"/>
  <c r="G18" i="198"/>
  <c r="J10" i="198"/>
  <c r="I10" i="198"/>
  <c r="P52" i="198" s="1"/>
  <c r="S52" i="198" s="1"/>
  <c r="H10" i="198"/>
  <c r="G10" i="198"/>
  <c r="Q10" i="198" s="1"/>
  <c r="J9" i="198"/>
  <c r="I9" i="198"/>
  <c r="P30" i="198" s="1"/>
  <c r="S30" i="198" s="1"/>
  <c r="H9" i="198"/>
  <c r="G9" i="198"/>
  <c r="Q72" i="198" s="1"/>
  <c r="R72" i="198" s="1"/>
  <c r="J8" i="198"/>
  <c r="I8" i="198"/>
  <c r="P29" i="198" s="1"/>
  <c r="S29" i="198" s="1"/>
  <c r="H8" i="198"/>
  <c r="G8" i="198"/>
  <c r="Q71" i="198" s="1"/>
  <c r="R71" i="198" s="1"/>
  <c r="J7" i="198"/>
  <c r="I7" i="198"/>
  <c r="P70" i="198" s="1"/>
  <c r="S70" i="198" s="1"/>
  <c r="H7" i="198"/>
  <c r="G7" i="198"/>
  <c r="Q28" i="198" s="1"/>
  <c r="R28" i="198" s="1"/>
  <c r="H16" i="197"/>
  <c r="G16" i="197"/>
  <c r="H14" i="197"/>
  <c r="K10" i="197"/>
  <c r="J10" i="197"/>
  <c r="I10" i="197"/>
  <c r="P22" i="197" s="1"/>
  <c r="S22" i="197" s="1"/>
  <c r="H10" i="197"/>
  <c r="G10" i="197"/>
  <c r="Q22" i="197" s="1"/>
  <c r="R22" i="197" s="1"/>
  <c r="K9" i="197"/>
  <c r="J9" i="197"/>
  <c r="I9" i="197"/>
  <c r="H9" i="197"/>
  <c r="G9" i="197"/>
  <c r="K8" i="197"/>
  <c r="J8" i="197"/>
  <c r="I8" i="197"/>
  <c r="P20" i="197" s="1"/>
  <c r="S20" i="197" s="1"/>
  <c r="H8" i="197"/>
  <c r="G8" i="197"/>
  <c r="Q20" i="197" s="1"/>
  <c r="R20" i="197" s="1"/>
  <c r="K7" i="197"/>
  <c r="J7" i="197"/>
  <c r="I7" i="197"/>
  <c r="P19" i="197" s="1"/>
  <c r="S19" i="197" s="1"/>
  <c r="H7" i="197"/>
  <c r="G7" i="197"/>
  <c r="Q19" i="197" s="1"/>
  <c r="R19" i="197" s="1"/>
  <c r="N9" i="196"/>
  <c r="N6" i="196"/>
  <c r="N7" i="196" s="1"/>
  <c r="N5" i="196"/>
  <c r="C13" i="195"/>
  <c r="D13" i="195"/>
  <c r="E13" i="195"/>
  <c r="B13" i="195"/>
  <c r="E14" i="195"/>
  <c r="D14" i="195"/>
  <c r="C14" i="195"/>
  <c r="B14" i="195"/>
  <c r="E12" i="195"/>
  <c r="D12" i="195"/>
  <c r="C12" i="195"/>
  <c r="B12" i="195"/>
  <c r="C41" i="192"/>
  <c r="C48" i="192" s="1"/>
  <c r="D41" i="192"/>
  <c r="D47" i="192" s="1"/>
  <c r="E41" i="192"/>
  <c r="E47" i="192" s="1"/>
  <c r="B41" i="192"/>
  <c r="B47" i="192" s="1"/>
  <c r="E42" i="192"/>
  <c r="D42" i="192"/>
  <c r="C42" i="192"/>
  <c r="B42" i="192"/>
  <c r="E32" i="194"/>
  <c r="E33" i="194" s="1"/>
  <c r="D32" i="194"/>
  <c r="D33" i="194" s="1"/>
  <c r="C32" i="194"/>
  <c r="C33" i="194" s="1"/>
  <c r="B32" i="194"/>
  <c r="B33" i="194" s="1"/>
  <c r="E30" i="194"/>
  <c r="E31" i="194" s="1"/>
  <c r="D30" i="194"/>
  <c r="D31" i="194" s="1"/>
  <c r="C30" i="194"/>
  <c r="C31" i="194" s="1"/>
  <c r="B30" i="194"/>
  <c r="B31" i="194" s="1"/>
  <c r="E29" i="194"/>
  <c r="D29" i="194"/>
  <c r="C29" i="194"/>
  <c r="B29" i="194"/>
  <c r="I20" i="194"/>
  <c r="I3" i="194"/>
  <c r="I10" i="194" s="1"/>
  <c r="C15" i="194"/>
  <c r="C16" i="194" s="1"/>
  <c r="D15" i="194"/>
  <c r="D16" i="194" s="1"/>
  <c r="E15" i="194"/>
  <c r="E16" i="194" s="1"/>
  <c r="B15" i="194"/>
  <c r="B16" i="194" s="1"/>
  <c r="C13" i="194"/>
  <c r="D13" i="194"/>
  <c r="D14" i="194" s="1"/>
  <c r="E13" i="194"/>
  <c r="E14" i="194" s="1"/>
  <c r="B13" i="194"/>
  <c r="C12" i="194"/>
  <c r="D12" i="194"/>
  <c r="E12" i="194"/>
  <c r="B12" i="194"/>
  <c r="C16" i="193"/>
  <c r="G8" i="193" s="1"/>
  <c r="D16" i="193"/>
  <c r="H9" i="193" s="1"/>
  <c r="C17" i="193"/>
  <c r="D17" i="193"/>
  <c r="B17" i="193"/>
  <c r="B16" i="193"/>
  <c r="F7" i="193" s="1"/>
  <c r="C15" i="192"/>
  <c r="D15" i="192"/>
  <c r="E15" i="192"/>
  <c r="B15" i="192"/>
  <c r="E14" i="192"/>
  <c r="D14" i="192"/>
  <c r="C14" i="192"/>
  <c r="B14" i="192"/>
  <c r="B21" i="192" l="1"/>
  <c r="B22" i="192"/>
  <c r="B23" i="192"/>
  <c r="B24" i="192"/>
  <c r="B25" i="192"/>
  <c r="B26" i="192"/>
  <c r="B27" i="192"/>
  <c r="B20" i="192"/>
  <c r="C21" i="192"/>
  <c r="C22" i="192"/>
  <c r="C23" i="192"/>
  <c r="C24" i="192"/>
  <c r="C25" i="192"/>
  <c r="C26" i="192"/>
  <c r="C27" i="192"/>
  <c r="C20" i="192"/>
  <c r="D20" i="192"/>
  <c r="D21" i="192"/>
  <c r="D22" i="192"/>
  <c r="D23" i="192"/>
  <c r="D24" i="192"/>
  <c r="D25" i="192"/>
  <c r="D26" i="192"/>
  <c r="D27" i="192"/>
  <c r="E20" i="192"/>
  <c r="E23" i="192"/>
  <c r="E25" i="192"/>
  <c r="E21" i="192"/>
  <c r="E22" i="192"/>
  <c r="E24" i="192"/>
  <c r="E26" i="192"/>
  <c r="E27" i="192"/>
  <c r="C81" i="192"/>
  <c r="C80" i="192"/>
  <c r="C79" i="192"/>
  <c r="C78" i="192"/>
  <c r="C77" i="192"/>
  <c r="C76" i="192"/>
  <c r="C75" i="192"/>
  <c r="C74" i="192"/>
  <c r="D81" i="192"/>
  <c r="D80" i="192"/>
  <c r="D79" i="192"/>
  <c r="D78" i="192"/>
  <c r="D77" i="192"/>
  <c r="D76" i="192"/>
  <c r="D75" i="192"/>
  <c r="D74" i="192"/>
  <c r="E81" i="192"/>
  <c r="E80" i="192"/>
  <c r="E79" i="192"/>
  <c r="E78" i="192"/>
  <c r="E77" i="192"/>
  <c r="E76" i="192"/>
  <c r="E75" i="192"/>
  <c r="E74" i="192"/>
  <c r="B81" i="192"/>
  <c r="B80" i="192"/>
  <c r="B79" i="192"/>
  <c r="B78" i="192"/>
  <c r="B77" i="192"/>
  <c r="B76" i="192"/>
  <c r="B75" i="192"/>
  <c r="B74" i="192"/>
  <c r="O304" i="282"/>
  <c r="O309" i="282"/>
  <c r="T309" i="282"/>
  <c r="Q91" i="198"/>
  <c r="R91" i="198" s="1"/>
  <c r="T296" i="282"/>
  <c r="T304" i="282" s="1"/>
  <c r="V301" i="282"/>
  <c r="O305" i="282"/>
  <c r="V299" i="282"/>
  <c r="V296" i="282"/>
  <c r="V300" i="282"/>
  <c r="B54" i="192"/>
  <c r="E53" i="192"/>
  <c r="E52" i="192"/>
  <c r="E48" i="192"/>
  <c r="T300" i="282"/>
  <c r="B50" i="192"/>
  <c r="E49" i="192"/>
  <c r="B51" i="192"/>
  <c r="O302" i="282"/>
  <c r="D52" i="192"/>
  <c r="D48" i="192"/>
  <c r="F13" i="194"/>
  <c r="F15" i="194" s="1"/>
  <c r="F16" i="194" s="1"/>
  <c r="I4" i="194" s="1"/>
  <c r="D54" i="192"/>
  <c r="B53" i="192"/>
  <c r="E51" i="192"/>
  <c r="D50" i="192"/>
  <c r="B49" i="192"/>
  <c r="Q94" i="198"/>
  <c r="R94" i="198" s="1"/>
  <c r="D51" i="192"/>
  <c r="Q92" i="198"/>
  <c r="R92" i="198" s="1"/>
  <c r="O306" i="282"/>
  <c r="E54" i="192"/>
  <c r="D53" i="192"/>
  <c r="B52" i="192"/>
  <c r="E50" i="192"/>
  <c r="D49" i="192"/>
  <c r="B48" i="192"/>
  <c r="Q93" i="198"/>
  <c r="R93" i="198" s="1"/>
  <c r="U297" i="282"/>
  <c r="U304" i="282" s="1"/>
  <c r="W298" i="282"/>
  <c r="E314" i="282" s="1"/>
  <c r="S305" i="282"/>
  <c r="C47" i="192"/>
  <c r="S59" i="198"/>
  <c r="P91" i="198"/>
  <c r="S91" i="198" s="1"/>
  <c r="P92" i="198"/>
  <c r="S92" i="198" s="1"/>
  <c r="P93" i="198"/>
  <c r="S93" i="198" s="1"/>
  <c r="P94" i="198"/>
  <c r="S94" i="198" s="1"/>
  <c r="G6" i="193"/>
  <c r="S63" i="198"/>
  <c r="G13" i="193"/>
  <c r="G9" i="193"/>
  <c r="C54" i="192"/>
  <c r="C53" i="192"/>
  <c r="C52" i="192"/>
  <c r="C51" i="192"/>
  <c r="C50" i="192"/>
  <c r="C49" i="192"/>
  <c r="S42" i="198"/>
  <c r="S84" i="198"/>
  <c r="S105" i="198"/>
  <c r="U308" i="282"/>
  <c r="S300" i="282"/>
  <c r="S309" i="282"/>
  <c r="S17" i="198"/>
  <c r="N58" i="102"/>
  <c r="P57" i="102"/>
  <c r="G15" i="197"/>
  <c r="G14" i="197" s="1"/>
  <c r="I14" i="197" s="1"/>
  <c r="S21" i="198"/>
  <c r="O308" i="282"/>
  <c r="S296" i="282"/>
  <c r="F14" i="195"/>
  <c r="N8" i="196"/>
  <c r="N10" i="196" s="1"/>
  <c r="S38" i="198"/>
  <c r="S80" i="198"/>
  <c r="U299" i="282"/>
  <c r="U301" i="282"/>
  <c r="P8" i="198"/>
  <c r="S8" i="198" s="1"/>
  <c r="P50" i="198"/>
  <c r="S50" i="198" s="1"/>
  <c r="Q29" i="198"/>
  <c r="R29" i="198" s="1"/>
  <c r="Q8" i="198"/>
  <c r="R8" i="198" s="1"/>
  <c r="Q50" i="198"/>
  <c r="R50" i="198" s="1"/>
  <c r="P71" i="198"/>
  <c r="S71" i="198" s="1"/>
  <c r="P31" i="198"/>
  <c r="S31" i="198" s="1"/>
  <c r="Q52" i="198"/>
  <c r="R52" i="198" s="1"/>
  <c r="P73" i="198"/>
  <c r="S73" i="198" s="1"/>
  <c r="P10" i="198"/>
  <c r="S10" i="198" s="1"/>
  <c r="Q31" i="198"/>
  <c r="R31" i="198" s="1"/>
  <c r="Q73" i="198"/>
  <c r="R73" i="198" s="1"/>
  <c r="Q30" i="198"/>
  <c r="R30" i="198" s="1"/>
  <c r="P51" i="198"/>
  <c r="S51" i="198" s="1"/>
  <c r="Q9" i="198"/>
  <c r="R9" i="198" s="1"/>
  <c r="Q51" i="198"/>
  <c r="R51" i="198" s="1"/>
  <c r="P9" i="198"/>
  <c r="S9" i="198" s="1"/>
  <c r="P72" i="198"/>
  <c r="S72" i="198" s="1"/>
  <c r="Q7" i="198"/>
  <c r="R7" i="198" s="1"/>
  <c r="P7" i="198"/>
  <c r="S7" i="198" s="1"/>
  <c r="P28" i="198"/>
  <c r="S28" i="198" s="1"/>
  <c r="Q49" i="198"/>
  <c r="R49" i="198" s="1"/>
  <c r="Q70" i="198"/>
  <c r="R70" i="198" s="1"/>
  <c r="P49" i="198"/>
  <c r="S49" i="198" s="1"/>
  <c r="R10" i="198"/>
  <c r="G16" i="198"/>
  <c r="G15" i="198" s="1"/>
  <c r="I15" i="198" s="1"/>
  <c r="H16" i="198"/>
  <c r="P99" i="198" s="1"/>
  <c r="I18" i="198"/>
  <c r="I16" i="197"/>
  <c r="R23" i="197"/>
  <c r="S23" i="197"/>
  <c r="H15" i="197"/>
  <c r="P7" i="197"/>
  <c r="S7" i="197" s="1"/>
  <c r="P8" i="197"/>
  <c r="S8" i="197" s="1"/>
  <c r="Q7" i="197"/>
  <c r="R7" i="197" s="1"/>
  <c r="Q8" i="197"/>
  <c r="R8" i="197" s="1"/>
  <c r="F13" i="195"/>
  <c r="F30" i="194"/>
  <c r="I27" i="194"/>
  <c r="C14" i="194"/>
  <c r="B14" i="194"/>
  <c r="H14" i="193"/>
  <c r="F12" i="193"/>
  <c r="H10" i="193"/>
  <c r="F8" i="193"/>
  <c r="H15" i="193"/>
  <c r="G14" i="193"/>
  <c r="F13" i="193"/>
  <c r="H11" i="193"/>
  <c r="G10" i="193"/>
  <c r="F9" i="193"/>
  <c r="H7" i="193"/>
  <c r="F6" i="193"/>
  <c r="G15" i="193"/>
  <c r="F14" i="193"/>
  <c r="H12" i="193"/>
  <c r="G11" i="193"/>
  <c r="F10" i="193"/>
  <c r="H8" i="193"/>
  <c r="G7" i="193"/>
  <c r="H6" i="193"/>
  <c r="F15" i="193"/>
  <c r="H13" i="193"/>
  <c r="G12" i="193"/>
  <c r="F11" i="193"/>
  <c r="Q16" i="189"/>
  <c r="Q17" i="189"/>
  <c r="Q18" i="189"/>
  <c r="Q15" i="189"/>
  <c r="O16" i="189"/>
  <c r="P16" i="189" s="1"/>
  <c r="O17" i="189"/>
  <c r="O18" i="189"/>
  <c r="P18" i="189" s="1"/>
  <c r="O15" i="189"/>
  <c r="P15" i="189" s="1"/>
  <c r="O7" i="189"/>
  <c r="O8" i="189"/>
  <c r="O9" i="189"/>
  <c r="O6" i="189"/>
  <c r="P7" i="189"/>
  <c r="P8" i="189"/>
  <c r="P9" i="189"/>
  <c r="P6" i="189"/>
  <c r="Q7" i="187"/>
  <c r="Q8" i="187"/>
  <c r="Q9" i="187"/>
  <c r="Q6" i="187"/>
  <c r="P7" i="187"/>
  <c r="R7" i="187" s="1"/>
  <c r="P8" i="187"/>
  <c r="P9" i="187"/>
  <c r="P6" i="187"/>
  <c r="R6" i="187" s="1"/>
  <c r="N5" i="188"/>
  <c r="N6" i="188"/>
  <c r="N4" i="188"/>
  <c r="F12" i="188"/>
  <c r="C12" i="188"/>
  <c r="D12" i="188"/>
  <c r="E12" i="188"/>
  <c r="B12" i="188"/>
  <c r="O10" i="186"/>
  <c r="F15" i="186"/>
  <c r="J7" i="186"/>
  <c r="G15" i="186"/>
  <c r="G13" i="186"/>
  <c r="J9" i="186"/>
  <c r="I9" i="186"/>
  <c r="H9" i="186"/>
  <c r="O9" i="186" s="1"/>
  <c r="G9" i="186"/>
  <c r="F9" i="186"/>
  <c r="N9" i="186" s="1"/>
  <c r="J8" i="186"/>
  <c r="I8" i="186"/>
  <c r="H8" i="186"/>
  <c r="O8" i="186" s="1"/>
  <c r="P8" i="186" s="1"/>
  <c r="G8" i="186"/>
  <c r="F8" i="186"/>
  <c r="N8" i="186" s="1"/>
  <c r="I7" i="186"/>
  <c r="H7" i="186"/>
  <c r="O7" i="186" s="1"/>
  <c r="P7" i="186" s="1"/>
  <c r="G7" i="186"/>
  <c r="F7" i="186"/>
  <c r="N7" i="186" s="1"/>
  <c r="B11" i="179"/>
  <c r="G11" i="179" s="1"/>
  <c r="F11" i="179"/>
  <c r="I10" i="179"/>
  <c r="B5" i="179"/>
  <c r="G5" i="179" s="1"/>
  <c r="I11" i="179"/>
  <c r="F10" i="179"/>
  <c r="B10" i="179"/>
  <c r="G10" i="179" s="1"/>
  <c r="I9" i="179"/>
  <c r="F9" i="179"/>
  <c r="B9" i="179"/>
  <c r="G9" i="179" s="1"/>
  <c r="I8" i="179"/>
  <c r="F8" i="179"/>
  <c r="B8" i="179"/>
  <c r="G8" i="179" s="1"/>
  <c r="I7" i="179"/>
  <c r="F7" i="179"/>
  <c r="B7" i="179"/>
  <c r="G7" i="179" s="1"/>
  <c r="I6" i="179"/>
  <c r="F6" i="179"/>
  <c r="B6" i="179"/>
  <c r="G6" i="179" s="1"/>
  <c r="I5" i="179"/>
  <c r="F5" i="179"/>
  <c r="I4" i="179"/>
  <c r="F4" i="179"/>
  <c r="B4" i="179"/>
  <c r="E16" i="156"/>
  <c r="E13" i="156"/>
  <c r="E12" i="156"/>
  <c r="E10" i="156"/>
  <c r="E9" i="156"/>
  <c r="E5" i="156"/>
  <c r="E6" i="156"/>
  <c r="E14" i="156"/>
  <c r="E7" i="156"/>
  <c r="E15" i="156"/>
  <c r="E8" i="156"/>
  <c r="E11" i="156"/>
  <c r="G16" i="156"/>
  <c r="F16" i="156"/>
  <c r="G15" i="156"/>
  <c r="F15" i="156"/>
  <c r="G14" i="156"/>
  <c r="F14" i="156"/>
  <c r="G13" i="156"/>
  <c r="F13" i="156"/>
  <c r="G12" i="156"/>
  <c r="F12" i="156"/>
  <c r="G11" i="156"/>
  <c r="F11" i="156"/>
  <c r="G10" i="156"/>
  <c r="F10" i="156"/>
  <c r="G9" i="156"/>
  <c r="F9" i="156"/>
  <c r="G8" i="156"/>
  <c r="F8" i="156"/>
  <c r="G7" i="156"/>
  <c r="F7" i="156"/>
  <c r="G6" i="156"/>
  <c r="F6" i="156"/>
  <c r="G5" i="156"/>
  <c r="F5" i="156"/>
  <c r="V20" i="109"/>
  <c r="J32" i="109"/>
  <c r="J31" i="109"/>
  <c r="J30" i="109"/>
  <c r="J29" i="109"/>
  <c r="J28" i="109"/>
  <c r="J27" i="109"/>
  <c r="J26" i="109"/>
  <c r="J25" i="109"/>
  <c r="J24" i="109"/>
  <c r="J23" i="109"/>
  <c r="J22" i="109"/>
  <c r="J21" i="109"/>
  <c r="J20" i="109"/>
  <c r="J19" i="109"/>
  <c r="J18" i="109"/>
  <c r="J17" i="109"/>
  <c r="J16" i="109"/>
  <c r="J15" i="109"/>
  <c r="J14" i="109"/>
  <c r="J13" i="109"/>
  <c r="J12" i="109"/>
  <c r="J11" i="109"/>
  <c r="J10" i="109"/>
  <c r="J9" i="109"/>
  <c r="J8" i="109"/>
  <c r="J7" i="109"/>
  <c r="J6" i="109"/>
  <c r="J5" i="109"/>
  <c r="J4" i="109"/>
  <c r="J3" i="109"/>
  <c r="O18" i="99"/>
  <c r="F4" i="108"/>
  <c r="F3" i="108"/>
  <c r="N7" i="107"/>
  <c r="N8" i="107"/>
  <c r="N9" i="107"/>
  <c r="N10" i="107"/>
  <c r="N11" i="107"/>
  <c r="N12" i="107"/>
  <c r="N13" i="107"/>
  <c r="N14" i="107"/>
  <c r="N15" i="107"/>
  <c r="N16" i="107"/>
  <c r="N6" i="107"/>
  <c r="J26" i="107"/>
  <c r="J27" i="107" s="1"/>
  <c r="J28" i="107" s="1"/>
  <c r="J29" i="107" s="1"/>
  <c r="J30" i="107" s="1"/>
  <c r="J31" i="107" s="1"/>
  <c r="J32" i="107" s="1"/>
  <c r="J33" i="107" s="1"/>
  <c r="J34" i="107" s="1"/>
  <c r="J35" i="107" s="1"/>
  <c r="J36" i="107" s="1"/>
  <c r="G16" i="107"/>
  <c r="F14" i="107"/>
  <c r="F10" i="107"/>
  <c r="F16" i="107" s="1"/>
  <c r="R8" i="107"/>
  <c r="R7" i="107"/>
  <c r="R6" i="107"/>
  <c r="H13" i="101" a="1"/>
  <c r="K13" i="101" s="1"/>
  <c r="R9" i="187" l="1"/>
  <c r="G4" i="179"/>
  <c r="K9" i="179" s="1" a="1"/>
  <c r="K9" i="179" s="1"/>
  <c r="K4" i="179" s="1" a="1"/>
  <c r="X18" i="179" a="1"/>
  <c r="B13" i="188"/>
  <c r="H5" i="188" s="1"/>
  <c r="V306" i="282"/>
  <c r="T308" i="282"/>
  <c r="T302" i="282"/>
  <c r="T306" i="282"/>
  <c r="V308" i="282"/>
  <c r="W299" i="282"/>
  <c r="C315" i="282" s="1"/>
  <c r="V305" i="282"/>
  <c r="V309" i="282"/>
  <c r="V302" i="282"/>
  <c r="F15" i="107"/>
  <c r="F14" i="194"/>
  <c r="I5" i="194" s="1"/>
  <c r="I6" i="194" s="1"/>
  <c r="I9" i="194" s="1"/>
  <c r="I11" i="194" s="1"/>
  <c r="V304" i="282"/>
  <c r="F15" i="195"/>
  <c r="F16" i="195" s="1"/>
  <c r="D22" i="195" s="1"/>
  <c r="I22" i="195" s="1"/>
  <c r="P9" i="186"/>
  <c r="P10" i="186" s="1"/>
  <c r="F14" i="186"/>
  <c r="F13" i="186" s="1"/>
  <c r="H13" i="186" s="1"/>
  <c r="R95" i="198"/>
  <c r="U309" i="282"/>
  <c r="U305" i="282"/>
  <c r="W297" i="282"/>
  <c r="F313" i="282" s="1"/>
  <c r="G14" i="186"/>
  <c r="K13" i="186" s="1"/>
  <c r="C13" i="188"/>
  <c r="I9" i="188" s="1"/>
  <c r="F7" i="108"/>
  <c r="E13" i="188"/>
  <c r="K4" i="188" s="1"/>
  <c r="R10" i="107"/>
  <c r="H11" i="156"/>
  <c r="H15" i="156"/>
  <c r="D13" i="188"/>
  <c r="J5" i="188" s="1"/>
  <c r="R8" i="187"/>
  <c r="R10" i="187" s="1"/>
  <c r="S95" i="198"/>
  <c r="P103" i="198"/>
  <c r="S103" i="198" s="1"/>
  <c r="S99" i="198"/>
  <c r="P107" i="198"/>
  <c r="S107" i="198" s="1"/>
  <c r="W296" i="282"/>
  <c r="C312" i="282" s="1"/>
  <c r="S308" i="282"/>
  <c r="S304" i="282"/>
  <c r="S302" i="282"/>
  <c r="N59" i="102"/>
  <c r="P59" i="102" s="1"/>
  <c r="P58" i="102"/>
  <c r="S306" i="282"/>
  <c r="W300" i="282"/>
  <c r="C316" i="282" s="1"/>
  <c r="F6" i="108"/>
  <c r="P10" i="187"/>
  <c r="F314" i="282"/>
  <c r="D314" i="282"/>
  <c r="C314" i="282"/>
  <c r="U306" i="282"/>
  <c r="W301" i="282"/>
  <c r="U302" i="282"/>
  <c r="S32" i="198"/>
  <c r="R32" i="198"/>
  <c r="S74" i="198"/>
  <c r="R74" i="198"/>
  <c r="S53" i="198"/>
  <c r="R53" i="198"/>
  <c r="P78" i="198"/>
  <c r="P57" i="198"/>
  <c r="P15" i="198"/>
  <c r="P36" i="198"/>
  <c r="L15" i="198"/>
  <c r="S11" i="198"/>
  <c r="I16" i="198"/>
  <c r="R11" i="198"/>
  <c r="P26" i="197"/>
  <c r="S26" i="197" s="1"/>
  <c r="P14" i="197"/>
  <c r="L14" i="197"/>
  <c r="S11" i="197"/>
  <c r="I15" i="197"/>
  <c r="R11" i="197"/>
  <c r="F32" i="194"/>
  <c r="F33" i="194" s="1"/>
  <c r="I21" i="194" s="1"/>
  <c r="F31" i="194"/>
  <c r="I22" i="194" s="1"/>
  <c r="P17" i="189"/>
  <c r="P19" i="189" s="1"/>
  <c r="O10" i="189"/>
  <c r="P10" i="189" s="1"/>
  <c r="R15" i="189"/>
  <c r="R18" i="189"/>
  <c r="R16" i="189"/>
  <c r="N7" i="188"/>
  <c r="H15" i="186"/>
  <c r="H16" i="156"/>
  <c r="H5" i="156"/>
  <c r="H10" i="156"/>
  <c r="H12" i="156"/>
  <c r="H7" i="156"/>
  <c r="H9" i="156"/>
  <c r="H6" i="156"/>
  <c r="H8" i="156"/>
  <c r="H13" i="156"/>
  <c r="H14" i="156"/>
  <c r="J17" i="101"/>
  <c r="J16" i="101"/>
  <c r="J15" i="101"/>
  <c r="J14" i="101"/>
  <c r="J13" i="101"/>
  <c r="I17" i="101"/>
  <c r="I16" i="101"/>
  <c r="I15" i="101"/>
  <c r="I14" i="101"/>
  <c r="I13" i="101"/>
  <c r="H17" i="101"/>
  <c r="H16" i="101"/>
  <c r="H15" i="101"/>
  <c r="H14" i="101"/>
  <c r="H13" i="101"/>
  <c r="K17" i="101"/>
  <c r="K16" i="101"/>
  <c r="K15" i="101"/>
  <c r="K14" i="101"/>
  <c r="I14" i="99"/>
  <c r="F14" i="99"/>
  <c r="G14" i="99"/>
  <c r="I13" i="99"/>
  <c r="G13" i="99"/>
  <c r="F13" i="99"/>
  <c r="I12" i="99"/>
  <c r="G12" i="99"/>
  <c r="F12" i="99"/>
  <c r="I11" i="99"/>
  <c r="G11" i="99"/>
  <c r="F11" i="99"/>
  <c r="I10" i="99"/>
  <c r="G10" i="99"/>
  <c r="F10" i="99"/>
  <c r="I9" i="99"/>
  <c r="G9" i="99"/>
  <c r="F9" i="99"/>
  <c r="I8" i="99"/>
  <c r="G8" i="99"/>
  <c r="F8" i="99"/>
  <c r="I7" i="99"/>
  <c r="G7" i="99"/>
  <c r="F7" i="99"/>
  <c r="I6" i="99"/>
  <c r="G6" i="99"/>
  <c r="F6" i="99"/>
  <c r="I5" i="99"/>
  <c r="G5" i="99"/>
  <c r="F5" i="99"/>
  <c r="I4" i="99"/>
  <c r="G4" i="99"/>
  <c r="F4" i="99"/>
  <c r="B17" i="98"/>
  <c r="H7" i="188" l="1"/>
  <c r="X18" i="179"/>
  <c r="Z22" i="179"/>
  <c r="Y22" i="179"/>
  <c r="X22" i="179"/>
  <c r="Y20" i="179"/>
  <c r="X20" i="179"/>
  <c r="Z19" i="179"/>
  <c r="Y19" i="179"/>
  <c r="X19" i="179"/>
  <c r="Z18" i="179"/>
  <c r="Y18" i="179"/>
  <c r="Z21" i="179"/>
  <c r="Y21" i="179"/>
  <c r="X21" i="179"/>
  <c r="Z20" i="179"/>
  <c r="H10" i="188"/>
  <c r="H11" i="188"/>
  <c r="H6" i="188"/>
  <c r="H8" i="188"/>
  <c r="H4" i="188"/>
  <c r="H9" i="188"/>
  <c r="F13" i="188"/>
  <c r="K5" i="188"/>
  <c r="W308" i="282"/>
  <c r="J8" i="188"/>
  <c r="I4" i="188"/>
  <c r="F11" i="108"/>
  <c r="B24" i="195"/>
  <c r="G24" i="195" s="1"/>
  <c r="D25" i="195"/>
  <c r="I25" i="195" s="1"/>
  <c r="D27" i="195"/>
  <c r="I27" i="195" s="1"/>
  <c r="E315" i="282"/>
  <c r="E321" i="282" s="1"/>
  <c r="M314" i="282" s="1"/>
  <c r="F315" i="282"/>
  <c r="F321" i="282" s="1"/>
  <c r="N314" i="282" s="1"/>
  <c r="K10" i="179"/>
  <c r="B28" i="195"/>
  <c r="G28" i="195" s="1"/>
  <c r="D21" i="195"/>
  <c r="I21" i="195" s="1"/>
  <c r="E22" i="195"/>
  <c r="J22" i="195" s="1"/>
  <c r="N99" i="198"/>
  <c r="N103" i="198" s="1"/>
  <c r="E28" i="195"/>
  <c r="J28" i="195" s="1"/>
  <c r="C25" i="195"/>
  <c r="H25" i="195" s="1"/>
  <c r="D315" i="282"/>
  <c r="D321" i="282" s="1"/>
  <c r="L315" i="282" s="1"/>
  <c r="W305" i="282"/>
  <c r="M10" i="179"/>
  <c r="L11" i="179"/>
  <c r="E27" i="195"/>
  <c r="J27" i="195" s="1"/>
  <c r="E25" i="195"/>
  <c r="J25" i="195" s="1"/>
  <c r="C22" i="195"/>
  <c r="H22" i="195" s="1"/>
  <c r="D26" i="195"/>
  <c r="I26" i="195" s="1"/>
  <c r="C28" i="195"/>
  <c r="H28" i="195" s="1"/>
  <c r="C23" i="195"/>
  <c r="H23" i="195" s="1"/>
  <c r="B27" i="195"/>
  <c r="G27" i="195" s="1"/>
  <c r="B23" i="195"/>
  <c r="G23" i="195" s="1"/>
  <c r="E26" i="195"/>
  <c r="J26" i="195" s="1"/>
  <c r="L9" i="179"/>
  <c r="M9" i="179"/>
  <c r="L10" i="179"/>
  <c r="E23" i="195"/>
  <c r="J23" i="195" s="1"/>
  <c r="C24" i="195"/>
  <c r="H24" i="195" s="1"/>
  <c r="D24" i="195"/>
  <c r="I24" i="195" s="1"/>
  <c r="C27" i="195"/>
  <c r="H27" i="195" s="1"/>
  <c r="B22" i="195"/>
  <c r="G22" i="195" s="1"/>
  <c r="B26" i="195"/>
  <c r="G26" i="195" s="1"/>
  <c r="B21" i="195"/>
  <c r="G21" i="195" s="1"/>
  <c r="K11" i="179"/>
  <c r="M11" i="179"/>
  <c r="E24" i="195"/>
  <c r="J24" i="195" s="1"/>
  <c r="D28" i="195"/>
  <c r="I28" i="195" s="1"/>
  <c r="E21" i="195"/>
  <c r="J21" i="195" s="1"/>
  <c r="D23" i="195"/>
  <c r="I23" i="195" s="1"/>
  <c r="C26" i="195"/>
  <c r="H26" i="195" s="1"/>
  <c r="C21" i="195"/>
  <c r="H21" i="195" s="1"/>
  <c r="B25" i="195"/>
  <c r="G25" i="195" s="1"/>
  <c r="W309" i="282"/>
  <c r="I7" i="188"/>
  <c r="J10" i="188"/>
  <c r="W304" i="282"/>
  <c r="E313" i="282"/>
  <c r="J9" i="188"/>
  <c r="J4" i="188"/>
  <c r="I8" i="188"/>
  <c r="I5" i="188"/>
  <c r="C313" i="282"/>
  <c r="C320" i="282" s="1"/>
  <c r="D313" i="282"/>
  <c r="J7" i="188"/>
  <c r="J6" i="188"/>
  <c r="I11" i="188"/>
  <c r="I6" i="188"/>
  <c r="E17" i="99" a="1"/>
  <c r="G18" i="99" s="1"/>
  <c r="K9" i="188"/>
  <c r="J11" i="188"/>
  <c r="I10" i="188"/>
  <c r="K7" i="188"/>
  <c r="K11" i="188"/>
  <c r="K8" i="188"/>
  <c r="H14" i="186"/>
  <c r="I13" i="186" s="1"/>
  <c r="J13" i="186" s="1"/>
  <c r="K6" i="188"/>
  <c r="K10" i="188"/>
  <c r="D317" i="282"/>
  <c r="C317" i="282"/>
  <c r="C322" i="282" s="1"/>
  <c r="K316" i="282" s="1"/>
  <c r="F317" i="282"/>
  <c r="W302" i="282"/>
  <c r="E317" i="282"/>
  <c r="E316" i="282"/>
  <c r="D316" i="282"/>
  <c r="F316" i="282"/>
  <c r="D312" i="282"/>
  <c r="E312" i="282"/>
  <c r="F312" i="282"/>
  <c r="T10" i="187"/>
  <c r="K4" i="179"/>
  <c r="K6" i="179"/>
  <c r="S26" i="99"/>
  <c r="S27" i="99"/>
  <c r="S25" i="99"/>
  <c r="T25" i="99" s="1"/>
  <c r="N14" i="197"/>
  <c r="O14" i="197" s="1"/>
  <c r="K5" i="179"/>
  <c r="G314" i="282"/>
  <c r="C321" i="282"/>
  <c r="W306" i="282"/>
  <c r="C324" i="282"/>
  <c r="N36" i="198"/>
  <c r="N40" i="198" s="1"/>
  <c r="N78" i="198"/>
  <c r="P65" i="198"/>
  <c r="S65" i="198" s="1"/>
  <c r="S57" i="198"/>
  <c r="P61" i="198"/>
  <c r="S61" i="198" s="1"/>
  <c r="N15" i="198"/>
  <c r="N19" i="198" s="1"/>
  <c r="N57" i="198"/>
  <c r="S78" i="198"/>
  <c r="P82" i="198"/>
  <c r="S82" i="198" s="1"/>
  <c r="P86" i="198"/>
  <c r="S86" i="198" s="1"/>
  <c r="P19" i="198"/>
  <c r="S19" i="198" s="1"/>
  <c r="S15" i="198"/>
  <c r="P23" i="198"/>
  <c r="S23" i="198" s="1"/>
  <c r="P40" i="198"/>
  <c r="S40" i="198" s="1"/>
  <c r="S36" i="198"/>
  <c r="P44" i="198"/>
  <c r="S44" i="198" s="1"/>
  <c r="J15" i="198"/>
  <c r="K15" i="198" s="1"/>
  <c r="N26" i="197"/>
  <c r="J14" i="197"/>
  <c r="K14" i="197" s="1"/>
  <c r="I23" i="194"/>
  <c r="I26" i="194" s="1"/>
  <c r="I28" i="194" s="1"/>
  <c r="R17" i="189"/>
  <c r="R19" i="189" s="1"/>
  <c r="T19" i="189" s="1"/>
  <c r="Q7" i="189"/>
  <c r="Q6" i="189"/>
  <c r="Q8" i="189"/>
  <c r="Q9" i="189"/>
  <c r="B15" i="98"/>
  <c r="A15" i="98"/>
  <c r="C15" i="98"/>
  <c r="H12" i="188" l="1"/>
  <c r="Q14" i="197"/>
  <c r="R14" i="197" s="1"/>
  <c r="N107" i="198"/>
  <c r="U107" i="198" s="1"/>
  <c r="T99" i="198"/>
  <c r="G315" i="282"/>
  <c r="F325" i="282"/>
  <c r="M315" i="282"/>
  <c r="M321" i="282" s="1"/>
  <c r="G312" i="282"/>
  <c r="U78" i="198"/>
  <c r="F19" i="99"/>
  <c r="U99" i="198"/>
  <c r="O99" i="198"/>
  <c r="O107" i="198" s="1"/>
  <c r="Q107" i="198" s="1"/>
  <c r="R107" i="198" s="1"/>
  <c r="U19" i="198"/>
  <c r="J12" i="188"/>
  <c r="C318" i="282"/>
  <c r="C325" i="282"/>
  <c r="N315" i="282"/>
  <c r="N321" i="282" s="1"/>
  <c r="E325" i="282"/>
  <c r="I12" i="188"/>
  <c r="G313" i="282"/>
  <c r="G17" i="99"/>
  <c r="D325" i="282"/>
  <c r="E322" i="282"/>
  <c r="M316" i="282" s="1"/>
  <c r="E19" i="99"/>
  <c r="E17" i="99"/>
  <c r="F17" i="99"/>
  <c r="G19" i="99"/>
  <c r="E18" i="99"/>
  <c r="F18" i="99"/>
  <c r="N3" i="188"/>
  <c r="T57" i="198"/>
  <c r="T40" i="198"/>
  <c r="F322" i="282"/>
  <c r="N316" i="282" s="1"/>
  <c r="G317" i="282"/>
  <c r="K317" i="282"/>
  <c r="E318" i="282"/>
  <c r="E324" i="282"/>
  <c r="E320" i="282"/>
  <c r="K314" i="282"/>
  <c r="G321" i="282"/>
  <c r="K315" i="282"/>
  <c r="T30" i="99"/>
  <c r="T31" i="99"/>
  <c r="T32" i="99"/>
  <c r="T33" i="99"/>
  <c r="T34" i="99"/>
  <c r="T35" i="99"/>
  <c r="T36" i="99"/>
  <c r="T37" i="99"/>
  <c r="T38" i="99"/>
  <c r="T39" i="99"/>
  <c r="T40" i="99"/>
  <c r="D324" i="282"/>
  <c r="D320" i="282"/>
  <c r="L313" i="282" s="1"/>
  <c r="D318" i="282"/>
  <c r="G316" i="282"/>
  <c r="O26" i="197"/>
  <c r="T26" i="197"/>
  <c r="U26" i="197"/>
  <c r="U57" i="198"/>
  <c r="T19" i="198"/>
  <c r="K312" i="282"/>
  <c r="L314" i="282"/>
  <c r="K313" i="282"/>
  <c r="U31" i="99"/>
  <c r="U33" i="99"/>
  <c r="U35" i="99"/>
  <c r="U37" i="99"/>
  <c r="U39" i="99"/>
  <c r="U32" i="99"/>
  <c r="U40" i="99"/>
  <c r="U30" i="99"/>
  <c r="U34" i="99"/>
  <c r="U38" i="99"/>
  <c r="U36" i="99"/>
  <c r="F320" i="282"/>
  <c r="N313" i="282" s="1"/>
  <c r="F324" i="282"/>
  <c r="F318" i="282"/>
  <c r="D322" i="282"/>
  <c r="L316" i="282" s="1"/>
  <c r="U103" i="198"/>
  <c r="T103" i="198"/>
  <c r="U40" i="198"/>
  <c r="T36" i="198"/>
  <c r="U36" i="198"/>
  <c r="T78" i="198"/>
  <c r="T15" i="198"/>
  <c r="O36" i="198"/>
  <c r="N44" i="198"/>
  <c r="O15" i="198"/>
  <c r="U15" i="198"/>
  <c r="N23" i="198"/>
  <c r="O57" i="198"/>
  <c r="N65" i="198"/>
  <c r="N61" i="198"/>
  <c r="N82" i="198"/>
  <c r="O78" i="198"/>
  <c r="N86" i="198"/>
  <c r="Q10" i="189"/>
  <c r="K12" i="188"/>
  <c r="G6" i="98" a="1"/>
  <c r="H6" i="98" s="1"/>
  <c r="H12" i="98" s="1"/>
  <c r="G16" i="98" s="1"/>
  <c r="T11" i="91"/>
  <c r="T12" i="91"/>
  <c r="T9" i="91"/>
  <c r="T8" i="91"/>
  <c r="T6" i="91"/>
  <c r="T5" i="91"/>
  <c r="P15" i="89" a="1"/>
  <c r="P15" i="89" s="1"/>
  <c r="P5" i="89" a="1"/>
  <c r="Q6" i="89" s="1"/>
  <c r="H23" i="89"/>
  <c r="H22" i="89"/>
  <c r="D7" i="89"/>
  <c r="D8" i="89"/>
  <c r="D9" i="89"/>
  <c r="D10" i="89"/>
  <c r="D11" i="89"/>
  <c r="D12" i="89"/>
  <c r="D13" i="89"/>
  <c r="D14" i="89"/>
  <c r="D15" i="89"/>
  <c r="D16" i="89"/>
  <c r="D6" i="89"/>
  <c r="E7" i="89"/>
  <c r="E8" i="89"/>
  <c r="E9" i="89"/>
  <c r="E10" i="89"/>
  <c r="E11" i="89"/>
  <c r="E12" i="89"/>
  <c r="E13" i="89"/>
  <c r="E14" i="89"/>
  <c r="E15" i="89"/>
  <c r="E16" i="89"/>
  <c r="E6" i="89"/>
  <c r="M11" i="88"/>
  <c r="J11" i="88"/>
  <c r="E10" i="88"/>
  <c r="E7" i="88"/>
  <c r="E5" i="88"/>
  <c r="E6" i="88" s="1"/>
  <c r="O4" i="86"/>
  <c r="O7" i="86"/>
  <c r="N7" i="86"/>
  <c r="O6" i="86"/>
  <c r="N6" i="86"/>
  <c r="O5" i="86"/>
  <c r="N5" i="86"/>
  <c r="N4" i="86"/>
  <c r="J6" i="84"/>
  <c r="J5" i="84"/>
  <c r="J3" i="84"/>
  <c r="E3" i="84"/>
  <c r="E11" i="84" s="1"/>
  <c r="E14" i="84" s="1"/>
  <c r="J4" i="84"/>
  <c r="E5" i="84"/>
  <c r="K22" i="83"/>
  <c r="AN5" i="83" a="1"/>
  <c r="AN5" i="83" s="1"/>
  <c r="E6" i="84"/>
  <c r="E4" i="84"/>
  <c r="AK5" i="83"/>
  <c r="K21" i="83"/>
  <c r="U22" i="83"/>
  <c r="W9" i="83" s="1"/>
  <c r="U21" i="83"/>
  <c r="AC4" i="83" s="1"/>
  <c r="AC6" i="83" s="1"/>
  <c r="V19" i="83"/>
  <c r="V18" i="83"/>
  <c r="Y18" i="83" s="1"/>
  <c r="V17" i="83"/>
  <c r="Y17" i="83" s="1"/>
  <c r="V16" i="83"/>
  <c r="V15" i="83"/>
  <c r="V14" i="83"/>
  <c r="V13" i="83"/>
  <c r="Y13" i="83" s="1"/>
  <c r="V12" i="83"/>
  <c r="V11" i="83"/>
  <c r="V10" i="83"/>
  <c r="Y10" i="83" s="1"/>
  <c r="V9" i="83"/>
  <c r="Y9" i="83" s="1"/>
  <c r="V8" i="83"/>
  <c r="V7" i="83"/>
  <c r="V6" i="83"/>
  <c r="V5" i="83"/>
  <c r="E7" i="83"/>
  <c r="E4" i="83"/>
  <c r="E3" i="83"/>
  <c r="F7" i="83" s="1"/>
  <c r="F9" i="83" s="1"/>
  <c r="E13" i="83" s="1"/>
  <c r="Q4" i="83"/>
  <c r="Q6" i="83" s="1"/>
  <c r="P4" i="83"/>
  <c r="L5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6" i="83"/>
  <c r="I21" i="81"/>
  <c r="J21" i="81"/>
  <c r="I22" i="81"/>
  <c r="J22" i="81"/>
  <c r="O12" i="81"/>
  <c r="O19" i="81" a="1"/>
  <c r="O19" i="81" s="1"/>
  <c r="O13" i="81"/>
  <c r="O14" i="81"/>
  <c r="E2" i="81"/>
  <c r="E3" i="81"/>
  <c r="J12" i="88" l="1"/>
  <c r="T107" i="198"/>
  <c r="O23" i="198"/>
  <c r="Q23" i="198" s="1"/>
  <c r="Q15" i="198"/>
  <c r="R15" i="198" s="1"/>
  <c r="Q26" i="197"/>
  <c r="R26" i="197" s="1"/>
  <c r="T13" i="91"/>
  <c r="O103" i="198"/>
  <c r="Q103" i="198" s="1"/>
  <c r="R103" i="198" s="1"/>
  <c r="Q99" i="198"/>
  <c r="R99" i="198" s="1"/>
  <c r="N317" i="282"/>
  <c r="N322" i="282" s="1"/>
  <c r="G325" i="282"/>
  <c r="G322" i="282"/>
  <c r="K4" i="99" a="1"/>
  <c r="K6" i="99" s="1"/>
  <c r="F21" i="107" s="1"/>
  <c r="R4" i="83"/>
  <c r="X8" i="83"/>
  <c r="X12" i="83"/>
  <c r="X16" i="83"/>
  <c r="M317" i="282"/>
  <c r="M322" i="282" s="1"/>
  <c r="G324" i="282"/>
  <c r="Q4" i="99" a="1"/>
  <c r="W13" i="99" s="1"/>
  <c r="G318" i="282"/>
  <c r="J7" i="84"/>
  <c r="J8" i="84" s="1"/>
  <c r="L317" i="282"/>
  <c r="L322" i="282" s="1"/>
  <c r="L312" i="282"/>
  <c r="L320" i="282" s="1"/>
  <c r="E8" i="84"/>
  <c r="E9" i="84" s="1"/>
  <c r="L21" i="83"/>
  <c r="T9" i="86"/>
  <c r="T10" i="86" s="1"/>
  <c r="T11" i="86" s="1"/>
  <c r="K23" i="89"/>
  <c r="N8" i="86"/>
  <c r="N12" i="86"/>
  <c r="N15" i="86" s="1"/>
  <c r="L321" i="282"/>
  <c r="K321" i="282"/>
  <c r="O314" i="282"/>
  <c r="M312" i="282"/>
  <c r="M313" i="282"/>
  <c r="O313" i="282" s="1"/>
  <c r="AF6" i="83"/>
  <c r="AK6" i="83"/>
  <c r="E7" i="84"/>
  <c r="L22" i="83"/>
  <c r="X6" i="83"/>
  <c r="X14" i="83"/>
  <c r="W19" i="83"/>
  <c r="AK7" i="83"/>
  <c r="K318" i="282"/>
  <c r="K320" i="282"/>
  <c r="K324" i="282"/>
  <c r="S312" i="282" s="1"/>
  <c r="O316" i="282"/>
  <c r="X11" i="83"/>
  <c r="X15" i="83"/>
  <c r="X19" i="83"/>
  <c r="W16" i="83"/>
  <c r="E12" i="88"/>
  <c r="M12" i="88"/>
  <c r="N312" i="282"/>
  <c r="K325" i="282"/>
  <c r="O315" i="282"/>
  <c r="G320" i="282"/>
  <c r="K322" i="282"/>
  <c r="U82" i="198"/>
  <c r="T82" i="198"/>
  <c r="T23" i="198"/>
  <c r="U23" i="198"/>
  <c r="T61" i="198"/>
  <c r="U61" i="198"/>
  <c r="U86" i="198"/>
  <c r="T86" i="198"/>
  <c r="U65" i="198"/>
  <c r="T65" i="198"/>
  <c r="U44" i="198"/>
  <c r="T44" i="198"/>
  <c r="O40" i="198"/>
  <c r="Q40" i="198" s="1"/>
  <c r="R40" i="198" s="1"/>
  <c r="O44" i="198"/>
  <c r="Q44" i="198" s="1"/>
  <c r="R44" i="198" s="1"/>
  <c r="Q36" i="198"/>
  <c r="R36" i="198" s="1"/>
  <c r="O19" i="198"/>
  <c r="O86" i="198"/>
  <c r="Q86" i="198" s="1"/>
  <c r="R86" i="198" s="1"/>
  <c r="Q78" i="198"/>
  <c r="R78" i="198" s="1"/>
  <c r="O82" i="198"/>
  <c r="Q82" i="198" s="1"/>
  <c r="R82" i="198" s="1"/>
  <c r="O61" i="198"/>
  <c r="Q61" i="198" s="1"/>
  <c r="R61" i="198" s="1"/>
  <c r="O65" i="198"/>
  <c r="Q65" i="198" s="1"/>
  <c r="R65" i="198" s="1"/>
  <c r="Q57" i="198"/>
  <c r="R57" i="198" s="1"/>
  <c r="H8" i="98"/>
  <c r="H7" i="98"/>
  <c r="H13" i="98" s="1"/>
  <c r="G17" i="98" s="1"/>
  <c r="I7" i="98"/>
  <c r="I13" i="98" s="1"/>
  <c r="I17" i="98" s="1"/>
  <c r="G8" i="98"/>
  <c r="I8" i="98"/>
  <c r="G6" i="98"/>
  <c r="G12" i="98" s="1"/>
  <c r="F16" i="98" s="1"/>
  <c r="G7" i="98"/>
  <c r="G13" i="98" s="1"/>
  <c r="F17" i="98" s="1"/>
  <c r="I6" i="98"/>
  <c r="I12" i="98" s="1"/>
  <c r="I16" i="98" s="1"/>
  <c r="P16" i="89"/>
  <c r="P8" i="89"/>
  <c r="P6" i="89"/>
  <c r="Q9" i="89"/>
  <c r="Q7" i="89"/>
  <c r="Q5" i="89"/>
  <c r="P9" i="89"/>
  <c r="P7" i="89"/>
  <c r="P5" i="89"/>
  <c r="Q8" i="89"/>
  <c r="B19" i="89"/>
  <c r="E13" i="88"/>
  <c r="J13" i="88"/>
  <c r="O8" i="86"/>
  <c r="T12" i="86"/>
  <c r="T15" i="86" s="1"/>
  <c r="J9" i="84"/>
  <c r="J12" i="84" s="1"/>
  <c r="AN8" i="83"/>
  <c r="AN6" i="83"/>
  <c r="AO8" i="83"/>
  <c r="AO6" i="83"/>
  <c r="AO9" i="83"/>
  <c r="AO7" i="83"/>
  <c r="AO5" i="83"/>
  <c r="AN9" i="83"/>
  <c r="AN7" i="83"/>
  <c r="E4" i="81"/>
  <c r="E5" i="81" s="1"/>
  <c r="O5" i="81" s="1"/>
  <c r="W11" i="83"/>
  <c r="W5" i="83"/>
  <c r="W8" i="83"/>
  <c r="W12" i="83"/>
  <c r="E8" i="83"/>
  <c r="G8" i="83" s="1"/>
  <c r="W15" i="83"/>
  <c r="W7" i="83"/>
  <c r="Y16" i="83"/>
  <c r="W18" i="83"/>
  <c r="W14" i="83"/>
  <c r="W10" i="83"/>
  <c r="W6" i="83"/>
  <c r="X10" i="83"/>
  <c r="Y14" i="83"/>
  <c r="X18" i="83"/>
  <c r="Y6" i="83"/>
  <c r="W17" i="83"/>
  <c r="W13" i="83"/>
  <c r="Y12" i="83"/>
  <c r="X17" i="83"/>
  <c r="X13" i="83"/>
  <c r="X9" i="83"/>
  <c r="Y5" i="83"/>
  <c r="Y8" i="83"/>
  <c r="P5" i="83"/>
  <c r="R5" i="83" s="1"/>
  <c r="X5" i="83"/>
  <c r="Y19" i="83"/>
  <c r="Y15" i="83"/>
  <c r="Y11" i="83"/>
  <c r="Y7" i="83"/>
  <c r="X7" i="83"/>
  <c r="G7" i="83"/>
  <c r="O21" i="81"/>
  <c r="O20" i="81"/>
  <c r="T16" i="86" l="1"/>
  <c r="Q19" i="198"/>
  <c r="R19" i="198" s="1"/>
  <c r="N325" i="282"/>
  <c r="V317" i="282" s="1"/>
  <c r="K5" i="99"/>
  <c r="F20" i="107" s="1"/>
  <c r="O321" i="282"/>
  <c r="L325" i="282"/>
  <c r="T315" i="282" s="1"/>
  <c r="S11" i="99"/>
  <c r="R12" i="99"/>
  <c r="W4" i="99"/>
  <c r="R14" i="99"/>
  <c r="S12" i="99"/>
  <c r="R5" i="99"/>
  <c r="Z6" i="99"/>
  <c r="X7" i="99"/>
  <c r="W8" i="99"/>
  <c r="U9" i="99"/>
  <c r="AA9" i="99"/>
  <c r="X11" i="99"/>
  <c r="W12" i="99"/>
  <c r="U13" i="99"/>
  <c r="T14" i="99"/>
  <c r="AA4" i="99"/>
  <c r="Z7" i="99"/>
  <c r="W6" i="99"/>
  <c r="U8" i="99"/>
  <c r="R10" i="99"/>
  <c r="Z13" i="99"/>
  <c r="V4" i="99"/>
  <c r="Q12" i="99"/>
  <c r="AA12" i="99"/>
  <c r="Y13" i="99"/>
  <c r="U4" i="99"/>
  <c r="T5" i="99"/>
  <c r="R6" i="99"/>
  <c r="X6" i="99"/>
  <c r="X14" i="99"/>
  <c r="U10" i="99"/>
  <c r="T6" i="99"/>
  <c r="S9" i="99"/>
  <c r="T8" i="99"/>
  <c r="T9" i="99"/>
  <c r="X10" i="99"/>
  <c r="Y14" i="99"/>
  <c r="S6" i="99"/>
  <c r="R7" i="99"/>
  <c r="AA7" i="99"/>
  <c r="V8" i="99"/>
  <c r="S10" i="99"/>
  <c r="R11" i="99"/>
  <c r="AA11" i="99"/>
  <c r="V12" i="99"/>
  <c r="J17" i="84"/>
  <c r="Y10" i="99"/>
  <c r="X13" i="99"/>
  <c r="U12" i="99"/>
  <c r="T11" i="99"/>
  <c r="Q13" i="99"/>
  <c r="Q6" i="99"/>
  <c r="U7" i="99"/>
  <c r="V13" i="99"/>
  <c r="U14" i="99"/>
  <c r="R4" i="99"/>
  <c r="Z5" i="99"/>
  <c r="Y6" i="99"/>
  <c r="W7" i="99"/>
  <c r="R8" i="99"/>
  <c r="S13" i="99"/>
  <c r="O317" i="282"/>
  <c r="O312" i="282"/>
  <c r="K4" i="99"/>
  <c r="F19" i="107" s="1"/>
  <c r="L324" i="282"/>
  <c r="T314" i="282" s="1"/>
  <c r="L318" i="282"/>
  <c r="N10" i="86"/>
  <c r="N11" i="86" s="1"/>
  <c r="V9" i="99"/>
  <c r="Z9" i="99"/>
  <c r="W11" i="99"/>
  <c r="Y12" i="99"/>
  <c r="V14" i="99"/>
  <c r="AA5" i="99"/>
  <c r="T13" i="99"/>
  <c r="V5" i="99"/>
  <c r="U6" i="99"/>
  <c r="S7" i="99"/>
  <c r="Y7" i="99"/>
  <c r="AA10" i="99"/>
  <c r="Z11" i="99"/>
  <c r="X12" i="99"/>
  <c r="Y4" i="99"/>
  <c r="W10" i="99"/>
  <c r="X5" i="99"/>
  <c r="V11" i="99"/>
  <c r="V6" i="99"/>
  <c r="T12" i="99"/>
  <c r="Q7" i="99"/>
  <c r="Z12" i="99"/>
  <c r="Y8" i="99"/>
  <c r="W14" i="99"/>
  <c r="X9" i="99"/>
  <c r="X4" i="99"/>
  <c r="V10" i="99"/>
  <c r="S5" i="99"/>
  <c r="Q11" i="99"/>
  <c r="AA14" i="99"/>
  <c r="Q4" i="99"/>
  <c r="O322" i="282"/>
  <c r="K16" i="98" a="1"/>
  <c r="K17" i="98" s="1"/>
  <c r="Y11" i="99"/>
  <c r="Y5" i="99"/>
  <c r="AA6" i="99"/>
  <c r="X8" i="99"/>
  <c r="U5" i="99"/>
  <c r="V7" i="99"/>
  <c r="Z8" i="99"/>
  <c r="S14" i="99"/>
  <c r="T4" i="99"/>
  <c r="Z4" i="99"/>
  <c r="Q8" i="99"/>
  <c r="AA8" i="99"/>
  <c r="Y9" i="99"/>
  <c r="T10" i="99"/>
  <c r="R9" i="99"/>
  <c r="S4" i="99"/>
  <c r="Q10" i="99"/>
  <c r="Q5" i="99"/>
  <c r="Z10" i="99"/>
  <c r="W5" i="99"/>
  <c r="U11" i="99"/>
  <c r="T7" i="99"/>
  <c r="R13" i="99"/>
  <c r="S8" i="99"/>
  <c r="Q14" i="99"/>
  <c r="Q9" i="99"/>
  <c r="Z14" i="99"/>
  <c r="W9" i="99"/>
  <c r="AA13" i="99"/>
  <c r="E10" i="84"/>
  <c r="E12" i="84" s="1"/>
  <c r="E15" i="84" s="1"/>
  <c r="E20" i="84"/>
  <c r="E19" i="84"/>
  <c r="G20" i="98" a="1"/>
  <c r="G20" i="98" s="1"/>
  <c r="S317" i="282"/>
  <c r="N320" i="282"/>
  <c r="N324" i="282"/>
  <c r="N318" i="282"/>
  <c r="S316" i="282"/>
  <c r="M318" i="282"/>
  <c r="M320" i="282"/>
  <c r="M324" i="282"/>
  <c r="S315" i="282"/>
  <c r="M325" i="282"/>
  <c r="S313" i="282"/>
  <c r="V313" i="282"/>
  <c r="S314" i="282"/>
  <c r="J10" i="84"/>
  <c r="J13" i="84" s="1"/>
  <c r="R23" i="198"/>
  <c r="P22" i="89"/>
  <c r="P21" i="89"/>
  <c r="E14" i="88"/>
  <c r="M13" i="88"/>
  <c r="M15" i="88" s="1"/>
  <c r="T14" i="86"/>
  <c r="J18" i="84"/>
  <c r="O7" i="81"/>
  <c r="K5" i="81"/>
  <c r="L5" i="81" s="1"/>
  <c r="E9" i="83"/>
  <c r="G9" i="83" s="1"/>
  <c r="E11" i="83" s="1"/>
  <c r="E14" i="83" s="1"/>
  <c r="E15" i="83" s="1"/>
  <c r="X20" i="83"/>
  <c r="AB5" i="83" s="1"/>
  <c r="AD5" i="83" s="1"/>
  <c r="W20" i="83"/>
  <c r="AB4" i="83" s="1"/>
  <c r="Y20" i="83"/>
  <c r="AB6" i="83" s="1"/>
  <c r="AD6" i="83" s="1"/>
  <c r="O6" i="81"/>
  <c r="K17" i="81"/>
  <c r="L17" i="81" s="1"/>
  <c r="K18" i="81"/>
  <c r="L18" i="81" s="1"/>
  <c r="K19" i="81"/>
  <c r="L19" i="81" s="1"/>
  <c r="K6" i="81"/>
  <c r="L6" i="81" s="1"/>
  <c r="K7" i="81"/>
  <c r="L7" i="81" s="1"/>
  <c r="K8" i="81"/>
  <c r="L8" i="81" s="1"/>
  <c r="K9" i="81"/>
  <c r="L9" i="81" s="1"/>
  <c r="K10" i="81"/>
  <c r="L10" i="81" s="1"/>
  <c r="K11" i="81"/>
  <c r="L11" i="81" s="1"/>
  <c r="K12" i="81"/>
  <c r="L12" i="81" s="1"/>
  <c r="K13" i="81"/>
  <c r="L13" i="81" s="1"/>
  <c r="K14" i="81"/>
  <c r="L14" i="81" s="1"/>
  <c r="K15" i="81"/>
  <c r="L15" i="81" s="1"/>
  <c r="K16" i="81"/>
  <c r="L16" i="81" s="1"/>
  <c r="N14" i="86" l="1"/>
  <c r="N16" i="86"/>
  <c r="S324" i="282"/>
  <c r="V315" i="282"/>
  <c r="V325" i="282" s="1"/>
  <c r="O318" i="282"/>
  <c r="T317" i="282"/>
  <c r="T321" i="282"/>
  <c r="M4" i="99" a="1"/>
  <c r="M5" i="99" s="1"/>
  <c r="T313" i="282"/>
  <c r="T316" i="282"/>
  <c r="T312" i="282"/>
  <c r="O324" i="282"/>
  <c r="U312" i="282"/>
  <c r="K16" i="98"/>
  <c r="O320" i="282"/>
  <c r="M14" i="88"/>
  <c r="S325" i="282"/>
  <c r="U316" i="282"/>
  <c r="U314" i="282"/>
  <c r="V312" i="282"/>
  <c r="V314" i="282"/>
  <c r="V316" i="282"/>
  <c r="V322" i="282" s="1"/>
  <c r="U315" i="282"/>
  <c r="U317" i="282"/>
  <c r="F31" i="107"/>
  <c r="F27" i="107"/>
  <c r="F33" i="107"/>
  <c r="F36" i="107"/>
  <c r="F30" i="107"/>
  <c r="F32" i="107"/>
  <c r="F28" i="107"/>
  <c r="F34" i="107"/>
  <c r="F29" i="107"/>
  <c r="F35" i="107"/>
  <c r="F26" i="107"/>
  <c r="G21" i="98"/>
  <c r="G19" i="98" s="1"/>
  <c r="S318" i="282"/>
  <c r="S321" i="282"/>
  <c r="U313" i="282"/>
  <c r="S320" i="282"/>
  <c r="S322" i="282"/>
  <c r="O325" i="282"/>
  <c r="J14" i="88"/>
  <c r="J15" i="88"/>
  <c r="E15" i="88"/>
  <c r="AD4" i="83"/>
  <c r="AF5" i="83"/>
  <c r="W315" i="282" l="1"/>
  <c r="V321" i="282"/>
  <c r="T325" i="282"/>
  <c r="M6" i="99"/>
  <c r="O6" i="99" s="1"/>
  <c r="T324" i="282"/>
  <c r="W317" i="282"/>
  <c r="M12" i="99"/>
  <c r="A56" i="99" s="1"/>
  <c r="T322" i="282"/>
  <c r="M10" i="99"/>
  <c r="A54" i="99" s="1"/>
  <c r="M4" i="99"/>
  <c r="O4" i="99" s="1"/>
  <c r="T318" i="282"/>
  <c r="M9" i="99"/>
  <c r="A53" i="99" s="1"/>
  <c r="M11" i="99"/>
  <c r="A55" i="99" s="1"/>
  <c r="M14" i="99"/>
  <c r="O14" i="99" s="1"/>
  <c r="M7" i="99"/>
  <c r="A51" i="99" s="1"/>
  <c r="M13" i="99"/>
  <c r="A57" i="99" s="1"/>
  <c r="M8" i="99"/>
  <c r="O8" i="99" s="1"/>
  <c r="T320" i="282"/>
  <c r="W312" i="282"/>
  <c r="W314" i="282"/>
  <c r="U320" i="282"/>
  <c r="W313" i="282"/>
  <c r="U322" i="282"/>
  <c r="H59" i="107"/>
  <c r="L59" i="107" s="1"/>
  <c r="G27" i="107"/>
  <c r="O7" i="107"/>
  <c r="U321" i="282"/>
  <c r="A50" i="99"/>
  <c r="U318" i="282"/>
  <c r="H66" i="107"/>
  <c r="L66" i="107" s="1"/>
  <c r="G34" i="107"/>
  <c r="O14" i="107"/>
  <c r="H68" i="107"/>
  <c r="L68" i="107" s="1"/>
  <c r="G36" i="107"/>
  <c r="O16" i="107"/>
  <c r="H67" i="107"/>
  <c r="L67" i="107" s="1"/>
  <c r="G35" i="107"/>
  <c r="O15" i="107"/>
  <c r="H64" i="107"/>
  <c r="L64" i="107" s="1"/>
  <c r="G32" i="107"/>
  <c r="O12" i="107"/>
  <c r="H61" i="107"/>
  <c r="L61" i="107" s="1"/>
  <c r="G29" i="107"/>
  <c r="O9" i="107"/>
  <c r="G30" i="107"/>
  <c r="H62" i="107"/>
  <c r="L62" i="107" s="1"/>
  <c r="O10" i="107"/>
  <c r="H63" i="107"/>
  <c r="L63" i="107" s="1"/>
  <c r="G31" i="107"/>
  <c r="O11" i="107"/>
  <c r="W316" i="282"/>
  <c r="U325" i="282"/>
  <c r="H58" i="107"/>
  <c r="L58" i="107" s="1"/>
  <c r="G26" i="107"/>
  <c r="O6" i="107"/>
  <c r="H60" i="107"/>
  <c r="L60" i="107" s="1"/>
  <c r="G28" i="107"/>
  <c r="O8" i="107"/>
  <c r="H65" i="107"/>
  <c r="L65" i="107" s="1"/>
  <c r="G33" i="107"/>
  <c r="O13" i="107"/>
  <c r="V318" i="282"/>
  <c r="V320" i="282"/>
  <c r="V324" i="282"/>
  <c r="U324" i="282"/>
  <c r="A49" i="99"/>
  <c r="O5" i="99"/>
  <c r="W325" i="282" l="1"/>
  <c r="O10" i="99"/>
  <c r="W321" i="282"/>
  <c r="O11" i="99"/>
  <c r="A48" i="99"/>
  <c r="A58" i="99"/>
  <c r="W320" i="282"/>
  <c r="A52" i="99"/>
  <c r="O13" i="99"/>
  <c r="W322" i="282"/>
  <c r="O9" i="99"/>
  <c r="O12" i="99"/>
  <c r="O7" i="99"/>
  <c r="G14" i="107"/>
  <c r="W318" i="282"/>
  <c r="W324" i="282"/>
  <c r="O17" i="107"/>
  <c r="F5" i="108" s="1"/>
  <c r="F9" i="108" s="1"/>
  <c r="F10" i="108" s="1"/>
  <c r="F12" i="108" s="1"/>
  <c r="G45" i="107"/>
  <c r="J45" i="107" s="1"/>
  <c r="H29" i="107"/>
  <c r="G42" i="107"/>
  <c r="J42" i="107" s="1"/>
  <c r="H26" i="107"/>
  <c r="G48" i="107"/>
  <c r="J48" i="107" s="1"/>
  <c r="H32" i="107"/>
  <c r="G50" i="107"/>
  <c r="J50" i="107" s="1"/>
  <c r="H34" i="107"/>
  <c r="G49" i="107"/>
  <c r="J49" i="107" s="1"/>
  <c r="H33" i="107"/>
  <c r="G43" i="107"/>
  <c r="J43" i="107" s="1"/>
  <c r="H27" i="107"/>
  <c r="G51" i="107"/>
  <c r="J51" i="107" s="1"/>
  <c r="H35" i="107"/>
  <c r="G44" i="107"/>
  <c r="J44" i="107" s="1"/>
  <c r="H28" i="107"/>
  <c r="G47" i="107"/>
  <c r="J47" i="107" s="1"/>
  <c r="H31" i="107"/>
  <c r="G46" i="107"/>
  <c r="J46" i="107" s="1"/>
  <c r="H30" i="107"/>
  <c r="G52" i="107"/>
  <c r="J52" i="107" s="1"/>
  <c r="H36" i="107"/>
  <c r="G15" i="107" l="1"/>
  <c r="H15" i="107" s="1"/>
  <c r="G20" i="107" s="1"/>
  <c r="F7" i="107"/>
  <c r="F6" i="107" s="1"/>
  <c r="O17" i="99"/>
  <c r="O19" i="99" s="1"/>
  <c r="I17" i="99" s="1" a="1"/>
  <c r="I19" i="99" s="1"/>
  <c r="H14" i="107"/>
  <c r="G21" i="107" l="1"/>
  <c r="J21" i="107" s="1"/>
  <c r="F9" i="107"/>
  <c r="G19" i="107"/>
  <c r="H19" i="107" s="1"/>
  <c r="I19" i="107" s="1"/>
  <c r="I14" i="107"/>
  <c r="J14" i="107" s="1"/>
  <c r="AC4" i="99" a="1"/>
  <c r="AC8" i="99" s="1"/>
  <c r="B52" i="99" s="1"/>
  <c r="J18" i="99"/>
  <c r="K10" i="99" s="1"/>
  <c r="I18" i="99"/>
  <c r="J17" i="99"/>
  <c r="K17" i="99"/>
  <c r="I17" i="99"/>
  <c r="K9" i="99" s="1"/>
  <c r="J19" i="99"/>
  <c r="K19" i="99"/>
  <c r="K11" i="99" s="1"/>
  <c r="K18" i="99"/>
  <c r="F8" i="107"/>
  <c r="O19" i="107"/>
  <c r="J20" i="107"/>
  <c r="K20" i="107"/>
  <c r="H20" i="107"/>
  <c r="I20" i="107" s="1"/>
  <c r="K21" i="107" l="1"/>
  <c r="H21" i="107"/>
  <c r="I21" i="107" s="1"/>
  <c r="AC10" i="99"/>
  <c r="B54" i="99" s="1"/>
  <c r="J19" i="107"/>
  <c r="K19" i="107"/>
  <c r="AC11" i="99"/>
  <c r="B55" i="99" s="1"/>
  <c r="AC14" i="99"/>
  <c r="B58" i="99" s="1"/>
  <c r="AC9" i="99"/>
  <c r="B53" i="99" s="1"/>
  <c r="AC13" i="99"/>
  <c r="B57" i="99" s="1"/>
  <c r="AC12" i="99"/>
  <c r="B56" i="99" s="1"/>
  <c r="AC6" i="99"/>
  <c r="B50" i="99" s="1"/>
  <c r="AC5" i="99"/>
  <c r="B49" i="99" s="1"/>
  <c r="AC7" i="99"/>
  <c r="B51" i="99" s="1"/>
  <c r="AC4" i="99"/>
  <c r="B48" i="99" s="1"/>
  <c r="B27" i="99" l="1"/>
  <c r="B26" i="99"/>
  <c r="B25" i="99"/>
  <c r="C25" i="99" s="1"/>
  <c r="C32" i="99" s="1"/>
  <c r="D38" i="99" l="1"/>
  <c r="D35" i="99"/>
  <c r="D40" i="99"/>
  <c r="D37" i="99"/>
  <c r="D32" i="99"/>
  <c r="D30" i="99"/>
  <c r="D31" i="99"/>
  <c r="D39" i="99"/>
  <c r="D36" i="99"/>
  <c r="D33" i="99"/>
  <c r="D34" i="99"/>
  <c r="C36" i="99"/>
  <c r="C38" i="99"/>
  <c r="C30" i="99"/>
  <c r="C31" i="99"/>
  <c r="C40" i="99"/>
  <c r="C35" i="99"/>
  <c r="C39" i="99"/>
  <c r="C37" i="99"/>
  <c r="C33" i="99"/>
  <c r="C34" i="99"/>
  <c r="M6" i="83" l="1"/>
  <c r="M18" i="83"/>
  <c r="M13" i="83"/>
  <c r="M16" i="83"/>
  <c r="M9" i="83"/>
  <c r="M14" i="83"/>
  <c r="M11" i="83"/>
  <c r="M12" i="83"/>
  <c r="M10" i="83"/>
  <c r="M15" i="83"/>
  <c r="M19" i="83"/>
  <c r="M7" i="83"/>
  <c r="M8" i="83"/>
  <c r="M17" i="83"/>
  <c r="M5" i="83"/>
  <c r="M21" i="83" l="1"/>
  <c r="M22" i="83"/>
  <c r="P6" i="83"/>
  <c r="R6" i="83" s="1"/>
  <c r="I18" i="214" l="1"/>
  <c r="I17" i="214"/>
  <c r="I19" i="214"/>
  <c r="I16" i="214"/>
  <c r="I21" i="214" l="1"/>
  <c r="Q38" i="214"/>
  <c r="Q37" i="214"/>
  <c r="Q30" i="214"/>
  <c r="Q31" i="214"/>
  <c r="Q32" i="214"/>
  <c r="Q34" i="214"/>
  <c r="Q35" i="214"/>
  <c r="Q36" i="214"/>
  <c r="Q29" i="214"/>
  <c r="Q33" i="214"/>
  <c r="G4" i="286" l="1"/>
  <c r="Z21" i="302" l="1"/>
  <c r="AC20" i="302" l="1"/>
  <c r="Z20" i="302"/>
  <c r="AA20" i="302" s="1"/>
  <c r="AB20" i="302" s="1"/>
  <c r="AC19" i="302"/>
  <c r="Z19" i="302"/>
  <c r="AA19" i="302" s="1"/>
  <c r="AB19" i="302" s="1"/>
  <c r="Z27" i="302" l="1"/>
  <c r="AC25" i="302" l="1"/>
  <c r="Z25" i="302"/>
  <c r="AA25" i="302" s="1"/>
  <c r="AB25" i="302" s="1"/>
  <c r="AC26" i="302"/>
  <c r="Z26" i="302"/>
  <c r="AA26" i="302" s="1"/>
  <c r="AB26" i="302" s="1"/>
  <c r="L14" i="499" l="1"/>
  <c r="K15" i="499"/>
  <c r="L15" i="499" s="1"/>
  <c r="J9" i="499" s="1"/>
  <c r="J7" i="499"/>
  <c r="M14" i="499" l="1"/>
  <c r="N14" i="499" s="1"/>
  <c r="O14" i="499" s="1"/>
  <c r="J6" i="499"/>
  <c r="J8" i="499"/>
  <c r="N7" i="514" l="1"/>
  <c r="P14" i="514"/>
  <c r="O15" i="514"/>
  <c r="AA4" i="514" l="1"/>
  <c r="AA6" i="514" s="1"/>
  <c r="AA7" i="514" s="1"/>
  <c r="AB10" i="514" s="1" a="1"/>
  <c r="P15" i="514"/>
  <c r="N9" i="514" s="1"/>
  <c r="N6" i="514"/>
  <c r="N8" i="514"/>
  <c r="AB10" i="514" l="1"/>
  <c r="AB12" i="514"/>
  <c r="AB13" i="514"/>
  <c r="AB11" i="514"/>
  <c r="Q14" i="514"/>
  <c r="R14" i="514" s="1"/>
  <c r="S14" i="514" s="1"/>
  <c r="AE6" i="514" l="1"/>
  <c r="AE14" i="514"/>
  <c r="AE17" i="514"/>
  <c r="AE13" i="514"/>
  <c r="AE18" i="514"/>
  <c r="AE24" i="514" l="1"/>
  <c r="AE25" i="514"/>
  <c r="J14" i="606" l="1"/>
  <c r="H7" i="606"/>
  <c r="H6" i="606" s="1"/>
  <c r="I15" i="606"/>
  <c r="J15" i="606" s="1"/>
  <c r="H9" i="606" s="1"/>
  <c r="F15" i="607"/>
  <c r="G15" i="607" s="1"/>
  <c r="E9" i="607" s="1"/>
  <c r="G14" i="607"/>
  <c r="E7" i="607"/>
  <c r="E8" i="607" s="1"/>
  <c r="H8" i="606" l="1"/>
  <c r="P8" i="606"/>
  <c r="Q11" i="606" s="1" a="1"/>
  <c r="Q11" i="606" s="1"/>
  <c r="M8" i="607"/>
  <c r="N11" i="607" s="1" a="1"/>
  <c r="N11" i="607" s="1"/>
  <c r="E6" i="607"/>
  <c r="K14" i="606"/>
  <c r="L14" i="606" s="1"/>
  <c r="M14" i="606" s="1"/>
  <c r="H14" i="607"/>
  <c r="I14" i="607" s="1"/>
  <c r="J14" i="607" s="1"/>
  <c r="M11" i="607" l="1" a="1"/>
  <c r="M11" i="607" s="1"/>
  <c r="M13" i="607" s="1"/>
  <c r="Q8" i="606"/>
  <c r="P11" i="606" a="1"/>
  <c r="P11" i="606" s="1"/>
  <c r="P12" i="606" s="1"/>
  <c r="N8" i="607"/>
  <c r="Q12" i="606"/>
  <c r="Q13" i="606"/>
  <c r="N13" i="607"/>
  <c r="N12" i="607"/>
  <c r="M12" i="607" l="1"/>
  <c r="P13" i="606"/>
  <c r="H14" i="617" l="1"/>
  <c r="F7" i="617"/>
  <c r="G15" i="617"/>
  <c r="N18" i="617"/>
  <c r="N17" i="617" l="1"/>
  <c r="N19" i="617" s="1"/>
  <c r="H15" i="617"/>
  <c r="F9" i="617" s="1"/>
  <c r="N8" i="617"/>
  <c r="N9" i="617" s="1"/>
  <c r="N10" i="617" s="1"/>
  <c r="F8" i="617"/>
  <c r="F6" i="617"/>
  <c r="N14" i="617"/>
  <c r="N15" i="617" l="1"/>
  <c r="I14" i="617"/>
  <c r="J14" i="617" s="1"/>
  <c r="K14" i="617" s="1"/>
  <c r="AD6" i="471" a="1"/>
  <c r="X6" i="463" a="1"/>
  <c r="X20" i="471" a="1"/>
  <c r="AA23" i="471" a="1"/>
  <c r="AA20" i="471" a="1"/>
  <c r="AA71" i="463" a="1"/>
  <c r="AE6" i="471" a="1"/>
  <c r="AB24" i="471" l="1"/>
  <c r="AA25" i="471"/>
  <c r="AA23" i="471"/>
  <c r="AC23" i="471"/>
  <c r="AB25" i="471"/>
  <c r="AC24" i="471"/>
  <c r="AC25" i="471"/>
  <c r="AA24" i="471"/>
  <c r="AB23" i="471"/>
  <c r="AD6" i="471"/>
  <c r="AD8" i="471"/>
  <c r="AD7" i="471"/>
  <c r="AC20" i="471"/>
  <c r="AB21" i="471"/>
  <c r="AC21" i="471"/>
  <c r="AA20" i="471"/>
  <c r="AB20" i="471"/>
  <c r="AB22" i="471"/>
  <c r="AA22" i="471"/>
  <c r="AC22" i="471"/>
  <c r="AA21" i="471"/>
  <c r="AE8" i="471"/>
  <c r="AE7" i="471"/>
  <c r="AE6" i="471"/>
  <c r="Y6" i="463"/>
  <c r="X8" i="463"/>
  <c r="Z8" i="463"/>
  <c r="Z6" i="463"/>
  <c r="Y8" i="463"/>
  <c r="Y7" i="463"/>
  <c r="X7" i="463"/>
  <c r="X6" i="463"/>
  <c r="Z7" i="463"/>
  <c r="Y20" i="471"/>
  <c r="Y22" i="471"/>
  <c r="X22" i="471"/>
  <c r="Z22" i="471"/>
  <c r="X21" i="471"/>
  <c r="Z20" i="471"/>
  <c r="Y21" i="471"/>
  <c r="Z21" i="471"/>
  <c r="X20" i="471"/>
  <c r="AD74" i="463"/>
  <c r="AD73" i="463"/>
  <c r="AD72" i="463"/>
  <c r="AD71" i="463"/>
  <c r="AC74" i="463"/>
  <c r="AA71" i="463"/>
  <c r="AB71" i="463"/>
  <c r="AC71" i="463"/>
  <c r="AA72" i="463"/>
  <c r="AB72" i="463"/>
  <c r="AC72" i="463"/>
  <c r="AA73" i="463"/>
  <c r="AB73" i="463"/>
  <c r="AC73" i="463"/>
  <c r="AA74" i="463"/>
  <c r="AB74" i="463"/>
  <c r="AB6" i="463" a="1"/>
  <c r="J86" i="463" a="1"/>
  <c r="AF71" i="463" a="1"/>
  <c r="H21" i="463" a="1"/>
  <c r="AB7" i="463" l="1"/>
  <c r="AB6" i="463"/>
  <c r="AB8" i="463"/>
  <c r="J89" i="463"/>
  <c r="J88" i="463"/>
  <c r="J87" i="463"/>
  <c r="J86" i="463"/>
  <c r="AF72" i="463"/>
  <c r="AF71" i="463"/>
  <c r="AF74" i="463"/>
  <c r="AF73" i="463"/>
  <c r="H23" i="463"/>
  <c r="H22" i="463"/>
  <c r="H21" i="463"/>
  <c r="V6" i="461" a="1"/>
  <c r="W6" i="461" l="1"/>
  <c r="V6" i="461"/>
  <c r="V7" i="461"/>
  <c r="W7" i="461"/>
  <c r="Y6" i="461" a="1"/>
  <c r="G19" i="461" a="1"/>
  <c r="W29" i="463" a="1"/>
  <c r="Y7" i="461" l="1"/>
  <c r="Y6" i="461"/>
  <c r="G19" i="461"/>
  <c r="G20" i="461"/>
  <c r="W29" i="463"/>
  <c r="X29" i="463"/>
  <c r="W30" i="463"/>
  <c r="X30" i="463"/>
  <c r="H38" i="463" a="1"/>
  <c r="Z29" i="463" a="1"/>
  <c r="Z29" i="463" l="1"/>
  <c r="Z30" i="463"/>
  <c r="H39" i="463"/>
  <c r="H38" i="463"/>
  <c r="W50" i="463" a="1"/>
  <c r="W51" i="463" l="1"/>
  <c r="W50" i="463"/>
  <c r="X51" i="463"/>
  <c r="X50" i="463"/>
  <c r="AD10" i="471"/>
  <c r="AD14" i="471"/>
  <c r="AD12" i="471"/>
  <c r="AD15" i="471"/>
  <c r="AD11" i="471"/>
  <c r="AD13" i="471"/>
  <c r="X23" i="471" a="1"/>
  <c r="Z24" i="471" s="1"/>
  <c r="K86" i="463"/>
  <c r="L86" i="463" s="1"/>
  <c r="H19" i="461"/>
  <c r="I19" i="461" s="1"/>
  <c r="I38" i="463"/>
  <c r="J38" i="463" s="1"/>
  <c r="I21" i="463"/>
  <c r="J21" i="463" s="1"/>
  <c r="K88" i="463"/>
  <c r="L88" i="463" s="1"/>
  <c r="I22" i="463"/>
  <c r="J22" i="463" s="1"/>
  <c r="I39" i="463"/>
  <c r="J39" i="463" s="1"/>
  <c r="N87" i="463"/>
  <c r="H20" i="461"/>
  <c r="I20" i="461" s="1"/>
  <c r="L23" i="463"/>
  <c r="M23" i="463"/>
  <c r="O88" i="463"/>
  <c r="O87" i="463"/>
  <c r="L22" i="463"/>
  <c r="L39" i="463"/>
  <c r="K20" i="461"/>
  <c r="N89" i="463"/>
  <c r="N88" i="463"/>
  <c r="M22" i="463"/>
  <c r="K87" i="463"/>
  <c r="L87" i="463" s="1"/>
  <c r="L20" i="461"/>
  <c r="K89" i="463"/>
  <c r="L89" i="463" s="1"/>
  <c r="I23" i="463"/>
  <c r="J23" i="463" s="1"/>
  <c r="M39" i="463"/>
  <c r="O89" i="463"/>
  <c r="W6" i="462" a="1"/>
  <c r="H55" i="463" a="1"/>
  <c r="Z50" i="463" a="1"/>
  <c r="Y25" i="471" l="1"/>
  <c r="X25" i="471"/>
  <c r="Y24" i="471"/>
  <c r="X23" i="471"/>
  <c r="Z23" i="471"/>
  <c r="Z25" i="471"/>
  <c r="Y23" i="471"/>
  <c r="X24" i="471"/>
  <c r="H55" i="463"/>
  <c r="I55" i="463" s="1"/>
  <c r="J55" i="463" s="1"/>
  <c r="H56" i="463"/>
  <c r="Z51" i="463"/>
  <c r="Z50" i="463"/>
  <c r="X6" i="462"/>
  <c r="W7" i="462"/>
  <c r="Y6" i="462"/>
  <c r="X8" i="462"/>
  <c r="W8" i="462"/>
  <c r="Y7" i="462"/>
  <c r="X7" i="462"/>
  <c r="Y8" i="462"/>
  <c r="W6" i="462"/>
  <c r="AA6" i="462" a="1"/>
  <c r="G15" i="462" a="1"/>
  <c r="AE20" i="471" l="1" a="1"/>
  <c r="AF20" i="471" s="1"/>
  <c r="G17" i="462"/>
  <c r="G15" i="462"/>
  <c r="H15" i="462" s="1"/>
  <c r="I15" i="462" s="1"/>
  <c r="G16" i="462"/>
  <c r="AA7" i="462"/>
  <c r="AA6" i="462"/>
  <c r="AA8" i="462"/>
  <c r="L56" i="463"/>
  <c r="M56" i="463"/>
  <c r="I56" i="463"/>
  <c r="J56" i="463" s="1"/>
  <c r="AG25" i="471" l="1"/>
  <c r="AH24" i="471"/>
  <c r="AE24" i="471"/>
  <c r="AJ23" i="471"/>
  <c r="AG20" i="471"/>
  <c r="AI24" i="471"/>
  <c r="AJ24" i="471"/>
  <c r="AF23" i="471"/>
  <c r="AH21" i="471"/>
  <c r="AG23" i="471"/>
  <c r="AH23" i="471"/>
  <c r="AJ22" i="471"/>
  <c r="AI21" i="471"/>
  <c r="AE21" i="471"/>
  <c r="AE20" i="471"/>
  <c r="AF22" i="471"/>
  <c r="AG22" i="471"/>
  <c r="AE25" i="471"/>
  <c r="AH25" i="471"/>
  <c r="AI22" i="471"/>
  <c r="AG21" i="471"/>
  <c r="AJ21" i="471"/>
  <c r="AI25" i="471"/>
  <c r="AE23" i="471"/>
  <c r="AH20" i="471"/>
  <c r="AJ20" i="471"/>
  <c r="AG24" i="471"/>
  <c r="AH22" i="471"/>
  <c r="AF25" i="471"/>
  <c r="AJ25" i="471"/>
  <c r="AE22" i="471"/>
  <c r="AF24" i="471"/>
  <c r="AF21" i="471"/>
  <c r="AI23" i="471"/>
  <c r="AI20" i="471"/>
  <c r="L16" i="462"/>
  <c r="K16" i="462"/>
  <c r="H16" i="462"/>
  <c r="I16" i="462" s="1"/>
  <c r="K17" i="462"/>
  <c r="L17" i="462"/>
  <c r="H17" i="462"/>
  <c r="I17" i="462" s="1"/>
  <c r="I30" i="471" a="1"/>
  <c r="I22" i="471" a="1"/>
  <c r="AG10" i="471" l="1" a="1"/>
  <c r="AG12" i="471" s="1"/>
  <c r="AG8" i="471" s="1"/>
  <c r="I30" i="471"/>
  <c r="J30" i="471" s="1"/>
  <c r="K30" i="471" s="1"/>
  <c r="I32" i="471"/>
  <c r="N32" i="471" s="1"/>
  <c r="I31" i="471"/>
  <c r="J31" i="471" s="1"/>
  <c r="K31" i="471" s="1"/>
  <c r="I24" i="471"/>
  <c r="J24" i="471" s="1"/>
  <c r="K24" i="471" s="1"/>
  <c r="I22" i="471"/>
  <c r="J22" i="471" s="1"/>
  <c r="K22" i="471" s="1"/>
  <c r="I23" i="471"/>
  <c r="N23" i="471" s="1"/>
  <c r="M31" i="471"/>
  <c r="N24" i="471"/>
  <c r="M23" i="471" l="1"/>
  <c r="M24" i="471"/>
  <c r="AG14" i="471"/>
  <c r="AH7" i="471" s="1"/>
  <c r="AG10" i="471"/>
  <c r="AG6" i="471" s="1"/>
  <c r="AG13" i="471"/>
  <c r="AH6" i="471" s="1"/>
  <c r="AG11" i="471"/>
  <c r="AG7" i="471" s="1"/>
  <c r="N31" i="471"/>
  <c r="AG15" i="471"/>
  <c r="AH8" i="471" s="1"/>
  <c r="J32" i="471"/>
  <c r="K32" i="471" s="1"/>
  <c r="M32" i="471"/>
  <c r="J23" i="471"/>
  <c r="K23" i="471" s="1"/>
  <c r="AA23" i="468" a="1"/>
  <c r="O3" i="473"/>
  <c r="J13" i="401" a="1"/>
  <c r="S14" i="499"/>
  <c r="K16" i="431"/>
  <c r="AA20" i="466" a="1"/>
  <c r="N15" i="473" a="1"/>
  <c r="K46" i="431"/>
  <c r="AB6" i="468" a="1"/>
  <c r="H26" i="578"/>
  <c r="X20" i="468" a="1"/>
  <c r="AA20" i="468" a="1"/>
  <c r="X20" i="466" a="1"/>
  <c r="AA23" i="466" a="1"/>
  <c r="AA6" i="468" a="1"/>
  <c r="R26" i="578"/>
  <c r="AC20" i="466" l="1"/>
  <c r="AB22" i="466"/>
  <c r="AB20" i="466"/>
  <c r="AA21" i="466"/>
  <c r="AC21" i="466"/>
  <c r="AA22" i="466"/>
  <c r="AC22" i="466"/>
  <c r="AB21" i="466"/>
  <c r="AA20" i="466"/>
  <c r="AA25" i="468"/>
  <c r="AC23" i="468"/>
  <c r="AB24" i="468"/>
  <c r="AB23" i="468"/>
  <c r="AA23" i="468"/>
  <c r="AC24" i="468"/>
  <c r="AB25" i="468"/>
  <c r="AC25" i="468"/>
  <c r="AA24" i="468"/>
  <c r="X21" i="468"/>
  <c r="Y22" i="468"/>
  <c r="X20" i="468"/>
  <c r="Z20" i="468"/>
  <c r="Z22" i="468"/>
  <c r="Y21" i="468"/>
  <c r="X22" i="468"/>
  <c r="Z21" i="468"/>
  <c r="Y20" i="468"/>
  <c r="J13" i="401"/>
  <c r="J14" i="401"/>
  <c r="S15" i="499"/>
  <c r="T15" i="499" s="1"/>
  <c r="R9" i="499" s="1"/>
  <c r="K21" i="502" s="1"/>
  <c r="L13" i="502" s="1"/>
  <c r="M13" i="502" s="1"/>
  <c r="R7" i="499"/>
  <c r="R6" i="499" s="1"/>
  <c r="T14" i="499"/>
  <c r="O18" i="473"/>
  <c r="O15" i="473"/>
  <c r="N18" i="473"/>
  <c r="O16" i="473"/>
  <c r="N16" i="473"/>
  <c r="O17" i="473"/>
  <c r="N17" i="473"/>
  <c r="N15" i="473"/>
  <c r="AB23" i="466"/>
  <c r="AA23" i="466"/>
  <c r="AA24" i="466"/>
  <c r="AC24" i="466"/>
  <c r="AB24" i="466"/>
  <c r="AB25" i="466"/>
  <c r="AA25" i="466"/>
  <c r="AC23" i="466"/>
  <c r="AC25" i="466"/>
  <c r="Y22" i="466"/>
  <c r="Y21" i="466"/>
  <c r="Z22" i="466"/>
  <c r="Z21" i="466"/>
  <c r="X22" i="466"/>
  <c r="X20" i="466"/>
  <c r="X21" i="466"/>
  <c r="Y20" i="466"/>
  <c r="Z20" i="466"/>
  <c r="AB7" i="468"/>
  <c r="AA14" i="468" s="1"/>
  <c r="AB8" i="468"/>
  <c r="AA15" i="468" s="1"/>
  <c r="AB6" i="468"/>
  <c r="AA13" i="468" s="1"/>
  <c r="AA8" i="468"/>
  <c r="AA12" i="468" s="1"/>
  <c r="AA6" i="468"/>
  <c r="AA10" i="468" s="1"/>
  <c r="AA7" i="468"/>
  <c r="AA11" i="468" s="1"/>
  <c r="AC21" i="468"/>
  <c r="AA20" i="468"/>
  <c r="AB22" i="468"/>
  <c r="AB20" i="468"/>
  <c r="AA22" i="468"/>
  <c r="AC22" i="468"/>
  <c r="AB21" i="468"/>
  <c r="AC20" i="468"/>
  <c r="AA21" i="468"/>
  <c r="K47" i="431"/>
  <c r="L47" i="431" s="1"/>
  <c r="J41" i="431" s="1"/>
  <c r="L46" i="431"/>
  <c r="J39" i="431"/>
  <c r="J40" i="431" s="1"/>
  <c r="J9" i="431"/>
  <c r="L16" i="431"/>
  <c r="K17" i="431"/>
  <c r="L17" i="431" s="1"/>
  <c r="J11" i="431" s="1"/>
  <c r="R8" i="499" l="1"/>
  <c r="L17" i="502"/>
  <c r="M17" i="502" s="1"/>
  <c r="R5" i="401" a="1"/>
  <c r="R6" i="401" s="1"/>
  <c r="X23" i="468" a="1"/>
  <c r="Y24" i="468" s="1"/>
  <c r="X23" i="466" a="1"/>
  <c r="Y25" i="466" s="1"/>
  <c r="M16" i="431"/>
  <c r="N16" i="431" s="1"/>
  <c r="O16" i="431" s="1"/>
  <c r="L16" i="502"/>
  <c r="M16" i="502" s="1"/>
  <c r="U14" i="499"/>
  <c r="V14" i="499" s="1"/>
  <c r="W14" i="499" s="1"/>
  <c r="L14" i="502"/>
  <c r="M14" i="502" s="1"/>
  <c r="L15" i="502"/>
  <c r="M15" i="502" s="1"/>
  <c r="M46" i="431"/>
  <c r="N46" i="431" s="1"/>
  <c r="O46" i="431" s="1"/>
  <c r="J38" i="431"/>
  <c r="J8" i="431"/>
  <c r="J10" i="431"/>
  <c r="Y25" i="468" l="1"/>
  <c r="Z24" i="466"/>
  <c r="Z23" i="466"/>
  <c r="X25" i="466"/>
  <c r="X23" i="466"/>
  <c r="Z25" i="468"/>
  <c r="R5" i="401"/>
  <c r="X25" i="468"/>
  <c r="X24" i="468"/>
  <c r="Z24" i="468"/>
  <c r="Y23" i="466"/>
  <c r="X24" i="466"/>
  <c r="Y23" i="468"/>
  <c r="X23" i="468"/>
  <c r="Z25" i="466"/>
  <c r="Y24" i="466"/>
  <c r="Z23" i="468"/>
  <c r="M19" i="502"/>
  <c r="M20" i="502"/>
  <c r="M18" i="502"/>
  <c r="AE20" i="466" l="1" a="1"/>
  <c r="AI20" i="466" s="1"/>
  <c r="O12" i="401"/>
  <c r="P12" i="401" s="1"/>
  <c r="O9" i="401"/>
  <c r="P9" i="401" s="1"/>
  <c r="O4" i="401"/>
  <c r="P4" i="401" s="1"/>
  <c r="O13" i="401"/>
  <c r="P13" i="401" s="1"/>
  <c r="O11" i="401"/>
  <c r="P11" i="401" s="1"/>
  <c r="O5" i="401"/>
  <c r="P5" i="401" s="1"/>
  <c r="O10" i="401"/>
  <c r="P10" i="401" s="1"/>
  <c r="O8" i="401"/>
  <c r="P8" i="401" s="1"/>
  <c r="O6" i="401"/>
  <c r="P6" i="401" s="1"/>
  <c r="O7" i="401"/>
  <c r="P7" i="401" s="1"/>
  <c r="AE20" i="468" a="1"/>
  <c r="AF24" i="466" l="1"/>
  <c r="AG23" i="466"/>
  <c r="AF20" i="466"/>
  <c r="AJ21" i="466"/>
  <c r="AI25" i="466"/>
  <c r="AF21" i="466"/>
  <c r="AE20" i="466"/>
  <c r="AH23" i="466"/>
  <c r="AE21" i="466"/>
  <c r="AI22" i="466"/>
  <c r="AH25" i="466"/>
  <c r="AH24" i="466"/>
  <c r="AH22" i="466"/>
  <c r="AJ20" i="466"/>
  <c r="AG25" i="466"/>
  <c r="AJ23" i="466"/>
  <c r="AE25" i="466"/>
  <c r="AJ24" i="466"/>
  <c r="AG24" i="466"/>
  <c r="AG20" i="466"/>
  <c r="AE23" i="466"/>
  <c r="AI21" i="466"/>
  <c r="AG22" i="466"/>
  <c r="AI24" i="466"/>
  <c r="AF25" i="466"/>
  <c r="AE22" i="466"/>
  <c r="AH21" i="466"/>
  <c r="AI23" i="466"/>
  <c r="AE24" i="466"/>
  <c r="AG21" i="466"/>
  <c r="AF22" i="466"/>
  <c r="AF23" i="466"/>
  <c r="AJ25" i="466"/>
  <c r="AH20" i="466"/>
  <c r="AJ22" i="466"/>
  <c r="AF22" i="468"/>
  <c r="AH20" i="468"/>
  <c r="AF24" i="468"/>
  <c r="AE23" i="468"/>
  <c r="AF20" i="468"/>
  <c r="AG23" i="468"/>
  <c r="AJ24" i="468"/>
  <c r="AH25" i="468"/>
  <c r="AI23" i="468"/>
  <c r="AE24" i="468"/>
  <c r="AH24" i="468"/>
  <c r="AH21" i="468"/>
  <c r="AG20" i="468"/>
  <c r="AG24" i="468"/>
  <c r="AH22" i="468"/>
  <c r="AG25" i="468"/>
  <c r="AE25" i="468"/>
  <c r="AI24" i="468"/>
  <c r="AJ23" i="468"/>
  <c r="AE22" i="468"/>
  <c r="AJ21" i="468"/>
  <c r="AJ22" i="468"/>
  <c r="AJ25" i="468"/>
  <c r="AI25" i="468"/>
  <c r="AG21" i="468"/>
  <c r="AE21" i="468"/>
  <c r="AI22" i="468"/>
  <c r="AI21" i="468"/>
  <c r="AF23" i="468"/>
  <c r="AI20" i="468"/>
  <c r="AF21" i="468"/>
  <c r="AE20" i="468"/>
  <c r="AF25" i="468"/>
  <c r="AJ20" i="468"/>
  <c r="AG22" i="468"/>
  <c r="AH23" i="468"/>
  <c r="P14" i="401"/>
  <c r="I22" i="466" a="1"/>
  <c r="I22" i="468" a="1"/>
  <c r="I30" i="468" a="1"/>
  <c r="I29" i="466" a="1"/>
  <c r="I24" i="466" l="1"/>
  <c r="I22" i="466"/>
  <c r="J22" i="466" s="1"/>
  <c r="K22" i="466" s="1"/>
  <c r="I23" i="466"/>
  <c r="I30" i="466"/>
  <c r="I29" i="466"/>
  <c r="J29" i="466" s="1"/>
  <c r="K29" i="466" s="1"/>
  <c r="I31" i="466"/>
  <c r="I22" i="468"/>
  <c r="J22" i="468" s="1"/>
  <c r="K22" i="468" s="1"/>
  <c r="I23" i="468"/>
  <c r="I24" i="468"/>
  <c r="I30" i="468"/>
  <c r="J30" i="468" s="1"/>
  <c r="K30" i="468" s="1"/>
  <c r="I31" i="468"/>
  <c r="I32" i="468"/>
  <c r="AD10" i="468" a="1"/>
  <c r="N24" i="466" l="1"/>
  <c r="J24" i="466"/>
  <c r="K24" i="466" s="1"/>
  <c r="M24" i="466"/>
  <c r="M30" i="466"/>
  <c r="N30" i="466"/>
  <c r="J30" i="466"/>
  <c r="K30" i="466" s="1"/>
  <c r="J23" i="466"/>
  <c r="K23" i="466" s="1"/>
  <c r="M23" i="466"/>
  <c r="N23" i="466"/>
  <c r="M31" i="466"/>
  <c r="N31" i="466"/>
  <c r="J31" i="466"/>
  <c r="K31" i="466" s="1"/>
  <c r="AD15" i="468"/>
  <c r="AE8" i="468" s="1"/>
  <c r="AD11" i="468"/>
  <c r="AD7" i="468" s="1"/>
  <c r="AD12" i="468"/>
  <c r="AD8" i="468" s="1"/>
  <c r="AD14" i="468"/>
  <c r="AE7" i="468" s="1"/>
  <c r="AD13" i="468"/>
  <c r="AE6" i="468" s="1"/>
  <c r="AD10" i="468"/>
  <c r="J24" i="468"/>
  <c r="K24" i="468" s="1"/>
  <c r="N24" i="468"/>
  <c r="M24" i="468"/>
  <c r="J32" i="468"/>
  <c r="K32" i="468" s="1"/>
  <c r="N32" i="468"/>
  <c r="M32" i="468"/>
  <c r="M23" i="468"/>
  <c r="N23" i="468"/>
  <c r="J23" i="468"/>
  <c r="K23" i="468" s="1"/>
  <c r="J31" i="468"/>
  <c r="K31" i="468" s="1"/>
  <c r="N31" i="468"/>
  <c r="M31" i="468"/>
  <c r="AD6" i="468" l="1"/>
  <c r="AG10" i="468" a="1"/>
  <c r="AG15" i="468" l="1"/>
  <c r="AH8" i="468" s="1"/>
  <c r="AG10" i="468"/>
  <c r="AG6" i="468" s="1"/>
  <c r="AG12" i="468"/>
  <c r="AG8" i="468" s="1"/>
  <c r="AG14" i="468"/>
  <c r="AH7" i="468" s="1"/>
  <c r="AG11" i="468"/>
  <c r="AG7" i="468" s="1"/>
  <c r="AG13" i="468"/>
  <c r="AH6" i="468" s="1"/>
  <c r="R9" i="401" a="1"/>
  <c r="R10" i="401" l="1"/>
  <c r="S9" i="401"/>
  <c r="S10" i="401"/>
  <c r="R9" i="401"/>
  <c r="R13" i="401" a="1"/>
  <c r="R14" i="401" l="1"/>
  <c r="R13" i="401"/>
  <c r="Z5" i="401" l="1" a="1"/>
  <c r="Z5" i="401" s="1"/>
  <c r="Z6" i="401" l="1"/>
  <c r="W7" i="401" s="1"/>
  <c r="X7" i="401" s="1"/>
  <c r="W10" i="401" l="1"/>
  <c r="X10" i="401" s="1"/>
  <c r="W11" i="401"/>
  <c r="X11" i="401" s="1"/>
  <c r="W12" i="401"/>
  <c r="X12" i="401" s="1"/>
  <c r="W6" i="401"/>
  <c r="X6" i="401" s="1"/>
  <c r="W5" i="401"/>
  <c r="X5" i="401" s="1"/>
  <c r="W4" i="401"/>
  <c r="W13" i="401"/>
  <c r="X13" i="401" s="1"/>
  <c r="W8" i="401"/>
  <c r="X8" i="401" s="1"/>
  <c r="W9" i="401"/>
  <c r="X9" i="401" s="1"/>
  <c r="Z9" i="401" a="1"/>
  <c r="AA9" i="401" l="1"/>
  <c r="Z9" i="401"/>
  <c r="AA10" i="401"/>
  <c r="Z10" i="401"/>
  <c r="X4" i="401"/>
  <c r="X14" i="401" s="1"/>
  <c r="Z13" i="401" a="1"/>
  <c r="Z14" i="401" l="1"/>
  <c r="Z13" i="401"/>
  <c r="AH5" i="401" l="1" a="1"/>
  <c r="AH6" i="401" s="1"/>
  <c r="R21" i="401" a="1"/>
  <c r="R21" i="401" s="1"/>
  <c r="AH5" i="401" l="1"/>
  <c r="AE6" i="401" s="1"/>
  <c r="AF6" i="401" s="1"/>
  <c r="R22" i="401"/>
  <c r="O28" i="401" s="1"/>
  <c r="P28" i="401" s="1"/>
  <c r="O27" i="401" l="1"/>
  <c r="P27" i="401" s="1"/>
  <c r="AE7" i="401"/>
  <c r="AF7" i="401" s="1"/>
  <c r="AE10" i="401"/>
  <c r="AF10" i="401" s="1"/>
  <c r="O26" i="401"/>
  <c r="P26" i="401" s="1"/>
  <c r="O23" i="401"/>
  <c r="P23" i="401" s="1"/>
  <c r="O21" i="401"/>
  <c r="P21" i="401" s="1"/>
  <c r="O29" i="401"/>
  <c r="P29" i="401" s="1"/>
  <c r="O20" i="401"/>
  <c r="P20" i="401" s="1"/>
  <c r="AE8" i="401"/>
  <c r="AF8" i="401" s="1"/>
  <c r="O22" i="401"/>
  <c r="P22" i="401" s="1"/>
  <c r="O24" i="401"/>
  <c r="P24" i="401" s="1"/>
  <c r="O25" i="401"/>
  <c r="P25" i="401" s="1"/>
  <c r="AE12" i="401"/>
  <c r="AF12" i="401" s="1"/>
  <c r="AE11" i="401"/>
  <c r="AF11" i="401" s="1"/>
  <c r="AE5" i="401"/>
  <c r="AF5" i="401" s="1"/>
  <c r="AE13" i="401"/>
  <c r="AF13" i="401" s="1"/>
  <c r="AE4" i="401"/>
  <c r="AF4" i="401" s="1"/>
  <c r="AE9" i="401"/>
  <c r="AF9" i="401" s="1"/>
  <c r="R25" i="401" a="1"/>
  <c r="AH9" i="401" a="1"/>
  <c r="P30" i="401" l="1"/>
  <c r="AF14" i="401"/>
  <c r="AH9" i="401"/>
  <c r="AI10" i="401"/>
  <c r="AI9" i="401"/>
  <c r="AH10" i="401"/>
  <c r="S25" i="401"/>
  <c r="R26" i="401"/>
  <c r="R25" i="401"/>
  <c r="S26" i="401"/>
  <c r="AH13" i="401" a="1"/>
  <c r="R29" i="401" a="1"/>
  <c r="R30" i="401" l="1"/>
  <c r="R29" i="401"/>
  <c r="AH14" i="401"/>
  <c r="AH13" i="401"/>
  <c r="AP5" i="401" l="1" a="1"/>
  <c r="AP5" i="401" s="1"/>
  <c r="Z21" i="401" a="1"/>
  <c r="Z22" i="401" s="1"/>
  <c r="Z21" i="401" l="1"/>
  <c r="W29" i="401" s="1"/>
  <c r="X29" i="401" s="1"/>
  <c r="AP6" i="401"/>
  <c r="AM7" i="401" s="1"/>
  <c r="AN7" i="401" s="1"/>
  <c r="W25" i="401" l="1"/>
  <c r="X25" i="401" s="1"/>
  <c r="W21" i="401"/>
  <c r="X21" i="401" s="1"/>
  <c r="W24" i="401"/>
  <c r="X24" i="401" s="1"/>
  <c r="W28" i="401"/>
  <c r="X28" i="401" s="1"/>
  <c r="W26" i="401"/>
  <c r="X26" i="401" s="1"/>
  <c r="W22" i="401"/>
  <c r="X22" i="401" s="1"/>
  <c r="W27" i="401"/>
  <c r="X27" i="401" s="1"/>
  <c r="W23" i="401"/>
  <c r="X23" i="401" s="1"/>
  <c r="W20" i="401"/>
  <c r="AM8" i="401"/>
  <c r="AN8" i="401" s="1"/>
  <c r="AM10" i="401"/>
  <c r="AN10" i="401" s="1"/>
  <c r="AM9" i="401"/>
  <c r="AN9" i="401" s="1"/>
  <c r="AM6" i="401"/>
  <c r="AN6" i="401" s="1"/>
  <c r="AM11" i="401"/>
  <c r="AN11" i="401" s="1"/>
  <c r="AM4" i="401"/>
  <c r="AM12" i="401"/>
  <c r="AN12" i="401" s="1"/>
  <c r="AM13" i="401"/>
  <c r="AN13" i="401" s="1"/>
  <c r="AM5" i="401"/>
  <c r="AN5" i="401" s="1"/>
  <c r="Z25" i="401" a="1"/>
  <c r="AP9" i="401" a="1"/>
  <c r="Z25" i="401" l="1"/>
  <c r="AA25" i="401"/>
  <c r="Z26" i="401"/>
  <c r="AA26" i="401"/>
  <c r="X20" i="401"/>
  <c r="X30" i="401" s="1"/>
  <c r="AQ10" i="401"/>
  <c r="AQ9" i="401"/>
  <c r="AP9" i="401"/>
  <c r="AP10" i="401"/>
  <c r="AN4" i="401"/>
  <c r="AN14" i="401" s="1"/>
  <c r="Z29" i="401" a="1"/>
  <c r="Z29" i="401" l="1"/>
  <c r="Z30" i="401"/>
  <c r="AP13" i="401" a="1"/>
  <c r="AP13" i="401" l="1"/>
  <c r="AP14" i="401"/>
  <c r="AX5" i="401" l="1" a="1"/>
  <c r="AX5" i="401" s="1"/>
  <c r="AX6" i="401" l="1"/>
  <c r="AU10" i="401" s="1"/>
  <c r="AV10" i="401" s="1"/>
  <c r="AU8" i="401" l="1"/>
  <c r="AV8" i="401" s="1"/>
  <c r="AU7" i="401"/>
  <c r="AV7" i="401" s="1"/>
  <c r="AU9" i="401"/>
  <c r="AV9" i="401" s="1"/>
  <c r="AU13" i="401"/>
  <c r="AV13" i="401" s="1"/>
  <c r="AU5" i="401"/>
  <c r="AV5" i="401" s="1"/>
  <c r="AU12" i="401"/>
  <c r="AV12" i="401" s="1"/>
  <c r="AU6" i="401"/>
  <c r="AV6" i="401" s="1"/>
  <c r="AU11" i="401"/>
  <c r="AV11" i="401" s="1"/>
  <c r="AU4" i="401"/>
  <c r="AX9" i="401" a="1"/>
  <c r="AX10" i="401" l="1"/>
  <c r="AX9" i="401"/>
  <c r="AY9" i="401"/>
  <c r="AY10" i="401"/>
  <c r="AV4" i="401"/>
  <c r="AV14" i="401" s="1"/>
  <c r="AX13" i="401" a="1"/>
  <c r="AX13" i="401" l="1"/>
  <c r="AX14" i="401"/>
  <c r="U12" i="719"/>
  <c r="L12" i="719"/>
  <c r="I12" i="721"/>
  <c r="G32" i="717"/>
  <c r="K5" i="719" l="1"/>
  <c r="L13" i="719"/>
  <c r="M12" i="719"/>
  <c r="H5" i="721"/>
  <c r="I13" i="721"/>
  <c r="J12" i="721"/>
  <c r="T5" i="719"/>
  <c r="V12" i="719"/>
  <c r="U13" i="719"/>
  <c r="H32" i="717"/>
  <c r="G33" i="717"/>
  <c r="F25" i="717"/>
  <c r="I24" i="717" l="1"/>
  <c r="I25" i="717" s="1"/>
  <c r="I26" i="717"/>
  <c r="H33" i="717"/>
  <c r="F27" i="717" s="1"/>
  <c r="T4" i="719"/>
  <c r="T6" i="719"/>
  <c r="M13" i="719"/>
  <c r="K7" i="719" s="1"/>
  <c r="N6" i="719"/>
  <c r="N4" i="719"/>
  <c r="N5" i="719" s="1"/>
  <c r="F24" i="717"/>
  <c r="F26" i="717"/>
  <c r="H4" i="721"/>
  <c r="H6" i="721"/>
  <c r="V13" i="719"/>
  <c r="T7" i="719" s="1"/>
  <c r="W6" i="719"/>
  <c r="W4" i="719"/>
  <c r="W5" i="719" s="1"/>
  <c r="K6" i="721"/>
  <c r="K4" i="721"/>
  <c r="K5" i="721" s="1"/>
  <c r="J13" i="721"/>
  <c r="H7" i="721" s="1"/>
  <c r="K6" i="719"/>
  <c r="K4" i="719"/>
  <c r="N12" i="719" l="1"/>
  <c r="O12" i="719" s="1"/>
  <c r="P12" i="719" s="1"/>
  <c r="K12" i="721"/>
  <c r="L12" i="721" s="1"/>
  <c r="M12" i="721" s="1"/>
  <c r="I32" i="717"/>
  <c r="J32" i="717" s="1"/>
  <c r="K32" i="717" s="1"/>
  <c r="W12" i="719"/>
  <c r="X12" i="719" s="1"/>
  <c r="Y12" i="719" s="1"/>
  <c r="N12" i="650"/>
  <c r="N36" i="650"/>
  <c r="P14" i="723"/>
  <c r="G14" i="427"/>
  <c r="Q14" i="723" l="1"/>
  <c r="O7" i="723"/>
  <c r="P15" i="723"/>
  <c r="N13" i="650"/>
  <c r="M5" i="650"/>
  <c r="O12" i="650"/>
  <c r="M29" i="650"/>
  <c r="N37" i="650"/>
  <c r="O36" i="650"/>
  <c r="G15" i="427"/>
  <c r="H14" i="427"/>
  <c r="F7" i="427"/>
  <c r="F6" i="427" l="1"/>
  <c r="F8" i="427"/>
  <c r="O37" i="650"/>
  <c r="M31" i="650" s="1"/>
  <c r="P30" i="650"/>
  <c r="P28" i="650"/>
  <c r="P29" i="650" s="1"/>
  <c r="O13" i="650"/>
  <c r="M7" i="650" s="1"/>
  <c r="P6" i="650"/>
  <c r="P4" i="650"/>
  <c r="P5" i="650" s="1"/>
  <c r="M28" i="650"/>
  <c r="M30" i="650"/>
  <c r="R8" i="723"/>
  <c r="Q15" i="723"/>
  <c r="O9" i="723" s="1"/>
  <c r="R6" i="723"/>
  <c r="R7" i="723" s="1"/>
  <c r="P12" i="650"/>
  <c r="Q12" i="650" s="1"/>
  <c r="R12" i="650" s="1"/>
  <c r="O6" i="723"/>
  <c r="O8" i="723"/>
  <c r="I6" i="427"/>
  <c r="I7" i="427" s="1"/>
  <c r="I8" i="427"/>
  <c r="H15" i="427"/>
  <c r="F9" i="427" s="1"/>
  <c r="M4" i="650"/>
  <c r="M6" i="650"/>
  <c r="P36" i="650" l="1"/>
  <c r="Q36" i="650" s="1"/>
  <c r="R36" i="650" s="1"/>
  <c r="R14" i="723"/>
  <c r="S14" i="723" s="1"/>
  <c r="T14" i="723" s="1"/>
  <c r="I14" i="427"/>
  <c r="J14" i="427" s="1"/>
  <c r="K14" i="427" s="1"/>
</calcChain>
</file>

<file path=xl/sharedStrings.xml><?xml version="1.0" encoding="utf-8"?>
<sst xmlns="http://schemas.openxmlformats.org/spreadsheetml/2006/main" count="15356" uniqueCount="2709">
  <si>
    <t>Table of Contents</t>
  </si>
  <si>
    <t>Total</t>
  </si>
  <si>
    <t>Age</t>
  </si>
  <si>
    <t>Income</t>
  </si>
  <si>
    <t>x</t>
  </si>
  <si>
    <t>f</t>
  </si>
  <si>
    <t>Geometric Mean</t>
  </si>
  <si>
    <t>mean</t>
  </si>
  <si>
    <t>var</t>
  </si>
  <si>
    <t>stdev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</si>
  <si>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</si>
  <si>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</si>
  <si>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</si>
  <si>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</si>
  <si>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</si>
  <si>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</si>
  <si>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</si>
  <si>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</si>
  <si>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</si>
  <si>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</si>
  <si>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</si>
  <si>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</si>
  <si>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</si>
  <si>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Harmonic Mean</t>
  </si>
  <si>
    <t>AAD</t>
  </si>
  <si>
    <t>MAD</t>
  </si>
  <si>
    <t>IQR</t>
  </si>
  <si>
    <t>Descriptive Statistics</t>
  </si>
  <si>
    <t>freq</t>
  </si>
  <si>
    <t>lower</t>
  </si>
  <si>
    <t>upper</t>
  </si>
  <si>
    <t>n</t>
  </si>
  <si>
    <t>More</t>
  </si>
  <si>
    <t>Power</t>
  </si>
  <si>
    <t>Alpha</t>
  </si>
  <si>
    <t>z</t>
  </si>
  <si>
    <t>Score</t>
  </si>
  <si>
    <t>Row</t>
  </si>
  <si>
    <t>Raw Data</t>
  </si>
  <si>
    <t>Method 1</t>
  </si>
  <si>
    <t>Method 2</t>
  </si>
  <si>
    <t>a</t>
  </si>
  <si>
    <t>b</t>
  </si>
  <si>
    <t>c</t>
  </si>
  <si>
    <t>d</t>
  </si>
  <si>
    <t>row</t>
  </si>
  <si>
    <t>Method 3</t>
  </si>
  <si>
    <t>Method 4</t>
  </si>
  <si>
    <t>α</t>
  </si>
  <si>
    <t>offset</t>
  </si>
  <si>
    <t>Min</t>
  </si>
  <si>
    <t>Q1-Min</t>
  </si>
  <si>
    <t>Med-Q1</t>
  </si>
  <si>
    <t>Q3-Med</t>
  </si>
  <si>
    <t>Max-Q3</t>
  </si>
  <si>
    <t>Q1</t>
  </si>
  <si>
    <t>k</t>
  </si>
  <si>
    <t>Subject</t>
  </si>
  <si>
    <t>Std Dev</t>
  </si>
  <si>
    <t>Std Err</t>
  </si>
  <si>
    <t>df</t>
  </si>
  <si>
    <t>t stat</t>
  </si>
  <si>
    <t>SUMMARY</t>
  </si>
  <si>
    <t>t</t>
  </si>
  <si>
    <t>Cohen d</t>
  </si>
  <si>
    <t>T TEST</t>
  </si>
  <si>
    <t xml:space="preserve"> </t>
  </si>
  <si>
    <t>p-value</t>
  </si>
  <si>
    <t>t-crit</t>
  </si>
  <si>
    <t>reject</t>
  </si>
  <si>
    <t>QQ Tables</t>
  </si>
  <si>
    <t>Interval</t>
  </si>
  <si>
    <t>Data</t>
  </si>
  <si>
    <t>Std Data</t>
  </si>
  <si>
    <t>Raw data</t>
  </si>
  <si>
    <t>New</t>
  </si>
  <si>
    <t>Old</t>
  </si>
  <si>
    <t>std dev</t>
  </si>
  <si>
    <t>t-Test: Two-Sample Assuming Equal Variances</t>
  </si>
  <si>
    <t>Groups</t>
  </si>
  <si>
    <t>Variance</t>
  </si>
  <si>
    <t>Observations</t>
  </si>
  <si>
    <t>Pooled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</si>
  <si>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</si>
  <si>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</si>
  <si>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</si>
  <si>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</si>
  <si>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</si>
  <si>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</si>
  <si>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</si>
  <si>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</si>
  <si>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Control</t>
  </si>
  <si>
    <t>Drug</t>
  </si>
  <si>
    <t>Person</t>
  </si>
  <si>
    <t>Before</t>
  </si>
  <si>
    <t>t-stat</t>
  </si>
  <si>
    <t>--</t>
  </si>
  <si>
    <t>a1</t>
  </si>
  <si>
    <t>a2</t>
  </si>
  <si>
    <t>a3</t>
  </si>
  <si>
    <r>
      <t xml:space="preserve">Studentized Q Table - critical value for q(k, df, </t>
    </r>
    <r>
      <rPr>
        <b/>
        <sz val="11"/>
        <color theme="1"/>
        <rFont val="Calibri"/>
        <family val="2"/>
      </rPr>
      <t>α)</t>
    </r>
  </si>
  <si>
    <t xml:space="preserve">k --&gt; </t>
  </si>
  <si>
    <t>Inf</t>
  </si>
  <si>
    <t>p</t>
  </si>
  <si>
    <t>Chi-Square Test</t>
  </si>
  <si>
    <t>Sample</t>
  </si>
  <si>
    <t>alpha</t>
  </si>
  <si>
    <t>chi-sq</t>
  </si>
  <si>
    <t>Female</t>
  </si>
  <si>
    <t>χ2</t>
  </si>
  <si>
    <t>χ2-crit</t>
  </si>
  <si>
    <t>x-crit</t>
  </si>
  <si>
    <t>Obs</t>
  </si>
  <si>
    <t>Observed Values</t>
  </si>
  <si>
    <t>Expected Values</t>
  </si>
  <si>
    <t>Therapy 1</t>
  </si>
  <si>
    <t>Therapy 2</t>
  </si>
  <si>
    <t>Cured</t>
  </si>
  <si>
    <t>Not Cured</t>
  </si>
  <si>
    <t>P-value</t>
  </si>
  <si>
    <t>r</t>
  </si>
  <si>
    <t>Wealthy</t>
  </si>
  <si>
    <t>Middle Class</t>
  </si>
  <si>
    <t>Poor</t>
  </si>
  <si>
    <t>High Sch</t>
  </si>
  <si>
    <t>Univ</t>
  </si>
  <si>
    <t>None</t>
  </si>
  <si>
    <t>Observed</t>
  </si>
  <si>
    <t>Effect size</t>
  </si>
  <si>
    <t>Odds</t>
  </si>
  <si>
    <t>Male</t>
  </si>
  <si>
    <t>B</t>
  </si>
  <si>
    <t>C</t>
  </si>
  <si>
    <t>D</t>
  </si>
  <si>
    <t>E</t>
  </si>
  <si>
    <t>F</t>
  </si>
  <si>
    <t>Rows</t>
  </si>
  <si>
    <t>Cols</t>
  </si>
  <si>
    <t>CHI-SQUARE</t>
  </si>
  <si>
    <t>Pearson's</t>
  </si>
  <si>
    <t>Cramer V</t>
  </si>
  <si>
    <t>Max likelihood</t>
  </si>
  <si>
    <t>y</t>
  </si>
  <si>
    <t>Poverty</t>
  </si>
  <si>
    <t>Infant Mort</t>
  </si>
  <si>
    <t>White</t>
  </si>
  <si>
    <t>Crime</t>
  </si>
  <si>
    <t>Doctors</t>
  </si>
  <si>
    <t>Traf Deaths</t>
  </si>
  <si>
    <t>University</t>
  </si>
  <si>
    <t>Unemployed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</si>
  <si>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</si>
  <si>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</si>
  <si>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</si>
  <si>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</si>
  <si>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</si>
  <si>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</si>
  <si>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</si>
  <si>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</si>
  <si>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</si>
  <si>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</si>
  <si>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</si>
  <si>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</si>
  <si>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</si>
  <si>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</si>
  <si>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</si>
  <si>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</si>
  <si>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</si>
  <si>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</si>
  <si>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</si>
  <si>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</si>
  <si>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</si>
  <si>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</si>
  <si>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</si>
  <si>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</si>
  <si>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</si>
  <si>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</si>
  <si>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</si>
  <si>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</si>
  <si>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</si>
  <si>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</si>
  <si>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</si>
  <si>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</si>
  <si>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</si>
  <si>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</si>
  <si>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</si>
  <si>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</si>
  <si>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</si>
  <si>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</si>
  <si>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</si>
  <si>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</si>
  <si>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</si>
  <si>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</si>
  <si>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</si>
  <si>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</si>
  <si>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</si>
  <si>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</si>
  <si>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</si>
  <si>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</si>
  <si>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</si>
  <si>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</si>
  <si>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Poverty - % below poverty level</t>
  </si>
  <si>
    <t>Infant Mort - infant mortality per 1,000 births, death prior to 1 yr, excludes fetal death, residents only</t>
  </si>
  <si>
    <t>White - % of the population that is white</t>
  </si>
  <si>
    <t>Crime - violent crime (murder, forcible rape, robbery, and aggravated assault) per 100,000 people</t>
  </si>
  <si>
    <t>Doctors - # doctors per 100,000 residents, excludes some categories of doctors</t>
  </si>
  <si>
    <t>Traf Deaths - # of traffic fatalities per 100 million vehicle miles</t>
  </si>
  <si>
    <t>University - % of residents 25 yrs or older with at least a bachelor's degree</t>
  </si>
  <si>
    <t>Unemployment - % of civilian labor force</t>
  </si>
  <si>
    <t>Income - median household income</t>
  </si>
  <si>
    <t>ρ</t>
  </si>
  <si>
    <t>z-crit</t>
  </si>
  <si>
    <t>std error</t>
  </si>
  <si>
    <t>A</t>
  </si>
  <si>
    <t>Life Exp</t>
  </si>
  <si>
    <t>Correlation</t>
  </si>
  <si>
    <t>count</t>
  </si>
  <si>
    <t>Std Norm</t>
  </si>
  <si>
    <t>=COUNT(A4:A18)</t>
  </si>
  <si>
    <t>SS</t>
  </si>
  <si>
    <t>Chi-sq</t>
  </si>
  <si>
    <t>Transformations - Log</t>
  </si>
  <si>
    <t>Regression</t>
  </si>
  <si>
    <t>cov(x,y)</t>
  </si>
  <si>
    <t>varp(x)</t>
  </si>
  <si>
    <t>slope b</t>
  </si>
  <si>
    <t>intercept a</t>
  </si>
  <si>
    <t>Cig (x)</t>
  </si>
  <si>
    <t>Life Exp (y)</t>
  </si>
  <si>
    <t>Prediction</t>
  </si>
  <si>
    <t>ŷ</t>
  </si>
  <si>
    <t>Life Exp (ŷ)</t>
  </si>
  <si>
    <t>=COVAR(A4:A18,B4:B18)</t>
  </si>
  <si>
    <t>=VARP(A4:A18)</t>
  </si>
  <si>
    <t>=E2/E3</t>
  </si>
  <si>
    <t>=AVERAGE(B4:B18)-E4*AVERAGE(A4:A18)</t>
  </si>
  <si>
    <t>Prediction using TREND</t>
  </si>
  <si>
    <t>Prediction using FORECAST</t>
  </si>
  <si>
    <t>Prediction using y = a + b * x</t>
  </si>
  <si>
    <t>Error (e)</t>
  </si>
  <si>
    <t>MS</t>
  </si>
  <si>
    <t>T</t>
  </si>
  <si>
    <t>Reg</t>
  </si>
  <si>
    <t>Res</t>
  </si>
  <si>
    <t>Regression Testing</t>
  </si>
  <si>
    <t>mean y</t>
  </si>
  <si>
    <t>F-crit</t>
  </si>
  <si>
    <t>Alternative 1</t>
  </si>
  <si>
    <t>Alternative 2</t>
  </si>
  <si>
    <t>=G8/G9</t>
  </si>
  <si>
    <t>=FINV(E12,F8,F9)</t>
  </si>
  <si>
    <t>=FDIST(E11,F8,F9)</t>
  </si>
  <si>
    <t>=IF(E14&lt;E12,"yes","no")</t>
  </si>
  <si>
    <t>Alternative ways to calculate SS-Res</t>
  </si>
  <si>
    <t>=AB4-AB5</t>
  </si>
  <si>
    <t>=SUMXMY2(U5:U19,V5:V19)</t>
  </si>
  <si>
    <t>Correlations</t>
  </si>
  <si>
    <t>x and ŷ</t>
  </si>
  <si>
    <t>y and ŷ</t>
  </si>
  <si>
    <t>x and y</t>
  </si>
  <si>
    <r>
      <t>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</si>
  <si>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s</t>
    </r>
    <r>
      <rPr>
        <vertAlign val="subscript"/>
        <sz val="11"/>
        <color theme="1"/>
        <rFont val="Calibri"/>
        <family val="2"/>
        <scheme val="minor"/>
      </rPr>
      <t>x</t>
    </r>
  </si>
  <si>
    <r>
      <t>s</t>
    </r>
    <r>
      <rPr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</si>
  <si>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</si>
  <si>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</rPr>
      <t>∙</t>
    </r>
    <r>
      <rPr>
        <vertAlign val="subscript"/>
        <sz val="11"/>
        <color theme="1"/>
        <rFont val="Calibri"/>
        <family val="2"/>
        <scheme val="minor"/>
      </rPr>
      <t>x</t>
    </r>
  </si>
  <si>
    <t>=CORREL(A4:A18,B4:B18)</t>
  </si>
  <si>
    <t>=STDEV(A4:A18)</t>
  </si>
  <si>
    <t>=STDEV(B4:B18)</t>
  </si>
  <si>
    <t>Confidence interval</t>
  </si>
  <si>
    <t>Test the slope of the regression line</t>
  </si>
  <si>
    <t>=E4*E6/E5</t>
  </si>
  <si>
    <t>=E6*SQRT((1-E4^2)*(E3-1)/(E3-2))</t>
  </si>
  <si>
    <t>=E8/(E5*SQRT(E3-1))</t>
  </si>
  <si>
    <t>=E7/E9</t>
  </si>
  <si>
    <t>=E3-2</t>
  </si>
  <si>
    <t>=TDIST(ABS(E10),E11,2)</t>
  </si>
  <si>
    <t>=TINV(0.05,E11)</t>
  </si>
  <si>
    <t>=IF(E12&lt;E13,"yes","no")</t>
  </si>
  <si>
    <t>=E7-E14*E9</t>
  </si>
  <si>
    <t>=E7+E14*E9</t>
  </si>
  <si>
    <t>Use of LINEST</t>
  </si>
  <si>
    <t>Slope (b)</t>
  </si>
  <si>
    <t>Intercept (a)</t>
  </si>
  <si>
    <r>
      <t>S.E. of slope (s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)</t>
    </r>
  </si>
  <si>
    <r>
      <t>S.E. of intercept (s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)</t>
    </r>
  </si>
  <si>
    <t>R Square</t>
  </si>
  <si>
    <r>
      <t>S.E. of estimate (s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)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</si>
  <si>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</si>
  <si>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Reg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</si>
  <si>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</si>
  <si>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t>SUMMARY OUTPUT</t>
  </si>
  <si>
    <t>Regression Statistics</t>
  </si>
  <si>
    <t>Multiple R</t>
  </si>
  <si>
    <t>Adjusted R Square</t>
  </si>
  <si>
    <t>ANOVA</t>
  </si>
  <si>
    <t>Residual</t>
  </si>
  <si>
    <t>Intercept</t>
  </si>
  <si>
    <t>Significance F</t>
  </si>
  <si>
    <t>Coefficients</t>
  </si>
  <si>
    <t>Lower 95%</t>
  </si>
  <si>
    <t>Upper 95%</t>
  </si>
  <si>
    <t>RESIDUAL OUTPUT</t>
  </si>
  <si>
    <t>Observation</t>
  </si>
  <si>
    <t>Residuals</t>
  </si>
  <si>
    <t>Standard Residuals</t>
  </si>
  <si>
    <t>PROBABILITY OUTPUT</t>
  </si>
  <si>
    <t>Percentile</t>
  </si>
  <si>
    <t>Predicted Life Exp</t>
  </si>
  <si>
    <t>Comparison of two slopes</t>
  </si>
  <si>
    <r>
      <t>s</t>
    </r>
    <r>
      <rPr>
        <vertAlign val="subscript"/>
        <sz val="11"/>
        <color theme="1"/>
        <rFont val="Calibri"/>
        <family val="2"/>
        <scheme val="minor"/>
      </rPr>
      <t>b1-b2</t>
    </r>
  </si>
  <si>
    <t>= TINV(0.05,df)</t>
  </si>
  <si>
    <t>Using pooled error variance</t>
  </si>
  <si>
    <r>
      <t>s</t>
    </r>
    <r>
      <rPr>
        <vertAlign val="subscript"/>
        <sz val="11"/>
        <color theme="1"/>
        <rFont val="Calibri"/>
        <family val="2"/>
        <scheme val="minor"/>
      </rPr>
      <t>Res</t>
    </r>
    <r>
      <rPr>
        <vertAlign val="superscript"/>
        <sz val="11"/>
        <color theme="1"/>
        <rFont val="Calibri"/>
        <family val="2"/>
        <scheme val="minor"/>
      </rPr>
      <t>2</t>
    </r>
  </si>
  <si>
    <t>=SLOPE(B4:B18,A4:A18)</t>
  </si>
  <si>
    <t>=STEYX(B4:B18,A4:A18)</t>
  </si>
  <si>
    <t>=J6/(J4*SQRT(J3-1))</t>
  </si>
  <si>
    <t>=J5/J7</t>
  </si>
  <si>
    <t>=J3-2</t>
  </si>
  <si>
    <t>=TDIST(ABS(J8),J9,2)</t>
  </si>
  <si>
    <t>=TINV(0.05,J9)</t>
  </si>
  <si>
    <t>=IF(J10&lt;J11,"yes","no")</t>
  </si>
  <si>
    <t>=J5-J12*J7</t>
  </si>
  <si>
    <t>=J5+J12*J7</t>
  </si>
  <si>
    <t>Testing two slopes</t>
  </si>
  <si>
    <t>Men</t>
  </si>
  <si>
    <t>Women</t>
  </si>
  <si>
    <t>=SLOPE(y,x)</t>
  </si>
  <si>
    <t>=STEYX(y,x)</t>
  </si>
  <si>
    <t>=STDEV(x)</t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</si>
  <si>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</rPr>
      <t>∙x</t>
    </r>
  </si>
  <si>
    <r>
      <t>= s</t>
    </r>
    <r>
      <rPr>
        <vertAlign val="subscript"/>
        <sz val="11"/>
        <color theme="1"/>
        <rFont val="Calibri"/>
        <family val="2"/>
        <scheme val="minor"/>
      </rPr>
      <t>y∙x</t>
    </r>
    <r>
      <rPr>
        <sz val="11"/>
        <color theme="1"/>
        <rFont val="Calibri"/>
        <family val="2"/>
        <scheme val="minor"/>
      </rPr>
      <t xml:space="preserve"> / (s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* SQRT(n-1))</t>
    </r>
  </si>
  <si>
    <t>=COUNT(x)</t>
  </si>
  <si>
    <r>
      <t>= TINV(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,df)</t>
    </r>
  </si>
  <si>
    <t>= TDIST(|t|,df,2)</t>
  </si>
  <si>
    <r>
      <t>= ((n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-2)s</t>
    </r>
    <r>
      <rPr>
        <vertAlign val="subscript"/>
        <sz val="11"/>
        <color theme="1"/>
        <rFont val="Calibri"/>
        <family val="2"/>
        <scheme val="minor"/>
      </rPr>
      <t>y.x1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+(n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-2)s</t>
    </r>
    <r>
      <rPr>
        <vertAlign val="subscript"/>
        <sz val="11"/>
        <color theme="1"/>
        <rFont val="Calibri"/>
        <family val="2"/>
        <scheme val="minor"/>
      </rPr>
      <t>y.x2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)/(n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+n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-4)</t>
    </r>
  </si>
  <si>
    <r>
      <t>= SQRT(s</t>
    </r>
    <r>
      <rPr>
        <vertAlign val="subscript"/>
        <sz val="11"/>
        <color theme="1"/>
        <rFont val="Calibri"/>
        <family val="2"/>
        <scheme val="minor"/>
      </rPr>
      <t>b1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+s</t>
    </r>
    <r>
      <rPr>
        <vertAlign val="subscript"/>
        <sz val="11"/>
        <color theme="1"/>
        <rFont val="Calibri"/>
        <family val="2"/>
        <scheme val="minor"/>
      </rPr>
      <t>b2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</si>
  <si>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Confidence and Prediction Intervals</t>
  </si>
  <si>
    <t>Confidence interval for the forecasted value</t>
  </si>
  <si>
    <t>Prediction interval</t>
  </si>
  <si>
    <t>Test for y-intercept</t>
  </si>
  <si>
    <t>mean(x)</t>
  </si>
  <si>
    <r>
      <t>SS</t>
    </r>
    <r>
      <rPr>
        <vertAlign val="subscript"/>
        <sz val="11"/>
        <color theme="1"/>
        <rFont val="Calibri"/>
        <family val="2"/>
        <scheme val="minor"/>
      </rPr>
      <t>x</t>
    </r>
  </si>
  <si>
    <t>se</t>
  </si>
  <si>
    <t>Lower</t>
  </si>
  <si>
    <t>Upper</t>
  </si>
  <si>
    <r>
      <t>x</t>
    </r>
    <r>
      <rPr>
        <vertAlign val="subscript"/>
        <sz val="11"/>
        <color theme="1"/>
        <rFont val="Calibri"/>
        <family val="2"/>
        <scheme val="minor"/>
      </rPr>
      <t>0</t>
    </r>
  </si>
  <si>
    <r>
      <t>ŷ</t>
    </r>
    <r>
      <rPr>
        <vertAlign val="subscript"/>
        <sz val="11"/>
        <color theme="1"/>
        <rFont val="Calibri"/>
        <family val="2"/>
      </rPr>
      <t>0</t>
    </r>
  </si>
  <si>
    <r>
      <t>= FORECAST(y,x,x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</si>
  <si>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= STEYX(y,x)</t>
  </si>
  <si>
    <t>= AVERAGE(x)</t>
  </si>
  <si>
    <r>
      <t xml:space="preserve"> = ŷ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- t-crit * se</t>
    </r>
  </si>
  <si>
    <r>
      <t xml:space="preserve"> = ŷ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+ t-crit * se</t>
    </r>
  </si>
  <si>
    <t>= n - 2</t>
  </si>
  <si>
    <r>
      <rPr>
        <sz val="11"/>
        <color theme="1"/>
        <rFont val="Calibri"/>
        <family val="2"/>
        <scheme val="minor"/>
      </rPr>
      <t>= DEVSQ(x)</t>
    </r>
  </si>
  <si>
    <r>
      <t>= 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*SQRT(1/n+(x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-x̄)^2/SS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</t>
    </r>
  </si>
  <si>
    <t>Exponential Regression</t>
  </si>
  <si>
    <t>Original Data</t>
  </si>
  <si>
    <t>Log Transformed Data</t>
  </si>
  <si>
    <t>ln y</t>
  </si>
  <si>
    <r>
      <t>e</t>
    </r>
    <r>
      <rPr>
        <vertAlign val="superscript"/>
        <sz val="11"/>
        <color theme="1"/>
        <rFont val="Calibri"/>
        <family val="2"/>
        <scheme val="minor"/>
      </rPr>
      <t>a</t>
    </r>
  </si>
  <si>
    <r>
      <t>e</t>
    </r>
    <r>
      <rPr>
        <vertAlign val="superscript"/>
        <sz val="11"/>
        <color theme="1"/>
        <rFont val="Calibri"/>
        <family val="2"/>
        <scheme val="minor"/>
      </rPr>
      <t>b</t>
    </r>
  </si>
  <si>
    <t>Use of LOGEST</t>
  </si>
  <si>
    <t>Slope: Exp(b)</t>
  </si>
  <si>
    <t>Intercept: Exp(a)</t>
  </si>
  <si>
    <t>S.E. of slope</t>
  </si>
  <si>
    <t>R-Squared</t>
  </si>
  <si>
    <t>Use of slope and intercept for prediction</t>
  </si>
  <si>
    <t>Use of GROWTH</t>
  </si>
  <si>
    <t>Two Sample t-Test by Regression</t>
  </si>
  <si>
    <t>Predicted y</t>
  </si>
  <si>
    <t>Comparison</t>
  </si>
  <si>
    <r>
      <t>t</t>
    </r>
    <r>
      <rPr>
        <vertAlign val="superscript"/>
        <sz val="11"/>
        <color theme="1"/>
        <rFont val="Calibri"/>
        <family val="2"/>
        <scheme val="minor"/>
      </rPr>
      <t>2</t>
    </r>
  </si>
  <si>
    <t>Sig F</t>
  </si>
  <si>
    <t>P(T&lt;t) two-tail</t>
  </si>
  <si>
    <t>√(F/(F+df))</t>
  </si>
  <si>
    <t>Method of Least Squares</t>
  </si>
  <si>
    <t>Price</t>
  </si>
  <si>
    <t>X</t>
  </si>
  <si>
    <t>Y</t>
  </si>
  <si>
    <t>const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</si>
  <si>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</si>
  <si>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A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C</t>
    </r>
  </si>
  <si>
    <t>Color</t>
  </si>
  <si>
    <t>Quality</t>
  </si>
  <si>
    <t>Predicted Price</t>
  </si>
  <si>
    <t>Equations</t>
  </si>
  <si>
    <t>Covariance matrix</t>
  </si>
  <si>
    <t>b1</t>
  </si>
  <si>
    <t>b2</t>
  </si>
  <si>
    <t>b0</t>
  </si>
  <si>
    <t>Covariance matrix using COV function</t>
  </si>
  <si>
    <t>Ŷ</t>
  </si>
  <si>
    <t>Sample size requirements</t>
  </si>
  <si>
    <r>
      <t xml:space="preserve">Significance level </t>
    </r>
    <r>
      <rPr>
        <sz val="11"/>
        <color theme="1"/>
        <rFont val="Calibri"/>
        <family val="2"/>
      </rPr>
      <t>α = .01</t>
    </r>
  </si>
  <si>
    <r>
      <t xml:space="preserve">Significance level </t>
    </r>
    <r>
      <rPr>
        <sz val="11"/>
        <color theme="1"/>
        <rFont val="Calibri"/>
        <family val="2"/>
      </rPr>
      <t>α = .05</t>
    </r>
  </si>
  <si>
    <t>N/A</t>
  </si>
  <si>
    <t>N/A = not applicable</t>
  </si>
  <si>
    <r>
      <t>Table lists the minimum value of R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that can be detected by a given sample size and # of dependent variables k</t>
    </r>
  </si>
  <si>
    <t>Multiple Regression</t>
  </si>
  <si>
    <t>Forecast using TREND</t>
  </si>
  <si>
    <t>intercept</t>
  </si>
  <si>
    <t>b3</t>
  </si>
  <si>
    <t>Output from LINEST</t>
  </si>
  <si>
    <r>
      <t>S.E. of slope (s</t>
    </r>
    <r>
      <rPr>
        <vertAlign val="subscript"/>
        <sz val="10"/>
        <color theme="1"/>
        <rFont val="Calibri"/>
        <family val="2"/>
        <scheme val="minor"/>
      </rPr>
      <t>b</t>
    </r>
    <r>
      <rPr>
        <sz val="10"/>
        <color theme="1"/>
        <rFont val="Calibri"/>
        <family val="2"/>
        <scheme val="minor"/>
      </rPr>
      <t>)</t>
    </r>
  </si>
  <si>
    <r>
      <t>S.E. of intercept (s</t>
    </r>
    <r>
      <rPr>
        <vertAlign val="subscript"/>
        <sz val="10"/>
        <color theme="1"/>
        <rFont val="Calibri"/>
        <family val="2"/>
        <scheme val="minor"/>
      </rPr>
      <t>a</t>
    </r>
    <r>
      <rPr>
        <sz val="10"/>
        <color theme="1"/>
        <rFont val="Calibri"/>
        <family val="2"/>
        <scheme val="minor"/>
      </rPr>
      <t>)</t>
    </r>
  </si>
  <si>
    <r>
      <t>S.E. of estimate (s</t>
    </r>
    <r>
      <rPr>
        <vertAlign val="subscript"/>
        <sz val="10"/>
        <color theme="1"/>
        <rFont val="Calibri"/>
        <family val="2"/>
        <scheme val="minor"/>
      </rPr>
      <t>Res</t>
    </r>
    <r>
      <rPr>
        <sz val="10"/>
        <color theme="1"/>
        <rFont val="Calibri"/>
        <family val="2"/>
        <scheme val="minor"/>
      </rPr>
      <t>)</t>
    </r>
  </si>
  <si>
    <r>
      <t>df</t>
    </r>
    <r>
      <rPr>
        <vertAlign val="subscript"/>
        <sz val="10"/>
        <color theme="1"/>
        <rFont val="Calibri"/>
        <family val="2"/>
        <scheme val="minor"/>
      </rPr>
      <t>Res</t>
    </r>
  </si>
  <si>
    <r>
      <t>SS</t>
    </r>
    <r>
      <rPr>
        <vertAlign val="subscript"/>
        <sz val="10"/>
        <color theme="1"/>
        <rFont val="Calibri"/>
        <family val="2"/>
        <scheme val="minor"/>
      </rPr>
      <t>Reg</t>
    </r>
  </si>
  <si>
    <r>
      <t>SS</t>
    </r>
    <r>
      <rPr>
        <vertAlign val="subscript"/>
        <sz val="10"/>
        <color theme="1"/>
        <rFont val="Calibri"/>
        <family val="2"/>
        <scheme val="minor"/>
      </rPr>
      <t>Res</t>
    </r>
  </si>
  <si>
    <t>Lower 95.0%</t>
  </si>
  <si>
    <t>Upper 95.0%</t>
  </si>
  <si>
    <t>Predicted Poverty</t>
  </si>
  <si>
    <t>Model with all three independent variables</t>
  </si>
  <si>
    <t>Model only with Infant mortality</t>
  </si>
  <si>
    <t xml:space="preserve">Multiple Regression </t>
  </si>
  <si>
    <t>Price - Color</t>
  </si>
  <si>
    <t>Price - Quality</t>
  </si>
  <si>
    <t>Color - Quality</t>
  </si>
  <si>
    <t>Regression data analysis tool output</t>
  </si>
  <si>
    <t>Regression data analysis (formulas inserted)</t>
  </si>
  <si>
    <t>Std Residuals</t>
  </si>
  <si>
    <t>df1</t>
  </si>
  <si>
    <t>df2</t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</si>
  <si>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</si>
  <si>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</si>
  <si>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t>s.e.</t>
  </si>
  <si>
    <t>Polynomial Regression</t>
  </si>
  <si>
    <t>Hours per Month</t>
  </si>
  <si>
    <t>Hours</t>
  </si>
  <si>
    <t>Month</t>
  </si>
  <si>
    <t>MonSq</t>
  </si>
  <si>
    <t>Predicted Hours</t>
  </si>
  <si>
    <t>Use</t>
  </si>
  <si>
    <t>Linear Regression Model</t>
  </si>
  <si>
    <t>Quadratic Regression Model</t>
  </si>
  <si>
    <t>Hours of Use</t>
  </si>
  <si>
    <t>Interaction Model</t>
  </si>
  <si>
    <t>Interaction</t>
  </si>
  <si>
    <t>Votes</t>
  </si>
  <si>
    <t>Money</t>
  </si>
  <si>
    <t>Regression Model - Interaction</t>
  </si>
  <si>
    <t>Regression analysis on interaction model</t>
  </si>
  <si>
    <t>Regression analysis without interaction</t>
  </si>
  <si>
    <r>
      <t>SS</t>
    </r>
    <r>
      <rPr>
        <i/>
        <vertAlign val="subscript"/>
        <sz val="11"/>
        <color theme="1"/>
        <rFont val="Calibri"/>
        <family val="2"/>
        <scheme val="minor"/>
      </rPr>
      <t>Res</t>
    </r>
    <r>
      <rPr>
        <i/>
        <sz val="11"/>
        <color theme="1"/>
        <rFont val="Calibri"/>
        <family val="2"/>
        <scheme val="minor"/>
      </rPr>
      <t xml:space="preserve"> = SS</t>
    </r>
    <r>
      <rPr>
        <i/>
        <vertAlign val="subscript"/>
        <sz val="11"/>
        <color theme="1"/>
        <rFont val="Calibri"/>
        <family val="2"/>
        <scheme val="minor"/>
      </rPr>
      <t xml:space="preserve">T </t>
    </r>
    <r>
      <rPr>
        <i/>
        <sz val="11"/>
        <color theme="1"/>
        <rFont val="Calibri"/>
        <family val="2"/>
        <scheme val="minor"/>
      </rPr>
      <t>(1 – 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)</t>
    </r>
  </si>
  <si>
    <t>Pairwise Correlations</t>
  </si>
  <si>
    <t>Multiple Regression (Alternative Approach)</t>
  </si>
  <si>
    <t>Multicollinearity</t>
  </si>
  <si>
    <t>X1</t>
  </si>
  <si>
    <t>X2</t>
  </si>
  <si>
    <t>Predicted Y</t>
  </si>
  <si>
    <t>Regression with only X1 variable</t>
  </si>
  <si>
    <t>Regression with X1 and X2 variables</t>
  </si>
  <si>
    <t>x̄</t>
  </si>
  <si>
    <t>Flavor 1</t>
  </si>
  <si>
    <t>Flavor 2</t>
  </si>
  <si>
    <t>Flavor 3</t>
  </si>
  <si>
    <t>One-way ANOVA</t>
  </si>
  <si>
    <t>ANOVA: Single Factor</t>
  </si>
  <si>
    <t>DESCRIPTION</t>
  </si>
  <si>
    <t>Sources</t>
  </si>
  <si>
    <t>P value</t>
  </si>
  <si>
    <t xml:space="preserve"> F crit</t>
  </si>
  <si>
    <t>Between Groups</t>
  </si>
  <si>
    <t>Within Groups</t>
  </si>
  <si>
    <t>Anova: Single Factor</t>
  </si>
  <si>
    <t>Average</t>
  </si>
  <si>
    <t>Source of Variation</t>
  </si>
  <si>
    <t>F crit</t>
  </si>
  <si>
    <t>SS for Between Groups</t>
  </si>
  <si>
    <r>
      <t>a</t>
    </r>
    <r>
      <rPr>
        <i/>
        <vertAlign val="subscript"/>
        <sz val="11"/>
        <color theme="1"/>
        <rFont val="Calibri"/>
        <family val="2"/>
        <scheme val="minor"/>
      </rPr>
      <t>j</t>
    </r>
  </si>
  <si>
    <r>
      <t>x̄</t>
    </r>
    <r>
      <rPr>
        <i/>
        <vertAlign val="subscript"/>
        <sz val="11"/>
        <color theme="1"/>
        <rFont val="Calibri"/>
        <family val="2"/>
        <scheme val="minor"/>
      </rPr>
      <t>j</t>
    </r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</si>
  <si>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</si>
  <si>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</si>
  <si>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</si>
  <si>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</si>
  <si>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</si>
  <si>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</si>
  <si>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</si>
  <si>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4</t>
    </r>
  </si>
  <si>
    <t>Error terms</t>
  </si>
  <si>
    <r>
      <t>Var(e</t>
    </r>
    <r>
      <rPr>
        <sz val="11"/>
        <color theme="1"/>
        <rFont val="Calibri"/>
        <family val="2"/>
        <scheme val="minor"/>
      </rPr>
      <t>)</t>
    </r>
  </si>
  <si>
    <r>
      <t>MS</t>
    </r>
    <r>
      <rPr>
        <vertAlign val="subscript"/>
        <sz val="11"/>
        <color theme="1"/>
        <rFont val="Calibri"/>
        <family val="2"/>
        <scheme val="minor"/>
      </rPr>
      <t>W</t>
    </r>
  </si>
  <si>
    <t xml:space="preserve">k </t>
  </si>
  <si>
    <r>
      <t>(n-k)/(n-1) MS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</t>
    </r>
  </si>
  <si>
    <t>MSW - alternative approach</t>
  </si>
  <si>
    <t>df ∙ Var</t>
  </si>
  <si>
    <t>MSW</t>
  </si>
  <si>
    <t>SS Between Groups</t>
  </si>
  <si>
    <t>MS Within Groups</t>
  </si>
  <si>
    <t>Single Factor ANOVA</t>
  </si>
  <si>
    <t>Levene's test for homogeneity of variances</t>
  </si>
  <si>
    <r>
      <t>s</t>
    </r>
    <r>
      <rPr>
        <i/>
        <vertAlign val="subscript"/>
        <sz val="11"/>
        <color theme="1"/>
        <rFont val="Calibri"/>
        <family val="2"/>
        <scheme val="minor"/>
      </rPr>
      <t>j</t>
    </r>
    <r>
      <rPr>
        <i/>
        <vertAlign val="superscript"/>
        <sz val="11"/>
        <color theme="1"/>
        <rFont val="Calibri"/>
        <family val="2"/>
        <scheme val="minor"/>
      </rPr>
      <t>2</t>
    </r>
  </si>
  <si>
    <t>Test of means</t>
  </si>
  <si>
    <t>Absolute value of residuals</t>
  </si>
  <si>
    <t>Bartlett's test for homogeneity of variances</t>
  </si>
  <si>
    <t>1/df</t>
  </si>
  <si>
    <t>ln(var)</t>
  </si>
  <si>
    <t>Error (W)</t>
  </si>
  <si>
    <t>B-num</t>
  </si>
  <si>
    <t>B-den</t>
  </si>
  <si>
    <t xml:space="preserve">B-crit </t>
  </si>
  <si>
    <t>Test with revised data</t>
  </si>
  <si>
    <t>med</t>
  </si>
  <si>
    <t>Outliers</t>
  </si>
  <si>
    <r>
      <t>df</t>
    </r>
    <r>
      <rPr>
        <i/>
        <vertAlign val="subscript"/>
        <sz val="11"/>
        <color theme="1"/>
        <rFont val="Calibri"/>
        <family val="2"/>
        <scheme val="minor"/>
      </rPr>
      <t>j</t>
    </r>
  </si>
  <si>
    <t>Standardized value of residuals</t>
  </si>
  <si>
    <r>
      <t>s</t>
    </r>
    <r>
      <rPr>
        <vertAlign val="subscript"/>
        <sz val="11"/>
        <color theme="1"/>
        <rFont val="Calibri"/>
        <family val="2"/>
        <scheme val="minor"/>
      </rPr>
      <t>W</t>
    </r>
  </si>
  <si>
    <t>Planned comparisons</t>
  </si>
  <si>
    <t>c^2/n</t>
  </si>
  <si>
    <t>T-TEST</t>
  </si>
  <si>
    <t>cx̄</t>
  </si>
  <si>
    <t>CONTRAST</t>
  </si>
  <si>
    <t xml:space="preserve">CONTRAST </t>
  </si>
  <si>
    <r>
      <t>x̄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- x̄</t>
    </r>
    <r>
      <rPr>
        <vertAlign val="subscript"/>
        <sz val="11"/>
        <color theme="1"/>
        <rFont val="Calibri"/>
        <family val="2"/>
        <scheme val="minor"/>
      </rPr>
      <t>2</t>
    </r>
  </si>
  <si>
    <t>=I7-I8</t>
  </si>
  <si>
    <t>=I16</t>
  </si>
  <si>
    <t>=SQRT(O7*(1/G7+1/G8))</t>
  </si>
  <si>
    <t>=O6/O8</t>
  </si>
  <si>
    <t>=H16</t>
  </si>
  <si>
    <t>=TDIST(ABS(O9),O10,2)</t>
  </si>
  <si>
    <r>
      <t>df</t>
    </r>
    <r>
      <rPr>
        <vertAlign val="subscript"/>
        <sz val="11"/>
        <color theme="1"/>
        <rFont val="Calibri"/>
        <family val="2"/>
        <scheme val="minor"/>
      </rPr>
      <t>W</t>
    </r>
  </si>
  <si>
    <t>Men Drug</t>
  </si>
  <si>
    <t>Men Control</t>
  </si>
  <si>
    <t>Women Drug</t>
  </si>
  <si>
    <t>Women Control</t>
  </si>
  <si>
    <t>Wom Drug</t>
  </si>
  <si>
    <t>Wom Control</t>
  </si>
  <si>
    <t>sig</t>
  </si>
  <si>
    <t xml:space="preserve">Dunn/Sidák </t>
  </si>
  <si>
    <t>Bonferroni</t>
  </si>
  <si>
    <t>Tukey HSD post-hoc test</t>
  </si>
  <si>
    <t xml:space="preserve">Unplanned Comparisons </t>
  </si>
  <si>
    <t>Tukey's HSD</t>
  </si>
  <si>
    <r>
      <t>μ</t>
    </r>
    <r>
      <rPr>
        <vertAlign val="subscript"/>
        <sz val="11"/>
        <color theme="1"/>
        <rFont val="Calibri"/>
        <family val="2"/>
      </rPr>
      <t xml:space="preserve">WD </t>
    </r>
    <r>
      <rPr>
        <sz val="11"/>
        <color theme="1"/>
        <rFont val="Calibri"/>
        <family val="2"/>
      </rPr>
      <t>- μ</t>
    </r>
    <r>
      <rPr>
        <vertAlign val="subscript"/>
        <sz val="11"/>
        <color theme="1"/>
        <rFont val="Calibri"/>
        <family val="2"/>
      </rPr>
      <t>WC</t>
    </r>
  </si>
  <si>
    <t>q-crit</t>
  </si>
  <si>
    <t>t-crit adj</t>
  </si>
  <si>
    <r>
      <t>μ</t>
    </r>
    <r>
      <rPr>
        <vertAlign val="subscript"/>
        <sz val="11"/>
        <color theme="1"/>
        <rFont val="Calibri"/>
        <family val="2"/>
      </rPr>
      <t xml:space="preserve">WD </t>
    </r>
    <r>
      <rPr>
        <sz val="11"/>
        <color theme="1"/>
        <rFont val="Calibri"/>
        <family val="2"/>
      </rPr>
      <t>- μ</t>
    </r>
    <r>
      <rPr>
        <vertAlign val="subscript"/>
        <sz val="11"/>
        <color theme="1"/>
        <rFont val="Calibri"/>
        <family val="2"/>
      </rPr>
      <t>MC</t>
    </r>
  </si>
  <si>
    <t>Q Test Table Lookup</t>
  </si>
  <si>
    <t>match</t>
  </si>
  <si>
    <t>row1</t>
  </si>
  <si>
    <t>row2</t>
  </si>
  <si>
    <t>value1</t>
  </si>
  <si>
    <t>value2</t>
  </si>
  <si>
    <t>REGWQ</t>
  </si>
  <si>
    <t>i</t>
  </si>
  <si>
    <t>j</t>
  </si>
  <si>
    <t>mean i</t>
  </si>
  <si>
    <t>mean j</t>
  </si>
  <si>
    <t>REGWQ post-hoc test</t>
  </si>
  <si>
    <t>mean i - mean j</t>
  </si>
  <si>
    <t>MD - MC</t>
  </si>
  <si>
    <t>MD - WD</t>
  </si>
  <si>
    <t>MD - WC</t>
  </si>
  <si>
    <t>MC - WD</t>
  </si>
  <si>
    <t>MC - WC</t>
  </si>
  <si>
    <t>WD - WC</t>
  </si>
  <si>
    <t>Contrast</t>
  </si>
  <si>
    <t>q</t>
  </si>
  <si>
    <t>diff-crit</t>
  </si>
  <si>
    <t>inf</t>
  </si>
  <si>
    <r>
      <t>α</t>
    </r>
    <r>
      <rPr>
        <vertAlign val="subscript"/>
        <sz val="11"/>
        <color theme="1"/>
        <rFont val="Calibri"/>
        <family val="2"/>
      </rPr>
      <t>p</t>
    </r>
  </si>
  <si>
    <t>Scheffé's post-hoc test</t>
  </si>
  <si>
    <t>F-stat</t>
  </si>
  <si>
    <t>dfB</t>
  </si>
  <si>
    <t>dfW</t>
  </si>
  <si>
    <t>Scheffé's Test</t>
  </si>
  <si>
    <t>ANOVA using Regression</t>
  </si>
  <si>
    <t>Model with Dummy Variables</t>
  </si>
  <si>
    <t>t1</t>
  </si>
  <si>
    <t>t2</t>
  </si>
  <si>
    <t>Analysis of means</t>
  </si>
  <si>
    <t>grp effect</t>
  </si>
  <si>
    <t>Brown-Forsythe F* Test</t>
  </si>
  <si>
    <t>m</t>
  </si>
  <si>
    <t>df*</t>
  </si>
  <si>
    <t>Brown-Forsythe F*</t>
  </si>
  <si>
    <t>m-num</t>
  </si>
  <si>
    <t>F-parts</t>
  </si>
  <si>
    <r>
      <t>ω</t>
    </r>
    <r>
      <rPr>
        <vertAlign val="superscript"/>
        <sz val="11"/>
        <color theme="1"/>
        <rFont val="Calibri"/>
        <family val="2"/>
      </rPr>
      <t>2</t>
    </r>
  </si>
  <si>
    <t>Log Transform</t>
  </si>
  <si>
    <t>median</t>
  </si>
  <si>
    <t>Residuals from median</t>
  </si>
  <si>
    <t>Levene's Test (Raw data)</t>
  </si>
  <si>
    <t>Levene's Test (Log transformation)</t>
  </si>
  <si>
    <t>Single Factor ANOVA with Contrasts</t>
  </si>
  <si>
    <t>Single Factor ANOVA with Pairwise Comparison</t>
  </si>
  <si>
    <t>Levene's test on means (extra example)</t>
  </si>
  <si>
    <t>Anova: Two-Factor Without Replication</t>
  </si>
  <si>
    <t>Error</t>
  </si>
  <si>
    <t>Columns</t>
  </si>
  <si>
    <t>Wheat</t>
  </si>
  <si>
    <t>Corn</t>
  </si>
  <si>
    <t>Soy</t>
  </si>
  <si>
    <t>Blend X</t>
  </si>
  <si>
    <t>Blend Y</t>
  </si>
  <si>
    <t>Blend Z</t>
  </si>
  <si>
    <t>Rice</t>
  </si>
  <si>
    <t>Two Factor ANOVA without replication</t>
  </si>
  <si>
    <t>Two-way ANOVA</t>
  </si>
  <si>
    <t>Anova: Two-Factor With Replication</t>
  </si>
  <si>
    <t>Within</t>
  </si>
  <si>
    <t>Crop</t>
  </si>
  <si>
    <t>Fertilizer</t>
  </si>
  <si>
    <t>COLUMNS (CROP)</t>
  </si>
  <si>
    <t>ROWS(FERTLIZER)</t>
  </si>
  <si>
    <t>Fertilizer (Rows)</t>
  </si>
  <si>
    <t>Crop (Columns)</t>
  </si>
  <si>
    <t>Yield</t>
  </si>
  <si>
    <t>SSW</t>
  </si>
  <si>
    <t>Means</t>
  </si>
  <si>
    <t>MEAN</t>
  </si>
  <si>
    <t>Formulas for SS terms</t>
  </si>
  <si>
    <t>=DEVSQ(J17:J19)/I17</t>
  </si>
  <si>
    <t>=DEVSQ(J21:J24)/I21</t>
  </si>
  <si>
    <t>=P10-P5-P6-P8</t>
  </si>
  <si>
    <t>=SUM(M4:M15)</t>
  </si>
  <si>
    <t>=DEVSQ(C4:G15)</t>
  </si>
  <si>
    <t xml:space="preserve">Alternative way of calculating SSW </t>
  </si>
  <si>
    <t>SSBet</t>
  </si>
  <si>
    <t>SST</t>
  </si>
  <si>
    <t>Gender</t>
  </si>
  <si>
    <t>Sample Scores</t>
  </si>
  <si>
    <t>A x B</t>
  </si>
  <si>
    <t>AB-A-B</t>
  </si>
  <si>
    <t>A x C</t>
  </si>
  <si>
    <t>AC-A-C</t>
  </si>
  <si>
    <t>B x C</t>
  </si>
  <si>
    <t>BC-B-C</t>
  </si>
  <si>
    <t>A x B x C</t>
  </si>
  <si>
    <t>ABC-A-B-C-AB-BC-AC</t>
  </si>
  <si>
    <t>T - all</t>
  </si>
  <si>
    <t>A (Gender)</t>
  </si>
  <si>
    <t>Error (Within)</t>
  </si>
  <si>
    <t>3-way ANOVA</t>
  </si>
  <si>
    <t>AB Bet</t>
  </si>
  <si>
    <t>AC Bet</t>
  </si>
  <si>
    <t>BC Bet</t>
  </si>
  <si>
    <t>ABC Bet</t>
  </si>
  <si>
    <t>=DEVSQ(D4:O11)</t>
  </si>
  <si>
    <t>=DEVSQ(V9:V10)*Y6</t>
  </si>
  <si>
    <t>=DEVSQ(T11:U11)*Y7</t>
  </si>
  <si>
    <t>=DEVSQ(V19:V20)*Y8</t>
  </si>
  <si>
    <t>=DEVSQ(T9:U10)*Y9</t>
  </si>
  <si>
    <t>=Z9-Z6-Z7</t>
  </si>
  <si>
    <t>=DEVSQ(T14:U15)*Y11</t>
  </si>
  <si>
    <t>=Z11-Z6-Z8</t>
  </si>
  <si>
    <t>=DEVSQ(T19:U20)*Y13</t>
  </si>
  <si>
    <t>=Z13-Z7-Z8</t>
  </si>
  <si>
    <t>=DEVSQ(Q4:Q11)*Y15</t>
  </si>
  <si>
    <t>=Z15-Z6-Z7-Z8-Z10-Z12-Z14</t>
  </si>
  <si>
    <t>=Z5-Z6-Z7-Z8-Z10-Z12-Z14-Z16</t>
  </si>
  <si>
    <t>Formulas for SS</t>
  </si>
  <si>
    <t>Counts</t>
  </si>
  <si>
    <t>Country</t>
  </si>
  <si>
    <t>Italian</t>
  </si>
  <si>
    <t>Foreign</t>
  </si>
  <si>
    <t>B (Nationality)</t>
  </si>
  <si>
    <t>Position</t>
  </si>
  <si>
    <t>Seated</t>
  </si>
  <si>
    <t>Prone</t>
  </si>
  <si>
    <t>C (Position)</t>
  </si>
  <si>
    <t>Two Factor ANOVA with replication</t>
  </si>
  <si>
    <t>Two-way ANOVA using regression</t>
  </si>
  <si>
    <t>t3</t>
  </si>
  <si>
    <t>t1*t2</t>
  </si>
  <si>
    <t>t1*t3</t>
  </si>
  <si>
    <t>t1 = 1 if Blend X, = 0 otherwise</t>
  </si>
  <si>
    <t>t2 = 1 if Corn, = 0 otherwise</t>
  </si>
  <si>
    <t>t3 = 1 if Soy, = 0 otherwise</t>
  </si>
  <si>
    <t>Contrasts for two-way ANOVA</t>
  </si>
  <si>
    <t>Arm</t>
  </si>
  <si>
    <t>Foot</t>
  </si>
  <si>
    <t>Neck</t>
  </si>
  <si>
    <t>Cold</t>
  </si>
  <si>
    <t>Dry</t>
  </si>
  <si>
    <t>Humid</t>
  </si>
  <si>
    <t>Climate</t>
  </si>
  <si>
    <t>Body Location</t>
  </si>
  <si>
    <t>MAIN EFFECT (Body Location)</t>
  </si>
  <si>
    <t>MAIN EFFECT (Climate)</t>
  </si>
  <si>
    <t>SIMPLE EFFECT (Humid x Body Location)</t>
  </si>
  <si>
    <t>SIMPLE EFFECT (Foot x Climate)</t>
  </si>
  <si>
    <t xml:space="preserve"> Variation</t>
  </si>
  <si>
    <t>Anova: Single Factor (Simple Effect: Cold vs Body Location)</t>
  </si>
  <si>
    <t>Anova: Single Factor (Main Effect: Climate)</t>
  </si>
  <si>
    <t>Body Part</t>
  </si>
  <si>
    <t>Calculating coefficients from ANOVA</t>
  </si>
  <si>
    <t>b5</t>
  </si>
  <si>
    <t>b4</t>
  </si>
  <si>
    <t>MST</t>
  </si>
  <si>
    <t>R</t>
  </si>
  <si>
    <t>Regression (Row)</t>
  </si>
  <si>
    <t>Regression (Columns)</t>
  </si>
  <si>
    <t>t1 = 1 if Blend X, = -1 Blend Y</t>
  </si>
  <si>
    <t>t2 = 1 if Corn, -1 if Rice; = 0 otherwise</t>
  </si>
  <si>
    <t>t3 = 1 if Soy, -1 if Rice; = 0 otherwise</t>
  </si>
  <si>
    <t>Equally weighted means</t>
  </si>
  <si>
    <t>Calculation of coefficients</t>
  </si>
  <si>
    <t>α + β model</t>
  </si>
  <si>
    <t>α + αβ model</t>
  </si>
  <si>
    <t>β + αβ model</t>
  </si>
  <si>
    <t>Summary</t>
  </si>
  <si>
    <t>R Square x SST</t>
  </si>
  <si>
    <t>α+β+αβ</t>
  </si>
  <si>
    <t>α+αβ</t>
  </si>
  <si>
    <t>β+αβ</t>
  </si>
  <si>
    <t>α+β</t>
  </si>
  <si>
    <t>AB</t>
  </si>
  <si>
    <t>ANOVA Results</t>
  </si>
  <si>
    <t>Blend (Rows)</t>
  </si>
  <si>
    <t>SSReg</t>
  </si>
  <si>
    <t>dfReg</t>
  </si>
  <si>
    <t>Total (as sum)</t>
  </si>
  <si>
    <t>ω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</si>
  <si>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</si>
  <si>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Cig</t>
  </si>
  <si>
    <t>Standardized</t>
  </si>
  <si>
    <t>Studentized</t>
  </si>
  <si>
    <t>Testing for normality</t>
  </si>
  <si>
    <t>Testing homogeneity of variances and linearity</t>
  </si>
  <si>
    <t>Least Squares Method</t>
  </si>
  <si>
    <t>Normality</t>
  </si>
  <si>
    <t>Residual plots</t>
  </si>
  <si>
    <r>
      <t>E/</t>
    </r>
    <r>
      <rPr>
        <sz val="11"/>
        <color theme="1"/>
        <rFont val="Calibri"/>
        <family val="2"/>
      </rPr>
      <t>√MS</t>
    </r>
    <r>
      <rPr>
        <vertAlign val="subscript"/>
        <sz val="11"/>
        <color theme="1"/>
        <rFont val="Calibri"/>
        <family val="2"/>
      </rPr>
      <t>Res</t>
    </r>
  </si>
  <si>
    <r>
      <t>E/</t>
    </r>
    <r>
      <rPr>
        <sz val="11"/>
        <color theme="1"/>
        <rFont val="Calibri"/>
        <family val="2"/>
      </rPr>
      <t>s.e.</t>
    </r>
  </si>
  <si>
    <t>E/√MSRes</t>
  </si>
  <si>
    <t>E/s.e.</t>
  </si>
  <si>
    <t>Stud E</t>
  </si>
  <si>
    <t>QQ Tables - y</t>
  </si>
  <si>
    <t>QQ Tables - stud. res</t>
  </si>
  <si>
    <t>Homogeneity of variances</t>
  </si>
  <si>
    <t>Stud. E</t>
  </si>
  <si>
    <t>Residual Plots</t>
  </si>
  <si>
    <t>QQ Table reversing axes</t>
  </si>
  <si>
    <t>Problem plots for homogeneity of variances</t>
  </si>
  <si>
    <t>Fit Plots</t>
  </si>
  <si>
    <t>Pred Price</t>
  </si>
  <si>
    <t>Alternative derivations of Multiple R</t>
  </si>
  <si>
    <t>tails</t>
  </si>
  <si>
    <t>beta</t>
  </si>
  <si>
    <t>Sample size</t>
  </si>
  <si>
    <t>Standard error</t>
  </si>
  <si>
    <t>Cook's Distance</t>
  </si>
  <si>
    <t>Pred Y</t>
  </si>
  <si>
    <t>Leverage</t>
  </si>
  <si>
    <t>Mod MSE</t>
  </si>
  <si>
    <t>RStudent</t>
  </si>
  <si>
    <t>T-test</t>
  </si>
  <si>
    <t>Cook's D</t>
  </si>
  <si>
    <t>Version 1</t>
  </si>
  <si>
    <t>Version 2</t>
  </si>
  <si>
    <t>Price (Y)</t>
  </si>
  <si>
    <t>Test for significance of eliminating White and Crime</t>
  </si>
  <si>
    <t>dfE</t>
  </si>
  <si>
    <t>SSE</t>
  </si>
  <si>
    <t>MSE</t>
  </si>
  <si>
    <t>complete</t>
  </si>
  <si>
    <t>reduced</t>
  </si>
  <si>
    <t>difference</t>
  </si>
  <si>
    <t>=AE4-AD4</t>
  </si>
  <si>
    <t>=AE5-AD5</t>
  </si>
  <si>
    <t>=AF4/AF5</t>
  </si>
  <si>
    <t>=AF6/AD6</t>
  </si>
  <si>
    <t>=FDIST(AF7,AF5,AD5)</t>
  </si>
  <si>
    <t>=IF(AF9&lt;AF8,"yes","no")</t>
  </si>
  <si>
    <t>Observed Data</t>
  </si>
  <si>
    <t>t1 * t2</t>
  </si>
  <si>
    <t>y = freq</t>
  </si>
  <si>
    <t>Expected Data</t>
  </si>
  <si>
    <t>R-Square</t>
  </si>
  <si>
    <t>=AD14-AE14</t>
  </si>
  <si>
    <t>=AE15-AD15</t>
  </si>
  <si>
    <t>=FDIST(AF16,AF15,AD15)</t>
  </si>
  <si>
    <t>=IF(AF18&lt;AF17,"yes","no")</t>
  </si>
  <si>
    <t>AIC</t>
  </si>
  <si>
    <t>AICc</t>
  </si>
  <si>
    <t>Low Fault</t>
  </si>
  <si>
    <t>High Fault</t>
  </si>
  <si>
    <t>Marginal</t>
  </si>
  <si>
    <t>t1 = 1 if Low, -1 if High</t>
  </si>
  <si>
    <t>t2 = 1 if Guilty, -1 if Innocent</t>
  </si>
  <si>
    <t>y -obs</t>
  </si>
  <si>
    <r>
      <rPr>
        <sz val="11"/>
        <color theme="1"/>
        <rFont val="Calibri"/>
        <family val="2"/>
      </rPr>
      <t>ŷ</t>
    </r>
    <r>
      <rPr>
        <sz val="11"/>
        <color theme="1"/>
        <rFont val="Calibri"/>
        <family val="2"/>
        <scheme val="minor"/>
      </rPr>
      <t xml:space="preserve"> = exp</t>
    </r>
  </si>
  <si>
    <r>
      <t xml:space="preserve">ln </t>
    </r>
    <r>
      <rPr>
        <sz val="11"/>
        <color theme="1"/>
        <rFont val="Calibri"/>
        <family val="2"/>
      </rPr>
      <t>ŷ</t>
    </r>
  </si>
  <si>
    <t>Equiprob</t>
  </si>
  <si>
    <t>Saturated</t>
  </si>
  <si>
    <t>t1 = 1 if Guilty, -1 if Innocent</t>
  </si>
  <si>
    <t>t2 = 1 if Low Fault, -1 if High Fault</t>
  </si>
  <si>
    <t>t3 = 1 if High Morality, -1 if Low Morality, 0 otherwise</t>
  </si>
  <si>
    <t>t4 = 1 if Neutral Morality, -1 if Low Morality, 0 otherwise</t>
  </si>
  <si>
    <t>%</t>
  </si>
  <si>
    <t>Count (y)</t>
  </si>
  <si>
    <r>
      <t>Count (</t>
    </r>
    <r>
      <rPr>
        <sz val="11"/>
        <color theme="1"/>
        <rFont val="Calibri"/>
        <family val="2"/>
      </rPr>
      <t>ŷ)</t>
    </r>
  </si>
  <si>
    <t>Expectation</t>
  </si>
  <si>
    <t>Prob</t>
  </si>
  <si>
    <t>Eqipiprob Model</t>
  </si>
  <si>
    <t>no</t>
  </si>
  <si>
    <t>No</t>
  </si>
  <si>
    <t>Observations and Marginals</t>
  </si>
  <si>
    <t>Ln of Observations and Marginals</t>
  </si>
  <si>
    <t>Therapy</t>
  </si>
  <si>
    <t>Outcome</t>
  </si>
  <si>
    <t>Std Res</t>
  </si>
  <si>
    <t>Log-linear regression (2-way)</t>
  </si>
  <si>
    <t>Log-linear regression (alternative coding)</t>
  </si>
  <si>
    <t>Log-linear regression (using Excel data analysis tool)</t>
  </si>
  <si>
    <t>Log-linear regression (all models)</t>
  </si>
  <si>
    <t>Independence Model (A, B)</t>
  </si>
  <si>
    <t>Saturated Model (AB)</t>
  </si>
  <si>
    <t>Equiprobability Model</t>
  </si>
  <si>
    <t>Cond Eq A</t>
  </si>
  <si>
    <t>Cond Eq B</t>
  </si>
  <si>
    <t>Independ</t>
  </si>
  <si>
    <t>Conditional Equiprob Model - Rows (A)</t>
  </si>
  <si>
    <t>Conditional Equiprobability Model - Columns (B)</t>
  </si>
  <si>
    <t>Conditional Equiprobability Model - Rows (A)</t>
  </si>
  <si>
    <t>Conditional Equiprob Model - Columns (B)</t>
  </si>
  <si>
    <t>Log-linear models for three-way contingency tables</t>
  </si>
  <si>
    <t>Therapy 3</t>
  </si>
  <si>
    <t>Cure</t>
  </si>
  <si>
    <t>Positive</t>
  </si>
  <si>
    <t>Negative</t>
  </si>
  <si>
    <t>Saturated Model (CGT)</t>
  </si>
  <si>
    <t>Iterative Proportional Fitting for Homogeneous Association Model</t>
  </si>
  <si>
    <t>Expected (IPF)</t>
  </si>
  <si>
    <t>Associations</t>
  </si>
  <si>
    <t>G</t>
  </si>
  <si>
    <t>C, G</t>
  </si>
  <si>
    <t>G, T</t>
  </si>
  <si>
    <t>C, T</t>
  </si>
  <si>
    <t>C, G, T</t>
  </si>
  <si>
    <t>CG</t>
  </si>
  <si>
    <t>GT</t>
  </si>
  <si>
    <t>CT</t>
  </si>
  <si>
    <t>C, GT</t>
  </si>
  <si>
    <t>G, CT</t>
  </si>
  <si>
    <t>T, CG</t>
  </si>
  <si>
    <t>CG, CT</t>
  </si>
  <si>
    <t>CG, GT</t>
  </si>
  <si>
    <t>CT, GT</t>
  </si>
  <si>
    <t>CG, GT, CT</t>
  </si>
  <si>
    <t>CGT</t>
  </si>
  <si>
    <t>C Model</t>
  </si>
  <si>
    <t>G Model</t>
  </si>
  <si>
    <t>T Model</t>
  </si>
  <si>
    <t>CG Model</t>
  </si>
  <si>
    <t>GT Model</t>
  </si>
  <si>
    <t>CT Model</t>
  </si>
  <si>
    <t>C, G Model</t>
  </si>
  <si>
    <t>G, T Model</t>
  </si>
  <si>
    <t>C, T Model</t>
  </si>
  <si>
    <t>CG, GT, CT Model</t>
  </si>
  <si>
    <t>C, G, T Model</t>
  </si>
  <si>
    <t>G, CT Model</t>
  </si>
  <si>
    <t>C, GT Model</t>
  </si>
  <si>
    <t>T, CG Model</t>
  </si>
  <si>
    <t>CG, GT Model</t>
  </si>
  <si>
    <t>CG, CT Model</t>
  </si>
  <si>
    <t>CT, GT Model</t>
  </si>
  <si>
    <t>Expectation for CG, CT model</t>
  </si>
  <si>
    <t>Expectations</t>
  </si>
  <si>
    <t>Expectation for C, GT model</t>
  </si>
  <si>
    <t>Expectation for C, G, T model</t>
  </si>
  <si>
    <t>Expectation for C, T model</t>
  </si>
  <si>
    <t>Expectation for CG, CT, GT model</t>
  </si>
  <si>
    <t>Seed</t>
  </si>
  <si>
    <t>Log-linear regression (calculating coefficients)</t>
  </si>
  <si>
    <t>tC</t>
  </si>
  <si>
    <t>tG</t>
  </si>
  <si>
    <t>tT1</t>
  </si>
  <si>
    <t>tT2</t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</si>
  <si>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</si>
  <si>
    <r>
      <t>t</t>
    </r>
    <r>
      <rPr>
        <vertAlign val="subscript"/>
        <sz val="11"/>
        <color theme="1"/>
        <rFont val="Calibri"/>
        <family val="2"/>
        <scheme val="minor"/>
      </rPr>
      <t>G</t>
    </r>
  </si>
  <si>
    <r>
      <t>t</t>
    </r>
    <r>
      <rPr>
        <vertAlign val="subscript"/>
        <sz val="11"/>
        <color theme="1"/>
        <rFont val="Calibri"/>
        <family val="2"/>
        <scheme val="minor"/>
      </rPr>
      <t>T1</t>
    </r>
  </si>
  <si>
    <r>
      <t>t</t>
    </r>
    <r>
      <rPr>
        <vertAlign val="subscript"/>
        <sz val="11"/>
        <color theme="1"/>
        <rFont val="Calibri"/>
        <family val="2"/>
        <scheme val="minor"/>
      </rPr>
      <t>T2</t>
    </r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</si>
  <si>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G</t>
    </r>
  </si>
  <si>
    <t>tC * tG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</si>
  <si>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T1</t>
    </r>
  </si>
  <si>
    <t>tC * tT1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</si>
  <si>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T2</t>
    </r>
  </si>
  <si>
    <t xml:space="preserve"> ŷ</t>
  </si>
  <si>
    <t>tC * tT2</t>
  </si>
  <si>
    <t>=L18</t>
  </si>
  <si>
    <t>=L12-O7</t>
  </si>
  <si>
    <t>=L15-O7</t>
  </si>
  <si>
    <t>=L16-O7</t>
  </si>
  <si>
    <t>=L17-O7</t>
  </si>
  <si>
    <t>=L9-O7-O8-O9</t>
  </si>
  <si>
    <t>=L10-O7-O8-O10</t>
  </si>
  <si>
    <t>=L11-O7-O8-O11</t>
  </si>
  <si>
    <t>coefficient</t>
  </si>
  <si>
    <t>(CG, GT, CT) vs. (CG, GT)</t>
  </si>
  <si>
    <t>model 1</t>
  </si>
  <si>
    <t>model 2</t>
  </si>
  <si>
    <t xml:space="preserve"> χ2</t>
  </si>
  <si>
    <t>(CG, GT, CT) vs. (CG, CT)</t>
  </si>
  <si>
    <t>(CG, CT) vs. (T, CG)</t>
  </si>
  <si>
    <t>Odds ratios</t>
  </si>
  <si>
    <t>Odds Ratio (Therapy 1 vs. Therapy 2)</t>
  </si>
  <si>
    <t>Log of odds ratio</t>
  </si>
  <si>
    <t>Odds Ratio (Male vs. Female)</t>
  </si>
  <si>
    <t>Expected Data (Independence Model)</t>
  </si>
  <si>
    <t>Observed Data (Saturated Model)</t>
  </si>
  <si>
    <t>Log of Observed Data</t>
  </si>
  <si>
    <t>Chi-square and residuals</t>
  </si>
  <si>
    <t>Alternative coding for coefficients of two-way models</t>
  </si>
  <si>
    <t>Iterative Proportional Fitting Procedure</t>
  </si>
  <si>
    <t>Goal</t>
  </si>
  <si>
    <t>Row Adjustments</t>
  </si>
  <si>
    <t>Column Adjustments</t>
  </si>
  <si>
    <t xml:space="preserve">Iterative Proportional Fitting Procedure for creating independent </t>
  </si>
  <si>
    <t>Column</t>
  </si>
  <si>
    <t>Layer</t>
  </si>
  <si>
    <t>Specification of goal for IPF procedure</t>
  </si>
  <si>
    <t>Target</t>
  </si>
  <si>
    <t>Specification of a three-way table</t>
  </si>
  <si>
    <t>Row/Column Adjustments</t>
  </si>
  <si>
    <t>Row/Layer Adjustments</t>
  </si>
  <si>
    <t>Column/Layer Adjustments</t>
  </si>
  <si>
    <t>Row/Column Adjustment</t>
  </si>
  <si>
    <t>Row/Layer Adjustment</t>
  </si>
  <si>
    <t>Column/Layer Adjustment</t>
  </si>
  <si>
    <r>
      <t>Split-half Methodology</t>
    </r>
    <r>
      <rPr>
        <b/>
        <sz val="12"/>
        <color theme="1"/>
        <rFont val="Tahoma"/>
        <family val="2"/>
      </rPr>
      <t xml:space="preserve"> </t>
    </r>
  </si>
  <si>
    <t>Student</t>
  </si>
  <si>
    <t>Correlation coefficient</t>
  </si>
  <si>
    <t>Spearman-Brown correction</t>
  </si>
  <si>
    <t>Even</t>
  </si>
  <si>
    <t>Odd</t>
  </si>
  <si>
    <t>Kuder and Richardson Formula 20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</si>
  <si>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</si>
  <si>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</si>
  <si>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</si>
  <si>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</si>
  <si>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</si>
  <si>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</si>
  <si>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</si>
  <si>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</si>
  <si>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</si>
  <si>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</si>
  <si>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pq</t>
  </si>
  <si>
    <t>Σpq</t>
  </si>
  <si>
    <t>Var</t>
  </si>
  <si>
    <t>Σvar</t>
  </si>
  <si>
    <t>Cronbach's Alpha</t>
  </si>
  <si>
    <t>Cronbach's alpha with one question removed</t>
  </si>
  <si>
    <r>
      <t>= 1 - MS</t>
    </r>
    <r>
      <rPr>
        <vertAlign val="subscript"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Rows</t>
    </r>
  </si>
  <si>
    <t>Cohen's Kappa</t>
  </si>
  <si>
    <t>Judge 1</t>
  </si>
  <si>
    <t>Judge 2</t>
  </si>
  <si>
    <t>Agreement</t>
  </si>
  <si>
    <t>By Chance</t>
  </si>
  <si>
    <t>Kappa</t>
  </si>
  <si>
    <t>Psychotic</t>
  </si>
  <si>
    <t>Borderline</t>
  </si>
  <si>
    <t>Neither</t>
  </si>
  <si>
    <t>Questionnaire</t>
  </si>
  <si>
    <t>Interview</t>
  </si>
  <si>
    <t>Seldom</t>
  </si>
  <si>
    <t>Often</t>
  </si>
  <si>
    <t>Never</t>
  </si>
  <si>
    <t>COUNTS</t>
  </si>
  <si>
    <t>Subjects</t>
  </si>
  <si>
    <t>COVARIANCE MATRIX</t>
  </si>
  <si>
    <t>EPSILON</t>
  </si>
  <si>
    <t># Subjects</t>
  </si>
  <si>
    <t># Groups</t>
  </si>
  <si>
    <t>Means of Var</t>
  </si>
  <si>
    <t>Matrix Mean</t>
  </si>
  <si>
    <t>SS Matrix</t>
  </si>
  <si>
    <t>SS Row Means</t>
  </si>
  <si>
    <t>GG Numerator</t>
  </si>
  <si>
    <t>GG Denominator</t>
  </si>
  <si>
    <t>GG Epsilon</t>
  </si>
  <si>
    <t>HF Numerator</t>
  </si>
  <si>
    <t>HF Denominator</t>
  </si>
  <si>
    <t>HF Epsilon</t>
  </si>
  <si>
    <t>Greenhouse and Geisser</t>
  </si>
  <si>
    <t>Huyhn and Feldt</t>
  </si>
  <si>
    <t>Judge</t>
  </si>
  <si>
    <t>Wine</t>
  </si>
  <si>
    <t>Sample covariance matrix</t>
  </si>
  <si>
    <t>λ</t>
  </si>
  <si>
    <t>1 week</t>
  </si>
  <si>
    <t>2 weeks</t>
  </si>
  <si>
    <t>3 weeks</t>
  </si>
  <si>
    <t>1-month</t>
  </si>
  <si>
    <t>2-months</t>
  </si>
  <si>
    <t>3-months</t>
  </si>
  <si>
    <t>T0 - T1</t>
  </si>
  <si>
    <t>T0 - T2</t>
  </si>
  <si>
    <t>T0 - T3</t>
  </si>
  <si>
    <t>T1 - T2</t>
  </si>
  <si>
    <t>T1 - T3</t>
  </si>
  <si>
    <t>T2 - T3</t>
  </si>
  <si>
    <t>T0</t>
  </si>
  <si>
    <t>T1</t>
  </si>
  <si>
    <t>T2</t>
  </si>
  <si>
    <t>T3</t>
  </si>
  <si>
    <t>ANOVA with matched samples - contrasts</t>
  </si>
  <si>
    <t>Diff</t>
  </si>
  <si>
    <t>std err</t>
  </si>
  <si>
    <t>t-score</t>
  </si>
  <si>
    <t>=AVERAGE(H22:K22)</t>
  </si>
  <si>
    <t>=AVERAGE(H30:K33)</t>
  </si>
  <si>
    <t>=AR5</t>
  </si>
  <si>
    <t>=COUNTA(G6:G20)</t>
  </si>
  <si>
    <t>=COUNTA(H5:K5)</t>
  </si>
  <si>
    <t>Testing for sphericity</t>
  </si>
  <si>
    <t>effect d</t>
  </si>
  <si>
    <t>effect r</t>
  </si>
  <si>
    <t>=SUMSQ(AL5:AO8)</t>
  </si>
  <si>
    <t>=SUMSQ(AL9:AO9)</t>
  </si>
  <si>
    <t>=(AR5*(AR6-AR7))^2</t>
  </si>
  <si>
    <t>=(AR5-1)*(AR8-2*AR5*AR9+AR5^2*AR7^2)</t>
  </si>
  <si>
    <t>=AR10/AR11</t>
  </si>
  <si>
    <t>=AR12</t>
  </si>
  <si>
    <t>=AR14*(AR15-1)*AR16-2</t>
  </si>
  <si>
    <t>=(AR15-1)*(AR14-1-(AR15-1)*AR16)</t>
  </si>
  <si>
    <t>=MIN(AR17/AR18,1)</t>
  </si>
  <si>
    <t>Effect size (omega squared) using GG epsilon</t>
  </si>
  <si>
    <t>Lower Bound</t>
  </si>
  <si>
    <t>=1/(AR15-1)</t>
  </si>
  <si>
    <t>MS Subj</t>
  </si>
  <si>
    <t>MS Grps</t>
  </si>
  <si>
    <t>MS Error</t>
  </si>
  <si>
    <t>Num</t>
  </si>
  <si>
    <t>Den</t>
  </si>
  <si>
    <t>Omega^2</t>
  </si>
  <si>
    <t>Calculation of GG Epsilon</t>
  </si>
  <si>
    <t>Estimated population matrix S</t>
  </si>
  <si>
    <t>=D13</t>
  </si>
  <si>
    <t>num</t>
  </si>
  <si>
    <t>=SUM(A18:D18)^2</t>
  </si>
  <si>
    <t>den</t>
  </si>
  <si>
    <t>=(G14-1)*SUMSQ(A14:D17)</t>
  </si>
  <si>
    <t>epsilon</t>
  </si>
  <si>
    <t>=G15/G16</t>
  </si>
  <si>
    <r>
      <rPr>
        <sz val="11"/>
        <color theme="1"/>
        <rFont val="Calibri"/>
        <family val="2"/>
      </rPr>
      <t xml:space="preserve">← </t>
    </r>
    <r>
      <rPr>
        <sz val="11"/>
        <color theme="1"/>
        <rFont val="Calibri"/>
        <family val="2"/>
        <scheme val="minor"/>
      </rPr>
      <t>diag</t>
    </r>
  </si>
  <si>
    <t>Eigenvalues of S</t>
  </si>
  <si>
    <t>=SUM(A22:C22)^2</t>
  </si>
  <si>
    <t>=(G22-1)*SUMSQ(A22:C22)</t>
  </si>
  <si>
    <t>=G23/G24</t>
  </si>
  <si>
    <t>Mauchly's test for sphericity</t>
  </si>
  <si>
    <t>Eigenvalues</t>
  </si>
  <si>
    <t>W</t>
  </si>
  <si>
    <t>test stat</t>
  </si>
  <si>
    <t xml:space="preserve">John, Nagao and Sugiura's test </t>
  </si>
  <si>
    <t>V</t>
  </si>
  <si>
    <t>Working Table</t>
  </si>
  <si>
    <t>Product</t>
  </si>
  <si>
    <t>Client</t>
  </si>
  <si>
    <t>Action</t>
  </si>
  <si>
    <t>Covariance Matrix (A)</t>
  </si>
  <si>
    <t>Covariance Matrix (B)</t>
  </si>
  <si>
    <t>Pre</t>
  </si>
  <si>
    <t>Post</t>
  </si>
  <si>
    <t>Sources of Variation</t>
  </si>
  <si>
    <t>A (Training)</t>
  </si>
  <si>
    <t>Sphericity</t>
  </si>
  <si>
    <t>GG</t>
  </si>
  <si>
    <t>A x C (Error)</t>
  </si>
  <si>
    <t>HF</t>
  </si>
  <si>
    <t>B (Skill)</t>
  </si>
  <si>
    <t>B x C (Error)</t>
  </si>
  <si>
    <t>variance</t>
  </si>
  <si>
    <t>C (Subject)</t>
  </si>
  <si>
    <t>A x B x C (Error)</t>
  </si>
  <si>
    <t>Covariance (AB)</t>
  </si>
  <si>
    <t>#A</t>
  </si>
  <si>
    <t>#B</t>
  </si>
  <si>
    <t>GG Num</t>
  </si>
  <si>
    <t>GG Den</t>
  </si>
  <si>
    <t>Effect size for ANOVA</t>
  </si>
  <si>
    <t>Client vs Training</t>
  </si>
  <si>
    <t>t-obs</t>
  </si>
  <si>
    <t>Between subject effects</t>
  </si>
  <si>
    <t>Between Subjects</t>
  </si>
  <si>
    <t>Between Subj</t>
  </si>
  <si>
    <t>Within Subjects</t>
  </si>
  <si>
    <t>Within Subj</t>
  </si>
  <si>
    <t>Huynh and Feldt</t>
  </si>
  <si>
    <t>Covariance matrices</t>
  </si>
  <si>
    <t>Average MSE</t>
  </si>
  <si>
    <t>Epsilon</t>
  </si>
  <si>
    <t>Young</t>
  </si>
  <si>
    <t>Middle</t>
  </si>
  <si>
    <t>Day 1</t>
  </si>
  <si>
    <t>Day 2</t>
  </si>
  <si>
    <t>Day 3</t>
  </si>
  <si>
    <t>Day 4</t>
  </si>
  <si>
    <t>Day 5</t>
  </si>
  <si>
    <t>Days</t>
  </si>
  <si>
    <t>Days x S w/i Age</t>
  </si>
  <si>
    <t>Subj w/i Age</t>
  </si>
  <si>
    <t>Days x Age</t>
  </si>
  <si>
    <t>Bet Days x Age</t>
  </si>
  <si>
    <t xml:space="preserve">   Subj w/i Age (Error)</t>
  </si>
  <si>
    <t xml:space="preserve">   Days</t>
  </si>
  <si>
    <t xml:space="preserve">   D x S w/i Age (Error)</t>
  </si>
  <si>
    <t>Age x Day 1</t>
  </si>
  <si>
    <t>Age x Day 5</t>
  </si>
  <si>
    <t># Days</t>
  </si>
  <si>
    <t># Age Groups</t>
  </si>
  <si>
    <t>ANOVA - Young</t>
  </si>
  <si>
    <t>ANOVA - Middle</t>
  </si>
  <si>
    <t>ANOVA - Old</t>
  </si>
  <si>
    <t>ANOVA with matched samples -1 within-subjects factor</t>
  </si>
  <si>
    <t>ANOVA with matched samples - 1 within-subjects factor</t>
  </si>
  <si>
    <t>ANOVA with matched samples - 2 within-subjects factors</t>
  </si>
  <si>
    <t>ANOVA with matched samples - 2 within-subjects factors (contrasts)</t>
  </si>
  <si>
    <t>ANOVA with matched samples - 1 within-subjects factor and 1 between-subjects factor</t>
  </si>
  <si>
    <t>Pre vs Post</t>
  </si>
  <si>
    <t xml:space="preserve">   Age groups</t>
  </si>
  <si>
    <t>Y 1</t>
  </si>
  <si>
    <t>Y 2</t>
  </si>
  <si>
    <t xml:space="preserve">Y 4 </t>
  </si>
  <si>
    <t>Y 5</t>
  </si>
  <si>
    <t>Y 3</t>
  </si>
  <si>
    <t>M 2</t>
  </si>
  <si>
    <t>M 3</t>
  </si>
  <si>
    <t xml:space="preserve">M 4 </t>
  </si>
  <si>
    <t>M 5</t>
  </si>
  <si>
    <t>M 1</t>
  </si>
  <si>
    <t>O 1</t>
  </si>
  <si>
    <t>O 2</t>
  </si>
  <si>
    <t>O 3</t>
  </si>
  <si>
    <t xml:space="preserve">O 4 </t>
  </si>
  <si>
    <t>O 5</t>
  </si>
  <si>
    <t>Levene's</t>
  </si>
  <si>
    <t>Between-subjects</t>
  </si>
  <si>
    <t>Box's Test</t>
  </si>
  <si>
    <t># matrices</t>
  </si>
  <si>
    <t># col/rows</t>
  </si>
  <si>
    <t># subjects</t>
  </si>
  <si>
    <t>det</t>
  </si>
  <si>
    <t>ln det</t>
  </si>
  <si>
    <t>M</t>
  </si>
  <si>
    <t>c0</t>
  </si>
  <si>
    <t>df0</t>
  </si>
  <si>
    <t>F+</t>
  </si>
  <si>
    <t>a+</t>
  </si>
  <si>
    <t>a-</t>
  </si>
  <si>
    <t>F-</t>
  </si>
  <si>
    <t>(m-1)*ln det</t>
  </si>
  <si>
    <t>1/(m-1)</t>
  </si>
  <si>
    <t>1/(m-1)^2</t>
  </si>
  <si>
    <t xml:space="preserve">   Days x Age</t>
  </si>
  <si>
    <t>ANOVA - Young (corrected with GG epsilon)</t>
  </si>
  <si>
    <t xml:space="preserve">Corrected </t>
  </si>
  <si>
    <t>ANOVA - within-subjects simple effects</t>
  </si>
  <si>
    <t>ANOVA - Middle (corrected with GG epsilon)</t>
  </si>
  <si>
    <t>Row 1</t>
  </si>
  <si>
    <t>Row 2</t>
  </si>
  <si>
    <t>Row 3</t>
  </si>
  <si>
    <t>Row 4</t>
  </si>
  <si>
    <t>Row 5</t>
  </si>
  <si>
    <t>Row 6</t>
  </si>
  <si>
    <t>Row 7</t>
  </si>
  <si>
    <t>Column 1</t>
  </si>
  <si>
    <t>Column 2</t>
  </si>
  <si>
    <t>Column 3</t>
  </si>
  <si>
    <t>Column 4</t>
  </si>
  <si>
    <t>Column 5</t>
  </si>
  <si>
    <t>ANOVA - Old (corrected with HF epsilon)</t>
  </si>
  <si>
    <t>Alternative calculation of Error terms:</t>
  </si>
  <si>
    <t>Simple Effects (between-subjects)</t>
  </si>
  <si>
    <t>x*t1</t>
  </si>
  <si>
    <t>x*t2</t>
  </si>
  <si>
    <t>x*t3</t>
  </si>
  <si>
    <r>
      <t>SS</t>
    </r>
    <r>
      <rPr>
        <vertAlign val="sub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(for X)</t>
    </r>
  </si>
  <si>
    <t>ANCOVA</t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</si>
  <si>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</si>
  <si>
    <t>Regression (adj)</t>
  </si>
  <si>
    <t>Group</t>
  </si>
  <si>
    <t>Total (adj)</t>
  </si>
  <si>
    <t>SUMMARY OUTPUT (Reduced model - x, t)</t>
  </si>
  <si>
    <t>SUMMARY OUTPUT (Reduced model - y, t)</t>
  </si>
  <si>
    <t>SUMMARY OUTPUT (Reduced model - y, x)</t>
  </si>
  <si>
    <t>Covariate</t>
  </si>
  <si>
    <t>Treatment (adj)</t>
  </si>
  <si>
    <t>slope</t>
  </si>
  <si>
    <r>
      <t>b</t>
    </r>
    <r>
      <rPr>
        <vertAlign val="subscript"/>
        <sz val="11"/>
        <color theme="1"/>
        <rFont val="Calibri"/>
        <family val="2"/>
        <scheme val="minor"/>
      </rPr>
      <t>W</t>
    </r>
  </si>
  <si>
    <t>SUMMARY OUTPUT (Complete model - y, x, t, x*t)</t>
  </si>
  <si>
    <t>ANCOVA (Reduced)</t>
  </si>
  <si>
    <t>ANCOVA (Complete)</t>
  </si>
  <si>
    <t>ANOVA (Reduced model - x, t)</t>
  </si>
  <si>
    <t>ANOVA (Reduced model - y, t)</t>
  </si>
  <si>
    <t>ANOVA (Reduced model - y, x)</t>
  </si>
  <si>
    <t>Creation of ANCOVA models</t>
  </si>
  <si>
    <t>ANOVA (Full model - y, x, t)</t>
  </si>
  <si>
    <t>ANCOVA (Reduced) - using slope</t>
  </si>
  <si>
    <t>Adjusted means</t>
  </si>
  <si>
    <t xml:space="preserve"> Y (adj)</t>
  </si>
  <si>
    <t>Scatter plots</t>
  </si>
  <si>
    <t>Test for homogeneity of regression slopes</t>
  </si>
  <si>
    <t>Slopes</t>
  </si>
  <si>
    <t>SUMMARY OUTPUT (Full model - y, x, t)</t>
  </si>
  <si>
    <t>Y (adj)</t>
  </si>
  <si>
    <t>ANCOVA Contrasts</t>
  </si>
  <si>
    <t>SS * slope</t>
  </si>
  <si>
    <t>Anova: Single Factor (Reading Score)</t>
  </si>
  <si>
    <t>Reading Score</t>
  </si>
  <si>
    <t>Family Income</t>
  </si>
  <si>
    <t>Anova: Single Factor (Family Income)</t>
  </si>
  <si>
    <t>Between (adj)</t>
  </si>
  <si>
    <t>Within (adj)</t>
  </si>
  <si>
    <t>Treatment</t>
  </si>
  <si>
    <t>ANOVA (Reading Score)</t>
  </si>
  <si>
    <t>ANOVA (Family Income)</t>
  </si>
  <si>
    <t>Mean y (adj)</t>
  </si>
  <si>
    <t>Mean x</t>
  </si>
  <si>
    <t>Sample Size</t>
  </si>
  <si>
    <t>MS Res(y,x,t)</t>
  </si>
  <si>
    <t>SS Res(x,t)</t>
  </si>
  <si>
    <t>eta-squared</t>
  </si>
  <si>
    <t>partial eta-squared</t>
  </si>
  <si>
    <t>Effect size - treatment</t>
  </si>
  <si>
    <t>Effect size - covariate</t>
  </si>
  <si>
    <t>Effect size - covariate (from regression coefficients)</t>
  </si>
  <si>
    <t>Effect size r</t>
  </si>
  <si>
    <t>ANCOVA - Regression Approach</t>
  </si>
  <si>
    <t>ANCOVA - ANOVA Approach</t>
  </si>
  <si>
    <t xml:space="preserve">Effect sizes </t>
  </si>
  <si>
    <t>ANCOVA effect sizes - omnibus test</t>
  </si>
  <si>
    <t>ANCOVA effect sizes - contrasts</t>
  </si>
  <si>
    <t>prob</t>
  </si>
  <si>
    <t>rank sum</t>
  </si>
  <si>
    <t>Right</t>
  </si>
  <si>
    <t>Left</t>
  </si>
  <si>
    <t>crit</t>
  </si>
  <si>
    <t>β</t>
  </si>
  <si>
    <t>RMSSE</t>
  </si>
  <si>
    <t>Omega Sq</t>
  </si>
  <si>
    <t>ss</t>
  </si>
  <si>
    <t>c*mean</t>
  </si>
  <si>
    <t xml:space="preserve"> Cohen d</t>
  </si>
  <si>
    <t>Levene's test using group means</t>
  </si>
  <si>
    <t>Levene's test using group medians</t>
  </si>
  <si>
    <t>Significance vs effect size (re correlation coefficient)</t>
  </si>
  <si>
    <t>= yes if p-value &lt; α</t>
  </si>
  <si>
    <t>Calculation of elements of the regression model from the ANOVA results</t>
  </si>
  <si>
    <t>Calculation of omega square</t>
  </si>
  <si>
    <r>
      <rPr>
        <sz val="11"/>
        <color theme="1"/>
        <rFont val="Calibri"/>
        <family val="2"/>
      </rPr>
      <t>ω</t>
    </r>
    <r>
      <rPr>
        <vertAlign val="superscript"/>
        <sz val="11"/>
        <color theme="1"/>
        <rFont val="Calibri"/>
        <family val="2"/>
      </rPr>
      <t>2</t>
    </r>
  </si>
  <si>
    <t>Logistic Regression</t>
  </si>
  <si>
    <t>Survived</t>
  </si>
  <si>
    <t>Died</t>
  </si>
  <si>
    <t>P(E)</t>
  </si>
  <si>
    <t>Odds(E)</t>
  </si>
  <si>
    <t>X Variable 1</t>
  </si>
  <si>
    <t>logit(p)</t>
  </si>
  <si>
    <t>J</t>
  </si>
  <si>
    <r>
      <t>J</t>
    </r>
    <r>
      <rPr>
        <vertAlign val="superscript"/>
        <sz val="11"/>
        <color theme="1"/>
        <rFont val="Calibri"/>
        <family val="2"/>
        <scheme val="minor"/>
      </rPr>
      <t>-1</t>
    </r>
  </si>
  <si>
    <t>LL0</t>
  </si>
  <si>
    <t>LL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</si>
  <si>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</si>
  <si>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Sigmoid Curve</t>
  </si>
  <si>
    <t>Alternative form of test</t>
  </si>
  <si>
    <t>Using Rsquare Test</t>
  </si>
  <si>
    <t>=RSquareTest(C4:E53,C4:C53,B4:B53)</t>
  </si>
  <si>
    <t>Test using RSquareTest</t>
  </si>
  <si>
    <t>=AF14*AD15/(AF15*(1-AD14))</t>
  </si>
  <si>
    <t>=ABS(B4-C4)</t>
  </si>
  <si>
    <t>=(B5-C5)^2</t>
  </si>
  <si>
    <t>=1/B6+1/C6</t>
  </si>
  <si>
    <t xml:space="preserve"> cell M8 of Figure 23.3</t>
  </si>
  <si>
    <t xml:space="preserve"> cell L14 of Figure 23.3</t>
  </si>
  <si>
    <t>=SQRT(D7*(D6+D5/D8))</t>
  </si>
  <si>
    <t>=D4/D9</t>
  </si>
  <si>
    <t xml:space="preserve"> cell K8 of Figure 23.3</t>
  </si>
  <si>
    <t>=TDIST(D10,D11,2)</t>
  </si>
  <si>
    <t>=TINV(D12,D11)</t>
  </si>
  <si>
    <t>=IF(D13&lt;D12,"yes","no")</t>
  </si>
  <si>
    <t>Kruskal-Wallis</t>
  </si>
  <si>
    <t>Raw scores</t>
  </si>
  <si>
    <t>Ranking</t>
  </si>
  <si>
    <t>Rank Sums R</t>
  </si>
  <si>
    <t>Group Size n</t>
  </si>
  <si>
    <r>
      <t>R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/n</t>
    </r>
  </si>
  <si>
    <t>H</t>
  </si>
  <si>
    <r>
      <t>SS</t>
    </r>
    <r>
      <rPr>
        <vertAlign val="subscript"/>
        <sz val="11"/>
        <color theme="1"/>
        <rFont val="Calibri"/>
        <family val="2"/>
        <scheme val="minor"/>
      </rPr>
      <t>B</t>
    </r>
  </si>
  <si>
    <t>n(n+1)/12</t>
  </si>
  <si>
    <t>Pairwise comparisons</t>
  </si>
  <si>
    <t>R/n</t>
  </si>
  <si>
    <r>
      <rPr>
        <sz val="11"/>
        <color theme="1"/>
        <rFont val="Calibri"/>
        <family val="2"/>
      </rPr>
      <t>χ</t>
    </r>
    <r>
      <rPr>
        <vertAlign val="subscript"/>
        <sz val="11"/>
        <color theme="1"/>
        <rFont val="Calibri"/>
        <family val="2"/>
      </rPr>
      <t>α</t>
    </r>
    <r>
      <rPr>
        <vertAlign val="subscript"/>
        <sz val="11"/>
        <color theme="1"/>
        <rFont val="Calibri"/>
        <family val="2"/>
        <scheme val="minor"/>
      </rPr>
      <t>,k-1</t>
    </r>
  </si>
  <si>
    <t>diff</t>
  </si>
  <si>
    <t>New-Old</t>
  </si>
  <si>
    <t>New-Con</t>
  </si>
  <si>
    <t>Old-Con</t>
  </si>
  <si>
    <t>Friedman Test</t>
  </si>
  <si>
    <t>Red</t>
  </si>
  <si>
    <t>Rose'</t>
  </si>
  <si>
    <r>
      <t>SS</t>
    </r>
    <r>
      <rPr>
        <vertAlign val="subscript"/>
        <sz val="11"/>
        <color theme="1"/>
        <rFont val="Calibri"/>
        <family val="2"/>
        <scheme val="minor"/>
      </rPr>
      <t>Col</t>
    </r>
  </si>
  <si>
    <t>k(k+1)/12</t>
  </si>
  <si>
    <t>Q</t>
  </si>
  <si>
    <t>SSB - alternative approach</t>
  </si>
  <si>
    <t>F*</t>
  </si>
  <si>
    <t>Corrected version</t>
  </si>
  <si>
    <t/>
  </si>
  <si>
    <t xml:space="preserve">Reformatted </t>
  </si>
  <si>
    <t>Interaction Table</t>
  </si>
  <si>
    <t>Anova: Two-Factor Without Replication (Young)</t>
  </si>
  <si>
    <t>Anova: Two-Factor Without Replication (Middle)</t>
  </si>
  <si>
    <t>Anova: Two-Factor Without Replication (Old)</t>
  </si>
  <si>
    <t>ANOVA with repeated measures, use of data analysis tools</t>
  </si>
  <si>
    <t>VIF and Tolerance</t>
  </si>
  <si>
    <t>Tolerance</t>
  </si>
  <si>
    <t>VIF</t>
  </si>
  <si>
    <t>Variable</t>
  </si>
  <si>
    <t xml:space="preserve">R Square </t>
  </si>
  <si>
    <t>Using regression data analysis</t>
  </si>
  <si>
    <t>color</t>
  </si>
  <si>
    <t>quality</t>
  </si>
  <si>
    <t>Finding regression coefficients using Solver</t>
  </si>
  <si>
    <t>Rems</t>
  </si>
  <si>
    <t>Logistic Regression using Solver</t>
  </si>
  <si>
    <t>LL1</t>
  </si>
  <si>
    <t>E = event that the person survived</t>
  </si>
  <si>
    <t>Source</t>
  </si>
  <si>
    <t xml:space="preserve">Crop </t>
  </si>
  <si>
    <t>Inter</t>
  </si>
  <si>
    <t>Temp</t>
  </si>
  <si>
    <t>Water</t>
  </si>
  <si>
    <t>p-Obs</t>
  </si>
  <si>
    <t>p-Pred</t>
  </si>
  <si>
    <t>Coeff</t>
  </si>
  <si>
    <t>R-Sq (L)</t>
  </si>
  <si>
    <t>R-Sq (CS)</t>
  </si>
  <si>
    <t>R-Sq (N)</t>
  </si>
  <si>
    <t>Chi-Sq</t>
  </si>
  <si>
    <t>MD</t>
  </si>
  <si>
    <t>MC</t>
  </si>
  <si>
    <t>WD</t>
  </si>
  <si>
    <t>WC</t>
  </si>
  <si>
    <t>Concise Table of Contents</t>
  </si>
  <si>
    <t>One-way Analysis of Variance (ANOVA)</t>
  </si>
  <si>
    <t>Log-Linear Regression</t>
  </si>
  <si>
    <t>ANOVA with Repeated Measures</t>
  </si>
  <si>
    <t>Reliability</t>
  </si>
  <si>
    <t>Analysis of Covariance (ANCOVA)</t>
  </si>
  <si>
    <t>Appendices</t>
  </si>
  <si>
    <t>Tables</t>
  </si>
  <si>
    <t>Studentized Q Table (table 1)</t>
  </si>
  <si>
    <t>Studentized Q Table (table 2)</t>
  </si>
  <si>
    <t>Basic concepts</t>
  </si>
  <si>
    <t>Interative proportional fitting procedure</t>
  </si>
  <si>
    <t>Iterative Proportional Fitting Procedure, 3-way (Example 3)</t>
  </si>
  <si>
    <t>Iterative Proportional Fitting Procedure, 2-way (Example 1)</t>
  </si>
  <si>
    <t>Resampling</t>
  </si>
  <si>
    <t>Method of least squares</t>
  </si>
  <si>
    <t>Two factor ANOVA without replication</t>
  </si>
  <si>
    <t>Two factor ANOVA with replication</t>
  </si>
  <si>
    <t>Finding coefficients using Excel's Solver</t>
  </si>
  <si>
    <t>Finding coefficients using Newton's method</t>
  </si>
  <si>
    <t>Logistic Regression (Example 1)</t>
  </si>
  <si>
    <t>Sigmoid curve (Figure 1)</t>
  </si>
  <si>
    <t>Solution using Excel's Solver (Example 1)</t>
  </si>
  <si>
    <t>Solution using Newton's Method (Example 1)</t>
  </si>
  <si>
    <t>Two-way contingency tables</t>
  </si>
  <si>
    <t>Three-way contingency tables</t>
  </si>
  <si>
    <t>Two-way log-linear saturated model (Example 1)</t>
  </si>
  <si>
    <t>Two-way log-linear independence model (Example 2)</t>
  </si>
  <si>
    <t>Marginal averages for two-way models (Figure 3)</t>
  </si>
  <si>
    <t>Best fit model</t>
  </si>
  <si>
    <t>Summary of all two-way log-linear models (Figure 1)</t>
  </si>
  <si>
    <t>Other two-way log-linear models (Figure 3)</t>
  </si>
  <si>
    <t>Coefficients via Excel regression data analysis tool (Figure 3)</t>
  </si>
  <si>
    <t>Saturated model for two-way contingency tables</t>
  </si>
  <si>
    <t>Independence model for two-way contingency tables</t>
  </si>
  <si>
    <t>Other models for two-way contingency tables</t>
  </si>
  <si>
    <t>Best fit model for two-way contingency tables</t>
  </si>
  <si>
    <t>Three-way contingency tables (Example 1)</t>
  </si>
  <si>
    <t>Regression line (Example 1)</t>
  </si>
  <si>
    <t>Regression analysis</t>
  </si>
  <si>
    <t>Using regression line for prediction (Example 1)</t>
  </si>
  <si>
    <t>Testing fit of regression line (Example 1)</t>
  </si>
  <si>
    <t>Testing slope of regression line (Example 1)</t>
  </si>
  <si>
    <t>Hypothesis testing whether the regression line is a good fit for the data</t>
  </si>
  <si>
    <t>Hypothesis testing of the significance of the slope of the regression line</t>
  </si>
  <si>
    <t>Confidence and prediction intervals for forecasted values</t>
  </si>
  <si>
    <t>Exponential regression</t>
  </si>
  <si>
    <t>LINEST function (Figure 2)</t>
  </si>
  <si>
    <t>Regression data analysis tool (Figures 3 and 4)</t>
  </si>
  <si>
    <t>Confidence/prediction Intervals (Example 1)</t>
  </si>
  <si>
    <t>Testing intercept of regression line (Example 2)</t>
  </si>
  <si>
    <t>LOGEST and GROWTH functions (Figure 4)</t>
  </si>
  <si>
    <t>Regression to Compare Means (Example 1)</t>
  </si>
  <si>
    <t>Full results from data analysis tool for Example 1</t>
  </si>
  <si>
    <t>Regression to Compare Means (Example 2)</t>
  </si>
  <si>
    <t>Full results from data analysis tool for Example 2</t>
  </si>
  <si>
    <t>Method of least squares (Example 1)</t>
  </si>
  <si>
    <t>Method of least squares using covariance matrix (Example 2)</t>
  </si>
  <si>
    <t>Method of least squares using hat matrix (Example 3)</t>
  </si>
  <si>
    <t>Multiple regression analysis</t>
  </si>
  <si>
    <t>TREND and LINEST function (Example 1)</t>
  </si>
  <si>
    <t>Regression data analysis tool (Example 2)</t>
  </si>
  <si>
    <t>Data for Example 1 is normal via QQ plot (extra worksheet)</t>
  </si>
  <si>
    <t>One within subjects factor</t>
  </si>
  <si>
    <t>ANOVA with repeated measures, 1 treatment variable (Example 1)</t>
  </si>
  <si>
    <t>Contrasts for ANOVA with repeated measures (Example 2)</t>
  </si>
  <si>
    <t>Tests for sphericity (Example 1)</t>
  </si>
  <si>
    <t>ANOVA with repeated measures corrected for sphericity (Example 2)</t>
  </si>
  <si>
    <t>One within subjects factor and one between subjects factor</t>
  </si>
  <si>
    <t>ANOVA with repeated measures, 2 within-subjects factors (Example 1)</t>
  </si>
  <si>
    <t>Friedman's test (Example 1)</t>
  </si>
  <si>
    <t>Friedman test</t>
  </si>
  <si>
    <t>Split-half methodology</t>
  </si>
  <si>
    <t>Kuder and Richardson formula 20</t>
  </si>
  <si>
    <t>Cronbach's alpha</t>
  </si>
  <si>
    <t>Cohen's kappa</t>
  </si>
  <si>
    <t>Intraclass correlation</t>
  </si>
  <si>
    <t>Split-half methodology for reliability (Example 1)</t>
  </si>
  <si>
    <t>Kuder and Richardson Formula 20 (Example 1)</t>
  </si>
  <si>
    <t>Cronbach's alpha (Example 1)</t>
  </si>
  <si>
    <t>Cronbach's alpha with one question removed (Example 2)</t>
  </si>
  <si>
    <t>Cronbach's alpha using ANOVA (Example 3)</t>
  </si>
  <si>
    <t>Cohen's kappa (Example 1)</t>
  </si>
  <si>
    <t>Representation of a 3-way contingency table (Figure 5)</t>
  </si>
  <si>
    <t>Using a regression approach</t>
  </si>
  <si>
    <t>ANCOVA data (Example 1)</t>
  </si>
  <si>
    <t>ANCOVA regression models (Figure 2)</t>
  </si>
  <si>
    <t>ANCOVA results (Figure 3 and 4)</t>
  </si>
  <si>
    <t>ANCOVA adjusted means (Figure 6 and 7)</t>
  </si>
  <si>
    <t>ANCOVA full model (Figure 5)</t>
  </si>
  <si>
    <t>Assumptions</t>
  </si>
  <si>
    <t>ANOVA approach</t>
  </si>
  <si>
    <t>Contrasts</t>
  </si>
  <si>
    <t>One factor ANOVA (Example 1)</t>
  </si>
  <si>
    <t>One factor ANOVA (Example 2)</t>
  </si>
  <si>
    <t>One factor ANOVA with unequal sample sizes (Example 3)</t>
  </si>
  <si>
    <t>Pairwise comparisons (Example 1)</t>
  </si>
  <si>
    <t>Unplanned comparisons</t>
  </si>
  <si>
    <t>Tukey HSD test (Example 1)</t>
  </si>
  <si>
    <t>Levene's test on means (Example 1)</t>
  </si>
  <si>
    <t>Testing for outliers (Example 1)</t>
  </si>
  <si>
    <t>Kruskal-Wallis test</t>
  </si>
  <si>
    <t>Kruskal-Wallis test (Example 1)</t>
  </si>
  <si>
    <t>Effect size for omnibus ANOVA (Example 1)</t>
  </si>
  <si>
    <t>Pairwise contrasts (Example 1)</t>
  </si>
  <si>
    <t>Non-pairwise contrasts (Example 2)</t>
  </si>
  <si>
    <t>Contrasts using Bonferroni or Dunn/Sidák corrections (Example 3)</t>
  </si>
  <si>
    <t>Effect size for contrasts via Contrast data analysis tool (Example 3)</t>
  </si>
  <si>
    <t>Brown-Forsythe F* test</t>
  </si>
  <si>
    <t>Brown-Forsythe F* Test (Example 1)</t>
  </si>
  <si>
    <t>Brown-Forsythe F* Test (data from Example 3 of Basic Concepts of ANOVA)</t>
  </si>
  <si>
    <t>Two factor ANOVA without replication (Example 1)</t>
  </si>
  <si>
    <t>Two factor ANOVA with replication (Example 1)</t>
  </si>
  <si>
    <t>Three factor ANOVA (Example 1)</t>
  </si>
  <si>
    <t>Contrasts for two factor ANOVA</t>
  </si>
  <si>
    <t>Main effect for data in Example 1</t>
  </si>
  <si>
    <t>Simple effect for data in Example 1</t>
  </si>
  <si>
    <t>Contrasts for data in Example 3 (Example 2)</t>
  </si>
  <si>
    <t>Interaction Table for data in Example 1 (Figure 5)</t>
  </si>
  <si>
    <t>Two factor ANOVA with replication - Interaction plots for Example 1 (Figure 4)</t>
  </si>
  <si>
    <t>Sample size requirements for multiple regression (Figure 1)</t>
  </si>
  <si>
    <t>Formulas for regression analysis (for Figure 5 and 6)</t>
  </si>
  <si>
    <t>Polynomial regression</t>
  </si>
  <si>
    <t>Polynomial regression (Example 1)</t>
  </si>
  <si>
    <t>Full data analysis for quadratic model (Example 1)</t>
  </si>
  <si>
    <t>Full data analysis for linear model (Example 1)</t>
  </si>
  <si>
    <t>Regression with interaction (Example 1)</t>
  </si>
  <si>
    <t>One factor ANOVA via Regression model (Example 1)</t>
  </si>
  <si>
    <t>One factor ANOVA via Regression model (Example 1 alternative coding)</t>
  </si>
  <si>
    <t>Two factor ANOVA via Regression model (Example 2)</t>
  </si>
  <si>
    <t>Unbalanced ANOVA via Regression model (Example 1)</t>
  </si>
  <si>
    <t>Unbalanced factorial ANOVA</t>
  </si>
  <si>
    <t>ANOVA using regression</t>
  </si>
  <si>
    <t>Outliers and influencers</t>
  </si>
  <si>
    <t>Collinearity</t>
  </si>
  <si>
    <t>Testing the significance of extra variables</t>
  </si>
  <si>
    <t>Tolerance and VIF (Example 1)</t>
  </si>
  <si>
    <t xml:space="preserve">Akaike’s Information Criterion (Example 2) </t>
  </si>
  <si>
    <t>Outliers and influencers: Cook's distance (Example 1)</t>
  </si>
  <si>
    <t>Outliers and influencers: Cook's distance (Example 2)</t>
  </si>
  <si>
    <t>Studentized residuals and hat matrix (Example 1)</t>
  </si>
  <si>
    <t>Collinearity (Figure 1)</t>
  </si>
  <si>
    <t>Plot of studentized residuals (Figure 2)</t>
  </si>
  <si>
    <t>Other measures of effect size for ANOVA</t>
  </si>
  <si>
    <t>Omega square effect size for 1 factor ANOVA (Example 3 of Basic Concepts for ANOVA)</t>
  </si>
  <si>
    <t>Omega square effect size for 2 factor ANOVA (Example 2 of ANOVA using Regression)</t>
  </si>
  <si>
    <t>Error terms for Example 2 (Figure 4)</t>
  </si>
  <si>
    <t>Group means and group effect sizes (Figure 5)</t>
  </si>
  <si>
    <t>Additional information about sphericity</t>
  </si>
  <si>
    <t>Calculation of GG and HF epsilon and lower bound correction (Figure 3)</t>
  </si>
  <si>
    <t>GG epsilon calculation (Example 1)</t>
  </si>
  <si>
    <t>GG epsilon calculation using eigenvalues (Example 2)</t>
  </si>
  <si>
    <t>Mauchly's test for sphericity (Example 3)</t>
  </si>
  <si>
    <t>ANOVA with repeated measures, 1 within and 1 between subjects (Example 1)</t>
  </si>
  <si>
    <t>Assumptions between subjects: Boxplot (Figure 5)</t>
  </si>
  <si>
    <t>Assumptions between subjects: Levene's test (Figure 6)</t>
  </si>
  <si>
    <t>Assumptions within subjects: Boxplot (Figure 7)</t>
  </si>
  <si>
    <t>Assumptions within subjects: Levene's test (Figure 8)</t>
  </si>
  <si>
    <t>Within subjects covariance matrices (Figure 9)</t>
  </si>
  <si>
    <t>Within subjects GG and HF epsilon factors (Figure 10)</t>
  </si>
  <si>
    <t>Within subjects ANOVA corrected for sphericity (Figure 11)</t>
  </si>
  <si>
    <t>Within subjects simple effects ANOVA (Figure 12)</t>
  </si>
  <si>
    <t>Within subjects GG and HF epsilon factors for Young (Figure 13)</t>
  </si>
  <si>
    <t>Summary of within subjects GG and HF epsilon factors (Figure 14)</t>
  </si>
  <si>
    <t>Corrected within subjects simple effects ANOVA (Figure 15)</t>
  </si>
  <si>
    <t>Between subjects simple effects ANOVA (Figure 16)</t>
  </si>
  <si>
    <t>Corrected between subjects simple effects ANOVA (Figure 18)</t>
  </si>
  <si>
    <t>ANCOVA assumptions (Example 1, Figure 1 and 2)</t>
  </si>
  <si>
    <t>ANCOVA assumptions - homogeneous regression slopes (Figure 4)</t>
  </si>
  <si>
    <t>ANCOVA complete model (Figure 3)</t>
  </si>
  <si>
    <t>ANCOVA regression approach (Figure 1)</t>
  </si>
  <si>
    <t>ANOVA approach (Example 1)</t>
  </si>
  <si>
    <t>ANCOVA Contrasts (Example 1)</t>
  </si>
  <si>
    <t>Residuals and chi-square for two-way model (Figure 2)</t>
  </si>
  <si>
    <t>Linear regression models for comparing means</t>
  </si>
  <si>
    <t>Comparing the slopes of two independent samples (Example 1 of Detail)</t>
  </si>
  <si>
    <t>Box's test for equivalence of covariance matrices (Example 1 of Detail)</t>
  </si>
  <si>
    <t>Alternative approach to multiple regression (Example 1 of Detail)</t>
  </si>
  <si>
    <t>Summary of all three-way log-linear models (Figure 1)</t>
  </si>
  <si>
    <t>Odds ratio for three-way log-linear models (Figure 2)</t>
  </si>
  <si>
    <t>Coefficients for three-way log-linear model (Figure 3)</t>
  </si>
  <si>
    <t>Iterative proportional fitting for homogeneous case (Figure 1)</t>
  </si>
  <si>
    <t>Homogeneous association model</t>
  </si>
  <si>
    <t>Expectation for 3-way models (various figures)</t>
  </si>
  <si>
    <t>Residuals and chi-square for three-way models (Figure 2 of Conditional Independence Model)</t>
  </si>
  <si>
    <t>Independence and non-comprehensive models</t>
  </si>
  <si>
    <t>Levene's test using 10% trimmed group means</t>
  </si>
  <si>
    <r>
      <t>trim x̄</t>
    </r>
    <r>
      <rPr>
        <i/>
        <vertAlign val="subscript"/>
        <sz val="11"/>
        <color theme="1"/>
        <rFont val="Calibri"/>
        <family val="2"/>
        <scheme val="minor"/>
      </rPr>
      <t>j</t>
    </r>
  </si>
  <si>
    <t>Levene Median</t>
  </si>
  <si>
    <t>Levene TMean</t>
  </si>
  <si>
    <t>Levene Mean</t>
  </si>
  <si>
    <r>
      <t>= (b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)/(s</t>
    </r>
    <r>
      <rPr>
        <vertAlign val="subscript"/>
        <sz val="11"/>
        <color theme="1"/>
        <rFont val="Calibri"/>
        <family val="2"/>
        <scheme val="minor"/>
      </rPr>
      <t>b1-b2</t>
    </r>
    <r>
      <rPr>
        <sz val="11"/>
        <color theme="1"/>
        <rFont val="Calibri"/>
        <family val="2"/>
        <scheme val="minor"/>
      </rPr>
      <t>)</t>
    </r>
  </si>
  <si>
    <t>=CRONALPHA(B4:L15)</t>
  </si>
  <si>
    <t>Logistic Regression using Solver and Real Statistics Resource Pack</t>
  </si>
  <si>
    <t>% Correct</t>
  </si>
  <si>
    <t>Covariance Matrix</t>
  </si>
  <si>
    <t>coeff b</t>
  </si>
  <si>
    <t>Wald</t>
  </si>
  <si>
    <t>exp(b)</t>
  </si>
  <si>
    <t>Now use Excel's Solver as follows to complete the analysis:</t>
  </si>
  <si>
    <t>- Set Objectives: sum of LL; To: Max</t>
  </si>
  <si>
    <t>- By Changing Variable Cells: Coeff range</t>
  </si>
  <si>
    <t>- Make Unconstrained Variabes Non-Negative: uncheck this option</t>
  </si>
  <si>
    <t>- Select a Solving Method: GRG Nonlinear</t>
  </si>
  <si>
    <t>Logistic Regression using Newton's Method and Real Statistics Resource Pack</t>
  </si>
  <si>
    <t>Iteration Matrix</t>
  </si>
  <si>
    <t>Iteration 0</t>
  </si>
  <si>
    <t>Logistic Regression using Newton Method</t>
  </si>
  <si>
    <t>Iteration 1</t>
  </si>
  <si>
    <t>Iteration 2</t>
  </si>
  <si>
    <t>Iteration 3</t>
  </si>
  <si>
    <t>Iteration 4</t>
  </si>
  <si>
    <t>Iteration 5</t>
  </si>
  <si>
    <t>Logistic Regression using Real Statistics Resource Pack with Newton option</t>
  </si>
  <si>
    <t>Logistic Regression using raw data</t>
  </si>
  <si>
    <t>Temperature only model</t>
  </si>
  <si>
    <t>Water only model</t>
  </si>
  <si>
    <t>T x W</t>
  </si>
  <si>
    <t>Logistic Regression data analysis tool - coefficient table (Example 1)</t>
  </si>
  <si>
    <t>Testing coefficients</t>
  </si>
  <si>
    <t>Fit of the model</t>
  </si>
  <si>
    <t>Logistic Regression data analysis tool using Newton's method (Example 1)</t>
  </si>
  <si>
    <t>Comparing models</t>
  </si>
  <si>
    <t>Logistic Regression data analysis tool using raw data (Example 3)</t>
  </si>
  <si>
    <t>Log-linear ratio (Example 2)</t>
  </si>
  <si>
    <t>Basic model (Example 4)</t>
  </si>
  <si>
    <t>Reduced models (Example 4)</t>
  </si>
  <si>
    <t>Interaction model (Example 4)</t>
  </si>
  <si>
    <t>Population Covariance Matrix</t>
  </si>
  <si>
    <t>=CRONALPHA(B4:K18)</t>
  </si>
  <si>
    <t>Cronbach's alpha using ANOVA (Example 4)</t>
  </si>
  <si>
    <t>u</t>
  </si>
  <si>
    <t>Outliers and Missing Data</t>
  </si>
  <si>
    <t>Box Plot</t>
  </si>
  <si>
    <t># outliers</t>
  </si>
  <si>
    <t># blank</t>
  </si>
  <si>
    <t># non-num</t>
  </si>
  <si>
    <t>Shapiro-Wilk Test</t>
  </si>
  <si>
    <t>normal</t>
  </si>
  <si>
    <t>c2</t>
  </si>
  <si>
    <t>1/nn</t>
  </si>
  <si>
    <t>1/nn^2</t>
  </si>
  <si>
    <t>nn*ln det</t>
  </si>
  <si>
    <t>nn = n -1</t>
  </si>
  <si>
    <t>DFFITS</t>
  </si>
  <si>
    <t>T-Test</t>
  </si>
  <si>
    <t>Tukey-Kramer post hoc test</t>
  </si>
  <si>
    <t>Games Howell</t>
  </si>
  <si>
    <t>c^2*var/n</t>
  </si>
  <si>
    <t>Tukey-Kramer data analysis tool (Example 2)</t>
  </si>
  <si>
    <t>Games-Howell data analysis tool (Example 3)</t>
  </si>
  <si>
    <t>REGWQ test (Example 4)</t>
  </si>
  <si>
    <t>Real Statistics data analysis tool</t>
  </si>
  <si>
    <t>Kruskal-Wallis Test</t>
  </si>
  <si>
    <t>Kruskal-Wallis test using Anova on ranks</t>
  </si>
  <si>
    <t>Kruskal-Wallis data analysis tool</t>
  </si>
  <si>
    <t>Power Regression</t>
  </si>
  <si>
    <t>ln x</t>
  </si>
  <si>
    <t>Use of TREND</t>
  </si>
  <si>
    <t>coeff</t>
  </si>
  <si>
    <t>Regression Analysis</t>
  </si>
  <si>
    <t>Linear Regression</t>
  </si>
  <si>
    <t>Power regression</t>
  </si>
  <si>
    <t>Log-log Regression (Example 1)</t>
  </si>
  <si>
    <t>Real Statistics regression data analysis tool (Example 2)</t>
  </si>
  <si>
    <t>OVERALL FIT</t>
  </si>
  <si>
    <t>Multiple Regression with Log Transformations</t>
  </si>
  <si>
    <t>exp(coeff)</t>
  </si>
  <si>
    <t>Ln Price</t>
  </si>
  <si>
    <t>Ln Color</t>
  </si>
  <si>
    <t>Ln Quality</t>
  </si>
  <si>
    <t>Exp(Intercept)</t>
  </si>
  <si>
    <t>Multiple regression with log transformations</t>
  </si>
  <si>
    <t>Log-level transformation</t>
  </si>
  <si>
    <t>Log-log transformation (Example 2)</t>
  </si>
  <si>
    <t>Log-level transformation (Example 1)</t>
  </si>
  <si>
    <t>Log-log transformation</t>
  </si>
  <si>
    <t>q-stat</t>
  </si>
  <si>
    <t>TUKEY'S HSD / TUKEY-KRAMER</t>
  </si>
  <si>
    <t>Q TEST</t>
  </si>
  <si>
    <t>Levene's Tests</t>
  </si>
  <si>
    <t>type</t>
  </si>
  <si>
    <t>means</t>
  </si>
  <si>
    <t>medians</t>
  </si>
  <si>
    <t>trimmed</t>
  </si>
  <si>
    <t>Levene's test on medians and trimmed means (Example 1, extra)</t>
  </si>
  <si>
    <t>Games-Howell post hoc test</t>
  </si>
  <si>
    <t>=GROWTH(C6:C16,A6:B16,W8:X9)</t>
  </si>
  <si>
    <t>=$T$7*$S$7^W14*$R$7^X14</t>
  </si>
  <si>
    <t>=$T$7*$S$7^W15*$R$7^X15</t>
  </si>
  <si>
    <t>=EXP(TREND(LN(C6:C16),A6:B16,W20:X21))</t>
  </si>
  <si>
    <t>=$J$56*$J$57^LN(W38)*$J$58^LN(X38)</t>
  </si>
  <si>
    <t>=$J$56*$J$57^LN(W39)*$J$58^LN(X39)</t>
  </si>
  <si>
    <t>EXP(TREND(LN(C36:C46),LN(A36:B46),LN(W44:X45)))</t>
  </si>
  <si>
    <t>Fleiss' Kappa</t>
  </si>
  <si>
    <t>tot</t>
  </si>
  <si>
    <t>kappa</t>
  </si>
  <si>
    <r>
      <t>p</t>
    </r>
    <r>
      <rPr>
        <vertAlign val="subscript"/>
        <sz val="11"/>
        <color theme="1"/>
        <rFont val="Calibri"/>
        <family val="2"/>
        <scheme val="minor"/>
      </rPr>
      <t>e</t>
    </r>
  </si>
  <si>
    <r>
      <t>p</t>
    </r>
    <r>
      <rPr>
        <vertAlign val="subscript"/>
        <sz val="11"/>
        <color theme="1"/>
        <rFont val="Calibri"/>
        <family val="2"/>
        <scheme val="minor"/>
      </rPr>
      <t>a</t>
    </r>
  </si>
  <si>
    <t>Bipolar</t>
  </si>
  <si>
    <t>mn</t>
  </si>
  <si>
    <t>m(m-1)</t>
  </si>
  <si>
    <t>κ</t>
  </si>
  <si>
    <t>kappa 1</t>
  </si>
  <si>
    <t>Interclass correlation</t>
  </si>
  <si>
    <t>SResidual</t>
  </si>
  <si>
    <t>Hosmer-Lemeshow Test</t>
  </si>
  <si>
    <t>Hosmer-Lemeshow Test (Example 1)</t>
  </si>
  <si>
    <t>Fleiss' kappa</t>
  </si>
  <si>
    <t>Fleiss' kappa (Example 1)</t>
  </si>
  <si>
    <t>Extra example (Fleiss' kappa for Example 1 of Cohen's kappa)</t>
  </si>
  <si>
    <t>Extra example (Fleiss' kappa for Example 1 of Intraclass correlation)</t>
  </si>
  <si>
    <t>Male Exp</t>
  </si>
  <si>
    <t>Fem Exp</t>
  </si>
  <si>
    <t>Homer-Lemeshow</t>
  </si>
  <si>
    <t>HL Stat</t>
  </si>
  <si>
    <t>HL stat</t>
  </si>
  <si>
    <t>Regression Coeff</t>
  </si>
  <si>
    <t>20-21</t>
  </si>
  <si>
    <t>Revised Version</t>
  </si>
  <si>
    <t>Hosmer</t>
  </si>
  <si>
    <t>Success</t>
  </si>
  <si>
    <t>Failure</t>
  </si>
  <si>
    <t>Kuder and Richardson Formula 21</t>
  </si>
  <si>
    <t>Logistic Regression data analysis tool using Solver (Example 1)</t>
  </si>
  <si>
    <t>Item Analysis</t>
  </si>
  <si>
    <t>Df</t>
  </si>
  <si>
    <t>High</t>
  </si>
  <si>
    <t>Low</t>
  </si>
  <si>
    <t>Item analysis for multiple choice tests (Example 2)</t>
  </si>
  <si>
    <t>Linest</t>
  </si>
  <si>
    <t>More powerful test for sphericity, John, Nagao and Sugiura's test  (Example 4)</t>
  </si>
  <si>
    <t>Input data in standard format</t>
  </si>
  <si>
    <t>COUNT</t>
  </si>
  <si>
    <t>VARIANCE</t>
  </si>
  <si>
    <t>Two Factor Anova (via Regression)</t>
  </si>
  <si>
    <t>Input data with rows and columns exchanged</t>
  </si>
  <si>
    <t>Two Factor Anova</t>
  </si>
  <si>
    <t>Two Factor ANOVA</t>
  </si>
  <si>
    <t>Blend</t>
  </si>
  <si>
    <t>Input in Excel Anova format</t>
  </si>
  <si>
    <t>Single Factor ANOVA (standard format)</t>
  </si>
  <si>
    <t>Input in standard format</t>
  </si>
  <si>
    <t>Converting from Anova Excel format to standard format</t>
  </si>
  <si>
    <t>Two factor ANOVA with replication - alternative data format (Example 2)</t>
  </si>
  <si>
    <t>Two factor ANOVA with replication - standard data format</t>
  </si>
  <si>
    <t>ANOVA with more than 2 factors</t>
  </si>
  <si>
    <t>Weights</t>
  </si>
  <si>
    <t>Weighted Kappa</t>
  </si>
  <si>
    <t>pa</t>
  </si>
  <si>
    <t>pe</t>
  </si>
  <si>
    <t>Weighted kappa</t>
  </si>
  <si>
    <t>Weighted kappa (Example 1)</t>
  </si>
  <si>
    <t>Unweighted kappa</t>
  </si>
  <si>
    <t>Unweighted kappa using a weighted approach (Figure 2)</t>
  </si>
  <si>
    <t>Factorial ANOVA</t>
  </si>
  <si>
    <t>Real Statistics capabilities for two factor ANOVA</t>
  </si>
  <si>
    <t>Real Statistics capabilities for three factor ANOVA</t>
  </si>
  <si>
    <t>Standard format by rows</t>
  </si>
  <si>
    <t>Three Factor Anova</t>
  </si>
  <si>
    <t>Input data in column format</t>
  </si>
  <si>
    <t>Three Factor Anova (via Regression)</t>
  </si>
  <si>
    <t>Standing</t>
  </si>
  <si>
    <t>Three Factor ANOVA - row format</t>
  </si>
  <si>
    <t>Three Factor ANOVA - column format</t>
  </si>
  <si>
    <t>Input data in row format</t>
  </si>
  <si>
    <t>Standard format by columns, including conversion (Example 1)</t>
  </si>
  <si>
    <t>Standard format by columns (equivalent to the above example)</t>
  </si>
  <si>
    <t>Three factor ANOVA using regression</t>
  </si>
  <si>
    <t>Unbalanced model (Example 2)</t>
  </si>
  <si>
    <t>Balanced model, including data format conversion (Example 1)</t>
  </si>
  <si>
    <t>Three Factor ANOVA - row format, balanced</t>
  </si>
  <si>
    <t>Three Factor ANOVA</t>
  </si>
  <si>
    <t>Using Real Statistics data analysis tool (Example 1)</t>
  </si>
  <si>
    <t>Suc-Pred</t>
  </si>
  <si>
    <t>Fail-Pred</t>
  </si>
  <si>
    <t>Classification Table</t>
  </si>
  <si>
    <t>Suc-Obs</t>
  </si>
  <si>
    <t>Fail-Obs</t>
  </si>
  <si>
    <t>Cutoff</t>
  </si>
  <si>
    <t>ROC Table</t>
  </si>
  <si>
    <t>Fail-Cum</t>
  </si>
  <si>
    <t>Suc-Cum</t>
  </si>
  <si>
    <t>FPR</t>
  </si>
  <si>
    <t>TPR</t>
  </si>
  <si>
    <t>AUC</t>
  </si>
  <si>
    <t>Converge</t>
  </si>
  <si>
    <t>For display purposes only</t>
  </si>
  <si>
    <t>Compare with Temp + Water</t>
  </si>
  <si>
    <t>Compare with Temp</t>
  </si>
  <si>
    <t>Classification Table and ROC Curve</t>
  </si>
  <si>
    <t>Classification Table (Example 1)</t>
  </si>
  <si>
    <t>ROC Table and ROC Curve (Example 1)</t>
  </si>
  <si>
    <t>TP</t>
  </si>
  <si>
    <t>FP</t>
  </si>
  <si>
    <t>FN</t>
  </si>
  <si>
    <t>TN</t>
  </si>
  <si>
    <t>PP</t>
  </si>
  <si>
    <t>PN</t>
  </si>
  <si>
    <t>OP</t>
  </si>
  <si>
    <t>ON</t>
  </si>
  <si>
    <t>Tot</t>
  </si>
  <si>
    <t>Accuracy</t>
  </si>
  <si>
    <t>cum</t>
  </si>
  <si>
    <t>Multinomial Logistic Regression</t>
  </si>
  <si>
    <t>Forecast</t>
  </si>
  <si>
    <t>Rem</t>
  </si>
  <si>
    <t>Pred</t>
  </si>
  <si>
    <t>Coefficient Table</t>
  </si>
  <si>
    <t>Chi-sq Test</t>
  </si>
  <si>
    <t>LL-const</t>
  </si>
  <si>
    <t>Dosage</t>
  </si>
  <si>
    <t>Sick</t>
  </si>
  <si>
    <t>Dead</t>
  </si>
  <si>
    <t>using binary logistic regression coefficients</t>
  </si>
  <si>
    <t>using Solver</t>
  </si>
  <si>
    <t>using Newton's Method</t>
  </si>
  <si>
    <t>Using summary</t>
  </si>
  <si>
    <t>Using raw data</t>
  </si>
  <si>
    <t>MLogitRSquare</t>
  </si>
  <si>
    <t>MLogitTest</t>
  </si>
  <si>
    <t>Using binary logistic regression</t>
  </si>
  <si>
    <t>Using Solver</t>
  </si>
  <si>
    <t>Using Newton's method</t>
  </si>
  <si>
    <t>Logistic Regression (Cured + Dead)</t>
  </si>
  <si>
    <t>one step using Newton's Method</t>
  </si>
  <si>
    <t>One step using Newton's method</t>
  </si>
  <si>
    <t>ICC</t>
  </si>
  <si>
    <t>=LogitCoeff(A4:D15,TRUE)</t>
  </si>
  <si>
    <t>=LogitCoeff(A4:D15)</t>
  </si>
  <si>
    <t>=LogitTest(A4:D15,1)</t>
  </si>
  <si>
    <t>=LogitRSquare(A4:D15,TRUE)</t>
  </si>
  <si>
    <t>p-Male</t>
  </si>
  <si>
    <t>=LogitPred(I19:J19,$A$4:$D$15)</t>
  </si>
  <si>
    <t>=LogitPredC(I25:J25,$G$18:$G$20)</t>
  </si>
  <si>
    <t>=LogitCoeff(A4:C52,TRUE,TRUE)</t>
  </si>
  <si>
    <t>=LogitPred(N37:O37,$A$4:$C$52,TRUE)</t>
  </si>
  <si>
    <t>=LogitPredC(N43:O43,$F$37:$F$39)</t>
  </si>
  <si>
    <t>=LogitPred(N49:O49,$E$6:$H$11)</t>
  </si>
  <si>
    <t>=LogitTest(A4:C52,TRUE,TRUE)</t>
  </si>
  <si>
    <t>=LogitSummary(A4:C52)</t>
  </si>
  <si>
    <t>Log-Likelihood</t>
  </si>
  <si>
    <t>Indep Variables</t>
  </si>
  <si>
    <t>Forecasted Values</t>
  </si>
  <si>
    <t>Predicted Probabilities</t>
  </si>
  <si>
    <t>Logistic Regression (Sick + Dead)</t>
  </si>
  <si>
    <t>od.Cured</t>
  </si>
  <si>
    <t>od.Sick</t>
  </si>
  <si>
    <t xml:space="preserve">=MLogitExtract(G4:K16,2,”2,0”) </t>
  </si>
  <si>
    <t>=U17+V17</t>
  </si>
  <si>
    <t>=2*(AB5-AB4)</t>
  </si>
  <si>
    <t>=COUNT(I5:J5)</t>
  </si>
  <si>
    <t>=CHIDIST(AB7,AB8)</t>
  </si>
  <si>
    <t>=IF(AB9&lt;AB10,"yes","no")</t>
  </si>
  <si>
    <t>=1-(AB5-V17)/(AB4-V17)</t>
  </si>
  <si>
    <t>=1-EXP((-2/L17)*(AB5-AB4))</t>
  </si>
  <si>
    <t>=AB14/(1-EXP(2*(AB4-V17)/L17))</t>
  </si>
  <si>
    <t>=SUMPRODUCT(I17:K17,LN(I17:K17/L17))+V17</t>
  </si>
  <si>
    <t>Inverse of Covariance Matrix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</si>
  <si>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(Y-P)</t>
    </r>
  </si>
  <si>
    <t>Inverse of Covariance</t>
  </si>
  <si>
    <t>Revised Coefficients</t>
  </si>
  <si>
    <t>Initial Coefficients</t>
  </si>
  <si>
    <t>LL const</t>
  </si>
  <si>
    <t>MLogitPred</t>
  </si>
  <si>
    <t>MLogitPredC</t>
  </si>
  <si>
    <t>Multinomial Logistic Regression (Cured + Dead)</t>
  </si>
  <si>
    <t>Multinomial Logistic Regression (Sick + Dead)</t>
  </si>
  <si>
    <t>Finding coefficients using Solver</t>
  </si>
  <si>
    <t>Durbin-Watson Test</t>
  </si>
  <si>
    <t>=DURBIN(F4:F14)</t>
  </si>
  <si>
    <t>=DURBIN(A4:B14,C4:C14)</t>
  </si>
  <si>
    <t>Autocorrelation</t>
  </si>
  <si>
    <t>Durbin-Watson test (Example 1)</t>
  </si>
  <si>
    <t>Multinomial and Ordinal Logistic Regression</t>
  </si>
  <si>
    <t>Interaction Terms</t>
  </si>
  <si>
    <t>Dos</t>
  </si>
  <si>
    <t>Gen</t>
  </si>
  <si>
    <t>MLogitSummary (w/o headings)</t>
  </si>
  <si>
    <t>MLogitSummary (with headings)</t>
  </si>
  <si>
    <t>=MLogitCoeff(A5:E16,2,TRUE)</t>
  </si>
  <si>
    <t>=MLogitCoeff(A5:E16,2,FALSE,TRUE)</t>
  </si>
  <si>
    <t>=MLogitCoeff(A5:E16,2,TRUE,TRUE)</t>
  </si>
  <si>
    <t>=MLogitCoeff(MLogitSelect(A4:E16,2,"1,2,1*2",TRUE),2,TRUE,TRUE)</t>
  </si>
  <si>
    <t>=MLogitCoeff(MLogitSelect(A5:E16,2,"1,2,1*2"),2,TRUE)</t>
  </si>
  <si>
    <t>=MLogitCoeff(MLogitSelect(A5:E16,2,"1,2,1*2"),2)</t>
  </si>
  <si>
    <t>=MLogitCoeff(MLogitSelect(A4:E16,2,"1,2,1*2",TRUE),2,FALSE,TRUE)</t>
  </si>
  <si>
    <t>=MLogitCoeff(A4:C53,0,TRUE,TRUE)</t>
  </si>
  <si>
    <t>=MLogitCoeff(A5:C53,0,TRUE)</t>
  </si>
  <si>
    <t>=LogitSummary(A3:C52,TRUE)</t>
  </si>
  <si>
    <t>=LogitCoeff(A3:C52,TRUE,TRUE,TRUE)</t>
  </si>
  <si>
    <t>=LogitCoeff(A4:D15,TRUE,,TRUE)</t>
  </si>
  <si>
    <t>Multinomial Logistic Regression (Sick + Dead), formula with headings</t>
  </si>
  <si>
    <t>Ordered Logistic Regression</t>
  </si>
  <si>
    <t>Pred Cum Prob</t>
  </si>
  <si>
    <t>gender</t>
  </si>
  <si>
    <t>age</t>
  </si>
  <si>
    <t>total</t>
  </si>
  <si>
    <t>1+2+3</t>
  </si>
  <si>
    <t>Sort + Chart</t>
  </si>
  <si>
    <t>using binary model coefficients</t>
  </si>
  <si>
    <t>using proportional odds model and Solver</t>
  </si>
  <si>
    <t>Ordinal logistic regression</t>
  </si>
  <si>
    <t>HL-Suc</t>
  </si>
  <si>
    <t>HL-Fail</t>
  </si>
  <si>
    <t>Real Statistics Functions (Example 1)</t>
  </si>
  <si>
    <t>Real Statistics Functions</t>
  </si>
  <si>
    <t>Creation of the Interaction Model</t>
  </si>
  <si>
    <t>2+3+4</t>
  </si>
  <si>
    <t>1+2</t>
  </si>
  <si>
    <t>3+4</t>
  </si>
  <si>
    <t>Multinomial logistic regression</t>
  </si>
  <si>
    <t>Using supplemental formulas (Figure 1)</t>
  </si>
  <si>
    <t>Using raw data (Figure 3)</t>
  </si>
  <si>
    <t>Proportional odds model</t>
  </si>
  <si>
    <t>Multinomial logistic regression model</t>
  </si>
  <si>
    <t>MSR-MSE</t>
  </si>
  <si>
    <t>kMSE</t>
  </si>
  <si>
    <t>k(MSC-MSE)/n</t>
  </si>
  <si>
    <t>v</t>
  </si>
  <si>
    <t>w</t>
  </si>
  <si>
    <t>g</t>
  </si>
  <si>
    <t>h</t>
  </si>
  <si>
    <t>d'</t>
  </si>
  <si>
    <t>=AA8</t>
  </si>
  <si>
    <t>=MAX(1,ROUND(AB21,0))</t>
  </si>
  <si>
    <t>=FINV(AB15/2,AB16-1,AB22)</t>
  </si>
  <si>
    <t>=FINV(AB15/2,AB23,AB16-1)</t>
  </si>
  <si>
    <t>=I23+1</t>
  </si>
  <si>
    <t>=I24+1</t>
  </si>
  <si>
    <t>=(AB17-1)*(AB16-1)*(AB17*I29*AB19+AB18)^2/((AB16-1)*(AB17*I29*AB19)^2+AB18^2)</t>
  </si>
  <si>
    <t>=AB16*(1+(AB17-1)*I29)-AB17*I29</t>
  </si>
  <si>
    <t>=AB17*J24+(AB16*AB17-AB17-AB16)*J25</t>
  </si>
  <si>
    <t>=AB16*(J23-AB23*J25)/(AB21+AB23*AB20+AB16*J23)</t>
  </si>
  <si>
    <t>=AB16*(AB24*J23-J25)/(AB20+AB16*AB24*J23)</t>
  </si>
  <si>
    <t>Intraclass Correlation - class 1</t>
  </si>
  <si>
    <t>ICC(1,1)</t>
  </si>
  <si>
    <t>Transpose of the data</t>
  </si>
  <si>
    <t>=(MSBet(P5:W8)-MSW(P5:W8))/(MSBet(P5:W8)+(COUNTA(P5:P8)-1)*MSW(P5:W8))</t>
  </si>
  <si>
    <t>Intraclass Correlation - class 2</t>
  </si>
  <si>
    <t>=MSBet(O5:V8)</t>
  </si>
  <si>
    <t>=MSW(O5:V8)</t>
  </si>
  <si>
    <t>=COUNTA(O5:O8)</t>
  </si>
  <si>
    <t>=(P16-P17)/(P16+(P18-1)*P17)</t>
  </si>
  <si>
    <t>F-lower</t>
  </si>
  <si>
    <t>F-upper</t>
  </si>
  <si>
    <t>=COUNTA(O5:V5)</t>
  </si>
  <si>
    <t>=ANOVA1(O5:V8)</t>
  </si>
  <si>
    <t>n-1</t>
  </si>
  <si>
    <t>n(k-1)</t>
  </si>
  <si>
    <t>=P25-1</t>
  </si>
  <si>
    <t>=P25*(P24-1)</t>
  </si>
  <si>
    <t>=P28/FINV(P23/2,P26,P27)</t>
  </si>
  <si>
    <t>=P28*FINV(P23/2,P27,P26)</t>
  </si>
  <si>
    <t>=(P29-1)/(P29+P24-1)</t>
  </si>
  <si>
    <t>=(P30-1)/(P30+P24-1)</t>
  </si>
  <si>
    <t>=(J17-J18)/(J17+((H5-1)*J18))</t>
  </si>
  <si>
    <t>=I17</t>
  </si>
  <si>
    <t>=I18</t>
  </si>
  <si>
    <t>=K17</t>
  </si>
  <si>
    <t>=H5</t>
  </si>
  <si>
    <t>=I28/FINV(I24/2,I26,I27)</t>
  </si>
  <si>
    <t>=I28*FINV(I24/2,I27,I26)</t>
  </si>
  <si>
    <t>=(I29-1)/(I29+I25-1)</t>
  </si>
  <si>
    <t>=(I30-1)/(I30+I25-1)</t>
  </si>
  <si>
    <t>MSB</t>
  </si>
  <si>
    <t>Intraclass Correlation - class 3</t>
  </si>
  <si>
    <t>ICC(3,1)</t>
  </si>
  <si>
    <t>=(J23-J25)/(J23+((H12-1)*J25))</t>
  </si>
  <si>
    <t>dfRow</t>
  </si>
  <si>
    <t>=I23</t>
  </si>
  <si>
    <t>=I25</t>
  </si>
  <si>
    <t>=K23</t>
  </si>
  <si>
    <t>=(J17-J18)/J17</t>
  </si>
  <si>
    <t>=1-1/I29</t>
  </si>
  <si>
    <t>=1-1/I30</t>
  </si>
  <si>
    <t>ICC(2,4)</t>
  </si>
  <si>
    <t>ICC(1,4)</t>
  </si>
  <si>
    <t>=(J23-J25)/J23</t>
  </si>
  <si>
    <t>=1-1/I36</t>
  </si>
  <si>
    <t>=1-1/I37</t>
  </si>
  <si>
    <t>ICC(3,4)</t>
  </si>
  <si>
    <r>
      <t xml:space="preserve">Cron </t>
    </r>
    <r>
      <rPr>
        <sz val="11"/>
        <color theme="1"/>
        <rFont val="Calibri"/>
        <family val="2"/>
      </rPr>
      <t>α</t>
    </r>
  </si>
  <si>
    <t>=CRONALPHA(B5:E12)</t>
  </si>
  <si>
    <r>
      <t>= 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+n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-4</t>
    </r>
  </si>
  <si>
    <r>
      <t>= 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*SQRT(1/(s</t>
    </r>
    <r>
      <rPr>
        <vertAlign val="subscript"/>
        <sz val="11"/>
        <color theme="1"/>
        <rFont val="Calibri"/>
        <family val="2"/>
        <scheme val="minor"/>
      </rPr>
      <t>x1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-1))+1/(s</t>
    </r>
    <r>
      <rPr>
        <vertAlign val="subscript"/>
        <sz val="11"/>
        <color theme="1"/>
        <rFont val="Calibri"/>
        <family val="2"/>
        <scheme val="minor"/>
      </rPr>
      <t>x2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-1)))</t>
    </r>
  </si>
  <si>
    <t>Intraclass Correlation - case 2</t>
  </si>
  <si>
    <t>Intraclass Correlation - case 1</t>
  </si>
  <si>
    <t>Intraclass Correlation - case 3</t>
  </si>
  <si>
    <t>=ICC(B5:E12,1,1)</t>
  </si>
  <si>
    <t>=ICC(B5:E12,1,4)</t>
  </si>
  <si>
    <t>ICC(2,1)</t>
  </si>
  <si>
    <t>=ICC(B5:E12,2,1)</t>
  </si>
  <si>
    <t>=ICC(B5:E12,2,4)</t>
  </si>
  <si>
    <t>=ICC(B5:E12,3,1)</t>
  </si>
  <si>
    <t>=ICC(B5:E12,3,4)</t>
  </si>
  <si>
    <t>pooled</t>
  </si>
  <si>
    <t>no pool</t>
  </si>
  <si>
    <t>with and w/o labels</t>
  </si>
  <si>
    <t>s.e</t>
  </si>
  <si>
    <t>Data analysis tool</t>
  </si>
  <si>
    <t>Multiple Correlation</t>
  </si>
  <si>
    <t>Partial correlation coefficient (Example 1)</t>
  </si>
  <si>
    <t>Partial correlation matrix (Example 2)</t>
  </si>
  <si>
    <t>Coefficient of determination</t>
  </si>
  <si>
    <t>=COUNTA(B5:I5)</t>
  </si>
  <si>
    <t>=COUNTA(A5:A11)</t>
  </si>
  <si>
    <t>=C14-1</t>
  </si>
  <si>
    <t>=CHIDIST(C19,C20)</t>
  </si>
  <si>
    <t>=C15*(C14-1)*C17</t>
  </si>
  <si>
    <t>Kendall's W</t>
  </si>
  <si>
    <t>Kendall's W (Example 1)</t>
  </si>
  <si>
    <t>=12*DEVSQ(B12:I12)/(C15^2*(C14^3-C14))</t>
  </si>
  <si>
    <t>=12*SUMSQ(B12:I12)/(C15^2*(C14^3-C14))-3*(C14+1)/(C14-1)</t>
  </si>
  <si>
    <t>=FRIEDMAN(B5:I11)/(C15*(C14-1))</t>
  </si>
  <si>
    <t>=C15*(C14-1)*C16</t>
  </si>
  <si>
    <t>=CHIDIST(C18,C19)</t>
  </si>
  <si>
    <t>=(C15*C16-1)/(C15-1)</t>
  </si>
  <si>
    <t>Judges</t>
  </si>
  <si>
    <t>=SUMPRODUCT((L5:S11+1)^3-(L5:S11+1))</t>
  </si>
  <si>
    <t>=(12*SUMSQ(B12:I12)-3*C15^2*C14*(C14+1)^2)/(C15^2*(C14^3-C14)-C15*C16)</t>
  </si>
  <si>
    <t>=(C15*C17-1)/(C15-1)</t>
  </si>
  <si>
    <t>=COUNT(B5:I5)</t>
  </si>
  <si>
    <t>=COUNT(A5:A11)</t>
  </si>
  <si>
    <t>Ties</t>
  </si>
  <si>
    <t>Kendall's W with ties (Example 2)</t>
  </si>
  <si>
    <t>Year</t>
  </si>
  <si>
    <t>corr</t>
  </si>
  <si>
    <t>Missing Data - Listwise Deletion</t>
  </si>
  <si>
    <t>Id</t>
  </si>
  <si>
    <t>math</t>
  </si>
  <si>
    <t>science</t>
  </si>
  <si>
    <t>No missing data</t>
  </si>
  <si>
    <t>Missing data</t>
  </si>
  <si>
    <t>Regression Analysis (Listwise Deletion)</t>
  </si>
  <si>
    <t>Missing Data - Mean Imputation</t>
  </si>
  <si>
    <t>Mean Imputation</t>
  </si>
  <si>
    <t>Missing Data - Regression Imputation</t>
  </si>
  <si>
    <t>Regression Imputation</t>
  </si>
  <si>
    <t>correl</t>
  </si>
  <si>
    <t>Regression Analysis (Complete Data)</t>
  </si>
  <si>
    <t>Missing Data - Stochastic Regression Imputation</t>
  </si>
  <si>
    <t>Stochastic regression Imputation</t>
  </si>
  <si>
    <t>rand err</t>
  </si>
  <si>
    <t>sci - reg</t>
  </si>
  <si>
    <t>=MMULT(TRANSPOSE(I4:I14-M4:M14),I4:I14-M4:M14)</t>
  </si>
  <si>
    <t>Multiple Imputation</t>
  </si>
  <si>
    <t>SSRes</t>
  </si>
  <si>
    <t>B'</t>
  </si>
  <si>
    <t>Missing Data and Multiple Imputation</t>
  </si>
  <si>
    <t>read</t>
  </si>
  <si>
    <t>medicine</t>
  </si>
  <si>
    <t>id</t>
  </si>
  <si>
    <t>Frequency of Non-Missing Data</t>
  </si>
  <si>
    <t>Patterns of Missing Data</t>
  </si>
  <si>
    <t>Simple Imputation</t>
  </si>
  <si>
    <t>min</t>
  </si>
  <si>
    <t>max</t>
  </si>
  <si>
    <t>round</t>
  </si>
  <si>
    <t>Simple Imputation with constraints</t>
  </si>
  <si>
    <t>Imputation of column 1</t>
  </si>
  <si>
    <t>Imputation of column 1 with constraints</t>
  </si>
  <si>
    <t>FCS Imputation</t>
  </si>
  <si>
    <t>FCS Imputation with constraints</t>
  </si>
  <si>
    <t>Multiple Imputation - FCS</t>
  </si>
  <si>
    <t>FCS Imputation 1</t>
  </si>
  <si>
    <t>FCS Imputation 2</t>
  </si>
  <si>
    <t>FCS Imputation 3</t>
  </si>
  <si>
    <t>FCS Imputation 4</t>
  </si>
  <si>
    <t>R2, size</t>
  </si>
  <si>
    <t>FCS Imputation Statistics</t>
  </si>
  <si>
    <t>Imputed data only</t>
  </si>
  <si>
    <t>Complete data</t>
  </si>
  <si>
    <t>Descriptive statistics</t>
  </si>
  <si>
    <t>Descriptive statistics (complete data)</t>
  </si>
  <si>
    <t>Descriptive statistics (imputed data)</t>
  </si>
  <si>
    <t>Combined Parameters</t>
  </si>
  <si>
    <t>Variance Information</t>
  </si>
  <si>
    <t>Parameter Information</t>
  </si>
  <si>
    <t>Compact summary table</t>
  </si>
  <si>
    <t>Impute</t>
  </si>
  <si>
    <t>Multiple Imputation Summary</t>
  </si>
  <si>
    <t>R-sq, size</t>
  </si>
  <si>
    <t>Core</t>
  </si>
  <si>
    <t>MSRes'</t>
  </si>
  <si>
    <t>Cholesky (L)</t>
  </si>
  <si>
    <t>Coeff (B)</t>
  </si>
  <si>
    <t>s.e.'</t>
  </si>
  <si>
    <t>Step 1 of Imputation 1</t>
  </si>
  <si>
    <t>Multiple Imputation FCS - Step 1 of Imputation 1</t>
  </si>
  <si>
    <t>FIML</t>
  </si>
  <si>
    <t>Pairwise non-missing</t>
  </si>
  <si>
    <t>Sample Covariance Matrix</t>
  </si>
  <si>
    <t>Population Means</t>
  </si>
  <si>
    <t>Sample Means</t>
  </si>
  <si>
    <t>Solver</t>
  </si>
  <si>
    <t>FIML - initial</t>
  </si>
  <si>
    <t>FIML - final</t>
  </si>
  <si>
    <t>FIML (no missing data) - initial</t>
  </si>
  <si>
    <t>Constraint</t>
  </si>
  <si>
    <t>FIML (no missing data) - final</t>
  </si>
  <si>
    <t>Regression Coefficients</t>
  </si>
  <si>
    <r>
      <t>Estimate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</si>
  <si>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t>Sample Counts</t>
  </si>
  <si>
    <t>Population covariance matrix</t>
  </si>
  <si>
    <t>Population means</t>
  </si>
  <si>
    <t>Sample means</t>
  </si>
  <si>
    <t>-2LL</t>
  </si>
  <si>
    <t>Regression coefficients</t>
  </si>
  <si>
    <t>Estimate of Inverse of XTX</t>
  </si>
  <si>
    <t>FIML (no missing data) - final (data analysis tool)</t>
  </si>
  <si>
    <t>FIML - data analysis tool</t>
  </si>
  <si>
    <t>Regression Analysis (usual model)</t>
  </si>
  <si>
    <t>Regression Analysis (missing data model)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</si>
  <si>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</si>
  <si>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</si>
  <si>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</si>
  <si>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t>Traditional approaches</t>
  </si>
  <si>
    <t>Listwise Deletion (Example 1)</t>
  </si>
  <si>
    <t>Mean Imputation (Example 2)</t>
  </si>
  <si>
    <t>Regression Imputation (Example 3)</t>
  </si>
  <si>
    <t>Stochastic Regression Imputation (Example 4)</t>
  </si>
  <si>
    <t>Frequency and patterns of missing data</t>
  </si>
  <si>
    <t>Fully conditional specification (FCS)</t>
  </si>
  <si>
    <t>Simple imputation (with and w/o constraints)</t>
  </si>
  <si>
    <t>Summary of FCS results</t>
  </si>
  <si>
    <t>One step of the FCS algorithm</t>
  </si>
  <si>
    <t>Combining multiple imputations</t>
  </si>
  <si>
    <t>Multiple FCS imputations</t>
  </si>
  <si>
    <t>MI data analysis tool</t>
  </si>
  <si>
    <t>Multiple imputations from MI data analysis tool</t>
  </si>
  <si>
    <t>MI data analysis tool with constraints</t>
  </si>
  <si>
    <t>Multiple imputations from MI data analysis tool with constraints</t>
  </si>
  <si>
    <t>One step of the FCS algorithm details</t>
  </si>
  <si>
    <t>Full Information Maximum Log-Likelihood (FIML)</t>
  </si>
  <si>
    <t>FIML statistics</t>
  </si>
  <si>
    <t>FIML initial conditions</t>
  </si>
  <si>
    <t>FIML after using Solver</t>
  </si>
  <si>
    <t>FIML with modified degrees of freedom</t>
  </si>
  <si>
    <t>FIML data analysis tool</t>
  </si>
  <si>
    <t>FIML complete data: initial conditions</t>
  </si>
  <si>
    <t>FIML complete data: after using Solver</t>
  </si>
  <si>
    <t>FIML complete data: data analysis tool</t>
  </si>
  <si>
    <t>Logistic Regression using raw data (alternative approach)</t>
  </si>
  <si>
    <t>Logistic Regression with raw data, alternative approach</t>
  </si>
  <si>
    <t>Multiple Imputation - initialization</t>
  </si>
  <si>
    <t xml:space="preserve">FCS - Single Imputation </t>
  </si>
  <si>
    <t>Summary of the Means</t>
  </si>
  <si>
    <t>Calculate -2LL for the first row</t>
  </si>
  <si>
    <t>data</t>
  </si>
  <si>
    <t>cov matrix</t>
  </si>
  <si>
    <t>Calculate -2LL for the 18th row</t>
  </si>
  <si>
    <t>Usual calculation of population cov matrix</t>
  </si>
  <si>
    <r>
      <t>Usual calculation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</si>
  <si>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Est.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via pop cov matrix</t>
    </r>
  </si>
  <si>
    <t>2-tail</t>
  </si>
  <si>
    <t>1-β</t>
  </si>
  <si>
    <t>suppl</t>
  </si>
  <si>
    <t>H1</t>
  </si>
  <si>
    <t>Power for One-way ANOVA</t>
  </si>
  <si>
    <t>SSB</t>
  </si>
  <si>
    <t>=H14</t>
  </si>
  <si>
    <t>=H15</t>
  </si>
  <si>
    <t>=G14</t>
  </si>
  <si>
    <t>=I15</t>
  </si>
  <si>
    <t>=Q6+Q5+1</t>
  </si>
  <si>
    <t>=Q5+1</t>
  </si>
  <si>
    <t>=SQRT(Q7/(Q8*Q9))</t>
  </si>
  <si>
    <t>=Q11*SQRT(Q10/(Q10-1))</t>
  </si>
  <si>
    <t>=Q11^2*Q9</t>
  </si>
  <si>
    <t>=L5</t>
  </si>
  <si>
    <t>=FINV(Q15,Q5,Q6)</t>
  </si>
  <si>
    <t>=NF_DIST(Q16,Q5,Q6,Q13,TRUE)</t>
  </si>
  <si>
    <t>=1-Q17</t>
  </si>
  <si>
    <t>=V8-1</t>
  </si>
  <si>
    <t>=V7-V8</t>
  </si>
  <si>
    <t>=V9*SQRT(V8/(V8-1))</t>
  </si>
  <si>
    <t>=V9^2*V7</t>
  </si>
  <si>
    <t>=FINV(V13,V5,V6)</t>
  </si>
  <si>
    <t>=NF_DIST(V14,V5,V6,V11,TRUE)</t>
  </si>
  <si>
    <t>=1-V15</t>
  </si>
  <si>
    <t>=ANOVA1_SIZE(V9,V8)</t>
  </si>
  <si>
    <t>=ANOVA1_POWER(Q11,Q9,Q10)</t>
  </si>
  <si>
    <t>=ANOVA1_POWER(Q12,Q9,Q10,2)</t>
  </si>
  <si>
    <t>=ANOVA1_POWER(Q13,Q9,Q10,0)</t>
  </si>
  <si>
    <t>Sample size required (Example 2)</t>
  </si>
  <si>
    <t>Power of ANOVA (Example 1)</t>
  </si>
  <si>
    <t>=I35/FINV(I31/2,I33,I34)</t>
  </si>
  <si>
    <t>=I35*FINV(I31/2,I34,I33)</t>
  </si>
  <si>
    <t>=(I36-1)/(I36+I32-1)</t>
  </si>
  <si>
    <t>=(I37-1)/(I37+I32-1)</t>
  </si>
  <si>
    <t>KENDALLW function</t>
  </si>
  <si>
    <t>Real Statistics functions</t>
  </si>
  <si>
    <r>
      <t>1-</t>
    </r>
    <r>
      <rPr>
        <sz val="11"/>
        <color theme="1"/>
        <rFont val="Calibri"/>
        <family val="2"/>
      </rPr>
      <t>β</t>
    </r>
  </si>
  <si>
    <t>ln Odds(E)</t>
  </si>
  <si>
    <t>Two factor ANOVA using Real Statistics data analysis tool</t>
  </si>
  <si>
    <t>Two factor ANOVA with replication using Real Statistics functions</t>
  </si>
  <si>
    <t>Using Real Statistics functions (Example 1)</t>
  </si>
  <si>
    <t>Mood's Median Test</t>
  </si>
  <si>
    <t>&gt; Median</t>
  </si>
  <si>
    <t>&lt;= Median</t>
  </si>
  <si>
    <t>Mood's Median Test (Example 1)</t>
  </si>
  <si>
    <t>=CHI_STAT(F6:H7)</t>
  </si>
  <si>
    <t>=CHI_TEST(F6:H7)</t>
  </si>
  <si>
    <t>Real Statistics function</t>
  </si>
  <si>
    <t>Split-half methodology for reliability (Example 2)</t>
  </si>
  <si>
    <t>Cronbach's Alpha with missing item</t>
  </si>
  <si>
    <t>Split-half</t>
  </si>
  <si>
    <t>OddEven</t>
  </si>
  <si>
    <t>H2</t>
  </si>
  <si>
    <t>Halves</t>
  </si>
  <si>
    <t>Split-Half Method</t>
  </si>
  <si>
    <t>Odd/Even</t>
  </si>
  <si>
    <t>Real Statistics Formulas</t>
  </si>
  <si>
    <t>Real Statistics Data Analysis Tool</t>
  </si>
  <si>
    <t>Discrim cutoff</t>
  </si>
  <si>
    <t>Difficulty</t>
  </si>
  <si>
    <t>Discrimination</t>
  </si>
  <si>
    <t>Real Statistics formulas</t>
  </si>
  <si>
    <t>Excel formulas</t>
  </si>
  <si>
    <t>Real Statistics Reliability data analysis tool</t>
  </si>
  <si>
    <t>Using Reliability data analysis tool</t>
  </si>
  <si>
    <t>Cohen's Weighted Kappa</t>
  </si>
  <si>
    <t>Fleiss's Kappa</t>
  </si>
  <si>
    <t>Anova data analysis tool</t>
  </si>
  <si>
    <t>Reliability data analysis tool</t>
  </si>
  <si>
    <t>ICC Case</t>
  </si>
  <si>
    <t>ICC Type</t>
  </si>
  <si>
    <t>Complete Real Statistics function</t>
  </si>
  <si>
    <t>Partial credit (Example 4)</t>
  </si>
  <si>
    <t>Real Statistics function (Example 3)</t>
  </si>
  <si>
    <t>Real Statistics data analysis tool (Example 5)</t>
  </si>
  <si>
    <t>Difficulty and discrimination index (Example 1)</t>
  </si>
  <si>
    <t>Welch's Test</t>
  </si>
  <si>
    <t>Welch's Test (Example 1)</t>
  </si>
  <si>
    <t>mean'</t>
  </si>
  <si>
    <t xml:space="preserve">  Column E</t>
  </si>
  <si>
    <t xml:space="preserve">  Column H</t>
  </si>
  <si>
    <t>Levene's Test</t>
  </si>
  <si>
    <t>Extra examples of Welch's test</t>
  </si>
  <si>
    <t>Brown-Forsythe Test</t>
  </si>
  <si>
    <t>Welch's Test (standard format)</t>
  </si>
  <si>
    <t>Welch's Test standard format (Example 1)</t>
  </si>
  <si>
    <t>GGEpsilon</t>
  </si>
  <si>
    <t>GG epsilon</t>
  </si>
  <si>
    <t>HF epsilon</t>
  </si>
  <si>
    <t>Two Factor Anova with Repeated Measures</t>
  </si>
  <si>
    <t>- Rows</t>
  </si>
  <si>
    <t>- Error</t>
  </si>
  <si>
    <t>- Columns</t>
  </si>
  <si>
    <t>- Interaction</t>
  </si>
  <si>
    <t>Standard Format</t>
  </si>
  <si>
    <t>Sorted using QSORTRows</t>
  </si>
  <si>
    <t>One-way ANOVA with random factor (Example 1)</t>
  </si>
  <si>
    <t>Nested models</t>
  </si>
  <si>
    <t>Nested model (Example 1)</t>
  </si>
  <si>
    <t>Nested ANOVA</t>
  </si>
  <si>
    <t>Psychology</t>
  </si>
  <si>
    <t>Negotiation</t>
  </si>
  <si>
    <t>Conflict Management</t>
  </si>
  <si>
    <t>Office 1</t>
  </si>
  <si>
    <t>Office 2</t>
  </si>
  <si>
    <t>Office 3</t>
  </si>
  <si>
    <t>Office 4</t>
  </si>
  <si>
    <t>Office 5</t>
  </si>
  <si>
    <t>Office 6</t>
  </si>
  <si>
    <t>Office 7</t>
  </si>
  <si>
    <t>Office 8</t>
  </si>
  <si>
    <t>Office 9</t>
  </si>
  <si>
    <t>Negot</t>
  </si>
  <si>
    <t>Conflict</t>
  </si>
  <si>
    <t>Psychol</t>
  </si>
  <si>
    <t>Negotiat</t>
  </si>
  <si>
    <t>Office A</t>
  </si>
  <si>
    <t>Office B</t>
  </si>
  <si>
    <t>Office C</t>
  </si>
  <si>
    <t>One Sample Random ANOVA</t>
  </si>
  <si>
    <t>Region 2</t>
  </si>
  <si>
    <t>Region 3</t>
  </si>
  <si>
    <t>Region 4</t>
  </si>
  <si>
    <t>Region 5</t>
  </si>
  <si>
    <t>Region 1</t>
  </si>
  <si>
    <t>Real Statistics function and data analysis tool (Example 1)</t>
  </si>
  <si>
    <t>Kendall's W with ties</t>
  </si>
  <si>
    <t>ANCOVA: Single Factor</t>
  </si>
  <si>
    <t>adj mean</t>
  </si>
  <si>
    <t>Slope W</t>
  </si>
  <si>
    <t>Slope T</t>
  </si>
  <si>
    <t>Between</t>
  </si>
  <si>
    <t>ANCOVA - Data Analysis Tool</t>
  </si>
  <si>
    <t>RANDOM FACTOR</t>
  </si>
  <si>
    <t>Estimate</t>
  </si>
  <si>
    <t>chi crit -</t>
  </si>
  <si>
    <t>chi crit +</t>
  </si>
  <si>
    <t>Nested ANOVA - standard format</t>
  </si>
  <si>
    <t>Two Factor Nested Anova</t>
  </si>
  <si>
    <t>Col (Rows)</t>
  </si>
  <si>
    <t>Two factor mixed model</t>
  </si>
  <si>
    <t>One random factor ANOVA</t>
  </si>
  <si>
    <t>Two factor mixed model (Example 1)</t>
  </si>
  <si>
    <t>Nested Anova data analysis tool</t>
  </si>
  <si>
    <t>Nested Anova data analysis tool (Example 1)</t>
  </si>
  <si>
    <t>Nested Anova using data in standard form (Example 2)</t>
  </si>
  <si>
    <t>ANCOVA data analysis tool (Example 1)</t>
  </si>
  <si>
    <t>Two within subjects factors</t>
  </si>
  <si>
    <t>ANOVA with Random Factors and Nested Models</t>
  </si>
  <si>
    <t>ANOVA with Random or Nested Factors</t>
  </si>
  <si>
    <t>Mixed Factor ANOVA</t>
  </si>
  <si>
    <t>Mixed Factors ANOVA</t>
  </si>
  <si>
    <t>Two Mixed Factors Anova</t>
  </si>
  <si>
    <t>Two factor mixed Anova data analysis tool (Example 1)</t>
  </si>
  <si>
    <t>Nested Anova analysis</t>
  </si>
  <si>
    <t>Multiple Regression - confidence and prediction intervals</t>
  </si>
  <si>
    <t>dfRes</t>
  </si>
  <si>
    <t>Confidence and prediction intervals</t>
  </si>
  <si>
    <t>Confidence and prediction intervals (Example 1)</t>
  </si>
  <si>
    <t>Core Matrix</t>
  </si>
  <si>
    <t>Confidence and prediction Intervals</t>
  </si>
  <si>
    <t>Conf</t>
  </si>
  <si>
    <t>poverty</t>
  </si>
  <si>
    <t>MSRes</t>
  </si>
  <si>
    <t>Simple Regression - confidence and prediction intervals</t>
  </si>
  <si>
    <t>d-lower</t>
  </si>
  <si>
    <t>d-upper</t>
  </si>
  <si>
    <t>Rainfall</t>
  </si>
  <si>
    <t>Durbin-Watson Table (alpha .01)</t>
  </si>
  <si>
    <t>Durbin-Watson Table (alpha .05)</t>
  </si>
  <si>
    <t>Durbin-Watson Table</t>
  </si>
  <si>
    <t>Alpha = .05</t>
  </si>
  <si>
    <t>n\k</t>
  </si>
  <si>
    <t>https://www3.nd.edu/~wevans1/econ30331/Durbin_Watson_tables.pdf</t>
  </si>
  <si>
    <t>Alpha = .01</t>
  </si>
  <si>
    <t>Statistical Power and Sample Size</t>
  </si>
  <si>
    <t>Statistical Power (Example 1)</t>
  </si>
  <si>
    <t>Sample Size Requirement (Example 2)</t>
  </si>
  <si>
    <t>R-square</t>
  </si>
  <si>
    <t>f-square</t>
  </si>
  <si>
    <t>Multiple Regression - power</t>
  </si>
  <si>
    <t>Multiple regression - Statistical Power</t>
  </si>
  <si>
    <t>Multiple Regression Power and Sample Size</t>
  </si>
  <si>
    <t>actual 1-β</t>
  </si>
  <si>
    <t>Cochran's Q test</t>
  </si>
  <si>
    <t>Cochran's Q test, summarized data (Example 2)</t>
  </si>
  <si>
    <t>Cochran's Q test, raw data (Example 1)</t>
  </si>
  <si>
    <t>Cochran's Q Test</t>
  </si>
  <si>
    <t>Wed</t>
  </si>
  <si>
    <t>Mon</t>
  </si>
  <si>
    <t>Fri</t>
  </si>
  <si>
    <t>Q-crit</t>
  </si>
  <si>
    <t>Proportion that are energetic</t>
  </si>
  <si>
    <t>Q-stat</t>
  </si>
  <si>
    <t>Group percentages</t>
  </si>
  <si>
    <t>Data anaòysis tool</t>
  </si>
  <si>
    <t>Friedman's Test</t>
  </si>
  <si>
    <t>H-stat</t>
  </si>
  <si>
    <t>Moods' Median Test</t>
  </si>
  <si>
    <t>Statistical Power (other example)</t>
  </si>
  <si>
    <r>
      <t>1-</t>
    </r>
    <r>
      <rPr>
        <sz val="11"/>
        <color theme="1"/>
        <rFont val="Calibri"/>
        <family val="2"/>
      </rPr>
      <t>β lower</t>
    </r>
  </si>
  <si>
    <r>
      <t>1-</t>
    </r>
    <r>
      <rPr>
        <sz val="11"/>
        <color theme="1"/>
        <rFont val="Calibri"/>
        <family val="2"/>
      </rPr>
      <t>β upper</t>
    </r>
  </si>
  <si>
    <t>Confidence interval of effect size and power</t>
  </si>
  <si>
    <t>λ lower</t>
  </si>
  <si>
    <t>λ upper</t>
  </si>
  <si>
    <t>RMSEE lower</t>
  </si>
  <si>
    <t>RMSEE upper</t>
  </si>
  <si>
    <t>f lower</t>
  </si>
  <si>
    <t>f upper</t>
  </si>
  <si>
    <t>Confidence interval for effect size and power (Example 3)</t>
  </si>
  <si>
    <t>R-sq</t>
  </si>
  <si>
    <t>R-sq lower</t>
  </si>
  <si>
    <t>R-sq upper</t>
  </si>
  <si>
    <t>Method of least squares using Real Statistics functions (Example 3)</t>
  </si>
  <si>
    <t>Real Statistics functions (for Figure 5)</t>
  </si>
  <si>
    <t>Unbalanced ANOVA via Regression model using Real Statistics analysis tool (Example 1)</t>
  </si>
  <si>
    <t>One factor ANOVA using Real Statistics functions</t>
  </si>
  <si>
    <t>Confidence interval using Real Statistics Anova data analysis tool (Example 1)</t>
  </si>
  <si>
    <t>Real Statistics data analysis tool with data in standard format (Example 2)</t>
  </si>
  <si>
    <t>Real Statistics Anova data analysis tool for contrasts (Example 4)</t>
  </si>
  <si>
    <t>Tukey HSD Real Statistics data analysis tool (Example 1)</t>
  </si>
  <si>
    <t>Real Statistics function LEVENE and data analysis tool</t>
  </si>
  <si>
    <t>Effect size via Real Statistics Anova data analysis tool (Example 2)</t>
  </si>
  <si>
    <t>Kruskal-Wallis test using Real Statistics functions</t>
  </si>
  <si>
    <t>Logistic Regression Real Statistics functions, summary data (Figure 1)</t>
  </si>
  <si>
    <t>Logistic Regression Real Statistics functions, rawdata (Figure 2)</t>
  </si>
  <si>
    <t>Using Real Statistics functions</t>
  </si>
  <si>
    <t>Using the Real Statistics function QCRIT</t>
  </si>
  <si>
    <t>DF_POOLED Real Statistics function</t>
  </si>
  <si>
    <t>Using QINV Real Statistics function</t>
  </si>
  <si>
    <t>Using Real Statistics data analysis tool</t>
  </si>
  <si>
    <t>Two Factor ANOVA Real Statistics analysis tool</t>
  </si>
  <si>
    <t>using Real Statistics formulas</t>
  </si>
  <si>
    <t>Method of Least Squares (using Real Statistics functions)</t>
  </si>
  <si>
    <t>Regression data analysis (Real Statistics formulas inserted)</t>
  </si>
  <si>
    <t>Multiple Regression (Real Statistics data analysis tool)</t>
  </si>
  <si>
    <t>Two-way ANOVA Real Statistics tool</t>
  </si>
  <si>
    <t>Using Real Statistics formulas</t>
  </si>
  <si>
    <t>Interaction model using Real Statistics formulas</t>
  </si>
  <si>
    <t>Logistic Regression using Real Statistics Real Statistics functions</t>
  </si>
  <si>
    <t>Using Real Statistics function</t>
  </si>
  <si>
    <t>Using Real Statistics formula</t>
  </si>
  <si>
    <t>Via Real Statistics formulas</t>
  </si>
  <si>
    <t>bin</t>
  </si>
  <si>
    <t>cum %</t>
  </si>
  <si>
    <t>left</t>
  </si>
  <si>
    <t>right</t>
  </si>
  <si>
    <t>ANOVA Resampling of Error Terms (Example 2)</t>
  </si>
  <si>
    <t>ANOVA Resampling (Example 1)</t>
  </si>
  <si>
    <t>ANOVA Resampling</t>
  </si>
  <si>
    <t>Bootstrapping: ANOVA</t>
  </si>
  <si>
    <t>Analysis: F statistic</t>
  </si>
  <si>
    <t>sample F</t>
  </si>
  <si>
    <t>Bootstrapping: ANOVA (error scores)</t>
  </si>
  <si>
    <t>Randomization: ANOVA (error scores)</t>
  </si>
  <si>
    <t>Randomization: ANOVA</t>
  </si>
  <si>
    <t>ANOVA Resampling (on error)</t>
  </si>
  <si>
    <t>Real Statistics functions and data analysis tool (Example 4)</t>
  </si>
  <si>
    <t>γ</t>
  </si>
  <si>
    <t>γ0</t>
  </si>
  <si>
    <t>width</t>
  </si>
  <si>
    <t>Cronbach's Alpha - hypothesis testing</t>
  </si>
  <si>
    <t>γ1</t>
  </si>
  <si>
    <t>γ-crit</t>
  </si>
  <si>
    <t>W1</t>
  </si>
  <si>
    <t>Statistical Power - 2 tailed test</t>
  </si>
  <si>
    <t>Statistical Power - 1 tailed test</t>
  </si>
  <si>
    <t>Hypothesis testing and confidence interval (Example 5)</t>
  </si>
  <si>
    <t>Sample size to achieve confidence width (Example 6)</t>
  </si>
  <si>
    <t>Statistical power (Example 7)</t>
  </si>
  <si>
    <t>Cronbach's Alpha - Power</t>
  </si>
  <si>
    <t>Cronbach's Alpha - Sample Size</t>
  </si>
  <si>
    <t>Sample Size - 2 tailed test</t>
  </si>
  <si>
    <t>Sample Size - 1 tailed test</t>
  </si>
  <si>
    <t>Sample size (Example 8)</t>
  </si>
  <si>
    <t>Intraclass Correlation</t>
  </si>
  <si>
    <t>?</t>
  </si>
  <si>
    <t>Multiple Regression with Categorical Variables</t>
  </si>
  <si>
    <t>Party</t>
  </si>
  <si>
    <t>Rep</t>
  </si>
  <si>
    <t>Dem</t>
  </si>
  <si>
    <t>Ind</t>
  </si>
  <si>
    <t>Party 1</t>
  </si>
  <si>
    <t>Party 2</t>
  </si>
  <si>
    <t>Gender 1</t>
  </si>
  <si>
    <t>Vote</t>
  </si>
  <si>
    <t>Yes</t>
  </si>
  <si>
    <t>Coding categorical data (before)</t>
  </si>
  <si>
    <t>Coding categorical data (after)</t>
  </si>
  <si>
    <t>Categorical coding: before (Example 4)</t>
  </si>
  <si>
    <t>Categorical coding: after (Example 4)</t>
  </si>
  <si>
    <t>Coding categorical data (Example 4)</t>
  </si>
  <si>
    <r>
      <t>1-</t>
    </r>
    <r>
      <rPr>
        <sz val="11"/>
        <color theme="1"/>
        <rFont val="Calibri"/>
        <family val="2"/>
      </rPr>
      <t>κ</t>
    </r>
  </si>
  <si>
    <t>calculation of b</t>
  </si>
  <si>
    <t>calculation of a</t>
  </si>
  <si>
    <t>pe(w)</t>
  </si>
  <si>
    <t>pa(w)</t>
  </si>
  <si>
    <t>Weighted Kappa (s.e.)</t>
  </si>
  <si>
    <t>Weights (w)</t>
  </si>
  <si>
    <t>Weights (v)</t>
  </si>
  <si>
    <t>Table u</t>
  </si>
  <si>
    <t>Standard error and confidence interval (Example 2)</t>
  </si>
  <si>
    <t>Real Statistics data analysis tool (with weight code)</t>
  </si>
  <si>
    <t>pred y</t>
  </si>
  <si>
    <t>residual</t>
  </si>
  <si>
    <t>resid-sq</t>
  </si>
  <si>
    <t>Exp(bx)</t>
  </si>
  <si>
    <t>F1</t>
  </si>
  <si>
    <t>J12</t>
  </si>
  <si>
    <t>J11</t>
  </si>
  <si>
    <t>J22</t>
  </si>
  <si>
    <t>F2</t>
  </si>
  <si>
    <r>
      <t>(J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J)</t>
    </r>
    <r>
      <rPr>
        <vertAlign val="superscript"/>
        <sz val="11"/>
        <color theme="1"/>
        <rFont val="Calibri"/>
        <family val="2"/>
        <scheme val="minor"/>
      </rPr>
      <t>-1</t>
    </r>
  </si>
  <si>
    <t>pred-y</t>
  </si>
  <si>
    <t>Standard error and confidence interval (Figure 5)</t>
  </si>
  <si>
    <t>Real Statistics function and data analysis tool (Figure 7)</t>
  </si>
  <si>
    <t>Exponential Regression - linear regression (Example 1)</t>
  </si>
  <si>
    <t>Nonlinear regression via Solver, before (Example 1)</t>
  </si>
  <si>
    <t>Nonlinear regression via Solver, after (Example 1)</t>
  </si>
  <si>
    <t>Nonlinear regression via Newton's method (Example 1)</t>
  </si>
  <si>
    <t>Std Error</t>
  </si>
  <si>
    <t>Exponential Regression Analysis</t>
  </si>
  <si>
    <t>Data analysis tool (Example 1)</t>
  </si>
  <si>
    <t>using Real Statistics data analysis tool</t>
  </si>
  <si>
    <t>Reference Variable</t>
  </si>
  <si>
    <t>Significance Test</t>
  </si>
  <si>
    <t>Real Statistics capabilities</t>
  </si>
  <si>
    <t>Using Real Statistics data analysis tool for input with raw data</t>
  </si>
  <si>
    <t>Finding multinomial logistic regression coefficients using binary logistic regression</t>
  </si>
  <si>
    <t>Real Statistics function, 2-way</t>
  </si>
  <si>
    <t>Real Statistics IPFP2 function</t>
  </si>
  <si>
    <t>Real Statistics output (IPFP3)</t>
  </si>
  <si>
    <t>Real Statistics function, 3-way</t>
  </si>
  <si>
    <t>Data Summary</t>
  </si>
  <si>
    <t>Bartlett's test (Example 1)</t>
  </si>
  <si>
    <t>Log transform (Example 1)</t>
  </si>
  <si>
    <t>Fligner-Killeen Test</t>
  </si>
  <si>
    <t>Normalization</t>
  </si>
  <si>
    <t>size + 1</t>
  </si>
  <si>
    <t>WSS</t>
  </si>
  <si>
    <t>Fligner Killeen Test (Example 1)</t>
  </si>
  <si>
    <t>Power and Sample Size for ICC(1,1)</t>
  </si>
  <si>
    <t>rho0</t>
  </si>
  <si>
    <t>rho1</t>
  </si>
  <si>
    <t>ICC(1,1) Power and Sample Size</t>
  </si>
  <si>
    <t>FK-stat</t>
  </si>
  <si>
    <t>Tukey HSD Two Factor ANOVA</t>
  </si>
  <si>
    <t>Dunnett's Test</t>
  </si>
  <si>
    <t>DUNNETT'S TEST</t>
  </si>
  <si>
    <t>d-stat</t>
  </si>
  <si>
    <t>d-crit</t>
  </si>
  <si>
    <t>d-effect</t>
  </si>
  <si>
    <t>r-effect</t>
  </si>
  <si>
    <t>r effect</t>
  </si>
  <si>
    <t>SCHEFFE's CONTRAST</t>
  </si>
  <si>
    <t>SCHEFFE's TEST</t>
  </si>
  <si>
    <t>Nemenyi Test</t>
  </si>
  <si>
    <t>r^2/n</t>
  </si>
  <si>
    <t>R sum</t>
  </si>
  <si>
    <t>NEMENYI TEST</t>
  </si>
  <si>
    <t>df\k</t>
  </si>
  <si>
    <t>two-tailed comparisons</t>
  </si>
  <si>
    <t>k includes the control group</t>
  </si>
  <si>
    <t>Dunnett's Test Critical Values</t>
  </si>
  <si>
    <t>Dunnett's Table</t>
  </si>
  <si>
    <t>Dunn's Test</t>
  </si>
  <si>
    <t>H-ties</t>
  </si>
  <si>
    <t>DUNN's TEST</t>
  </si>
  <si>
    <t xml:space="preserve"> R avg</t>
  </si>
  <si>
    <t>D TEST</t>
  </si>
  <si>
    <t>Post hoc tests for two factor ANOVA</t>
  </si>
  <si>
    <t>Simple Effects: Rows</t>
  </si>
  <si>
    <t>Simple Effects: Columns</t>
  </si>
  <si>
    <t>CONTRAST: ROWS</t>
  </si>
  <si>
    <t>CONTRAST: COLUMNS</t>
  </si>
  <si>
    <t>CONTRAST: INTERACTIONS</t>
  </si>
  <si>
    <t>column</t>
  </si>
  <si>
    <t>Real Statistics data analysis tools</t>
  </si>
  <si>
    <t>Tukey HSD (Example 1)</t>
  </si>
  <si>
    <t>TUKEY HSD: MAIN EFFECT (Columns)</t>
  </si>
  <si>
    <t>TUKEY HSD: INTERACTION</t>
  </si>
  <si>
    <t>adj k</t>
  </si>
  <si>
    <t>TUKEY HSD: MAIN EFFECT (Rows)</t>
  </si>
  <si>
    <t>Two Factor ANOVA Simple Effects</t>
  </si>
  <si>
    <t>Two factor ANOVA simple effects</t>
  </si>
  <si>
    <t>Chart comparing means for interaction (Figure 9)</t>
  </si>
  <si>
    <t>Comparisons of means for interaction (Example 2)</t>
  </si>
  <si>
    <t>Comparisons of means for interaction (Example 3)</t>
  </si>
  <si>
    <t>Dunnett's Test after Kruskal-Wallis</t>
  </si>
  <si>
    <t>DUNNETT's KW</t>
  </si>
  <si>
    <t>Contrasts after Kruskal-Wallis</t>
  </si>
  <si>
    <t>CONTRAST KW</t>
  </si>
  <si>
    <t>R-mean</t>
  </si>
  <si>
    <t>CHI-SQ TEST</t>
  </si>
  <si>
    <t>chi-crit</t>
  </si>
  <si>
    <t>Kruskal-Wallis follow-up testing</t>
  </si>
  <si>
    <t>Nemenyi test (Example 1)</t>
  </si>
  <si>
    <t>Dunn's test (Example 2)</t>
  </si>
  <si>
    <t>Pairwise comparison tests (Example 3)</t>
  </si>
  <si>
    <t>Dunnett's test (Example 4)</t>
  </si>
  <si>
    <t>Contrast (Example 5)</t>
  </si>
  <si>
    <t>Assumptions for Two Factor ANOVA</t>
  </si>
  <si>
    <t>Direct</t>
  </si>
  <si>
    <t>OEM</t>
  </si>
  <si>
    <t>Reseller</t>
  </si>
  <si>
    <t>Distribution Channel</t>
  </si>
  <si>
    <t>One-way ANOVA Format</t>
  </si>
  <si>
    <t>High-Direct</t>
  </si>
  <si>
    <t>High-OEM</t>
  </si>
  <si>
    <t>High-Reseller</t>
  </si>
  <si>
    <t>Low-Direct</t>
  </si>
  <si>
    <t>Low-OEM</t>
  </si>
  <si>
    <t>Low-Reseller</t>
  </si>
  <si>
    <t>Reformatting Data in Stacked Format</t>
  </si>
  <si>
    <t>Center</t>
  </si>
  <si>
    <t>Assumptions (Excel format)</t>
  </si>
  <si>
    <t>Assumptions (stacked format)</t>
  </si>
  <si>
    <t>Real Statistics Using Excel - Examples Workbook Part 2</t>
  </si>
  <si>
    <t>IPFP</t>
  </si>
  <si>
    <t>Survival Analysis</t>
  </si>
  <si>
    <t>Kaplan-Meier</t>
  </si>
  <si>
    <t>Yrs in Trial</t>
  </si>
  <si>
    <t>1-d/n</t>
  </si>
  <si>
    <t>S(t)</t>
  </si>
  <si>
    <t>Log-Rank Test</t>
  </si>
  <si>
    <t>Trial A</t>
  </si>
  <si>
    <t>Trial B</t>
  </si>
  <si>
    <t>Combined</t>
  </si>
  <si>
    <t>failure rate</t>
  </si>
  <si>
    <t>hazard ratio</t>
  </si>
  <si>
    <t>=(AH20/AJ20)/(AK20/AM20)</t>
  </si>
  <si>
    <t>ln h</t>
  </si>
  <si>
    <t>s.e ln h</t>
  </si>
  <si>
    <t>ln h lower</t>
  </si>
  <si>
    <t>ln h upper</t>
  </si>
  <si>
    <t>h lower</t>
  </si>
  <si>
    <t>h upper</t>
  </si>
  <si>
    <t>Survival curve</t>
  </si>
  <si>
    <t>Kaplan-Meier (Example 1)</t>
  </si>
  <si>
    <t>e</t>
  </si>
  <si>
    <t>Log-Rank (Alternative)</t>
  </si>
  <si>
    <t>Log-Rank</t>
  </si>
  <si>
    <t>Wilcoxon</t>
  </si>
  <si>
    <t>Tarone Ware</t>
  </si>
  <si>
    <t>Tarone-Ware</t>
  </si>
  <si>
    <t>Cox Regression (Solver initial state)</t>
  </si>
  <si>
    <t>mo</t>
  </si>
  <si>
    <t>died</t>
  </si>
  <si>
    <t>size</t>
  </si>
  <si>
    <t>BX</t>
  </si>
  <si>
    <t>EXP(BX)</t>
  </si>
  <si>
    <t>G1</t>
  </si>
  <si>
    <t>G2</t>
  </si>
  <si>
    <t>G11</t>
  </si>
  <si>
    <t>G12</t>
  </si>
  <si>
    <t>G22</t>
  </si>
  <si>
    <t>LL11</t>
  </si>
  <si>
    <t>I</t>
  </si>
  <si>
    <t>Cov</t>
  </si>
  <si>
    <t>U</t>
  </si>
  <si>
    <t>low</t>
  </si>
  <si>
    <t>high</t>
  </si>
  <si>
    <t>wald</t>
  </si>
  <si>
    <t>Cox Regression (Solver)</t>
  </si>
  <si>
    <t>U1</t>
  </si>
  <si>
    <t>U2</t>
  </si>
  <si>
    <t>V11</t>
  </si>
  <si>
    <t>V12</t>
  </si>
  <si>
    <t>V22</t>
  </si>
  <si>
    <r>
      <t>Cov = I</t>
    </r>
    <r>
      <rPr>
        <vertAlign val="superscript"/>
        <sz val="11"/>
        <color theme="1"/>
        <rFont val="Calibri"/>
        <family val="2"/>
        <scheme val="minor"/>
      </rPr>
      <t>-1</t>
    </r>
  </si>
  <si>
    <t>Goodness of fit of Cox Regression Model</t>
  </si>
  <si>
    <t>Cox Regression (Age only)</t>
  </si>
  <si>
    <t>Cox Regression (Size only)</t>
  </si>
  <si>
    <t>Age only Model</t>
  </si>
  <si>
    <t>Size only Model</t>
  </si>
  <si>
    <t>Age-only Model</t>
  </si>
  <si>
    <t>Size-only Model</t>
  </si>
  <si>
    <t>Cox Regression</t>
  </si>
  <si>
    <t>Yrs</t>
  </si>
  <si>
    <t>risk</t>
  </si>
  <si>
    <t>Hazard Ratio</t>
  </si>
  <si>
    <t>Profile 1</t>
  </si>
  <si>
    <t>Profile 2</t>
  </si>
  <si>
    <t>Size</t>
  </si>
  <si>
    <t>Hazard</t>
  </si>
  <si>
    <t>Ratio</t>
  </si>
  <si>
    <t>Baseline survivor function</t>
  </si>
  <si>
    <t>Kaplan-Meier Method</t>
  </si>
  <si>
    <t>Group A</t>
  </si>
  <si>
    <t>Group B</t>
  </si>
  <si>
    <t>Kaplan-Meier (two samples)</t>
  </si>
  <si>
    <t>Hypothesis Testing</t>
  </si>
  <si>
    <t>Real Statistics data analysis tool for one sample</t>
  </si>
  <si>
    <t>Real Statistics data analysis tool for two samples</t>
  </si>
  <si>
    <t>Real Statistics data analysis tool for two samples (stacked format)</t>
  </si>
  <si>
    <t>Alternatives to Log-Rank Test</t>
  </si>
  <si>
    <t>Standard error and confidence intervals (Example 2)</t>
  </si>
  <si>
    <t>Finding regression coefficients using Solver (Example 1)</t>
  </si>
  <si>
    <t>Finding standard errors of the regression coefficients (Example 2)</t>
  </si>
  <si>
    <t>Finding regression coefficients baseline model</t>
  </si>
  <si>
    <t>Reduced Model 1</t>
  </si>
  <si>
    <t>Reduced Model 2</t>
  </si>
  <si>
    <t>Goodness of Fit vs. reduced models</t>
  </si>
  <si>
    <t>Goodness of Fit vs, baseline model</t>
  </si>
  <si>
    <t>Hazard ratio (Example 3)</t>
  </si>
  <si>
    <t>Hazard ratio (Example 4)</t>
  </si>
  <si>
    <t>Comparing two models: Log-Rank Test (Example 3)</t>
  </si>
  <si>
    <t>Overall Fit</t>
  </si>
  <si>
    <t>Parameters</t>
  </si>
  <si>
    <t>Iter</t>
  </si>
  <si>
    <t>converge</t>
  </si>
  <si>
    <t>Cov Matrix</t>
  </si>
  <si>
    <r>
      <rPr>
        <b/>
        <sz val="11"/>
        <color theme="1"/>
        <rFont val="Calibri"/>
        <family val="2"/>
        <scheme val="minor"/>
      </rPr>
      <t>Cox Regression</t>
    </r>
    <r>
      <rPr>
        <sz val="11"/>
        <color theme="1"/>
        <rFont val="Calibri"/>
        <family val="2"/>
        <scheme val="minor"/>
      </rPr>
      <t xml:space="preserve"> (multiple deaths)</t>
    </r>
  </si>
  <si>
    <t>sex</t>
  </si>
  <si>
    <t>blood</t>
  </si>
  <si>
    <t>Cox Regression (Real Statistics)</t>
  </si>
  <si>
    <t>Real Statistics data analysis tool (multiple covariates)</t>
  </si>
  <si>
    <t>Real Statistics data analysis tool (comparing two treatments)</t>
  </si>
  <si>
    <t>Testing assumptions</t>
  </si>
  <si>
    <t>Cook's Distance (Real Statistics)</t>
  </si>
  <si>
    <t>Outliers and influencers: Cook's distance via Real Statistics data analysis tool</t>
  </si>
  <si>
    <t>Testing significance of extra variables using R Square (Figure 2)</t>
  </si>
  <si>
    <t>Testing significance of extra variables (Example 1)</t>
  </si>
  <si>
    <t>Linear Regression without Intercept</t>
  </si>
  <si>
    <t>Weighted Linear Regression (Example 1)</t>
  </si>
  <si>
    <t>Linear Regression without Intercept (Example 1)</t>
  </si>
  <si>
    <t>Scheirer-Ray-Hare test</t>
  </si>
  <si>
    <t>Scheirer-Ray-Hare test (Example 1)</t>
  </si>
  <si>
    <t>Scheirer-Ray-Hare Test</t>
  </si>
  <si>
    <t>Ranks</t>
  </si>
  <si>
    <t>Scheirer Ray Hare Test</t>
  </si>
  <si>
    <t>Gage R&amp;R</t>
  </si>
  <si>
    <t>Gage R&amp;R (Example 1)</t>
  </si>
  <si>
    <t>Part</t>
  </si>
  <si>
    <t>Op</t>
  </si>
  <si>
    <t>Meas</t>
  </si>
  <si>
    <t>Operator</t>
  </si>
  <si>
    <t>Operator*Part</t>
  </si>
  <si>
    <t>Repeatability</t>
  </si>
  <si>
    <t>VARIATION</t>
  </si>
  <si>
    <t>Tot Gage R&amp;R</t>
  </si>
  <si>
    <t>- Repeatability</t>
  </si>
  <si>
    <t>- Reproducibility</t>
  </si>
  <si>
    <t>-- Operator</t>
  </si>
  <si>
    <t>-- Op*Part</t>
  </si>
  <si>
    <t>Part-to-Part</t>
  </si>
  <si>
    <t>Tot Variation</t>
  </si>
  <si>
    <t>No. of categories</t>
  </si>
  <si>
    <t>P1</t>
  </si>
  <si>
    <t>P2</t>
  </si>
  <si>
    <t>P3</t>
  </si>
  <si>
    <t>P4</t>
  </si>
  <si>
    <t>P5</t>
  </si>
  <si>
    <t>Op1</t>
  </si>
  <si>
    <t>Op2</t>
  </si>
  <si>
    <t>Op3</t>
  </si>
  <si>
    <t>Gage R&amp;R (Example 2)</t>
  </si>
  <si>
    <t>Regression w/o Intercept</t>
  </si>
  <si>
    <t>BSC</t>
  </si>
  <si>
    <t>vif</t>
  </si>
  <si>
    <t>Regression Analysis (with intercept)</t>
  </si>
  <si>
    <t>Weighted Linear Regression</t>
  </si>
  <si>
    <t>band</t>
  </si>
  <si>
    <t>Company size ($ million)</t>
  </si>
  <si>
    <t>Ln(mean)</t>
  </si>
  <si>
    <t>Wages ($ thousands)</t>
  </si>
  <si>
    <t>Weight</t>
  </si>
  <si>
    <t>1/s</t>
  </si>
  <si>
    <t>Huber-White Robust Standard Errors</t>
  </si>
  <si>
    <t>OLS SE</t>
  </si>
  <si>
    <t>LINEST</t>
  </si>
  <si>
    <t>SBC</t>
  </si>
  <si>
    <t>Matrix Calculations</t>
  </si>
  <si>
    <t>TREND</t>
  </si>
  <si>
    <t>Price 1</t>
  </si>
  <si>
    <t>Price 0</t>
  </si>
  <si>
    <t>Matrix solution (Example 2)</t>
  </si>
  <si>
    <t>Robust standard errors and heteroscedasticity</t>
  </si>
  <si>
    <t>Weighted linear regression</t>
  </si>
  <si>
    <t>Huber-White robust standard errors (Example 1)</t>
  </si>
  <si>
    <t>y/s</t>
  </si>
  <si>
    <t>x/s</t>
  </si>
  <si>
    <t>Wage1</t>
  </si>
  <si>
    <t>Wage2</t>
  </si>
  <si>
    <t>AIC/SBC for the two models</t>
  </si>
  <si>
    <t>AIC/SBC using the Real Statistics functions</t>
  </si>
  <si>
    <t>Augmented versions</t>
  </si>
  <si>
    <t>Repeated Measures ANOVA using Regression</t>
  </si>
  <si>
    <t>First-order autocorrelation</t>
  </si>
  <si>
    <t>Res lag 1</t>
  </si>
  <si>
    <t>Res lag 0</t>
  </si>
  <si>
    <t>Runs Test</t>
  </si>
  <si>
    <t>Correlation matrix</t>
  </si>
  <si>
    <t>Inverse of correlation matrix</t>
  </si>
  <si>
    <t>Sqrt Diag</t>
  </si>
  <si>
    <t>Alternative</t>
  </si>
  <si>
    <t>Partial correlation matrix</t>
  </si>
  <si>
    <t>Partial correlation Crime x Doctors</t>
  </si>
  <si>
    <t>Other ways of calculating R-square</t>
  </si>
  <si>
    <t>Alternative formula</t>
  </si>
  <si>
    <t>=RSquare(C4:E18,B4:B18)</t>
  </si>
  <si>
    <t>=RSquare(B4:E18,1)</t>
  </si>
  <si>
    <t>=1-1/H11</t>
  </si>
  <si>
    <t>Real Statistics formula</t>
  </si>
  <si>
    <t>Bland-Altman</t>
  </si>
  <si>
    <t>x min</t>
  </si>
  <si>
    <t>x max</t>
  </si>
  <si>
    <t>mean d</t>
  </si>
  <si>
    <r>
      <t>s</t>
    </r>
    <r>
      <rPr>
        <vertAlign val="subscript"/>
        <sz val="11"/>
        <rFont val="Calibri"/>
        <family val="2"/>
        <scheme val="minor"/>
      </rPr>
      <t>d</t>
    </r>
  </si>
  <si>
    <t>=Q17-Q12*NORM.S.INV(0.975)</t>
  </si>
  <si>
    <t>=Q17+Q12*NORM.S.INV(0.975)</t>
  </si>
  <si>
    <t>=STDEV.S(F4:F23)</t>
  </si>
  <si>
    <t>QQ Plot</t>
  </si>
  <si>
    <t>Grand Min</t>
  </si>
  <si>
    <t>Bland-Altman (Example 1)</t>
  </si>
  <si>
    <t>Copyright © 2013 - 2016 Charles Zaiontz</t>
  </si>
  <si>
    <t>Dunnett's test (Example 5)</t>
  </si>
  <si>
    <t>Scheffe test (Example 6)</t>
  </si>
  <si>
    <t>Charles Zaiontz, 31 Mar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</si>
</sst>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0.00000"/>
    <numFmt numFmtId="167" formatCode="#,##0.0"/>
    <numFmt numFmtId="168" formatCode="0.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sz val="10"/>
      <name val="Courier New"/>
      <family val="3"/>
    </font>
    <font>
      <sz val="10"/>
      <name val="Arial"/>
      <family val="2"/>
    </font>
    <font>
      <sz val="10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</font>
    <font>
      <i/>
      <sz val="10"/>
      <color theme="1"/>
      <name val="Calibri"/>
      <family val="2"/>
      <scheme val="minor"/>
    </font>
    <font>
      <b/>
      <sz val="12"/>
      <color theme="1"/>
      <name val="Tahoma"/>
      <family val="2"/>
    </font>
    <font>
      <sz val="10"/>
      <color theme="1"/>
      <name val="Tahoma"/>
      <family val="2"/>
    </font>
    <font>
      <sz val="10"/>
      <color theme="1"/>
      <name val="Calibri"/>
      <family val="2"/>
    </font>
    <font>
      <sz val="11"/>
      <color theme="1"/>
      <name val="Cambria"/>
      <family val="1"/>
      <scheme val="major"/>
    </font>
    <font>
      <b/>
      <u/>
      <sz val="11"/>
      <color theme="10"/>
      <name val="Calibri"/>
      <family val="2"/>
    </font>
    <font>
      <b/>
      <sz val="11"/>
      <name val="Calibri"/>
      <family val="2"/>
      <scheme val="minor"/>
    </font>
    <font>
      <sz val="10"/>
      <color rgb="FF000000"/>
      <name val="Arial Unicode MS"/>
      <family val="2"/>
    </font>
    <font>
      <i/>
      <sz val="11"/>
      <name val="Calibri"/>
      <family val="2"/>
      <scheme val="minor"/>
    </font>
    <font>
      <vertAlign val="subscript"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30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18"/>
      </bottom>
      <diagonal/>
    </border>
    <border>
      <left/>
      <right/>
      <top style="medium">
        <color indexed="1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/>
      <right/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4" fillId="0" borderId="0"/>
    <xf numFmtId="9" fontId="1" fillId="0" borderId="0" applyFont="0" applyFill="0" applyBorder="0" applyAlignment="0" applyProtection="0"/>
  </cellStyleXfs>
  <cellXfs count="1337">
    <xf numFmtId="0" fontId="0" fillId="0" borderId="0" xfId="0"/>
    <xf numFmtId="0" fontId="2" fillId="0" borderId="0" xfId="0" applyFont="1"/>
    <xf numFmtId="0" fontId="3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/>
    <xf numFmtId="0" fontId="0" fillId="0" borderId="0" xfId="0" applyAlignment="1">
      <alignment horizontal="right"/>
    </xf>
    <xf numFmtId="2" fontId="0" fillId="0" borderId="5" xfId="0" applyNumberFormat="1" applyBorder="1"/>
    <xf numFmtId="2" fontId="0" fillId="0" borderId="0" xfId="0" applyNumberFormat="1"/>
    <xf numFmtId="0" fontId="0" fillId="0" borderId="0" xfId="0" quotePrefix="1"/>
    <xf numFmtId="0" fontId="0" fillId="0" borderId="0" xfId="0" applyFont="1"/>
    <xf numFmtId="0" fontId="5" fillId="0" borderId="12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3" xfId="0" applyFill="1" applyBorder="1" applyAlignment="1"/>
    <xf numFmtId="0" fontId="5" fillId="0" borderId="12" xfId="0" applyFont="1" applyFill="1" applyBorder="1" applyAlignment="1">
      <alignment horizontal="centerContinuous"/>
    </xf>
    <xf numFmtId="0" fontId="0" fillId="0" borderId="13" xfId="0" applyBorder="1"/>
    <xf numFmtId="0" fontId="0" fillId="0" borderId="10" xfId="0" applyBorder="1"/>
    <xf numFmtId="0" fontId="0" fillId="0" borderId="11" xfId="0" applyBorder="1"/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NumberFormat="1"/>
    <xf numFmtId="0" fontId="0" fillId="0" borderId="9" xfId="0" applyBorder="1"/>
    <xf numFmtId="164" fontId="0" fillId="0" borderId="0" xfId="0" applyNumberFormat="1"/>
    <xf numFmtId="0" fontId="4" fillId="0" borderId="0" xfId="0" applyFont="1"/>
    <xf numFmtId="0" fontId="0" fillId="0" borderId="0" xfId="0" applyFill="1" applyBorder="1"/>
    <xf numFmtId="0" fontId="5" fillId="0" borderId="15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0" fontId="10" fillId="0" borderId="0" xfId="0" applyFont="1" applyBorder="1"/>
    <xf numFmtId="2" fontId="0" fillId="0" borderId="4" xfId="0" applyNumberFormat="1" applyBorder="1"/>
    <xf numFmtId="2" fontId="0" fillId="0" borderId="0" xfId="0" applyNumberFormat="1" applyBorder="1"/>
    <xf numFmtId="165" fontId="0" fillId="0" borderId="0" xfId="0" applyNumberFormat="1"/>
    <xf numFmtId="165" fontId="0" fillId="0" borderId="0" xfId="0" applyNumberFormat="1" applyBorder="1"/>
    <xf numFmtId="0" fontId="0" fillId="0" borderId="0" xfId="0" applyFont="1" applyAlignment="1">
      <alignment horizontal="center" vertical="center" wrapText="1"/>
    </xf>
    <xf numFmtId="0" fontId="0" fillId="0" borderId="4" xfId="0" applyFont="1" applyBorder="1"/>
    <xf numFmtId="0" fontId="0" fillId="0" borderId="2" xfId="0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8" fillId="0" borderId="0" xfId="0" applyFon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5" fillId="0" borderId="0" xfId="0" applyFont="1"/>
    <xf numFmtId="0" fontId="15" fillId="0" borderId="14" xfId="0" applyFont="1" applyBorder="1"/>
    <xf numFmtId="0" fontId="15" fillId="0" borderId="14" xfId="0" applyFont="1" applyBorder="1" applyAlignment="1">
      <alignment horizontal="right"/>
    </xf>
    <xf numFmtId="0" fontId="15" fillId="0" borderId="0" xfId="2" applyFont="1" applyBorder="1" applyAlignment="1">
      <alignment horizontal="right"/>
    </xf>
    <xf numFmtId="164" fontId="15" fillId="0" borderId="0" xfId="2" quotePrefix="1" applyNumberFormat="1" applyFont="1" applyBorder="1" applyAlignment="1">
      <alignment horizontal="right"/>
    </xf>
    <xf numFmtId="164" fontId="15" fillId="0" borderId="0" xfId="0" applyNumberFormat="1" applyFont="1"/>
    <xf numFmtId="3" fontId="15" fillId="0" borderId="0" xfId="2" applyNumberFormat="1" applyFont="1" applyFill="1" applyBorder="1" applyAlignment="1">
      <alignment horizontal="right" wrapText="1"/>
    </xf>
    <xf numFmtId="164" fontId="15" fillId="0" borderId="0" xfId="2" applyNumberFormat="1" applyFont="1" applyBorder="1" applyAlignment="1"/>
    <xf numFmtId="2" fontId="15" fillId="0" borderId="0" xfId="2" applyNumberFormat="1" applyFont="1" applyAlignment="1"/>
    <xf numFmtId="164" fontId="15" fillId="0" borderId="0" xfId="2" applyNumberFormat="1" applyFont="1" applyBorder="1" applyAlignment="1">
      <alignment horizontal="right" wrapText="1"/>
    </xf>
    <xf numFmtId="164" fontId="15" fillId="0" borderId="0" xfId="3" applyNumberFormat="1" applyFont="1" applyAlignment="1"/>
    <xf numFmtId="3" fontId="15" fillId="0" borderId="0" xfId="2" applyNumberFormat="1" applyFont="1"/>
    <xf numFmtId="167" fontId="15" fillId="0" borderId="0" xfId="2" applyNumberFormat="1" applyFont="1" applyBorder="1" applyAlignment="1">
      <alignment horizontal="right"/>
    </xf>
    <xf numFmtId="164" fontId="15" fillId="0" borderId="0" xfId="2" applyNumberFormat="1" applyFont="1" applyBorder="1" applyAlignment="1">
      <alignment horizontal="right"/>
    </xf>
    <xf numFmtId="0" fontId="15" fillId="0" borderId="19" xfId="0" applyFont="1" applyBorder="1"/>
    <xf numFmtId="0" fontId="15" fillId="0" borderId="19" xfId="2" applyFont="1" applyBorder="1" applyAlignment="1">
      <alignment horizontal="right"/>
    </xf>
    <xf numFmtId="164" fontId="15" fillId="0" borderId="19" xfId="2" quotePrefix="1" applyNumberFormat="1" applyFont="1" applyBorder="1" applyAlignment="1">
      <alignment horizontal="right"/>
    </xf>
    <xf numFmtId="164" fontId="15" fillId="0" borderId="19" xfId="0" applyNumberFormat="1" applyFont="1" applyBorder="1"/>
    <xf numFmtId="3" fontId="15" fillId="0" borderId="19" xfId="2" applyNumberFormat="1" applyFont="1" applyFill="1" applyBorder="1" applyAlignment="1">
      <alignment horizontal="right" wrapText="1"/>
    </xf>
    <xf numFmtId="164" fontId="15" fillId="0" borderId="19" xfId="2" applyNumberFormat="1" applyFont="1" applyBorder="1" applyAlignment="1"/>
    <xf numFmtId="2" fontId="15" fillId="0" borderId="19" xfId="2" applyNumberFormat="1" applyFont="1" applyBorder="1" applyAlignment="1"/>
    <xf numFmtId="164" fontId="15" fillId="0" borderId="19" xfId="2" applyNumberFormat="1" applyFont="1" applyBorder="1" applyAlignment="1">
      <alignment horizontal="right" wrapText="1"/>
    </xf>
    <xf numFmtId="164" fontId="15" fillId="0" borderId="19" xfId="3" applyNumberFormat="1" applyFont="1" applyBorder="1" applyAlignment="1"/>
    <xf numFmtId="3" fontId="15" fillId="0" borderId="19" xfId="2" applyNumberFormat="1" applyFont="1" applyBorder="1"/>
    <xf numFmtId="0" fontId="4" fillId="0" borderId="0" xfId="0" applyFont="1" applyAlignment="1">
      <alignment horizontal="center"/>
    </xf>
    <xf numFmtId="0" fontId="0" fillId="0" borderId="20" xfId="0" applyBorder="1"/>
    <xf numFmtId="0" fontId="0" fillId="0" borderId="19" xfId="0" applyBorder="1"/>
    <xf numFmtId="0" fontId="0" fillId="0" borderId="21" xfId="0" applyBorder="1"/>
    <xf numFmtId="0" fontId="0" fillId="0" borderId="5" xfId="0" applyFont="1" applyBorder="1"/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Border="1" applyAlignment="1">
      <alignment horizontal="left"/>
    </xf>
    <xf numFmtId="0" fontId="0" fillId="0" borderId="22" xfId="0" applyBorder="1"/>
    <xf numFmtId="0" fontId="0" fillId="0" borderId="0" xfId="0" applyAlignment="1">
      <alignment horizontal="center"/>
    </xf>
    <xf numFmtId="164" fontId="0" fillId="0" borderId="0" xfId="0" applyNumberFormat="1" applyBorder="1"/>
    <xf numFmtId="0" fontId="3" fillId="0" borderId="0" xfId="1" applyAlignment="1" applyProtection="1">
      <alignment horizontal="justify" vertical="center"/>
    </xf>
    <xf numFmtId="0" fontId="0" fillId="0" borderId="11" xfId="0" applyFill="1" applyBorder="1"/>
    <xf numFmtId="0" fontId="0" fillId="0" borderId="0" xfId="0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8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0" fillId="0" borderId="29" xfId="0" applyFill="1" applyBorder="1" applyAlignment="1">
      <alignment horizontal="center"/>
    </xf>
    <xf numFmtId="0" fontId="0" fillId="0" borderId="0" xfId="0" quotePrefix="1" applyAlignment="1"/>
    <xf numFmtId="0" fontId="0" fillId="0" borderId="32" xfId="0" applyBorder="1"/>
    <xf numFmtId="0" fontId="0" fillId="0" borderId="22" xfId="0" applyBorder="1" applyAlignment="1">
      <alignment horizontal="right"/>
    </xf>
    <xf numFmtId="0" fontId="0" fillId="0" borderId="0" xfId="0" quotePrefix="1" applyAlignment="1">
      <alignment horizontal="left"/>
    </xf>
    <xf numFmtId="0" fontId="0" fillId="0" borderId="0" xfId="0" applyFill="1" applyBorder="1" applyAlignment="1">
      <alignment horizontal="right" vertical="center"/>
    </xf>
    <xf numFmtId="0" fontId="0" fillId="0" borderId="0" xfId="0" quotePrefix="1" applyFill="1" applyBorder="1"/>
    <xf numFmtId="0" fontId="0" fillId="0" borderId="0" xfId="0" applyBorder="1" applyAlignment="1">
      <alignment horizontal="center" vertical="center"/>
    </xf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2" fontId="0" fillId="0" borderId="10" xfId="0" applyNumberFormat="1" applyBorder="1"/>
    <xf numFmtId="0" fontId="0" fillId="0" borderId="32" xfId="0" applyFont="1" applyBorder="1"/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2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25" xfId="0" applyBorder="1" applyAlignment="1">
      <alignment horizontal="center"/>
    </xf>
    <xf numFmtId="0" fontId="0" fillId="0" borderId="40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2" fontId="0" fillId="0" borderId="41" xfId="0" applyNumberFormat="1" applyBorder="1"/>
    <xf numFmtId="2" fontId="0" fillId="0" borderId="37" xfId="0" applyNumberFormat="1" applyBorder="1"/>
    <xf numFmtId="2" fontId="0" fillId="0" borderId="38" xfId="0" applyNumberFormat="1" applyBorder="1" applyAlignment="1">
      <alignment horizontal="right"/>
    </xf>
    <xf numFmtId="2" fontId="0" fillId="0" borderId="5" xfId="0" applyNumberFormat="1" applyBorder="1" applyAlignment="1">
      <alignment horizontal="right"/>
    </xf>
    <xf numFmtId="2" fontId="0" fillId="0" borderId="20" xfId="0" applyNumberFormat="1" applyBorder="1"/>
    <xf numFmtId="2" fontId="0" fillId="0" borderId="19" xfId="0" applyNumberFormat="1" applyBorder="1"/>
    <xf numFmtId="2" fontId="0" fillId="0" borderId="21" xfId="0" applyNumberFormat="1" applyBorder="1"/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164" fontId="0" fillId="0" borderId="35" xfId="0" applyNumberFormat="1" applyBorder="1"/>
    <xf numFmtId="0" fontId="15" fillId="0" borderId="35" xfId="2" applyFont="1" applyBorder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3" borderId="0" xfId="0" applyFont="1" applyFill="1"/>
    <xf numFmtId="0" fontId="5" fillId="0" borderId="43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5" xfId="0" applyFill="1" applyBorder="1" applyAlignment="1"/>
    <xf numFmtId="0" fontId="0" fillId="0" borderId="45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165" fontId="0" fillId="0" borderId="32" xfId="0" applyNumberFormat="1" applyBorder="1"/>
    <xf numFmtId="165" fontId="0" fillId="0" borderId="10" xfId="0" applyNumberFormat="1" applyBorder="1"/>
    <xf numFmtId="165" fontId="0" fillId="0" borderId="22" xfId="0" applyNumberFormat="1" applyBorder="1"/>
    <xf numFmtId="166" fontId="0" fillId="0" borderId="32" xfId="0" applyNumberFormat="1" applyBorder="1"/>
    <xf numFmtId="166" fontId="0" fillId="0" borderId="10" xfId="0" applyNumberFormat="1" applyBorder="1"/>
    <xf numFmtId="166" fontId="0" fillId="0" borderId="22" xfId="0" applyNumberFormat="1" applyBorder="1"/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0" xfId="0" applyBorder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35" xfId="0" applyNumberFormat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5" fillId="0" borderId="0" xfId="0" applyFont="1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right" wrapText="1"/>
    </xf>
    <xf numFmtId="0" fontId="0" fillId="0" borderId="47" xfId="0" applyBorder="1" applyAlignment="1">
      <alignment horizontal="center" wrapText="1"/>
    </xf>
    <xf numFmtId="0" fontId="0" fillId="0" borderId="48" xfId="0" applyBorder="1" applyAlignment="1">
      <alignment horizontal="center" wrapText="1"/>
    </xf>
    <xf numFmtId="0" fontId="0" fillId="0" borderId="49" xfId="0" applyBorder="1" applyAlignment="1">
      <alignment horizontal="center" wrapText="1"/>
    </xf>
    <xf numFmtId="0" fontId="0" fillId="0" borderId="45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6" xfId="0" applyBorder="1" applyAlignment="1">
      <alignment horizontal="center" wrapText="1"/>
    </xf>
    <xf numFmtId="0" fontId="0" fillId="0" borderId="50" xfId="0" applyBorder="1"/>
    <xf numFmtId="0" fontId="0" fillId="0" borderId="13" xfId="0" applyFill="1" applyBorder="1" applyAlignment="1">
      <alignment horizontal="right"/>
    </xf>
    <xf numFmtId="0" fontId="8" fillId="0" borderId="0" xfId="0" applyFont="1" applyAlignment="1">
      <alignment horizontal="center"/>
    </xf>
    <xf numFmtId="0" fontId="0" fillId="0" borderId="35" xfId="0" applyBorder="1" applyAlignment="1">
      <alignment horizontal="right"/>
    </xf>
    <xf numFmtId="0" fontId="5" fillId="0" borderId="0" xfId="0" applyFont="1" applyBorder="1" applyAlignment="1">
      <alignment horizontal="center"/>
    </xf>
    <xf numFmtId="0" fontId="0" fillId="0" borderId="48" xfId="0" applyBorder="1" applyAlignment="1">
      <alignment horizontal="right"/>
    </xf>
    <xf numFmtId="0" fontId="0" fillId="0" borderId="51" xfId="0" applyBorder="1"/>
    <xf numFmtId="0" fontId="5" fillId="0" borderId="12" xfId="0" applyFont="1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0" xfId="0" applyFont="1" applyBorder="1" applyAlignment="1">
      <alignment horizontal="center"/>
    </xf>
    <xf numFmtId="0" fontId="0" fillId="0" borderId="53" xfId="0" applyBorder="1"/>
    <xf numFmtId="0" fontId="0" fillId="0" borderId="35" xfId="0" applyFill="1" applyBorder="1" applyAlignment="1">
      <alignment horizontal="center"/>
    </xf>
    <xf numFmtId="0" fontId="0" fillId="0" borderId="52" xfId="0" applyBorder="1"/>
    <xf numFmtId="0" fontId="0" fillId="0" borderId="52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5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0" xfId="0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57" xfId="0" applyBorder="1" applyAlignment="1">
      <alignment horizontal="left"/>
    </xf>
    <xf numFmtId="0" fontId="0" fillId="4" borderId="62" xfId="0" applyFill="1" applyBorder="1" applyAlignment="1">
      <alignment horizontal="right"/>
    </xf>
    <xf numFmtId="0" fontId="0" fillId="4" borderId="5" xfId="0" applyFill="1" applyBorder="1" applyAlignment="1">
      <alignment horizontal="right"/>
    </xf>
    <xf numFmtId="0" fontId="0" fillId="4" borderId="36" xfId="0" applyFill="1" applyBorder="1" applyAlignment="1">
      <alignment horizontal="right"/>
    </xf>
    <xf numFmtId="0" fontId="0" fillId="4" borderId="59" xfId="0" applyFill="1" applyBorder="1"/>
    <xf numFmtId="0" fontId="5" fillId="0" borderId="12" xfId="0" applyFont="1" applyBorder="1" applyAlignment="1">
      <alignment horizontal="center"/>
    </xf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5" fillId="0" borderId="0" xfId="0" applyFont="1" applyAlignment="1">
      <alignment horizontal="center"/>
    </xf>
    <xf numFmtId="0" fontId="0" fillId="0" borderId="57" xfId="0" applyBorder="1" applyAlignment="1">
      <alignment horizontal="right"/>
    </xf>
    <xf numFmtId="0" fontId="0" fillId="0" borderId="59" xfId="0" applyBorder="1" applyAlignment="1">
      <alignment horizontal="right"/>
    </xf>
    <xf numFmtId="0" fontId="4" fillId="0" borderId="0" xfId="0" applyFont="1" applyAlignment="1">
      <alignment horizontal="left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58" xfId="0" applyBorder="1" applyAlignment="1">
      <alignment horizontal="right"/>
    </xf>
    <xf numFmtId="1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35" xfId="0" applyNumberFormat="1" applyFill="1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5" xfId="0" applyFill="1" applyBorder="1"/>
    <xf numFmtId="0" fontId="0" fillId="0" borderId="0" xfId="0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67" xfId="0" applyBorder="1"/>
    <xf numFmtId="0" fontId="0" fillId="0" borderId="67" xfId="0" applyBorder="1" applyAlignment="1">
      <alignment horizontal="right"/>
    </xf>
    <xf numFmtId="0" fontId="0" fillId="0" borderId="74" xfId="0" applyBorder="1"/>
    <xf numFmtId="0" fontId="0" fillId="0" borderId="75" xfId="0" applyBorder="1"/>
    <xf numFmtId="0" fontId="0" fillId="0" borderId="63" xfId="0" applyBorder="1"/>
    <xf numFmtId="0" fontId="20" fillId="0" borderId="76" xfId="0" applyFont="1" applyFill="1" applyBorder="1" applyAlignment="1">
      <alignment horizontal="right"/>
    </xf>
    <xf numFmtId="0" fontId="0" fillId="0" borderId="72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71" xfId="0" applyBorder="1" applyAlignment="1">
      <alignment horizontal="right"/>
    </xf>
    <xf numFmtId="0" fontId="0" fillId="0" borderId="77" xfId="0" applyFill="1" applyBorder="1" applyAlignment="1"/>
    <xf numFmtId="0" fontId="0" fillId="0" borderId="72" xfId="0" applyBorder="1"/>
    <xf numFmtId="0" fontId="0" fillId="0" borderId="75" xfId="0" applyFill="1" applyBorder="1"/>
    <xf numFmtId="0" fontId="0" fillId="0" borderId="73" xfId="0" applyFill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78" xfId="0" applyBorder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63" xfId="0" applyFill="1" applyBorder="1"/>
    <xf numFmtId="0" fontId="0" fillId="0" borderId="6" xfId="0" applyFill="1" applyBorder="1"/>
    <xf numFmtId="0" fontId="5" fillId="0" borderId="0" xfId="0" applyFont="1" applyAlignment="1">
      <alignment horizontal="left"/>
    </xf>
    <xf numFmtId="0" fontId="5" fillId="0" borderId="0" xfId="0" applyFont="1" applyBorder="1"/>
    <xf numFmtId="0" fontId="5" fillId="0" borderId="0" xfId="0" applyFont="1" applyFill="1" applyBorder="1" applyAlignment="1">
      <alignment horizontal="left"/>
    </xf>
    <xf numFmtId="0" fontId="5" fillId="0" borderId="0" xfId="0" applyFont="1" applyAlignment="1">
      <alignment horizontal="right"/>
    </xf>
    <xf numFmtId="0" fontId="0" fillId="0" borderId="85" xfId="0" applyBorder="1"/>
    <xf numFmtId="0" fontId="0" fillId="0" borderId="79" xfId="0" applyFont="1" applyBorder="1" applyAlignment="1">
      <alignment horizontal="center"/>
    </xf>
    <xf numFmtId="0" fontId="0" fillId="0" borderId="82" xfId="0" applyFill="1" applyBorder="1"/>
    <xf numFmtId="0" fontId="0" fillId="0" borderId="7" xfId="0" applyFill="1" applyBorder="1"/>
    <xf numFmtId="0" fontId="0" fillId="0" borderId="83" xfId="0" applyFill="1" applyBorder="1"/>
    <xf numFmtId="0" fontId="0" fillId="0" borderId="8" xfId="0" applyFill="1" applyBorder="1"/>
    <xf numFmtId="0" fontId="0" fillId="0" borderId="79" xfId="0" applyBorder="1" applyAlignment="1">
      <alignment horizontal="right"/>
    </xf>
    <xf numFmtId="0" fontId="0" fillId="0" borderId="86" xfId="0" applyFill="1" applyBorder="1"/>
    <xf numFmtId="0" fontId="0" fillId="0" borderId="87" xfId="0" applyBorder="1"/>
    <xf numFmtId="0" fontId="0" fillId="0" borderId="86" xfId="0" applyBorder="1"/>
    <xf numFmtId="0" fontId="0" fillId="0" borderId="88" xfId="0" applyBorder="1"/>
    <xf numFmtId="0" fontId="0" fillId="0" borderId="4" xfId="0" applyFill="1" applyBorder="1"/>
    <xf numFmtId="0" fontId="0" fillId="0" borderId="89" xfId="0" applyBorder="1"/>
    <xf numFmtId="0" fontId="5" fillId="0" borderId="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9" xfId="0" applyBorder="1" applyAlignment="1">
      <alignment horizontal="center"/>
    </xf>
    <xf numFmtId="0" fontId="0" fillId="0" borderId="90" xfId="0" applyBorder="1"/>
    <xf numFmtId="0" fontId="0" fillId="0" borderId="91" xfId="0" applyBorder="1"/>
    <xf numFmtId="0" fontId="0" fillId="0" borderId="92" xfId="0" applyBorder="1"/>
    <xf numFmtId="0" fontId="0" fillId="0" borderId="92" xfId="0" applyFill="1" applyBorder="1"/>
    <xf numFmtId="0" fontId="0" fillId="0" borderId="90" xfId="0" applyFill="1" applyBorder="1"/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93" xfId="0" applyBorder="1"/>
    <xf numFmtId="0" fontId="0" fillId="0" borderId="94" xfId="0" applyBorder="1"/>
    <xf numFmtId="0" fontId="0" fillId="0" borderId="95" xfId="0" applyBorder="1"/>
    <xf numFmtId="0" fontId="0" fillId="0" borderId="7" xfId="0" applyBorder="1" applyAlignment="1"/>
    <xf numFmtId="0" fontId="0" fillId="0" borderId="75" xfId="0" applyBorder="1" applyAlignment="1">
      <alignment horizontal="center"/>
    </xf>
    <xf numFmtId="166" fontId="0" fillId="0" borderId="75" xfId="0" applyNumberFormat="1" applyBorder="1"/>
    <xf numFmtId="0" fontId="0" fillId="0" borderId="96" xfId="0" applyBorder="1"/>
    <xf numFmtId="165" fontId="0" fillId="0" borderId="96" xfId="0" applyNumberFormat="1" applyBorder="1"/>
    <xf numFmtId="165" fontId="0" fillId="0" borderId="46" xfId="0" applyNumberFormat="1" applyBorder="1"/>
    <xf numFmtId="0" fontId="0" fillId="0" borderId="93" xfId="0" applyBorder="1" applyAlignment="1">
      <alignment horizontal="center"/>
    </xf>
    <xf numFmtId="0" fontId="0" fillId="0" borderId="0" xfId="0" applyAlignment="1">
      <alignment wrapText="1"/>
    </xf>
    <xf numFmtId="0" fontId="0" fillId="0" borderId="93" xfId="0" applyBorder="1" applyAlignment="1">
      <alignment horizontal="right" wrapText="1"/>
    </xf>
    <xf numFmtId="0" fontId="0" fillId="0" borderId="63" xfId="0" applyBorder="1" applyAlignment="1">
      <alignment horizontal="right" wrapText="1"/>
    </xf>
    <xf numFmtId="0" fontId="0" fillId="0" borderId="6" xfId="0" applyBorder="1" applyAlignment="1">
      <alignment horizontal="right" wrapText="1"/>
    </xf>
    <xf numFmtId="0" fontId="0" fillId="0" borderId="97" xfId="0" applyBorder="1"/>
    <xf numFmtId="0" fontId="0" fillId="0" borderId="99" xfId="0" applyBorder="1"/>
    <xf numFmtId="0" fontId="0" fillId="0" borderId="100" xfId="0" applyBorder="1"/>
    <xf numFmtId="166" fontId="0" fillId="0" borderId="100" xfId="0" applyNumberFormat="1" applyBorder="1" applyAlignment="1">
      <alignment horizontal="center"/>
    </xf>
    <xf numFmtId="166" fontId="0" fillId="0" borderId="75" xfId="0" applyNumberFormat="1" applyBorder="1" applyAlignment="1">
      <alignment horizontal="center"/>
    </xf>
    <xf numFmtId="166" fontId="0" fillId="0" borderId="46" xfId="0" applyNumberFormat="1" applyBorder="1" applyAlignment="1">
      <alignment horizontal="center"/>
    </xf>
    <xf numFmtId="0" fontId="0" fillId="0" borderId="19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97" xfId="0" applyFont="1" applyBorder="1"/>
    <xf numFmtId="0" fontId="0" fillId="0" borderId="98" xfId="0" applyFont="1" applyBorder="1"/>
    <xf numFmtId="0" fontId="0" fillId="0" borderId="99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02" xfId="0" applyBorder="1"/>
    <xf numFmtId="0" fontId="0" fillId="0" borderId="103" xfId="0" applyBorder="1"/>
    <xf numFmtId="0" fontId="0" fillId="0" borderId="101" xfId="0" applyBorder="1" applyAlignment="1">
      <alignment horizontal="center"/>
    </xf>
    <xf numFmtId="0" fontId="0" fillId="0" borderId="104" xfId="0" applyBorder="1"/>
    <xf numFmtId="0" fontId="0" fillId="0" borderId="105" xfId="0" applyBorder="1"/>
    <xf numFmtId="0" fontId="0" fillId="0" borderId="106" xfId="0" applyBorder="1" applyAlignment="1">
      <alignment horizontal="center"/>
    </xf>
    <xf numFmtId="0" fontId="0" fillId="0" borderId="107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3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5" xfId="0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3" borderId="0" xfId="0" applyFill="1" applyBorder="1"/>
    <xf numFmtId="166" fontId="0" fillId="0" borderId="104" xfId="0" applyNumberFormat="1" applyBorder="1"/>
    <xf numFmtId="166" fontId="0" fillId="0" borderId="0" xfId="0" applyNumberFormat="1" applyBorder="1"/>
    <xf numFmtId="166" fontId="0" fillId="0" borderId="7" xfId="0" applyNumberFormat="1" applyBorder="1"/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/>
    <xf numFmtId="0" fontId="0" fillId="0" borderId="108" xfId="0" applyBorder="1"/>
    <xf numFmtId="0" fontId="0" fillId="0" borderId="109" xfId="0" applyBorder="1"/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13" xfId="0" applyBorder="1" applyAlignment="1">
      <alignment horizontal="right"/>
    </xf>
    <xf numFmtId="0" fontId="0" fillId="0" borderId="114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5" xfId="0" applyBorder="1" applyAlignment="1">
      <alignment horizontal="center"/>
    </xf>
    <xf numFmtId="10" fontId="0" fillId="0" borderId="0" xfId="0" applyNumberFormat="1" applyBorder="1"/>
    <xf numFmtId="10" fontId="0" fillId="0" borderId="7" xfId="0" applyNumberFormat="1" applyBorder="1"/>
    <xf numFmtId="0" fontId="0" fillId="0" borderId="110" xfId="0" applyFont="1" applyFill="1" applyBorder="1" applyAlignment="1">
      <alignment horizontal="center"/>
    </xf>
    <xf numFmtId="0" fontId="0" fillId="0" borderId="110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6" xfId="0" applyBorder="1"/>
    <xf numFmtId="0" fontId="0" fillId="0" borderId="117" xfId="0" applyBorder="1"/>
    <xf numFmtId="0" fontId="0" fillId="0" borderId="120" xfId="0" applyBorder="1"/>
    <xf numFmtId="10" fontId="0" fillId="0" borderId="0" xfId="0" applyNumberFormat="1" applyFill="1" applyBorder="1"/>
    <xf numFmtId="0" fontId="0" fillId="0" borderId="122" xfId="0" applyBorder="1"/>
    <xf numFmtId="0" fontId="0" fillId="0" borderId="121" xfId="0" applyBorder="1"/>
    <xf numFmtId="0" fontId="0" fillId="0" borderId="123" xfId="0" applyBorder="1"/>
    <xf numFmtId="0" fontId="0" fillId="0" borderId="124" xfId="0" applyBorder="1"/>
    <xf numFmtId="0" fontId="0" fillId="0" borderId="126" xfId="0" applyBorder="1"/>
    <xf numFmtId="0" fontId="0" fillId="0" borderId="127" xfId="0" applyBorder="1"/>
    <xf numFmtId="10" fontId="0" fillId="0" borderId="123" xfId="0" applyNumberFormat="1" applyBorder="1"/>
    <xf numFmtId="0" fontId="0" fillId="0" borderId="128" xfId="0" applyFill="1" applyBorder="1" applyAlignment="1">
      <alignment horizontal="center"/>
    </xf>
    <xf numFmtId="0" fontId="0" fillId="0" borderId="129" xfId="0" applyFill="1" applyBorder="1" applyAlignment="1">
      <alignment horizontal="center"/>
    </xf>
    <xf numFmtId="0" fontId="0" fillId="0" borderId="123" xfId="0" applyFill="1" applyBorder="1"/>
    <xf numFmtId="0" fontId="0" fillId="0" borderId="125" xfId="0" applyBorder="1"/>
    <xf numFmtId="9" fontId="0" fillId="0" borderId="0" xfId="0" applyNumberFormat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31" xfId="0" applyBorder="1"/>
    <xf numFmtId="0" fontId="0" fillId="0" borderId="132" xfId="0" applyBorder="1"/>
    <xf numFmtId="0" fontId="0" fillId="0" borderId="127" xfId="0" applyBorder="1" applyAlignment="1">
      <alignment horizontal="center"/>
    </xf>
    <xf numFmtId="0" fontId="0" fillId="0" borderId="133" xfId="0" applyBorder="1" applyAlignment="1">
      <alignment horizontal="center"/>
    </xf>
    <xf numFmtId="0" fontId="4" fillId="0" borderId="0" xfId="0" applyFont="1" applyBorder="1"/>
    <xf numFmtId="0" fontId="0" fillId="0" borderId="134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33" xfId="0" applyBorder="1"/>
    <xf numFmtId="0" fontId="0" fillId="0" borderId="136" xfId="0" applyBorder="1"/>
    <xf numFmtId="0" fontId="0" fillId="0" borderId="137" xfId="0" applyBorder="1"/>
    <xf numFmtId="0" fontId="0" fillId="0" borderId="134" xfId="0" applyBorder="1"/>
    <xf numFmtId="0" fontId="0" fillId="0" borderId="121" xfId="0" applyBorder="1" applyAlignment="1">
      <alignment horizontal="center"/>
    </xf>
    <xf numFmtId="0" fontId="0" fillId="0" borderId="122" xfId="0" applyBorder="1" applyAlignment="1">
      <alignment horizontal="center"/>
    </xf>
    <xf numFmtId="0" fontId="0" fillId="0" borderId="130" xfId="0" applyBorder="1"/>
    <xf numFmtId="0" fontId="0" fillId="0" borderId="138" xfId="0" applyBorder="1"/>
    <xf numFmtId="0" fontId="0" fillId="0" borderId="0" xfId="0" applyAlignment="1">
      <alignment horizontal="center"/>
    </xf>
    <xf numFmtId="0" fontId="5" fillId="0" borderId="12" xfId="0" applyFont="1" applyFill="1" applyBorder="1" applyAlignment="1">
      <alignment horizontal="center"/>
    </xf>
    <xf numFmtId="10" fontId="0" fillId="0" borderId="140" xfId="0" applyNumberFormat="1" applyBorder="1"/>
    <xf numFmtId="0" fontId="0" fillId="0" borderId="141" xfId="0" applyBorder="1"/>
    <xf numFmtId="0" fontId="0" fillId="0" borderId="142" xfId="0" applyBorder="1"/>
    <xf numFmtId="0" fontId="0" fillId="0" borderId="143" xfId="0" applyBorder="1" applyAlignment="1">
      <alignment horizontal="center"/>
    </xf>
    <xf numFmtId="0" fontId="0" fillId="0" borderId="141" xfId="0" applyBorder="1" applyAlignment="1">
      <alignment horizontal="center"/>
    </xf>
    <xf numFmtId="0" fontId="0" fillId="0" borderId="139" xfId="0" applyBorder="1" applyAlignment="1">
      <alignment horizontal="center"/>
    </xf>
    <xf numFmtId="0" fontId="0" fillId="0" borderId="140" xfId="0" applyBorder="1"/>
    <xf numFmtId="0" fontId="0" fillId="0" borderId="128" xfId="0" applyBorder="1"/>
    <xf numFmtId="0" fontId="0" fillId="0" borderId="135" xfId="0" applyBorder="1"/>
    <xf numFmtId="0" fontId="0" fillId="0" borderId="131" xfId="0" applyBorder="1" applyAlignment="1">
      <alignment horizontal="center"/>
    </xf>
    <xf numFmtId="0" fontId="0" fillId="0" borderId="130" xfId="0" applyFill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0" fillId="0" borderId="140" xfId="0" applyBorder="1" applyAlignment="1">
      <alignment horizontal="center"/>
    </xf>
    <xf numFmtId="0" fontId="0" fillId="0" borderId="4" xfId="0" applyFill="1" applyBorder="1" applyAlignment="1"/>
    <xf numFmtId="0" fontId="0" fillId="0" borderId="131" xfId="0" applyFill="1" applyBorder="1" applyAlignment="1"/>
    <xf numFmtId="0" fontId="0" fillId="0" borderId="125" xfId="0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0" fillId="0" borderId="0" xfId="0" applyFill="1"/>
    <xf numFmtId="0" fontId="0" fillId="3" borderId="142" xfId="0" applyFill="1" applyBorder="1"/>
    <xf numFmtId="0" fontId="0" fillId="3" borderId="140" xfId="0" applyFill="1" applyBorder="1"/>
    <xf numFmtId="0" fontId="0" fillId="3" borderId="141" xfId="0" applyFill="1" applyBorder="1"/>
    <xf numFmtId="0" fontId="0" fillId="3" borderId="4" xfId="0" applyFill="1" applyBorder="1"/>
    <xf numFmtId="0" fontId="0" fillId="3" borderId="131" xfId="0" applyFill="1" applyBorder="1"/>
    <xf numFmtId="0" fontId="0" fillId="3" borderId="7" xfId="0" applyFill="1" applyBorder="1"/>
    <xf numFmtId="0" fontId="0" fillId="3" borderId="8" xfId="0" applyFill="1" applyBorder="1"/>
    <xf numFmtId="0" fontId="0" fillId="5" borderId="142" xfId="0" applyFill="1" applyBorder="1"/>
    <xf numFmtId="0" fontId="0" fillId="5" borderId="140" xfId="0" applyFill="1" applyBorder="1"/>
    <xf numFmtId="0" fontId="0" fillId="5" borderId="141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131" xfId="0" applyFill="1" applyBorder="1"/>
    <xf numFmtId="0" fontId="0" fillId="5" borderId="7" xfId="0" applyFill="1" applyBorder="1"/>
    <xf numFmtId="0" fontId="0" fillId="5" borderId="8" xfId="0" applyFill="1" applyBorder="1"/>
    <xf numFmtId="0" fontId="0" fillId="7" borderId="140" xfId="0" applyFill="1" applyBorder="1"/>
    <xf numFmtId="0" fontId="0" fillId="7" borderId="0" xfId="0" applyFill="1" applyBorder="1"/>
    <xf numFmtId="0" fontId="0" fillId="6" borderId="0" xfId="0" applyFill="1" applyBorder="1"/>
    <xf numFmtId="0" fontId="22" fillId="0" borderId="0" xfId="0" applyFont="1" applyBorder="1" applyAlignment="1">
      <alignment horizontal="center" vertical="top" wrapText="1"/>
    </xf>
    <xf numFmtId="0" fontId="22" fillId="0" borderId="0" xfId="0" applyFont="1" applyBorder="1" applyAlignment="1">
      <alignment horizontal="center" wrapText="1"/>
    </xf>
    <xf numFmtId="0" fontId="22" fillId="0" borderId="130" xfId="0" applyFont="1" applyBorder="1" applyAlignment="1">
      <alignment horizontal="center" wrapText="1"/>
    </xf>
    <xf numFmtId="0" fontId="22" fillId="0" borderId="7" xfId="0" applyFont="1" applyBorder="1" applyAlignment="1">
      <alignment horizontal="center" vertical="top" wrapText="1"/>
    </xf>
    <xf numFmtId="0" fontId="22" fillId="0" borderId="0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horizontal="left" wrapText="1"/>
    </xf>
    <xf numFmtId="0" fontId="22" fillId="0" borderId="142" xfId="0" applyFont="1" applyBorder="1" applyAlignment="1">
      <alignment horizontal="center" wrapText="1"/>
    </xf>
    <xf numFmtId="0" fontId="22" fillId="0" borderId="140" xfId="0" applyFont="1" applyBorder="1" applyAlignment="1">
      <alignment horizontal="center" wrapText="1"/>
    </xf>
    <xf numFmtId="0" fontId="22" fillId="0" borderId="141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5" xfId="0" applyFont="1" applyBorder="1" applyAlignment="1">
      <alignment horizontal="center" wrapText="1"/>
    </xf>
    <xf numFmtId="0" fontId="22" fillId="0" borderId="131" xfId="0" applyFont="1" applyBorder="1" applyAlignment="1">
      <alignment horizontal="center" wrapText="1"/>
    </xf>
    <xf numFmtId="0" fontId="22" fillId="0" borderId="7" xfId="0" applyFont="1" applyBorder="1" applyAlignment="1">
      <alignment horizontal="center" wrapText="1"/>
    </xf>
    <xf numFmtId="0" fontId="22" fillId="0" borderId="8" xfId="0" applyFont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5" fillId="0" borderId="12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 wrapText="1"/>
    </xf>
    <xf numFmtId="0" fontId="22" fillId="0" borderId="63" xfId="0" applyFont="1" applyBorder="1" applyAlignment="1">
      <alignment horizontal="center" wrapText="1"/>
    </xf>
    <xf numFmtId="0" fontId="22" fillId="0" borderId="132" xfId="0" applyFont="1" applyBorder="1" applyAlignment="1">
      <alignment horizontal="center" wrapText="1"/>
    </xf>
    <xf numFmtId="0" fontId="22" fillId="0" borderId="133" xfId="0" applyFont="1" applyBorder="1" applyAlignment="1">
      <alignment horizontal="center" wrapText="1"/>
    </xf>
    <xf numFmtId="0" fontId="0" fillId="0" borderId="143" xfId="0" applyBorder="1"/>
    <xf numFmtId="0" fontId="0" fillId="0" borderId="139" xfId="0" applyBorder="1"/>
    <xf numFmtId="0" fontId="0" fillId="0" borderId="142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144" xfId="0" applyBorder="1" applyAlignment="1">
      <alignment horizontal="center"/>
    </xf>
    <xf numFmtId="0" fontId="0" fillId="0" borderId="145" xfId="0" applyBorder="1"/>
    <xf numFmtId="0" fontId="0" fillId="0" borderId="144" xfId="0" applyBorder="1"/>
    <xf numFmtId="0" fontId="0" fillId="0" borderId="146" xfId="0" applyBorder="1" applyAlignment="1">
      <alignment horizontal="center"/>
    </xf>
    <xf numFmtId="0" fontId="0" fillId="0" borderId="147" xfId="0" applyBorder="1" applyAlignment="1">
      <alignment horizontal="center"/>
    </xf>
    <xf numFmtId="0" fontId="0" fillId="0" borderId="148" xfId="0" applyBorder="1" applyAlignment="1">
      <alignment horizontal="center"/>
    </xf>
    <xf numFmtId="0" fontId="0" fillId="0" borderId="148" xfId="0" applyFont="1" applyBorder="1"/>
    <xf numFmtId="0" fontId="0" fillId="0" borderId="131" xfId="0" applyFont="1" applyBorder="1"/>
    <xf numFmtId="0" fontId="0" fillId="0" borderId="133" xfId="0" applyFont="1" applyBorder="1"/>
    <xf numFmtId="0" fontId="0" fillId="0" borderId="149" xfId="0" applyBorder="1" applyAlignment="1">
      <alignment horizontal="center"/>
    </xf>
    <xf numFmtId="0" fontId="0" fillId="0" borderId="150" xfId="0" applyBorder="1" applyAlignment="1">
      <alignment horizontal="center"/>
    </xf>
    <xf numFmtId="0" fontId="0" fillId="0" borderId="151" xfId="0" applyBorder="1" applyAlignment="1">
      <alignment horizontal="center"/>
    </xf>
    <xf numFmtId="0" fontId="0" fillId="0" borderId="151" xfId="0" applyBorder="1"/>
    <xf numFmtId="0" fontId="0" fillId="0" borderId="152" xfId="0" applyBorder="1" applyAlignment="1">
      <alignment horizontal="center"/>
    </xf>
    <xf numFmtId="0" fontId="0" fillId="0" borderId="153" xfId="0" applyBorder="1"/>
    <xf numFmtId="0" fontId="0" fillId="0" borderId="18" xfId="0" applyBorder="1" applyAlignment="1">
      <alignment horizontal="center"/>
    </xf>
    <xf numFmtId="0" fontId="0" fillId="0" borderId="109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3" xfId="0" applyNumberFormat="1" applyBorder="1"/>
    <xf numFmtId="0" fontId="0" fillId="0" borderId="0" xfId="0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5" xfId="0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0" fillId="0" borderId="161" xfId="0" applyBorder="1"/>
    <xf numFmtId="0" fontId="0" fillId="0" borderId="158" xfId="0" applyBorder="1"/>
    <xf numFmtId="0" fontId="0" fillId="0" borderId="159" xfId="0" applyBorder="1"/>
    <xf numFmtId="0" fontId="0" fillId="0" borderId="162" xfId="0" applyBorder="1"/>
    <xf numFmtId="0" fontId="0" fillId="0" borderId="162" xfId="0" applyBorder="1" applyAlignment="1">
      <alignment horizontal="center"/>
    </xf>
    <xf numFmtId="0" fontId="0" fillId="0" borderId="163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0" borderId="163" xfId="0" applyBorder="1"/>
    <xf numFmtId="0" fontId="0" fillId="0" borderId="164" xfId="0" applyBorder="1"/>
    <xf numFmtId="0" fontId="0" fillId="0" borderId="160" xfId="0" applyBorder="1"/>
    <xf numFmtId="0" fontId="0" fillId="0" borderId="165" xfId="0" applyBorder="1"/>
    <xf numFmtId="0" fontId="0" fillId="0" borderId="166" xfId="0" applyBorder="1"/>
    <xf numFmtId="0" fontId="0" fillId="0" borderId="167" xfId="0" applyBorder="1"/>
    <xf numFmtId="0" fontId="0" fillId="0" borderId="148" xfId="0" applyBorder="1"/>
    <xf numFmtId="0" fontId="0" fillId="0" borderId="168" xfId="0" applyBorder="1"/>
    <xf numFmtId="0" fontId="0" fillId="0" borderId="169" xfId="0" applyBorder="1"/>
    <xf numFmtId="0" fontId="0" fillId="0" borderId="170" xfId="0" applyBorder="1"/>
    <xf numFmtId="0" fontId="0" fillId="0" borderId="168" xfId="0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6" xfId="0" applyBorder="1" applyAlignment="1">
      <alignment horizontal="right"/>
    </xf>
    <xf numFmtId="0" fontId="0" fillId="0" borderId="146" xfId="0" applyBorder="1"/>
    <xf numFmtId="0" fontId="0" fillId="0" borderId="152" xfId="0" applyBorder="1"/>
    <xf numFmtId="0" fontId="0" fillId="4" borderId="142" xfId="0" applyFill="1" applyBorder="1"/>
    <xf numFmtId="0" fontId="0" fillId="4" borderId="146" xfId="0" applyFill="1" applyBorder="1"/>
    <xf numFmtId="0" fontId="0" fillId="4" borderId="152" xfId="0" applyFill="1" applyBorder="1"/>
    <xf numFmtId="0" fontId="0" fillId="4" borderId="167" xfId="0" applyFill="1" applyBorder="1"/>
    <xf numFmtId="0" fontId="0" fillId="4" borderId="0" xfId="0" applyFill="1" applyBorder="1"/>
    <xf numFmtId="0" fontId="0" fillId="4" borderId="148" xfId="0" applyFill="1" applyBorder="1"/>
    <xf numFmtId="0" fontId="0" fillId="4" borderId="131" xfId="0" applyFill="1" applyBorder="1"/>
    <xf numFmtId="0" fontId="0" fillId="4" borderId="132" xfId="0" applyFill="1" applyBorder="1"/>
    <xf numFmtId="0" fontId="0" fillId="4" borderId="133" xfId="0" applyFill="1" applyBorder="1"/>
    <xf numFmtId="0" fontId="0" fillId="0" borderId="142" xfId="0" applyFill="1" applyBorder="1"/>
    <xf numFmtId="0" fontId="0" fillId="0" borderId="146" xfId="0" applyFill="1" applyBorder="1"/>
    <xf numFmtId="0" fontId="0" fillId="0" borderId="152" xfId="0" applyFill="1" applyBorder="1"/>
    <xf numFmtId="0" fontId="0" fillId="0" borderId="167" xfId="0" applyFill="1" applyBorder="1"/>
    <xf numFmtId="0" fontId="0" fillId="0" borderId="148" xfId="0" applyFill="1" applyBorder="1"/>
    <xf numFmtId="0" fontId="0" fillId="0" borderId="131" xfId="0" applyFill="1" applyBorder="1"/>
    <xf numFmtId="0" fontId="0" fillId="0" borderId="132" xfId="0" applyFill="1" applyBorder="1"/>
    <xf numFmtId="0" fontId="0" fillId="0" borderId="133" xfId="0" applyFill="1" applyBorder="1"/>
    <xf numFmtId="0" fontId="5" fillId="0" borderId="0" xfId="0" applyFont="1" applyFill="1" applyBorder="1"/>
    <xf numFmtId="0" fontId="0" fillId="0" borderId="132" xfId="0" applyFill="1" applyBorder="1" applyAlignment="1"/>
    <xf numFmtId="0" fontId="0" fillId="0" borderId="155" xfId="0" applyBorder="1" applyAlignment="1">
      <alignment horizontal="right"/>
    </xf>
    <xf numFmtId="0" fontId="0" fillId="0" borderId="13" xfId="0" applyFill="1" applyBorder="1" applyAlignment="1">
      <alignment horizontal="center"/>
    </xf>
    <xf numFmtId="0" fontId="4" fillId="0" borderId="155" xfId="0" applyFont="1" applyBorder="1" applyAlignment="1">
      <alignment horizontal="right"/>
    </xf>
    <xf numFmtId="0" fontId="2" fillId="0" borderId="0" xfId="0" applyFont="1" applyFill="1" applyBorder="1" applyAlignment="1"/>
    <xf numFmtId="0" fontId="4" fillId="0" borderId="0" xfId="0" applyFont="1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2" fontId="0" fillId="0" borderId="167" xfId="0" applyNumberFormat="1" applyBorder="1"/>
    <xf numFmtId="2" fontId="0" fillId="0" borderId="148" xfId="0" applyNumberFormat="1" applyBorder="1"/>
    <xf numFmtId="0" fontId="0" fillId="0" borderId="134" xfId="0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67" xfId="0" applyFont="1" applyBorder="1"/>
    <xf numFmtId="0" fontId="0" fillId="0" borderId="172" xfId="0" applyBorder="1"/>
    <xf numFmtId="0" fontId="0" fillId="0" borderId="167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71" xfId="0" applyBorder="1"/>
    <xf numFmtId="0" fontId="0" fillId="0" borderId="134" xfId="0" applyNumberFormat="1" applyBorder="1"/>
    <xf numFmtId="0" fontId="0" fillId="0" borderId="153" xfId="0" applyNumberFormat="1" applyBorder="1"/>
    <xf numFmtId="0" fontId="0" fillId="0" borderId="17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5" fillId="0" borderId="177" xfId="0" applyFont="1" applyBorder="1" applyAlignment="1">
      <alignment horizontal="center"/>
    </xf>
    <xf numFmtId="0" fontId="0" fillId="0" borderId="178" xfId="0" applyBorder="1"/>
    <xf numFmtId="0" fontId="0" fillId="0" borderId="178" xfId="0" applyBorder="1" applyAlignment="1">
      <alignment horizontal="center"/>
    </xf>
    <xf numFmtId="0" fontId="0" fillId="0" borderId="175" xfId="0" applyBorder="1" applyAlignment="1">
      <alignment horizontal="center"/>
    </xf>
    <xf numFmtId="0" fontId="0" fillId="0" borderId="172" xfId="0" applyFont="1" applyBorder="1"/>
    <xf numFmtId="0" fontId="0" fillId="0" borderId="153" xfId="0" applyFont="1" applyBorder="1"/>
    <xf numFmtId="0" fontId="0" fillId="0" borderId="134" xfId="0" applyFont="1" applyBorder="1"/>
    <xf numFmtId="0" fontId="0" fillId="0" borderId="179" xfId="0" applyBorder="1"/>
    <xf numFmtId="0" fontId="0" fillId="0" borderId="180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8" xfId="0" applyBorder="1" applyAlignment="1">
      <alignment horizontal="right"/>
    </xf>
    <xf numFmtId="0" fontId="24" fillId="0" borderId="180" xfId="0" applyFont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4" xfId="0" applyBorder="1"/>
    <xf numFmtId="0" fontId="0" fillId="0" borderId="176" xfId="0" applyBorder="1"/>
    <xf numFmtId="0" fontId="0" fillId="0" borderId="181" xfId="0" applyBorder="1"/>
    <xf numFmtId="0" fontId="0" fillId="0" borderId="182" xfId="0" applyBorder="1"/>
    <xf numFmtId="0" fontId="0" fillId="0" borderId="183" xfId="0" applyBorder="1"/>
    <xf numFmtId="0" fontId="0" fillId="0" borderId="184" xfId="0" applyBorder="1"/>
    <xf numFmtId="0" fontId="0" fillId="0" borderId="183" xfId="0" applyBorder="1" applyAlignment="1">
      <alignment horizontal="right"/>
    </xf>
    <xf numFmtId="0" fontId="0" fillId="0" borderId="181" xfId="0" applyBorder="1" applyAlignment="1">
      <alignment horizontal="center"/>
    </xf>
    <xf numFmtId="0" fontId="0" fillId="0" borderId="182" xfId="0" applyBorder="1" applyAlignment="1">
      <alignment horizontal="center"/>
    </xf>
    <xf numFmtId="0" fontId="0" fillId="0" borderId="183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185" xfId="0" applyBorder="1"/>
    <xf numFmtId="0" fontId="0" fillId="0" borderId="186" xfId="0" applyBorder="1"/>
    <xf numFmtId="0" fontId="0" fillId="0" borderId="187" xfId="0" applyBorder="1"/>
    <xf numFmtId="0" fontId="0" fillId="0" borderId="185" xfId="0" applyBorder="1" applyAlignment="1">
      <alignment horizontal="center"/>
    </xf>
    <xf numFmtId="0" fontId="0" fillId="0" borderId="186" xfId="0" applyBorder="1" applyAlignment="1">
      <alignment horizontal="center"/>
    </xf>
    <xf numFmtId="0" fontId="0" fillId="0" borderId="187" xfId="0" applyBorder="1" applyAlignment="1">
      <alignment horizontal="center"/>
    </xf>
    <xf numFmtId="164" fontId="0" fillId="0" borderId="167" xfId="0" applyNumberFormat="1" applyBorder="1"/>
    <xf numFmtId="165" fontId="0" fillId="0" borderId="167" xfId="0" applyNumberFormat="1" applyBorder="1"/>
    <xf numFmtId="165" fontId="0" fillId="0" borderId="148" xfId="0" applyNumberFormat="1" applyBorder="1"/>
    <xf numFmtId="165" fontId="0" fillId="0" borderId="131" xfId="0" applyNumberFormat="1" applyBorder="1"/>
    <xf numFmtId="165" fontId="0" fillId="0" borderId="133" xfId="0" applyNumberFormat="1" applyBorder="1"/>
    <xf numFmtId="0" fontId="0" fillId="0" borderId="50" xfId="0" applyFont="1" applyBorder="1" applyAlignment="1">
      <alignment horizontal="center"/>
    </xf>
    <xf numFmtId="0" fontId="0" fillId="0" borderId="47" xfId="0" applyFont="1" applyBorder="1" applyAlignment="1">
      <alignment horizontal="center"/>
    </xf>
    <xf numFmtId="0" fontId="0" fillId="0" borderId="48" xfId="0" applyFont="1" applyBorder="1" applyAlignment="1">
      <alignment horizontal="center"/>
    </xf>
    <xf numFmtId="0" fontId="0" fillId="0" borderId="49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0" xfId="0" applyFont="1" applyFill="1" applyBorder="1" applyAlignment="1"/>
    <xf numFmtId="0" fontId="0" fillId="0" borderId="34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36" xfId="0" applyFont="1" applyBorder="1" applyAlignment="1">
      <alignment horizontal="center"/>
    </xf>
    <xf numFmtId="0" fontId="0" fillId="0" borderId="13" xfId="0" applyFont="1" applyFill="1" applyBorder="1" applyAlignment="1"/>
    <xf numFmtId="0" fontId="0" fillId="0" borderId="35" xfId="0" applyFont="1" applyFill="1" applyBorder="1" applyAlignment="1">
      <alignment horizontal="center"/>
    </xf>
    <xf numFmtId="0" fontId="0" fillId="0" borderId="184" xfId="0" applyFont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4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NumberFormat="1" applyFont="1"/>
    <xf numFmtId="0" fontId="0" fillId="0" borderId="185" xfId="0" applyFont="1" applyBorder="1"/>
    <xf numFmtId="0" fontId="0" fillId="0" borderId="187" xfId="0" applyFont="1" applyBorder="1"/>
    <xf numFmtId="0" fontId="0" fillId="0" borderId="179" xfId="0" applyFont="1" applyBorder="1"/>
    <xf numFmtId="0" fontId="0" fillId="0" borderId="148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8" xfId="0" applyFont="1" applyBorder="1" applyAlignment="1">
      <alignment horizontal="right"/>
    </xf>
    <xf numFmtId="0" fontId="0" fillId="0" borderId="188" xfId="0" applyFont="1" applyBorder="1" applyAlignment="1">
      <alignment horizontal="right"/>
    </xf>
    <xf numFmtId="0" fontId="0" fillId="0" borderId="190" xfId="0" applyFont="1" applyBorder="1" applyAlignment="1">
      <alignment horizontal="right"/>
    </xf>
    <xf numFmtId="0" fontId="0" fillId="0" borderId="167" xfId="0" applyFont="1" applyBorder="1" applyAlignment="1">
      <alignment horizontal="right"/>
    </xf>
    <xf numFmtId="0" fontId="0" fillId="0" borderId="131" xfId="0" applyFont="1" applyBorder="1" applyAlignment="1">
      <alignment horizontal="right"/>
    </xf>
    <xf numFmtId="0" fontId="0" fillId="0" borderId="132" xfId="0" applyFont="1" applyBorder="1" applyAlignment="1">
      <alignment horizontal="right"/>
    </xf>
    <xf numFmtId="0" fontId="0" fillId="0" borderId="133" xfId="0" applyFont="1" applyBorder="1" applyAlignment="1">
      <alignment horizontal="right"/>
    </xf>
    <xf numFmtId="0" fontId="0" fillId="0" borderId="188" xfId="0" applyBorder="1"/>
    <xf numFmtId="0" fontId="0" fillId="0" borderId="191" xfId="0" applyBorder="1"/>
    <xf numFmtId="0" fontId="0" fillId="0" borderId="134" xfId="0" applyNumberFormat="1" applyFont="1" applyBorder="1"/>
    <xf numFmtId="0" fontId="0" fillId="0" borderId="172" xfId="0" applyNumberFormat="1" applyFont="1" applyBorder="1"/>
    <xf numFmtId="0" fontId="10" fillId="0" borderId="0" xfId="0" applyFont="1"/>
    <xf numFmtId="0" fontId="5" fillId="0" borderId="12" xfId="0" applyFont="1" applyFill="1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8" xfId="0" applyFont="1" applyBorder="1"/>
    <xf numFmtId="0" fontId="0" fillId="0" borderId="190" xfId="0" applyFont="1" applyBorder="1"/>
    <xf numFmtId="0" fontId="0" fillId="0" borderId="188" xfId="0" applyNumberFormat="1" applyFont="1" applyBorder="1"/>
    <xf numFmtId="0" fontId="0" fillId="0" borderId="190" xfId="0" applyNumberFormat="1" applyFont="1" applyBorder="1"/>
    <xf numFmtId="0" fontId="0" fillId="0" borderId="167" xfId="0" applyNumberFormat="1" applyFont="1" applyBorder="1"/>
    <xf numFmtId="0" fontId="0" fillId="0" borderId="148" xfId="0" applyNumberFormat="1" applyFont="1" applyBorder="1"/>
    <xf numFmtId="0" fontId="0" fillId="0" borderId="148" xfId="0" applyNumberFormat="1" applyFont="1" applyFill="1" applyBorder="1"/>
    <xf numFmtId="0" fontId="0" fillId="0" borderId="131" xfId="0" applyNumberFormat="1" applyFont="1" applyBorder="1"/>
    <xf numFmtId="0" fontId="0" fillId="0" borderId="133" xfId="0" applyNumberFormat="1" applyFont="1" applyFill="1" applyBorder="1"/>
    <xf numFmtId="0" fontId="0" fillId="0" borderId="192" xfId="0" applyBorder="1"/>
    <xf numFmtId="0" fontId="0" fillId="0" borderId="193" xfId="0" applyBorder="1"/>
    <xf numFmtId="0" fontId="0" fillId="0" borderId="176" xfId="0" applyBorder="1" applyAlignment="1">
      <alignment horizontal="center"/>
    </xf>
    <xf numFmtId="0" fontId="0" fillId="0" borderId="188" xfId="0" applyBorder="1" applyAlignment="1">
      <alignment horizontal="center"/>
    </xf>
    <xf numFmtId="0" fontId="25" fillId="0" borderId="0" xfId="1" applyFont="1" applyAlignment="1" applyProtection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194" xfId="0" applyFont="1" applyBorder="1" applyAlignment="1">
      <alignment horizontal="center"/>
    </xf>
    <xf numFmtId="0" fontId="0" fillId="0" borderId="2" xfId="0" applyFont="1" applyBorder="1" applyAlignment="1">
      <alignment horizontal="right"/>
    </xf>
    <xf numFmtId="0" fontId="5" fillId="0" borderId="195" xfId="0" applyFont="1" applyBorder="1" applyAlignment="1">
      <alignment horizontal="center"/>
    </xf>
    <xf numFmtId="0" fontId="0" fillId="0" borderId="191" xfId="0" applyFont="1" applyBorder="1"/>
    <xf numFmtId="0" fontId="0" fillId="0" borderId="189" xfId="0" applyFont="1" applyBorder="1" applyAlignment="1">
      <alignment horizontal="right"/>
    </xf>
    <xf numFmtId="0" fontId="0" fillId="0" borderId="0" xfId="0" applyNumberFormat="1" applyFont="1" applyBorder="1"/>
    <xf numFmtId="0" fontId="0" fillId="0" borderId="0" xfId="0" applyNumberFormat="1" applyFont="1" applyFill="1" applyBorder="1"/>
    <xf numFmtId="0" fontId="0" fillId="0" borderId="189" xfId="0" applyNumberFormat="1" applyFont="1" applyFill="1" applyBorder="1"/>
    <xf numFmtId="0" fontId="0" fillId="0" borderId="132" xfId="0" applyNumberFormat="1" applyFont="1" applyBorder="1"/>
    <xf numFmtId="0" fontId="0" fillId="0" borderId="132" xfId="0" applyNumberFormat="1" applyFont="1" applyFill="1" applyBorder="1"/>
    <xf numFmtId="0" fontId="0" fillId="0" borderId="153" xfId="0" applyNumberFormat="1" applyFont="1" applyBorder="1"/>
    <xf numFmtId="0" fontId="10" fillId="0" borderId="14" xfId="0" applyFont="1" applyBorder="1"/>
    <xf numFmtId="0" fontId="10" fillId="0" borderId="14" xfId="0" applyFont="1" applyBorder="1" applyAlignment="1">
      <alignment horizontal="right"/>
    </xf>
    <xf numFmtId="0" fontId="10" fillId="0" borderId="0" xfId="2" applyFont="1" applyBorder="1" applyAlignment="1">
      <alignment horizontal="right"/>
    </xf>
    <xf numFmtId="164" fontId="10" fillId="0" borderId="0" xfId="2" quotePrefix="1" applyNumberFormat="1" applyFont="1" applyBorder="1" applyAlignment="1">
      <alignment horizontal="right"/>
    </xf>
    <xf numFmtId="164" fontId="10" fillId="0" borderId="0" xfId="0" applyNumberFormat="1" applyFont="1"/>
    <xf numFmtId="3" fontId="10" fillId="0" borderId="0" xfId="2" applyNumberFormat="1" applyFont="1" applyFill="1" applyBorder="1" applyAlignment="1">
      <alignment horizontal="right" wrapText="1"/>
    </xf>
    <xf numFmtId="164" fontId="10" fillId="0" borderId="0" xfId="2" applyNumberFormat="1" applyFont="1" applyBorder="1" applyAlignment="1"/>
    <xf numFmtId="2" fontId="10" fillId="0" borderId="0" xfId="2" applyNumberFormat="1" applyFont="1" applyAlignment="1"/>
    <xf numFmtId="164" fontId="10" fillId="0" borderId="0" xfId="2" applyNumberFormat="1" applyFont="1" applyBorder="1" applyAlignment="1">
      <alignment horizontal="right" wrapText="1"/>
    </xf>
    <xf numFmtId="164" fontId="10" fillId="0" borderId="0" xfId="3" applyNumberFormat="1" applyFont="1" applyAlignment="1"/>
    <xf numFmtId="3" fontId="10" fillId="0" borderId="0" xfId="2" applyNumberFormat="1" applyFont="1"/>
    <xf numFmtId="167" fontId="10" fillId="0" borderId="0" xfId="2" applyNumberFormat="1" applyFont="1" applyBorder="1" applyAlignment="1">
      <alignment horizontal="right"/>
    </xf>
    <xf numFmtId="164" fontId="10" fillId="0" borderId="0" xfId="0" applyNumberFormat="1" applyFont="1" applyBorder="1"/>
    <xf numFmtId="2" fontId="10" fillId="0" borderId="0" xfId="2" applyNumberFormat="1" applyFont="1" applyBorder="1" applyAlignment="1"/>
    <xf numFmtId="164" fontId="10" fillId="0" borderId="0" xfId="3" applyNumberFormat="1" applyFont="1" applyBorder="1" applyAlignment="1"/>
    <xf numFmtId="3" fontId="10" fillId="0" borderId="0" xfId="2" applyNumberFormat="1" applyFont="1" applyBorder="1"/>
    <xf numFmtId="0" fontId="0" fillId="0" borderId="0" xfId="0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196" xfId="0" applyBorder="1"/>
    <xf numFmtId="0" fontId="22" fillId="0" borderId="148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9" borderId="0" xfId="0" applyFill="1"/>
    <xf numFmtId="0" fontId="0" fillId="0" borderId="178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71" xfId="0" applyFill="1" applyBorder="1" applyAlignment="1">
      <alignment horizontal="center"/>
    </xf>
    <xf numFmtId="0" fontId="0" fillId="0" borderId="197" xfId="0" applyBorder="1"/>
    <xf numFmtId="0" fontId="0" fillId="0" borderId="198" xfId="0" applyBorder="1"/>
    <xf numFmtId="0" fontId="0" fillId="0" borderId="199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00" xfId="0" applyBorder="1"/>
    <xf numFmtId="0" fontId="0" fillId="0" borderId="201" xfId="0" applyBorder="1"/>
    <xf numFmtId="0" fontId="0" fillId="0" borderId="202" xfId="0" applyBorder="1" applyAlignment="1">
      <alignment horizontal="center"/>
    </xf>
    <xf numFmtId="0" fontId="0" fillId="0" borderId="203" xfId="0" applyBorder="1"/>
    <xf numFmtId="0" fontId="0" fillId="3" borderId="190" xfId="0" applyFill="1" applyBorder="1"/>
    <xf numFmtId="0" fontId="0" fillId="3" borderId="133" xfId="0" applyFill="1" applyBorder="1"/>
    <xf numFmtId="0" fontId="0" fillId="3" borderId="176" xfId="0" applyFill="1" applyBorder="1"/>
    <xf numFmtId="0" fontId="0" fillId="0" borderId="204" xfId="0" applyBorder="1"/>
    <xf numFmtId="0" fontId="0" fillId="0" borderId="205" xfId="0" applyBorder="1"/>
    <xf numFmtId="0" fontId="0" fillId="0" borderId="206" xfId="0" applyBorder="1"/>
    <xf numFmtId="0" fontId="0" fillId="3" borderId="207" xfId="0" applyFill="1" applyBorder="1"/>
    <xf numFmtId="0" fontId="5" fillId="0" borderId="208" xfId="0" applyFont="1" applyBorder="1" applyAlignment="1">
      <alignment horizontal="center"/>
    </xf>
    <xf numFmtId="0" fontId="0" fillId="0" borderId="207" xfId="0" applyBorder="1"/>
    <xf numFmtId="0" fontId="0" fillId="0" borderId="209" xfId="0" applyBorder="1"/>
    <xf numFmtId="0" fontId="0" fillId="0" borderId="210" xfId="0" applyBorder="1"/>
    <xf numFmtId="0" fontId="0" fillId="0" borderId="210" xfId="0" applyBorder="1" applyAlignment="1">
      <alignment horizontal="right"/>
    </xf>
    <xf numFmtId="0" fontId="0" fillId="0" borderId="211" xfId="0" applyBorder="1"/>
    <xf numFmtId="0" fontId="0" fillId="0" borderId="212" xfId="0" applyBorder="1"/>
    <xf numFmtId="0" fontId="0" fillId="0" borderId="213" xfId="0" applyBorder="1"/>
    <xf numFmtId="0" fontId="0" fillId="0" borderId="214" xfId="0" applyBorder="1"/>
    <xf numFmtId="0" fontId="0" fillId="8" borderId="205" xfId="0" applyFill="1" applyBorder="1"/>
    <xf numFmtId="0" fontId="0" fillId="8" borderId="207" xfId="0" applyFill="1" applyBorder="1"/>
    <xf numFmtId="0" fontId="0" fillId="3" borderId="205" xfId="0" applyFill="1" applyBorder="1"/>
    <xf numFmtId="0" fontId="0" fillId="3" borderId="167" xfId="0" applyFill="1" applyBorder="1"/>
    <xf numFmtId="0" fontId="0" fillId="3" borderId="148" xfId="0" applyFill="1" applyBorder="1"/>
    <xf numFmtId="0" fontId="0" fillId="8" borderId="167" xfId="0" applyFill="1" applyBorder="1"/>
    <xf numFmtId="0" fontId="0" fillId="8" borderId="148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216" xfId="0" applyBorder="1"/>
    <xf numFmtId="0" fontId="0" fillId="0" borderId="217" xfId="0" applyBorder="1"/>
    <xf numFmtId="0" fontId="0" fillId="0" borderId="218" xfId="0" applyBorder="1"/>
    <xf numFmtId="0" fontId="0" fillId="0" borderId="219" xfId="0" applyBorder="1"/>
    <xf numFmtId="0" fontId="0" fillId="0" borderId="215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20" xfId="0" applyBorder="1"/>
    <xf numFmtId="0" fontId="0" fillId="0" borderId="221" xfId="0" applyBorder="1"/>
    <xf numFmtId="0" fontId="0" fillId="0" borderId="222" xfId="0" applyBorder="1"/>
    <xf numFmtId="0" fontId="0" fillId="0" borderId="0" xfId="0" applyAlignment="1">
      <alignment horizontal="center"/>
    </xf>
    <xf numFmtId="0" fontId="0" fillId="0" borderId="205" xfId="0" applyBorder="1" applyAlignment="1">
      <alignment horizontal="center"/>
    </xf>
    <xf numFmtId="0" fontId="0" fillId="0" borderId="207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224" xfId="0" applyBorder="1"/>
    <xf numFmtId="0" fontId="0" fillId="0" borderId="225" xfId="0" applyBorder="1"/>
    <xf numFmtId="0" fontId="0" fillId="0" borderId="226" xfId="0" applyBorder="1"/>
    <xf numFmtId="0" fontId="0" fillId="0" borderId="223" xfId="0" applyBorder="1"/>
    <xf numFmtId="0" fontId="0" fillId="0" borderId="0" xfId="0" applyAlignment="1">
      <alignment horizontal="center"/>
    </xf>
    <xf numFmtId="0" fontId="0" fillId="0" borderId="231" xfId="0" applyBorder="1"/>
    <xf numFmtId="0" fontId="0" fillId="0" borderId="232" xfId="0" applyBorder="1"/>
    <xf numFmtId="0" fontId="0" fillId="0" borderId="233" xfId="0" applyBorder="1"/>
    <xf numFmtId="0" fontId="0" fillId="0" borderId="230" xfId="0" applyBorder="1"/>
    <xf numFmtId="0" fontId="0" fillId="0" borderId="235" xfId="0" applyBorder="1"/>
    <xf numFmtId="0" fontId="0" fillId="0" borderId="236" xfId="0" applyBorder="1"/>
    <xf numFmtId="0" fontId="0" fillId="0" borderId="237" xfId="0" applyBorder="1"/>
    <xf numFmtId="0" fontId="5" fillId="0" borderId="238" xfId="0" applyFont="1" applyBorder="1" applyAlignment="1">
      <alignment horizontal="center"/>
    </xf>
    <xf numFmtId="0" fontId="0" fillId="0" borderId="239" xfId="0" applyBorder="1"/>
    <xf numFmtId="0" fontId="0" fillId="0" borderId="240" xfId="0" applyBorder="1"/>
    <xf numFmtId="0" fontId="0" fillId="0" borderId="241" xfId="0" applyBorder="1"/>
    <xf numFmtId="0" fontId="0" fillId="0" borderId="242" xfId="0" applyBorder="1"/>
    <xf numFmtId="0" fontId="0" fillId="0" borderId="234" xfId="0" applyBorder="1"/>
    <xf numFmtId="0" fontId="0" fillId="0" borderId="205" xfId="0" applyNumberFormat="1" applyFont="1" applyBorder="1"/>
    <xf numFmtId="0" fontId="0" fillId="0" borderId="2" xfId="0" applyFont="1" applyBorder="1"/>
    <xf numFmtId="0" fontId="0" fillId="0" borderId="207" xfId="0" applyFont="1" applyBorder="1"/>
    <xf numFmtId="0" fontId="0" fillId="0" borderId="214" xfId="0" applyFont="1" applyBorder="1"/>
    <xf numFmtId="0" fontId="0" fillId="0" borderId="209" xfId="0" applyNumberFormat="1" applyFont="1" applyBorder="1"/>
    <xf numFmtId="0" fontId="0" fillId="0" borderId="2" xfId="0" applyNumberFormat="1" applyFont="1" applyBorder="1"/>
    <xf numFmtId="0" fontId="0" fillId="0" borderId="214" xfId="0" applyNumberFormat="1" applyFont="1" applyBorder="1"/>
    <xf numFmtId="0" fontId="0" fillId="0" borderId="205" xfId="0" applyFont="1" applyBorder="1"/>
    <xf numFmtId="0" fontId="0" fillId="0" borderId="0" xfId="0" applyAlignment="1">
      <alignment horizontal="center"/>
    </xf>
    <xf numFmtId="0" fontId="0" fillId="0" borderId="235" xfId="0" applyBorder="1" applyAlignment="1">
      <alignment horizontal="center"/>
    </xf>
    <xf numFmtId="0" fontId="0" fillId="0" borderId="237" xfId="0" applyBorder="1" applyAlignment="1">
      <alignment horizontal="center"/>
    </xf>
    <xf numFmtId="0" fontId="0" fillId="0" borderId="211" xfId="0" applyBorder="1" applyAlignment="1">
      <alignment horizontal="center"/>
    </xf>
    <xf numFmtId="0" fontId="0" fillId="0" borderId="213" xfId="0" applyBorder="1" applyAlignment="1">
      <alignment horizontal="center"/>
    </xf>
    <xf numFmtId="164" fontId="0" fillId="0" borderId="131" xfId="0" applyNumberFormat="1" applyBorder="1"/>
    <xf numFmtId="0" fontId="0" fillId="0" borderId="243" xfId="0" applyBorder="1"/>
    <xf numFmtId="0" fontId="0" fillId="0" borderId="207" xfId="0" applyNumberFormat="1" applyFont="1" applyBorder="1"/>
    <xf numFmtId="0" fontId="0" fillId="0" borderId="239" xfId="0" applyFont="1" applyBorder="1"/>
    <xf numFmtId="0" fontId="0" fillId="0" borderId="207" xfId="0" applyFont="1" applyFill="1" applyBorder="1"/>
    <xf numFmtId="0" fontId="0" fillId="0" borderId="148" xfId="0" applyFont="1" applyFill="1" applyBorder="1"/>
    <xf numFmtId="0" fontId="0" fillId="0" borderId="133" xfId="0" applyFont="1" applyFill="1" applyBorder="1"/>
    <xf numFmtId="0" fontId="5" fillId="0" borderId="245" xfId="0" applyFont="1" applyBorder="1" applyAlignment="1">
      <alignment horizontal="center"/>
    </xf>
    <xf numFmtId="0" fontId="0" fillId="0" borderId="246" xfId="0" applyBorder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44" xfId="0" applyBorder="1"/>
    <xf numFmtId="0" fontId="0" fillId="0" borderId="206" xfId="0" applyNumberFormat="1" applyFont="1" applyFill="1" applyBorder="1"/>
    <xf numFmtId="0" fontId="0" fillId="0" borderId="0" xfId="0" applyFont="1" applyAlignment="1"/>
    <xf numFmtId="0" fontId="0" fillId="0" borderId="0" xfId="0" quotePrefix="1" applyFont="1" applyAlignment="1">
      <alignment horizontal="left"/>
    </xf>
    <xf numFmtId="0" fontId="0" fillId="0" borderId="0" xfId="0" quotePrefix="1" applyBorder="1"/>
    <xf numFmtId="0" fontId="0" fillId="0" borderId="0" xfId="0" quotePrefix="1" applyBorder="1" applyAlignment="1">
      <alignment horizontal="left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0" fillId="0" borderId="228" xfId="0" applyFill="1" applyBorder="1" applyAlignment="1">
      <alignment horizontal="center"/>
    </xf>
    <xf numFmtId="0" fontId="0" fillId="0" borderId="1" xfId="0" quotePrefix="1" applyBorder="1"/>
    <xf numFmtId="0" fontId="0" fillId="0" borderId="3" xfId="0" quotePrefix="1" applyBorder="1"/>
    <xf numFmtId="0" fontId="0" fillId="0" borderId="167" xfId="0" quotePrefix="1" applyBorder="1"/>
    <xf numFmtId="0" fontId="0" fillId="0" borderId="148" xfId="0" quotePrefix="1" applyBorder="1"/>
    <xf numFmtId="0" fontId="0" fillId="0" borderId="131" xfId="0" quotePrefix="1" applyBorder="1"/>
    <xf numFmtId="0" fontId="0" fillId="0" borderId="133" xfId="0" quotePrefix="1" applyBorder="1"/>
    <xf numFmtId="0" fontId="0" fillId="0" borderId="214" xfId="0" applyFill="1" applyBorder="1"/>
    <xf numFmtId="0" fontId="0" fillId="0" borderId="0" xfId="0" applyAlignment="1">
      <alignment horizontal="center"/>
    </xf>
    <xf numFmtId="0" fontId="0" fillId="0" borderId="132" xfId="0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206" xfId="0" applyBorder="1" applyAlignment="1">
      <alignment horizontal="center"/>
    </xf>
    <xf numFmtId="0" fontId="0" fillId="0" borderId="247" xfId="0" applyBorder="1"/>
    <xf numFmtId="0" fontId="4" fillId="0" borderId="0" xfId="0" applyFont="1" applyFill="1" applyBorder="1" applyAlignment="1">
      <alignment horizontal="right"/>
    </xf>
    <xf numFmtId="0" fontId="0" fillId="0" borderId="0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168" fontId="0" fillId="0" borderId="148" xfId="4" applyNumberFormat="1" applyFont="1" applyBorder="1"/>
    <xf numFmtId="168" fontId="0" fillId="0" borderId="131" xfId="4" applyNumberFormat="1" applyFont="1" applyBorder="1"/>
    <xf numFmtId="168" fontId="0" fillId="0" borderId="133" xfId="4" applyNumberFormat="1" applyFont="1" applyBorder="1"/>
    <xf numFmtId="0" fontId="0" fillId="0" borderId="214" xfId="0" applyBorder="1" applyAlignment="1">
      <alignment horizontal="center"/>
    </xf>
    <xf numFmtId="0" fontId="0" fillId="0" borderId="178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46" xfId="0" applyBorder="1" applyAlignment="1">
      <alignment horizontal="center"/>
    </xf>
    <xf numFmtId="0" fontId="0" fillId="0" borderId="248" xfId="0" applyBorder="1"/>
    <xf numFmtId="0" fontId="0" fillId="0" borderId="249" xfId="0" applyBorder="1"/>
    <xf numFmtId="0" fontId="0" fillId="0" borderId="250" xfId="0" applyBorder="1"/>
    <xf numFmtId="0" fontId="0" fillId="0" borderId="251" xfId="0" applyBorder="1"/>
    <xf numFmtId="0" fontId="0" fillId="0" borderId="252" xfId="0" applyBorder="1"/>
    <xf numFmtId="0" fontId="0" fillId="0" borderId="253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52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46" xfId="0" applyBorder="1" applyAlignment="1">
      <alignment horizontal="right"/>
    </xf>
    <xf numFmtId="9" fontId="0" fillId="0" borderId="131" xfId="4" applyFont="1" applyBorder="1"/>
    <xf numFmtId="9" fontId="0" fillId="0" borderId="214" xfId="4" applyFont="1" applyBorder="1"/>
    <xf numFmtId="9" fontId="0" fillId="0" borderId="133" xfId="4" applyFont="1" applyBorder="1"/>
    <xf numFmtId="168" fontId="0" fillId="0" borderId="214" xfId="4" applyNumberFormat="1" applyFont="1" applyBorder="1"/>
    <xf numFmtId="168" fontId="0" fillId="0" borderId="253" xfId="4" applyNumberFormat="1" applyFont="1" applyBorder="1"/>
    <xf numFmtId="0" fontId="0" fillId="8" borderId="0" xfId="0" applyFill="1" applyBorder="1"/>
    <xf numFmtId="0" fontId="0" fillId="0" borderId="248" xfId="0" applyBorder="1" applyAlignment="1">
      <alignment horizontal="center"/>
    </xf>
    <xf numFmtId="0" fontId="0" fillId="0" borderId="236" xfId="0" applyBorder="1" applyAlignment="1">
      <alignment horizontal="center"/>
    </xf>
    <xf numFmtId="10" fontId="0" fillId="0" borderId="249" xfId="0" applyNumberFormat="1" applyBorder="1"/>
    <xf numFmtId="10" fontId="0" fillId="0" borderId="18" xfId="0" applyNumberFormat="1" applyBorder="1"/>
    <xf numFmtId="0" fontId="0" fillId="0" borderId="212" xfId="0" applyBorder="1" applyAlignment="1">
      <alignment horizontal="center"/>
    </xf>
    <xf numFmtId="10" fontId="0" fillId="0" borderId="213" xfId="0" applyNumberFormat="1" applyBorder="1"/>
    <xf numFmtId="10" fontId="0" fillId="0" borderId="211" xfId="0" applyNumberFormat="1" applyBorder="1"/>
    <xf numFmtId="10" fontId="0" fillId="0" borderId="212" xfId="0" applyNumberFormat="1" applyBorder="1"/>
    <xf numFmtId="9" fontId="0" fillId="0" borderId="252" xfId="4" applyFont="1" applyBorder="1"/>
    <xf numFmtId="9" fontId="0" fillId="0" borderId="250" xfId="4" applyFont="1" applyBorder="1"/>
    <xf numFmtId="9" fontId="0" fillId="0" borderId="253" xfId="4" applyFont="1" applyBorder="1"/>
    <xf numFmtId="9" fontId="0" fillId="0" borderId="167" xfId="4" applyFont="1" applyBorder="1"/>
    <xf numFmtId="9" fontId="0" fillId="0" borderId="0" xfId="4" applyFont="1" applyBorder="1"/>
    <xf numFmtId="9" fontId="0" fillId="0" borderId="148" xfId="4" applyFont="1" applyBorder="1"/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52" xfId="0" applyFont="1" applyBorder="1" applyAlignment="1">
      <alignment horizontal="center"/>
    </xf>
    <xf numFmtId="0" fontId="0" fillId="0" borderId="171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8" fontId="0" fillId="0" borderId="248" xfId="0" applyNumberFormat="1" applyBorder="1"/>
    <xf numFmtId="168" fontId="0" fillId="0" borderId="236" xfId="0" applyNumberFormat="1" applyBorder="1"/>
    <xf numFmtId="168" fontId="0" fillId="0" borderId="249" xfId="0" applyNumberFormat="1" applyBorder="1"/>
    <xf numFmtId="168" fontId="0" fillId="0" borderId="151" xfId="0" applyNumberFormat="1" applyBorder="1"/>
    <xf numFmtId="168" fontId="0" fillId="0" borderId="0" xfId="0" applyNumberFormat="1" applyBorder="1"/>
    <xf numFmtId="168" fontId="0" fillId="0" borderId="18" xfId="0" applyNumberFormat="1" applyBorder="1"/>
    <xf numFmtId="168" fontId="0" fillId="0" borderId="211" xfId="0" applyNumberFormat="1" applyBorder="1"/>
    <xf numFmtId="168" fontId="0" fillId="0" borderId="212" xfId="0" applyNumberFormat="1" applyBorder="1"/>
    <xf numFmtId="168" fontId="0" fillId="0" borderId="213" xfId="0" applyNumberFormat="1" applyBorder="1"/>
    <xf numFmtId="0" fontId="0" fillId="0" borderId="249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6" fillId="0" borderId="0" xfId="0" applyFont="1"/>
    <xf numFmtId="0" fontId="10" fillId="0" borderId="132" xfId="0" applyFont="1" applyBorder="1"/>
    <xf numFmtId="0" fontId="10" fillId="0" borderId="132" xfId="2" applyFont="1" applyBorder="1" applyAlignment="1">
      <alignment horizontal="right"/>
    </xf>
    <xf numFmtId="164" fontId="10" fillId="0" borderId="132" xfId="2" quotePrefix="1" applyNumberFormat="1" applyFont="1" applyBorder="1" applyAlignment="1">
      <alignment horizontal="right"/>
    </xf>
    <xf numFmtId="164" fontId="10" fillId="0" borderId="132" xfId="0" applyNumberFormat="1" applyFont="1" applyBorder="1"/>
    <xf numFmtId="3" fontId="10" fillId="0" borderId="132" xfId="2" applyNumberFormat="1" applyFont="1" applyFill="1" applyBorder="1" applyAlignment="1">
      <alignment horizontal="right" wrapText="1"/>
    </xf>
    <xf numFmtId="164" fontId="10" fillId="0" borderId="132" xfId="2" applyNumberFormat="1" applyFont="1" applyBorder="1" applyAlignment="1"/>
    <xf numFmtId="2" fontId="10" fillId="0" borderId="132" xfId="2" applyNumberFormat="1" applyFont="1" applyBorder="1" applyAlignment="1"/>
    <xf numFmtId="164" fontId="10" fillId="0" borderId="132" xfId="2" applyNumberFormat="1" applyFont="1" applyBorder="1" applyAlignment="1">
      <alignment horizontal="right" wrapText="1"/>
    </xf>
    <xf numFmtId="164" fontId="10" fillId="0" borderId="132" xfId="3" applyNumberFormat="1" applyFont="1" applyBorder="1" applyAlignment="1"/>
    <xf numFmtId="3" fontId="10" fillId="0" borderId="132" xfId="2" applyNumberFormat="1" applyFont="1" applyBorder="1"/>
    <xf numFmtId="0" fontId="10" fillId="0" borderId="0" xfId="0" applyFont="1" applyAlignment="1">
      <alignment horizontal="right"/>
    </xf>
    <xf numFmtId="0" fontId="10" fillId="0" borderId="185" xfId="0" applyFont="1" applyBorder="1"/>
    <xf numFmtId="0" fontId="10" fillId="0" borderId="2" xfId="0" applyFont="1" applyBorder="1"/>
    <xf numFmtId="0" fontId="10" fillId="0" borderId="187" xfId="0" applyFont="1" applyBorder="1"/>
    <xf numFmtId="0" fontId="10" fillId="0" borderId="131" xfId="0" applyFont="1" applyBorder="1"/>
    <xf numFmtId="0" fontId="10" fillId="0" borderId="133" xfId="0" applyFont="1" applyBorder="1"/>
    <xf numFmtId="0" fontId="10" fillId="0" borderId="184" xfId="0" applyFont="1" applyBorder="1"/>
    <xf numFmtId="0" fontId="10" fillId="0" borderId="153" xfId="0" applyFont="1" applyBorder="1"/>
    <xf numFmtId="0" fontId="10" fillId="0" borderId="134" xfId="0" applyFont="1" applyBorder="1"/>
    <xf numFmtId="0" fontId="10" fillId="0" borderId="14" xfId="0" applyNumberFormat="1" applyFont="1" applyBorder="1" applyAlignment="1">
      <alignment horizontal="right"/>
    </xf>
    <xf numFmtId="0" fontId="0" fillId="0" borderId="7" xfId="0" applyFont="1" applyBorder="1" applyAlignment="1"/>
    <xf numFmtId="0" fontId="10" fillId="0" borderId="0" xfId="2" applyNumberFormat="1" applyFont="1" applyFill="1" applyBorder="1" applyAlignment="1">
      <alignment horizontal="right" wrapText="1"/>
    </xf>
    <xf numFmtId="0" fontId="0" fillId="0" borderId="100" xfId="0" applyFont="1" applyBorder="1"/>
    <xf numFmtId="0" fontId="0" fillId="0" borderId="75" xfId="0" applyFont="1" applyBorder="1"/>
    <xf numFmtId="0" fontId="0" fillId="0" borderId="46" xfId="0" applyFont="1" applyBorder="1"/>
    <xf numFmtId="0" fontId="0" fillId="0" borderId="45" xfId="0" applyFont="1" applyBorder="1"/>
    <xf numFmtId="0" fontId="0" fillId="0" borderId="10" xfId="0" applyFont="1" applyBorder="1"/>
    <xf numFmtId="164" fontId="10" fillId="0" borderId="0" xfId="2" applyNumberFormat="1" applyFont="1" applyBorder="1" applyAlignment="1">
      <alignment horizontal="right"/>
    </xf>
    <xf numFmtId="0" fontId="10" fillId="0" borderId="19" xfId="0" applyFont="1" applyBorder="1"/>
    <xf numFmtId="0" fontId="10" fillId="0" borderId="19" xfId="2" applyFont="1" applyBorder="1" applyAlignment="1">
      <alignment horizontal="right"/>
    </xf>
    <xf numFmtId="164" fontId="10" fillId="0" borderId="19" xfId="2" quotePrefix="1" applyNumberFormat="1" applyFont="1" applyBorder="1" applyAlignment="1">
      <alignment horizontal="right"/>
    </xf>
    <xf numFmtId="164" fontId="10" fillId="0" borderId="19" xfId="0" applyNumberFormat="1" applyFont="1" applyBorder="1"/>
    <xf numFmtId="0" fontId="10" fillId="0" borderId="19" xfId="2" applyNumberFormat="1" applyFont="1" applyFill="1" applyBorder="1" applyAlignment="1">
      <alignment horizontal="right" wrapText="1"/>
    </xf>
    <xf numFmtId="0" fontId="0" fillId="0" borderId="252" xfId="0" applyNumberFormat="1" applyFont="1" applyBorder="1"/>
    <xf numFmtId="0" fontId="0" fillId="0" borderId="253" xfId="0" applyNumberFormat="1" applyFont="1" applyFill="1" applyBorder="1"/>
    <xf numFmtId="0" fontId="0" fillId="0" borderId="133" xfId="0" applyNumberFormat="1" applyFont="1" applyBorder="1"/>
    <xf numFmtId="0" fontId="5" fillId="0" borderId="214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253" xfId="0" applyFill="1" applyBorder="1"/>
    <xf numFmtId="164" fontId="0" fillId="0" borderId="214" xfId="0" applyNumberFormat="1" applyBorder="1"/>
    <xf numFmtId="0" fontId="0" fillId="0" borderId="246" xfId="0" applyFill="1" applyBorder="1"/>
    <xf numFmtId="164" fontId="0" fillId="0" borderId="246" xfId="0" applyNumberFormat="1" applyBorder="1"/>
    <xf numFmtId="164" fontId="0" fillId="0" borderId="3" xfId="0" applyNumberFormat="1" applyBorder="1"/>
    <xf numFmtId="164" fontId="0" fillId="0" borderId="148" xfId="0" applyNumberFormat="1" applyBorder="1"/>
    <xf numFmtId="164" fontId="0" fillId="0" borderId="133" xfId="0" applyNumberFormat="1" applyBorder="1"/>
    <xf numFmtId="164" fontId="0" fillId="0" borderId="134" xfId="0" applyNumberFormat="1" applyBorder="1"/>
    <xf numFmtId="0" fontId="0" fillId="0" borderId="254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74" xfId="0" applyFill="1" applyBorder="1"/>
    <xf numFmtId="165" fontId="0" fillId="0" borderId="246" xfId="0" applyNumberFormat="1" applyBorder="1"/>
    <xf numFmtId="165" fontId="0" fillId="0" borderId="253" xfId="0" applyNumberFormat="1" applyBorder="1"/>
    <xf numFmtId="165" fontId="0" fillId="0" borderId="214" xfId="0" applyNumberFormat="1" applyBorder="1"/>
    <xf numFmtId="165" fontId="0" fillId="0" borderId="252" xfId="0" applyNumberFormat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81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" xfId="0" applyBorder="1" applyAlignment="1"/>
    <xf numFmtId="0" fontId="0" fillId="0" borderId="3" xfId="0" applyBorder="1" applyAlignment="1"/>
    <xf numFmtId="0" fontId="0" fillId="0" borderId="167" xfId="0" applyBorder="1" applyAlignment="1"/>
    <xf numFmtId="0" fontId="0" fillId="0" borderId="148" xfId="0" applyBorder="1" applyAlignment="1"/>
    <xf numFmtId="0" fontId="0" fillId="0" borderId="131" xfId="0" applyBorder="1" applyAlignment="1"/>
    <xf numFmtId="0" fontId="0" fillId="0" borderId="133" xfId="0" applyBorder="1" applyAlignment="1"/>
    <xf numFmtId="0" fontId="0" fillId="0" borderId="0" xfId="0" applyAlignment="1">
      <alignment horizontal="center"/>
    </xf>
    <xf numFmtId="0" fontId="0" fillId="0" borderId="178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250" xfId="0" applyFill="1" applyBorder="1"/>
    <xf numFmtId="0" fontId="0" fillId="4" borderId="253" xfId="0" applyFill="1" applyBorder="1"/>
    <xf numFmtId="0" fontId="0" fillId="4" borderId="214" xfId="0" applyFill="1" applyBorder="1"/>
    <xf numFmtId="0" fontId="0" fillId="0" borderId="250" xfId="0" applyFill="1" applyBorder="1"/>
    <xf numFmtId="0" fontId="0" fillId="0" borderId="234" xfId="0" applyBorder="1" applyAlignment="1">
      <alignment horizontal="right"/>
    </xf>
    <xf numFmtId="164" fontId="0" fillId="0" borderId="252" xfId="0" applyNumberFormat="1" applyBorder="1"/>
    <xf numFmtId="164" fontId="0" fillId="0" borderId="253" xfId="0" applyNumberFormat="1" applyBorder="1"/>
    <xf numFmtId="0" fontId="0" fillId="0" borderId="0" xfId="0" applyAlignment="1">
      <alignment horizontal="center"/>
    </xf>
    <xf numFmtId="0" fontId="0" fillId="0" borderId="178" xfId="0" applyBorder="1" applyAlignment="1">
      <alignment horizontal="center"/>
    </xf>
    <xf numFmtId="0" fontId="0" fillId="0" borderId="174" xfId="0" applyBorder="1" applyAlignment="1">
      <alignment horizontal="center"/>
    </xf>
    <xf numFmtId="0" fontId="0" fillId="0" borderId="176" xfId="0" applyBorder="1" applyAlignment="1">
      <alignment horizontal="center"/>
    </xf>
    <xf numFmtId="0" fontId="0" fillId="0" borderId="228" xfId="0" applyBorder="1"/>
    <xf numFmtId="164" fontId="0" fillId="0" borderId="228" xfId="0" applyNumberFormat="1" applyBorder="1"/>
    <xf numFmtId="0" fontId="0" fillId="0" borderId="0" xfId="0" applyAlignment="1">
      <alignment horizontal="center"/>
    </xf>
    <xf numFmtId="0" fontId="0" fillId="0" borderId="178" xfId="0" applyBorder="1" applyAlignment="1">
      <alignment horizontal="center"/>
    </xf>
    <xf numFmtId="0" fontId="0" fillId="0" borderId="174" xfId="0" applyBorder="1" applyAlignment="1">
      <alignment horizontal="center"/>
    </xf>
    <xf numFmtId="0" fontId="0" fillId="0" borderId="176" xfId="0" applyBorder="1" applyAlignment="1">
      <alignment horizontal="center"/>
    </xf>
    <xf numFmtId="0" fontId="0" fillId="0" borderId="251" xfId="0" applyBorder="1" applyAlignment="1">
      <alignment horizontal="center"/>
    </xf>
    <xf numFmtId="0" fontId="0" fillId="0" borderId="25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0" fillId="0" borderId="252" xfId="0" applyBorder="1" applyAlignment="1">
      <alignment horizontal="center"/>
    </xf>
    <xf numFmtId="0" fontId="2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51" xfId="0" applyNumberFormat="1" applyBorder="1"/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9" fontId="0" fillId="0" borderId="0" xfId="4" applyFont="1" applyAlignment="1">
      <alignment horizontal="center"/>
    </xf>
    <xf numFmtId="9" fontId="0" fillId="0" borderId="174" xfId="4" applyFont="1" applyBorder="1" applyAlignment="1">
      <alignment horizontal="center"/>
    </xf>
    <xf numFmtId="9" fontId="0" fillId="0" borderId="178" xfId="4" applyFont="1" applyBorder="1" applyAlignment="1">
      <alignment horizontal="center"/>
    </xf>
    <xf numFmtId="9" fontId="0" fillId="0" borderId="176" xfId="4" applyFont="1" applyBorder="1" applyAlignment="1">
      <alignment horizontal="center"/>
    </xf>
    <xf numFmtId="9" fontId="0" fillId="0" borderId="0" xfId="4" applyFont="1" applyBorder="1" applyAlignment="1">
      <alignment horizontal="center"/>
    </xf>
    <xf numFmtId="0" fontId="0" fillId="0" borderId="255" xfId="0" applyBorder="1"/>
    <xf numFmtId="0" fontId="0" fillId="0" borderId="256" xfId="0" applyBorder="1"/>
    <xf numFmtId="0" fontId="0" fillId="0" borderId="257" xfId="0" applyBorder="1"/>
    <xf numFmtId="0" fontId="0" fillId="0" borderId="258" xfId="0" applyBorder="1"/>
    <xf numFmtId="0" fontId="0" fillId="0" borderId="259" xfId="0" applyBorder="1"/>
    <xf numFmtId="0" fontId="0" fillId="0" borderId="260" xfId="0" applyBorder="1"/>
    <xf numFmtId="0" fontId="0" fillId="0" borderId="262" xfId="0" applyBorder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22" fillId="0" borderId="153" xfId="0" applyFont="1" applyFill="1" applyBorder="1" applyAlignment="1">
      <alignment horizontal="right" wrapText="1"/>
    </xf>
    <xf numFmtId="0" fontId="22" fillId="0" borderId="260" xfId="0" applyFont="1" applyFill="1" applyBorder="1" applyAlignment="1">
      <alignment horizontal="right" wrapText="1"/>
    </xf>
    <xf numFmtId="0" fontId="22" fillId="0" borderId="134" xfId="0" applyFont="1" applyFill="1" applyBorder="1" applyAlignment="1">
      <alignment horizontal="right" wrapText="1"/>
    </xf>
    <xf numFmtId="0" fontId="0" fillId="0" borderId="246" xfId="0" applyFill="1" applyBorder="1" applyAlignment="1">
      <alignment horizontal="right"/>
    </xf>
    <xf numFmtId="0" fontId="0" fillId="0" borderId="214" xfId="0" applyFill="1" applyBorder="1" applyAlignment="1">
      <alignment horizontal="right"/>
    </xf>
    <xf numFmtId="1" fontId="0" fillId="0" borderId="253" xfId="0" applyNumberFormat="1" applyBorder="1"/>
    <xf numFmtId="1" fontId="0" fillId="0" borderId="133" xfId="0" applyNumberFormat="1" applyBorder="1"/>
    <xf numFmtId="0" fontId="0" fillId="0" borderId="0" xfId="0" applyAlignment="1">
      <alignment horizontal="center"/>
    </xf>
    <xf numFmtId="0" fontId="0" fillId="0" borderId="1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78" xfId="0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63" xfId="0" applyBorder="1"/>
    <xf numFmtId="0" fontId="0" fillId="0" borderId="264" xfId="0" applyBorder="1"/>
    <xf numFmtId="0" fontId="0" fillId="0" borderId="265" xfId="0" applyBorder="1"/>
    <xf numFmtId="0" fontId="0" fillId="0" borderId="266" xfId="0" applyBorder="1"/>
    <xf numFmtId="0" fontId="0" fillId="0" borderId="267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61" xfId="0" applyBorder="1"/>
    <xf numFmtId="0" fontId="0" fillId="5" borderId="253" xfId="0" applyFill="1" applyBorder="1"/>
    <xf numFmtId="0" fontId="0" fillId="5" borderId="148" xfId="0" applyFill="1" applyBorder="1"/>
    <xf numFmtId="0" fontId="0" fillId="5" borderId="214" xfId="0" applyFill="1" applyBorder="1"/>
    <xf numFmtId="0" fontId="0" fillId="5" borderId="133" xfId="0" applyFill="1" applyBorder="1"/>
    <xf numFmtId="0" fontId="0" fillId="5" borderId="252" xfId="0" applyFill="1" applyBorder="1"/>
    <xf numFmtId="0" fontId="0" fillId="5" borderId="246" xfId="0" applyFill="1" applyBorder="1"/>
    <xf numFmtId="0" fontId="0" fillId="5" borderId="167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228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7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7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73" xfId="0" applyBorder="1"/>
    <xf numFmtId="0" fontId="0" fillId="0" borderId="173" xfId="0" applyBorder="1" applyAlignment="1">
      <alignment horizontal="center"/>
    </xf>
    <xf numFmtId="0" fontId="0" fillId="9" borderId="0" xfId="0" applyFill="1" applyBorder="1"/>
    <xf numFmtId="0" fontId="0" fillId="9" borderId="214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68" xfId="0" applyBorder="1"/>
    <xf numFmtId="0" fontId="0" fillId="0" borderId="269" xfId="0" applyBorder="1" applyAlignment="1">
      <alignment horizontal="center"/>
    </xf>
    <xf numFmtId="0" fontId="0" fillId="0" borderId="270" xfId="0" applyBorder="1" applyAlignment="1">
      <alignment horizontal="center"/>
    </xf>
    <xf numFmtId="0" fontId="0" fillId="0" borderId="271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/>
    <xf numFmtId="165" fontId="0" fillId="0" borderId="3" xfId="0" applyNumberFormat="1" applyBorder="1"/>
    <xf numFmtId="0" fontId="27" fillId="0" borderId="0" xfId="0" applyFont="1" applyAlignment="1">
      <alignment vertical="center"/>
    </xf>
    <xf numFmtId="0" fontId="27" fillId="0" borderId="0" xfId="0" applyFont="1" applyAlignment="1">
      <alignment horizontal="right" vertical="center"/>
    </xf>
    <xf numFmtId="2" fontId="2" fillId="0" borderId="0" xfId="0" applyNumberFormat="1" applyFont="1"/>
    <xf numFmtId="3" fontId="0" fillId="0" borderId="0" xfId="0" applyNumberFormat="1" applyBorder="1"/>
    <xf numFmtId="2" fontId="0" fillId="0" borderId="246" xfId="0" applyNumberFormat="1" applyBorder="1"/>
    <xf numFmtId="2" fontId="0" fillId="0" borderId="1" xfId="0" applyNumberFormat="1" applyBorder="1"/>
    <xf numFmtId="0" fontId="0" fillId="0" borderId="272" xfId="0" applyBorder="1"/>
    <xf numFmtId="0" fontId="0" fillId="0" borderId="273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9" borderId="246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9" borderId="274" xfId="0" applyFill="1" applyBorder="1"/>
    <xf numFmtId="0" fontId="0" fillId="9" borderId="275" xfId="0" applyFill="1" applyBorder="1"/>
    <xf numFmtId="0" fontId="0" fillId="9" borderId="276" xfId="0" applyFill="1" applyBorder="1"/>
    <xf numFmtId="0" fontId="0" fillId="9" borderId="151" xfId="0" applyFill="1" applyBorder="1"/>
    <xf numFmtId="0" fontId="0" fillId="9" borderId="18" xfId="0" applyFill="1" applyBorder="1"/>
    <xf numFmtId="0" fontId="0" fillId="9" borderId="211" xfId="0" applyFill="1" applyBorder="1"/>
    <xf numFmtId="0" fontId="0" fillId="9" borderId="212" xfId="0" applyFill="1" applyBorder="1"/>
    <xf numFmtId="0" fontId="0" fillId="9" borderId="213" xfId="0" applyFill="1" applyBorder="1"/>
    <xf numFmtId="0" fontId="0" fillId="0" borderId="277" xfId="0" applyBorder="1"/>
    <xf numFmtId="0" fontId="0" fillId="0" borderId="278" xfId="0" applyBorder="1"/>
    <xf numFmtId="0" fontId="0" fillId="0" borderId="278" xfId="0" applyBorder="1" applyAlignment="1">
      <alignment horizontal="center"/>
    </xf>
    <xf numFmtId="0" fontId="0" fillId="9" borderId="279" xfId="0" applyFill="1" applyBorder="1"/>
    <xf numFmtId="0" fontId="0" fillId="9" borderId="280" xfId="0" applyFill="1" applyBorder="1"/>
    <xf numFmtId="0" fontId="0" fillId="9" borderId="281" xfId="0" applyFill="1" applyBorder="1"/>
    <xf numFmtId="0" fontId="0" fillId="0" borderId="282" xfId="0" applyBorder="1"/>
    <xf numFmtId="0" fontId="0" fillId="0" borderId="283" xfId="0" applyBorder="1"/>
    <xf numFmtId="0" fontId="0" fillId="0" borderId="283" xfId="0" applyBorder="1" applyAlignment="1">
      <alignment horizontal="center"/>
    </xf>
    <xf numFmtId="0" fontId="0" fillId="9" borderId="282" xfId="0" applyFill="1" applyBorder="1"/>
    <xf numFmtId="0" fontId="0" fillId="9" borderId="284" xfId="0" applyFill="1" applyBorder="1"/>
    <xf numFmtId="0" fontId="0" fillId="9" borderId="285" xfId="0" applyFill="1" applyBorder="1"/>
    <xf numFmtId="0" fontId="0" fillId="9" borderId="286" xfId="0" applyFill="1" applyBorder="1"/>
    <xf numFmtId="0" fontId="0" fillId="0" borderId="284" xfId="0" applyBorder="1"/>
    <xf numFmtId="0" fontId="0" fillId="0" borderId="280" xfId="0" applyBorder="1"/>
    <xf numFmtId="0" fontId="0" fillId="0" borderId="286" xfId="0" applyBorder="1"/>
    <xf numFmtId="0" fontId="0" fillId="0" borderId="287" xfId="0" applyBorder="1"/>
    <xf numFmtId="0" fontId="0" fillId="0" borderId="288" xfId="0" applyBorder="1"/>
    <xf numFmtId="0" fontId="0" fillId="0" borderId="288" xfId="0" applyBorder="1" applyAlignment="1">
      <alignment horizontal="center"/>
    </xf>
    <xf numFmtId="0" fontId="0" fillId="0" borderId="289" xfId="0" applyBorder="1"/>
    <xf numFmtId="0" fontId="0" fillId="0" borderId="290" xfId="0" applyBorder="1"/>
    <xf numFmtId="0" fontId="0" fillId="0" borderId="291" xfId="0" applyBorder="1"/>
    <xf numFmtId="0" fontId="0" fillId="0" borderId="18" xfId="0" applyBorder="1" applyAlignment="1">
      <alignment horizontal="right"/>
    </xf>
    <xf numFmtId="0" fontId="0" fillId="0" borderId="192" xfId="0" applyBorder="1" applyAlignment="1">
      <alignment horizontal="right"/>
    </xf>
    <xf numFmtId="164" fontId="0" fillId="0" borderId="294" xfId="0" applyNumberFormat="1" applyBorder="1"/>
    <xf numFmtId="164" fontId="0" fillId="0" borderId="293" xfId="0" applyNumberFormat="1" applyBorder="1"/>
    <xf numFmtId="164" fontId="0" fillId="0" borderId="295" xfId="0" applyNumberFormat="1" applyBorder="1"/>
    <xf numFmtId="164" fontId="0" fillId="0" borderId="153" xfId="0" applyNumberFormat="1" applyBorder="1"/>
    <xf numFmtId="164" fontId="0" fillId="0" borderId="290" xfId="0" applyNumberFormat="1" applyBorder="1"/>
    <xf numFmtId="164" fontId="0" fillId="0" borderId="280" xfId="0" applyNumberFormat="1" applyBorder="1"/>
    <xf numFmtId="164" fontId="0" fillId="0" borderId="286" xfId="0" applyNumberFormat="1" applyBorder="1"/>
    <xf numFmtId="164" fontId="0" fillId="0" borderId="211" xfId="0" applyNumberFormat="1" applyBorder="1"/>
    <xf numFmtId="164" fontId="0" fillId="0" borderId="212" xfId="0" applyNumberFormat="1" applyBorder="1"/>
    <xf numFmtId="164" fontId="0" fillId="0" borderId="213" xfId="0" applyNumberFormat="1" applyBorder="1"/>
    <xf numFmtId="0" fontId="0" fillId="0" borderId="296" xfId="0" applyBorder="1" applyAlignment="1">
      <alignment horizontal="center"/>
    </xf>
    <xf numFmtId="0" fontId="0" fillId="0" borderId="296" xfId="0" applyBorder="1"/>
    <xf numFmtId="164" fontId="0" fillId="0" borderId="151" xfId="0" applyNumberFormat="1" applyBorder="1"/>
    <xf numFmtId="164" fontId="0" fillId="0" borderId="18" xfId="0" applyNumberFormat="1" applyBorder="1"/>
    <xf numFmtId="0" fontId="0" fillId="0" borderId="294" xfId="0" applyBorder="1"/>
    <xf numFmtId="0" fontId="0" fillId="0" borderId="295" xfId="0" applyBorder="1"/>
    <xf numFmtId="0" fontId="0" fillId="0" borderId="291" xfId="0" applyBorder="1" applyAlignment="1">
      <alignment horizontal="right"/>
    </xf>
    <xf numFmtId="0" fontId="0" fillId="0" borderId="297" xfId="0" applyBorder="1"/>
    <xf numFmtId="0" fontId="0" fillId="0" borderId="298" xfId="0" applyBorder="1"/>
    <xf numFmtId="0" fontId="3" fillId="0" borderId="0" xfId="1" applyNumberFormat="1" applyAlignment="1" applyProtection="1"/>
    <xf numFmtId="165" fontId="0" fillId="0" borderId="294" xfId="0" applyNumberFormat="1" applyBorder="1"/>
    <xf numFmtId="165" fontId="0" fillId="0" borderId="295" xfId="0" applyNumberFormat="1" applyBorder="1"/>
    <xf numFmtId="165" fontId="0" fillId="0" borderId="296" xfId="0" applyNumberFormat="1" applyBorder="1"/>
    <xf numFmtId="0" fontId="0" fillId="0" borderId="174" xfId="0" applyBorder="1" applyAlignment="1">
      <alignment horizontal="center"/>
    </xf>
    <xf numFmtId="0" fontId="0" fillId="0" borderId="292" xfId="0" applyBorder="1" applyAlignment="1">
      <alignment horizontal="center"/>
    </xf>
    <xf numFmtId="0" fontId="0" fillId="0" borderId="17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29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14" xfId="0" applyBorder="1" applyAlignment="1">
      <alignment horizontal="center"/>
    </xf>
    <xf numFmtId="0" fontId="0" fillId="0" borderId="292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293" xfId="0" applyBorder="1"/>
    <xf numFmtId="0" fontId="0" fillId="0" borderId="294" xfId="0" applyBorder="1" applyAlignment="1">
      <alignment horizontal="center"/>
    </xf>
    <xf numFmtId="0" fontId="0" fillId="0" borderId="295" xfId="0" applyBorder="1" applyAlignment="1">
      <alignment horizontal="center"/>
    </xf>
    <xf numFmtId="0" fontId="0" fillId="0" borderId="246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0" fillId="0" borderId="176" xfId="0" applyFill="1" applyBorder="1" applyAlignment="1">
      <alignment horizontal="center"/>
    </xf>
    <xf numFmtId="0" fontId="10" fillId="0" borderId="294" xfId="0" applyFont="1" applyBorder="1"/>
    <xf numFmtId="0" fontId="10" fillId="0" borderId="246" xfId="0" applyFont="1" applyBorder="1"/>
    <xf numFmtId="0" fontId="10" fillId="0" borderId="295" xfId="0" applyFont="1" applyBorder="1"/>
    <xf numFmtId="0" fontId="10" fillId="0" borderId="214" xfId="0" applyFont="1" applyBorder="1"/>
    <xf numFmtId="0" fontId="0" fillId="0" borderId="134" xfId="0" applyFill="1" applyBorder="1"/>
    <xf numFmtId="0" fontId="10" fillId="0" borderId="174" xfId="0" applyFont="1" applyBorder="1"/>
    <xf numFmtId="0" fontId="10" fillId="0" borderId="292" xfId="0" applyFont="1" applyBorder="1"/>
    <xf numFmtId="0" fontId="10" fillId="0" borderId="176" xfId="0" applyFont="1" applyBorder="1"/>
    <xf numFmtId="0" fontId="0" fillId="0" borderId="171" xfId="0" applyBorder="1" applyAlignment="1">
      <alignment horizontal="left"/>
    </xf>
    <xf numFmtId="0" fontId="0" fillId="0" borderId="292" xfId="0" applyBorder="1"/>
    <xf numFmtId="0" fontId="0" fillId="0" borderId="171" xfId="0" applyNumberFormat="1" applyBorder="1"/>
    <xf numFmtId="0" fontId="5" fillId="0" borderId="299" xfId="0" applyFont="1" applyBorder="1" applyAlignment="1">
      <alignment horizontal="center"/>
    </xf>
    <xf numFmtId="0" fontId="5" fillId="0" borderId="300" xfId="0" applyFont="1" applyBorder="1" applyAlignment="1">
      <alignment horizontal="center"/>
    </xf>
    <xf numFmtId="0" fontId="5" fillId="0" borderId="301" xfId="0" applyFont="1" applyBorder="1" applyAlignment="1">
      <alignment horizontal="center"/>
    </xf>
    <xf numFmtId="0" fontId="5" fillId="0" borderId="245" xfId="0" applyFont="1" applyBorder="1" applyAlignment="1">
      <alignment horizontal="left"/>
    </xf>
    <xf numFmtId="0" fontId="0" fillId="0" borderId="228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4" xfId="0" applyBorder="1" applyAlignment="1">
      <alignment horizontal="center"/>
    </xf>
    <xf numFmtId="0" fontId="0" fillId="0" borderId="292" xfId="0" applyBorder="1" applyAlignment="1">
      <alignment horizontal="center"/>
    </xf>
    <xf numFmtId="0" fontId="0" fillId="0" borderId="17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0" fillId="0" borderId="125" xfId="0" applyBorder="1" applyAlignment="1">
      <alignment horizontal="right"/>
    </xf>
    <xf numFmtId="0" fontId="0" fillId="0" borderId="303" xfId="0" applyBorder="1"/>
    <xf numFmtId="0" fontId="0" fillId="0" borderId="304" xfId="0" applyBorder="1"/>
    <xf numFmtId="0" fontId="0" fillId="0" borderId="275" xfId="0" applyBorder="1"/>
    <xf numFmtId="0" fontId="0" fillId="6" borderId="305" xfId="0" applyFill="1" applyBorder="1" applyAlignment="1">
      <alignment horizontal="center" vertical="center" wrapText="1"/>
    </xf>
    <xf numFmtId="0" fontId="0" fillId="6" borderId="125" xfId="0" applyFill="1" applyBorder="1" applyAlignment="1">
      <alignment horizontal="center" vertical="center" wrapText="1"/>
    </xf>
    <xf numFmtId="0" fontId="0" fillId="6" borderId="125" xfId="0" applyFill="1" applyBorder="1" applyAlignment="1">
      <alignment horizontal="right" vertical="center" wrapText="1"/>
    </xf>
    <xf numFmtId="168" fontId="0" fillId="0" borderId="0" xfId="0" applyNumberFormat="1"/>
    <xf numFmtId="168" fontId="0" fillId="0" borderId="214" xfId="0" applyNumberFormat="1" applyBorder="1"/>
    <xf numFmtId="0" fontId="0" fillId="0" borderId="302" xfId="0" applyBorder="1"/>
    <xf numFmtId="0" fontId="0" fillId="0" borderId="290" xfId="0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306" xfId="0" applyBorder="1"/>
    <xf numFmtId="0" fontId="0" fillId="0" borderId="307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303" xfId="0" applyBorder="1" applyAlignment="1">
      <alignment horizontal="center"/>
    </xf>
    <xf numFmtId="0" fontId="0" fillId="0" borderId="214" xfId="0" applyFill="1" applyBorder="1" applyAlignment="1">
      <alignment horizontal="center"/>
    </xf>
    <xf numFmtId="0" fontId="0" fillId="0" borderId="271" xfId="0" applyBorder="1"/>
    <xf numFmtId="0" fontId="0" fillId="0" borderId="293" xfId="0" applyBorder="1" applyAlignment="1">
      <alignment horizontal="center"/>
    </xf>
    <xf numFmtId="0" fontId="0" fillId="0" borderId="293" xfId="0" applyNumberFormat="1" applyBorder="1"/>
    <xf numFmtId="0" fontId="0" fillId="0" borderId="303" xfId="0" applyFill="1" applyBorder="1" applyAlignment="1">
      <alignment horizontal="center"/>
    </xf>
    <xf numFmtId="0" fontId="0" fillId="0" borderId="13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292" xfId="0" applyFont="1" applyBorder="1"/>
    <xf numFmtId="0" fontId="15" fillId="0" borderId="292" xfId="0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0" fontId="15" fillId="0" borderId="214" xfId="0" applyFont="1" applyBorder="1"/>
    <xf numFmtId="3" fontId="15" fillId="0" borderId="214" xfId="2" applyNumberFormat="1" applyFont="1" applyFill="1" applyBorder="1" applyAlignment="1">
      <alignment horizontal="right" wrapText="1"/>
    </xf>
    <xf numFmtId="164" fontId="15" fillId="0" borderId="214" xfId="2" applyNumberFormat="1" applyFont="1" applyBorder="1" applyAlignment="1"/>
    <xf numFmtId="2" fontId="15" fillId="0" borderId="214" xfId="2" applyNumberFormat="1" applyFont="1" applyBorder="1" applyAlignment="1"/>
    <xf numFmtId="164" fontId="15" fillId="0" borderId="214" xfId="2" applyNumberFormat="1" applyFont="1" applyBorder="1" applyAlignment="1">
      <alignment horizontal="right" wrapText="1"/>
    </xf>
    <xf numFmtId="0" fontId="15" fillId="0" borderId="0" xfId="0" applyFont="1" applyFill="1" applyBorder="1"/>
    <xf numFmtId="0" fontId="9" fillId="0" borderId="0" xfId="0" applyFont="1" applyFill="1" applyBorder="1"/>
    <xf numFmtId="0" fontId="0" fillId="0" borderId="0" xfId="0" applyAlignment="1">
      <alignment horizontal="center"/>
    </xf>
    <xf numFmtId="0" fontId="10" fillId="0" borderId="29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200" xfId="0" applyFont="1" applyBorder="1"/>
    <xf numFmtId="0" fontId="10" fillId="0" borderId="303" xfId="0" applyFont="1" applyBorder="1"/>
    <xf numFmtId="0" fontId="10" fillId="0" borderId="271" xfId="0" applyFont="1" applyBorder="1"/>
    <xf numFmtId="0" fontId="28" fillId="0" borderId="245" xfId="0" applyFont="1" applyBorder="1" applyAlignment="1">
      <alignment horizontal="center"/>
    </xf>
    <xf numFmtId="164" fontId="10" fillId="0" borderId="214" xfId="0" applyNumberFormat="1" applyFont="1" applyBorder="1"/>
    <xf numFmtId="0" fontId="10" fillId="0" borderId="0" xfId="0" applyFont="1" applyBorder="1" applyAlignment="1">
      <alignment horizontal="center"/>
    </xf>
    <xf numFmtId="0" fontId="10" fillId="0" borderId="293" xfId="0" applyFont="1" applyBorder="1"/>
    <xf numFmtId="0" fontId="10" fillId="0" borderId="167" xfId="0" applyFont="1" applyBorder="1"/>
    <xf numFmtId="0" fontId="10" fillId="0" borderId="148" xfId="0" applyFont="1" applyBorder="1"/>
    <xf numFmtId="0" fontId="10" fillId="0" borderId="0" xfId="0" quotePrefix="1" applyFont="1"/>
    <xf numFmtId="0" fontId="28" fillId="0" borderId="214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0" fillId="0" borderId="291" xfId="0" applyFont="1" applyBorder="1"/>
    <xf numFmtId="0" fontId="10" fillId="0" borderId="192" xfId="0" applyFont="1" applyBorder="1"/>
    <xf numFmtId="0" fontId="10" fillId="0" borderId="210" xfId="0" applyFont="1" applyBorder="1"/>
    <xf numFmtId="0" fontId="10" fillId="0" borderId="214" xfId="0" applyFont="1" applyBorder="1" applyAlignment="1">
      <alignment horizontal="right"/>
    </xf>
    <xf numFmtId="0" fontId="10" fillId="0" borderId="302" xfId="0" applyFont="1" applyBorder="1"/>
    <xf numFmtId="0" fontId="0" fillId="0" borderId="35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174" xfId="0" applyBorder="1" applyAlignment="1">
      <alignment horizontal="center"/>
    </xf>
    <xf numFmtId="0" fontId="0" fillId="0" borderId="292" xfId="0" applyBorder="1" applyAlignment="1">
      <alignment horizontal="center"/>
    </xf>
    <xf numFmtId="0" fontId="0" fillId="0" borderId="176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63" xfId="0" quotePrefix="1" applyBorder="1" applyAlignment="1"/>
    <xf numFmtId="0" fontId="0" fillId="0" borderId="0" xfId="0" applyAlignment="1"/>
    <xf numFmtId="0" fontId="5" fillId="0" borderId="0" xfId="0" applyFont="1" applyAlignment="1"/>
    <xf numFmtId="0" fontId="0" fillId="0" borderId="227" xfId="0" applyBorder="1" applyAlignment="1">
      <alignment horizontal="center"/>
    </xf>
    <xf numFmtId="0" fontId="0" fillId="0" borderId="228" xfId="0" applyBorder="1" applyAlignment="1">
      <alignment horizontal="center"/>
    </xf>
    <xf numFmtId="0" fontId="0" fillId="0" borderId="229" xfId="0" applyBorder="1" applyAlignment="1">
      <alignment horizontal="center"/>
    </xf>
    <xf numFmtId="0" fontId="0" fillId="0" borderId="31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3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0" xfId="0" applyBorder="1" applyAlignment="1">
      <alignment horizontal="center" wrapText="1"/>
    </xf>
    <xf numFmtId="0" fontId="0" fillId="0" borderId="0" xfId="0" quotePrefix="1" applyAlignment="1">
      <alignment horizontal="left"/>
    </xf>
    <xf numFmtId="0" fontId="0" fillId="0" borderId="0" xfId="0" applyAlignment="1">
      <alignment horizontal="center"/>
    </xf>
    <xf numFmtId="0" fontId="0" fillId="0" borderId="3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19" xfId="0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Font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214" xfId="0" applyFill="1" applyBorder="1" applyAlignment="1">
      <alignment horizontal="center"/>
    </xf>
    <xf numFmtId="0" fontId="0" fillId="0" borderId="35" xfId="0" applyFont="1" applyBorder="1" applyAlignment="1">
      <alignment horizontal="center" vertical="center" wrapText="1"/>
    </xf>
    <xf numFmtId="0" fontId="5" fillId="0" borderId="200" xfId="0" applyFont="1" applyBorder="1" applyAlignment="1">
      <alignment horizontal="center"/>
    </xf>
    <xf numFmtId="0" fontId="0" fillId="0" borderId="128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17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9" xfId="0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78" xfId="0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56" xfId="0" applyBorder="1" applyAlignment="1">
      <alignment horizontal="center"/>
    </xf>
    <xf numFmtId="0" fontId="4" fillId="0" borderId="168" xfId="0" applyFont="1" applyBorder="1" applyAlignment="1">
      <alignment horizontal="center"/>
    </xf>
    <xf numFmtId="0" fontId="4" fillId="0" borderId="156" xfId="0" applyFont="1" applyBorder="1" applyAlignment="1">
      <alignment horizontal="center"/>
    </xf>
    <xf numFmtId="0" fontId="0" fillId="0" borderId="214" xfId="0" applyNumberFormat="1" applyBorder="1" applyAlignment="1">
      <alignment horizontal="center"/>
    </xf>
  </cellXfs>
  <cellStyles count="5">
    <cellStyle name="Hyperlink" xfId="1" builtinId="8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worksheet" Target="worksheets/sheet254.xml"/><Relationship Id="rId259" Type="http://schemas.openxmlformats.org/officeDocument/2006/relationships/calcChain" Target="calcChain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externalLink" Target="externalLinks/externalLink1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Data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'Log Transform'!$A$25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Transform'!$B$25:$F$25</c:f>
              <c:numCache>
                <c:formatCode>General</c:formatCode>
                <c:ptCount val="5"/>
                <c:pt idx="0">
                  <c:v>5</c:v>
                </c:pt>
                <c:pt idx="1">
                  <c:v>9</c:v>
                </c:pt>
                <c:pt idx="2">
                  <c:v>6</c:v>
                </c:pt>
                <c:pt idx="3">
                  <c:v>15</c:v>
                </c:pt>
                <c:pt idx="4">
                  <c:v>21</c:v>
                </c:pt>
              </c:numCache>
            </c:numRef>
          </c:val>
        </c:ser>
        <c:ser>
          <c:idx val="1"/>
          <c:order val="1"/>
          <c:tx>
            <c:strRef>
              <c:f>'Log Transform'!$A$26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Transform'!$B$26:$F$26</c:f>
              <c:numCache>
                <c:formatCode>General</c:formatCode>
                <c:ptCount val="5"/>
                <c:pt idx="0">
                  <c:v>6.25</c:v>
                </c:pt>
                <c:pt idx="1">
                  <c:v>6.5</c:v>
                </c:pt>
                <c:pt idx="2">
                  <c:v>7.25</c:v>
                </c:pt>
                <c:pt idx="3">
                  <c:v>7.5</c:v>
                </c:pt>
                <c:pt idx="4">
                  <c:v>33</c:v>
                </c:pt>
              </c:numCache>
            </c:numRef>
          </c:val>
        </c:ser>
        <c:ser>
          <c:idx val="2"/>
          <c:order val="2"/>
          <c:tx>
            <c:strRef>
              <c:f>'Log Transform'!$A$27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Transform'!$B$27:$F$27</c:f>
              <c:numCache>
                <c:formatCode>General</c:formatCode>
                <c:ptCount val="5"/>
                <c:pt idx="0">
                  <c:v>1.25</c:v>
                </c:pt>
                <c:pt idx="1">
                  <c:v>24</c:v>
                </c:pt>
                <c:pt idx="2">
                  <c:v>5.25</c:v>
                </c:pt>
                <c:pt idx="3">
                  <c:v>10.5</c:v>
                </c:pt>
                <c:pt idx="4">
                  <c:v>3</c:v>
                </c:pt>
              </c:numCache>
            </c:numRef>
          </c:val>
        </c:ser>
        <c:ser>
          <c:idx val="3"/>
          <c:order val="3"/>
          <c:tx>
            <c:strRef>
              <c:f>'Log Transform'!$A$28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'Log Transform'!$B$29:$F$29</c:f>
                <c:numCache>
                  <c:formatCode>General</c:formatCode>
                  <c:ptCount val="5"/>
                  <c:pt idx="0">
                    <c:v>14</c:v>
                  </c:pt>
                  <c:pt idx="1">
                    <c:v>7.75</c:v>
                  </c:pt>
                  <c:pt idx="2">
                    <c:v>11.5</c:v>
                  </c:pt>
                  <c:pt idx="3">
                    <c:v>26.5</c:v>
                  </c:pt>
                  <c:pt idx="4">
                    <c:v>27</c:v>
                  </c:pt>
                </c:numCache>
              </c:numRef>
            </c:plus>
          </c:errBars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Transform'!$B$28:$F$28</c:f>
              <c:numCache>
                <c:formatCode>General</c:formatCode>
                <c:ptCount val="5"/>
                <c:pt idx="0">
                  <c:v>5.5</c:v>
                </c:pt>
                <c:pt idx="1">
                  <c:v>15.75</c:v>
                </c:pt>
                <c:pt idx="2">
                  <c:v>12</c:v>
                </c:pt>
                <c:pt idx="3">
                  <c:v>8.5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792192"/>
        <c:axId val="531792584"/>
      </c:barChart>
      <c:catAx>
        <c:axId val="531792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31792584"/>
        <c:crosses val="autoZero"/>
        <c:auto val="1"/>
        <c:lblAlgn val="ctr"/>
        <c:lblOffset val="100"/>
        <c:noMultiLvlLbl val="0"/>
      </c:catAx>
      <c:valAx>
        <c:axId val="531792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1792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 Transform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'Log Transform'!$A$41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Transform'!$B$41:$F$41</c:f>
              <c:numCache>
                <c:formatCode>General</c:formatCode>
                <c:ptCount val="5"/>
                <c:pt idx="0">
                  <c:v>0.69897000433601886</c:v>
                </c:pt>
                <c:pt idx="1">
                  <c:v>0.95424250943932487</c:v>
                </c:pt>
                <c:pt idx="2">
                  <c:v>0.77815125038364363</c:v>
                </c:pt>
                <c:pt idx="3">
                  <c:v>1.1760912590556813</c:v>
                </c:pt>
                <c:pt idx="4">
                  <c:v>1.3222192947339193</c:v>
                </c:pt>
              </c:numCache>
            </c:numRef>
          </c:val>
        </c:ser>
        <c:ser>
          <c:idx val="1"/>
          <c:order val="1"/>
          <c:tx>
            <c:strRef>
              <c:f>'Log Transform'!$A$42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Transform'!$B$42:$F$42</c:f>
              <c:numCache>
                <c:formatCode>General</c:formatCode>
                <c:ptCount val="5"/>
                <c:pt idx="0">
                  <c:v>0.35186982104455622</c:v>
                </c:pt>
                <c:pt idx="1">
                  <c:v>0.22164696379520088</c:v>
                </c:pt>
                <c:pt idx="2">
                  <c:v>0.3438382727660434</c:v>
                </c:pt>
                <c:pt idx="3">
                  <c:v>0.17575944164099311</c:v>
                </c:pt>
                <c:pt idx="4">
                  <c:v>0.41017446508904931</c:v>
                </c:pt>
              </c:numCache>
            </c:numRef>
          </c:val>
        </c:ser>
        <c:ser>
          <c:idx val="2"/>
          <c:order val="2"/>
          <c:tx>
            <c:strRef>
              <c:f>'Log Transform'!$A$43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Transform'!$B$43:$F$43</c:f>
              <c:numCache>
                <c:formatCode>General</c:formatCode>
                <c:ptCount val="5"/>
                <c:pt idx="0">
                  <c:v>4.5722473796655727E-2</c:v>
                </c:pt>
                <c:pt idx="1">
                  <c:v>0.40147463048555188</c:v>
                </c:pt>
                <c:pt idx="2">
                  <c:v>0.14118011554523502</c:v>
                </c:pt>
                <c:pt idx="3">
                  <c:v>0.16646374698440614</c:v>
                </c:pt>
                <c:pt idx="4">
                  <c:v>2.3481095849522848E-2</c:v>
                </c:pt>
              </c:numCache>
            </c:numRef>
          </c:val>
        </c:ser>
        <c:ser>
          <c:idx val="3"/>
          <c:order val="3"/>
          <c:tx>
            <c:strRef>
              <c:f>'Log Transform'!$A$44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'Log Transform'!$B$45:$F$45</c:f>
                <c:numCache>
                  <c:formatCode>General</c:formatCode>
                  <c:ptCount val="5"/>
                  <c:pt idx="0">
                    <c:v>0.25206196284136406</c:v>
                  </c:pt>
                  <c:pt idx="1">
                    <c:v>5.7130561798734103E-2</c:v>
                  </c:pt>
                  <c:pt idx="2">
                    <c:v>0.13912852054745706</c:v>
                  </c:pt>
                  <c:pt idx="3">
                    <c:v>0.21666143742923372</c:v>
                  </c:pt>
                  <c:pt idx="4">
                    <c:v>0.15286141833720657</c:v>
                  </c:pt>
                </c:numCache>
              </c:numRef>
            </c:plus>
          </c:errBars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Transform'!$B$44:$F$44</c:f>
              <c:numCache>
                <c:formatCode>General</c:formatCode>
                <c:ptCount val="5"/>
                <c:pt idx="0">
                  <c:v>0.15652571630131118</c:v>
                </c:pt>
                <c:pt idx="1">
                  <c:v>0.16484588393476995</c:v>
                </c:pt>
                <c:pt idx="2">
                  <c:v>0.22095113115552145</c:v>
                </c:pt>
                <c:pt idx="3">
                  <c:v>9.7533027595922084E-2</c:v>
                </c:pt>
                <c:pt idx="4">
                  <c:v>5.0305118311395614E-2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794544"/>
        <c:axId val="531794936"/>
      </c:barChart>
      <c:catAx>
        <c:axId val="531794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31794936"/>
        <c:crosses val="autoZero"/>
        <c:auto val="1"/>
        <c:lblAlgn val="ctr"/>
        <c:lblOffset val="100"/>
        <c:noMultiLvlLbl val="0"/>
      </c:catAx>
      <c:valAx>
        <c:axId val="531794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1794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'Anova Resamp'!$O$6:$O$19</c:f>
              <c:strCache>
                <c:ptCount val="14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More</c:v>
                </c:pt>
              </c:strCache>
            </c:strRef>
          </c:cat>
          <c:val>
            <c:numRef>
              <c:f>'Anova Resamp'!$P$6:$P$19</c:f>
              <c:numCache>
                <c:formatCode>General</c:formatCode>
                <c:ptCount val="14"/>
                <c:pt idx="0">
                  <c:v>0</c:v>
                </c:pt>
                <c:pt idx="1">
                  <c:v>3873</c:v>
                </c:pt>
                <c:pt idx="2">
                  <c:v>2266</c:v>
                </c:pt>
                <c:pt idx="3">
                  <c:v>1392</c:v>
                </c:pt>
                <c:pt idx="4">
                  <c:v>863</c:v>
                </c:pt>
                <c:pt idx="5">
                  <c:v>578</c:v>
                </c:pt>
                <c:pt idx="6">
                  <c:v>350</c:v>
                </c:pt>
                <c:pt idx="7">
                  <c:v>205</c:v>
                </c:pt>
                <c:pt idx="8">
                  <c:v>160</c:v>
                </c:pt>
                <c:pt idx="9">
                  <c:v>98</c:v>
                </c:pt>
                <c:pt idx="10">
                  <c:v>67</c:v>
                </c:pt>
                <c:pt idx="11">
                  <c:v>38</c:v>
                </c:pt>
                <c:pt idx="12">
                  <c:v>32</c:v>
                </c:pt>
                <c:pt idx="13">
                  <c:v>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792976"/>
        <c:axId val="508945936"/>
      </c:barChart>
      <c:catAx>
        <c:axId val="53179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8945936"/>
        <c:crosses val="autoZero"/>
        <c:auto val="1"/>
        <c:lblAlgn val="ctr"/>
        <c:lblOffset val="100"/>
        <c:noMultiLvlLbl val="0"/>
      </c:catAx>
      <c:valAx>
        <c:axId val="508945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92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'Anova Resamp'!$AC$6:$AC$37</c:f>
              <c:strCache>
                <c:ptCount val="3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</c:v>
                </c:pt>
                <c:pt idx="23">
                  <c:v>4.6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More</c:v>
                </c:pt>
              </c:strCache>
            </c:strRef>
          </c:cat>
          <c:val>
            <c:numRef>
              <c:f>'Anova Resamp'!$AD$6:$AD$37</c:f>
              <c:numCache>
                <c:formatCode>General</c:formatCode>
                <c:ptCount val="32"/>
                <c:pt idx="0">
                  <c:v>0</c:v>
                </c:pt>
                <c:pt idx="1">
                  <c:v>1749</c:v>
                </c:pt>
                <c:pt idx="2">
                  <c:v>1502</c:v>
                </c:pt>
                <c:pt idx="3">
                  <c:v>1219</c:v>
                </c:pt>
                <c:pt idx="4">
                  <c:v>997</c:v>
                </c:pt>
                <c:pt idx="5">
                  <c:v>771</c:v>
                </c:pt>
                <c:pt idx="6">
                  <c:v>572</c:v>
                </c:pt>
                <c:pt idx="7">
                  <c:v>491</c:v>
                </c:pt>
                <c:pt idx="8">
                  <c:v>439</c:v>
                </c:pt>
                <c:pt idx="9">
                  <c:v>369</c:v>
                </c:pt>
                <c:pt idx="10">
                  <c:v>263</c:v>
                </c:pt>
                <c:pt idx="11">
                  <c:v>239</c:v>
                </c:pt>
                <c:pt idx="12">
                  <c:v>185</c:v>
                </c:pt>
                <c:pt idx="13">
                  <c:v>177</c:v>
                </c:pt>
                <c:pt idx="14">
                  <c:v>169</c:v>
                </c:pt>
                <c:pt idx="15">
                  <c:v>125</c:v>
                </c:pt>
                <c:pt idx="16">
                  <c:v>95</c:v>
                </c:pt>
                <c:pt idx="17">
                  <c:v>87</c:v>
                </c:pt>
                <c:pt idx="18">
                  <c:v>81</c:v>
                </c:pt>
                <c:pt idx="19">
                  <c:v>75</c:v>
                </c:pt>
                <c:pt idx="20">
                  <c:v>51</c:v>
                </c:pt>
                <c:pt idx="21">
                  <c:v>53</c:v>
                </c:pt>
                <c:pt idx="22">
                  <c:v>39</c:v>
                </c:pt>
                <c:pt idx="23">
                  <c:v>28</c:v>
                </c:pt>
                <c:pt idx="24">
                  <c:v>31</c:v>
                </c:pt>
                <c:pt idx="25">
                  <c:v>30</c:v>
                </c:pt>
                <c:pt idx="26">
                  <c:v>26</c:v>
                </c:pt>
                <c:pt idx="27">
                  <c:v>24</c:v>
                </c:pt>
                <c:pt idx="28">
                  <c:v>16</c:v>
                </c:pt>
                <c:pt idx="29">
                  <c:v>12</c:v>
                </c:pt>
                <c:pt idx="30">
                  <c:v>4</c:v>
                </c:pt>
                <c:pt idx="31">
                  <c:v>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8947504"/>
        <c:axId val="508947896"/>
      </c:barChart>
      <c:catAx>
        <c:axId val="50894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8947896"/>
        <c:crosses val="autoZero"/>
        <c:auto val="1"/>
        <c:lblAlgn val="ctr"/>
        <c:lblOffset val="100"/>
        <c:noMultiLvlLbl val="0"/>
      </c:catAx>
      <c:valAx>
        <c:axId val="508947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47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'Anova Resamp'!$AI$6:$AI$19</c:f>
              <c:strCache>
                <c:ptCount val="14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More</c:v>
                </c:pt>
              </c:strCache>
            </c:strRef>
          </c:cat>
          <c:val>
            <c:numRef>
              <c:f>'Anova Resamp'!$AJ$6:$AJ$19</c:f>
              <c:numCache>
                <c:formatCode>General</c:formatCode>
                <c:ptCount val="14"/>
                <c:pt idx="0">
                  <c:v>0</c:v>
                </c:pt>
                <c:pt idx="1">
                  <c:v>3901</c:v>
                </c:pt>
                <c:pt idx="2">
                  <c:v>2296</c:v>
                </c:pt>
                <c:pt idx="3">
                  <c:v>1361</c:v>
                </c:pt>
                <c:pt idx="4">
                  <c:v>885</c:v>
                </c:pt>
                <c:pt idx="5">
                  <c:v>535</c:v>
                </c:pt>
                <c:pt idx="6">
                  <c:v>326</c:v>
                </c:pt>
                <c:pt idx="7">
                  <c:v>212</c:v>
                </c:pt>
                <c:pt idx="8">
                  <c:v>168</c:v>
                </c:pt>
                <c:pt idx="9">
                  <c:v>85</c:v>
                </c:pt>
                <c:pt idx="10">
                  <c:v>62</c:v>
                </c:pt>
                <c:pt idx="11">
                  <c:v>56</c:v>
                </c:pt>
                <c:pt idx="12">
                  <c:v>23</c:v>
                </c:pt>
                <c:pt idx="13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8945152"/>
        <c:axId val="508945544"/>
      </c:barChart>
      <c:catAx>
        <c:axId val="50894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8945544"/>
        <c:crosses val="autoZero"/>
        <c:auto val="1"/>
        <c:lblAlgn val="ctr"/>
        <c:lblOffset val="100"/>
        <c:noMultiLvlLbl val="0"/>
      </c:catAx>
      <c:valAx>
        <c:axId val="508945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45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'Anova Resamp 1'!$E$6:$E$37</c:f>
              <c:strCache>
                <c:ptCount val="3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</c:v>
                </c:pt>
                <c:pt idx="23">
                  <c:v>4.6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More</c:v>
                </c:pt>
              </c:strCache>
            </c:strRef>
          </c:cat>
          <c:val>
            <c:numRef>
              <c:f>'Anova Resamp 1'!$F$6:$F$37</c:f>
              <c:numCache>
                <c:formatCode>General</c:formatCode>
                <c:ptCount val="32"/>
                <c:pt idx="0">
                  <c:v>0</c:v>
                </c:pt>
                <c:pt idx="1">
                  <c:v>1752</c:v>
                </c:pt>
                <c:pt idx="2">
                  <c:v>1463</c:v>
                </c:pt>
                <c:pt idx="3">
                  <c:v>1188</c:v>
                </c:pt>
                <c:pt idx="4">
                  <c:v>964</c:v>
                </c:pt>
                <c:pt idx="5">
                  <c:v>806</c:v>
                </c:pt>
                <c:pt idx="6">
                  <c:v>665</c:v>
                </c:pt>
                <c:pt idx="7">
                  <c:v>523</c:v>
                </c:pt>
                <c:pt idx="8">
                  <c:v>474</c:v>
                </c:pt>
                <c:pt idx="9">
                  <c:v>363</c:v>
                </c:pt>
                <c:pt idx="10">
                  <c:v>296</c:v>
                </c:pt>
                <c:pt idx="11">
                  <c:v>240</c:v>
                </c:pt>
                <c:pt idx="12">
                  <c:v>186</c:v>
                </c:pt>
                <c:pt idx="13">
                  <c:v>181</c:v>
                </c:pt>
                <c:pt idx="14">
                  <c:v>162</c:v>
                </c:pt>
                <c:pt idx="15">
                  <c:v>117</c:v>
                </c:pt>
                <c:pt idx="16">
                  <c:v>95</c:v>
                </c:pt>
                <c:pt idx="17">
                  <c:v>79</c:v>
                </c:pt>
                <c:pt idx="18">
                  <c:v>60</c:v>
                </c:pt>
                <c:pt idx="19">
                  <c:v>68</c:v>
                </c:pt>
                <c:pt idx="20">
                  <c:v>40</c:v>
                </c:pt>
                <c:pt idx="21">
                  <c:v>36</c:v>
                </c:pt>
                <c:pt idx="22">
                  <c:v>24</c:v>
                </c:pt>
                <c:pt idx="23">
                  <c:v>24</c:v>
                </c:pt>
                <c:pt idx="24">
                  <c:v>27</c:v>
                </c:pt>
                <c:pt idx="25">
                  <c:v>13</c:v>
                </c:pt>
                <c:pt idx="26">
                  <c:v>21</c:v>
                </c:pt>
                <c:pt idx="27">
                  <c:v>21</c:v>
                </c:pt>
                <c:pt idx="28">
                  <c:v>14</c:v>
                </c:pt>
                <c:pt idx="29">
                  <c:v>10</c:v>
                </c:pt>
                <c:pt idx="30">
                  <c:v>5</c:v>
                </c:pt>
                <c:pt idx="31">
                  <c:v>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2103456"/>
        <c:axId val="552101888"/>
      </c:barChart>
      <c:catAx>
        <c:axId val="55210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52101888"/>
        <c:crosses val="autoZero"/>
        <c:auto val="1"/>
        <c:lblAlgn val="ctr"/>
        <c:lblOffset val="100"/>
        <c:noMultiLvlLbl val="0"/>
      </c:catAx>
      <c:valAx>
        <c:axId val="552101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103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'Anova Resamp 1'!$S$6:$S$87</c:f>
              <c:strCache>
                <c:ptCount val="8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</c:v>
                </c:pt>
                <c:pt idx="23">
                  <c:v>2.3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</c:v>
                </c:pt>
                <c:pt idx="42">
                  <c:v>4.2</c:v>
                </c:pt>
                <c:pt idx="43">
                  <c:v>4.3</c:v>
                </c:pt>
                <c:pt idx="44">
                  <c:v>4.4</c:v>
                </c:pt>
                <c:pt idx="45">
                  <c:v>4.5</c:v>
                </c:pt>
                <c:pt idx="46">
                  <c:v>4.6</c:v>
                </c:pt>
                <c:pt idx="47">
                  <c:v>4.7</c:v>
                </c:pt>
                <c:pt idx="48">
                  <c:v>4.8</c:v>
                </c:pt>
                <c:pt idx="49">
                  <c:v>4.9</c:v>
                </c:pt>
                <c:pt idx="50">
                  <c:v>5</c:v>
                </c:pt>
                <c:pt idx="51">
                  <c:v>5.1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More</c:v>
                </c:pt>
              </c:strCache>
            </c:strRef>
          </c:cat>
          <c:val>
            <c:numRef>
              <c:f>'Anova Resamp 1'!$T$6:$T$87</c:f>
              <c:numCache>
                <c:formatCode>General</c:formatCode>
                <c:ptCount val="82"/>
                <c:pt idx="0">
                  <c:v>0</c:v>
                </c:pt>
                <c:pt idx="1">
                  <c:v>960</c:v>
                </c:pt>
                <c:pt idx="2">
                  <c:v>821</c:v>
                </c:pt>
                <c:pt idx="3">
                  <c:v>765</c:v>
                </c:pt>
                <c:pt idx="4">
                  <c:v>672</c:v>
                </c:pt>
                <c:pt idx="5">
                  <c:v>613</c:v>
                </c:pt>
                <c:pt idx="6">
                  <c:v>566</c:v>
                </c:pt>
                <c:pt idx="7">
                  <c:v>475</c:v>
                </c:pt>
                <c:pt idx="8">
                  <c:v>464</c:v>
                </c:pt>
                <c:pt idx="9">
                  <c:v>431</c:v>
                </c:pt>
                <c:pt idx="10">
                  <c:v>381</c:v>
                </c:pt>
                <c:pt idx="11">
                  <c:v>342</c:v>
                </c:pt>
                <c:pt idx="12">
                  <c:v>319</c:v>
                </c:pt>
                <c:pt idx="13">
                  <c:v>256</c:v>
                </c:pt>
                <c:pt idx="14">
                  <c:v>247</c:v>
                </c:pt>
                <c:pt idx="15">
                  <c:v>235</c:v>
                </c:pt>
                <c:pt idx="16">
                  <c:v>243</c:v>
                </c:pt>
                <c:pt idx="17">
                  <c:v>190</c:v>
                </c:pt>
                <c:pt idx="18">
                  <c:v>193</c:v>
                </c:pt>
                <c:pt idx="19">
                  <c:v>132</c:v>
                </c:pt>
                <c:pt idx="20">
                  <c:v>149</c:v>
                </c:pt>
                <c:pt idx="21">
                  <c:v>122</c:v>
                </c:pt>
                <c:pt idx="22">
                  <c:v>110</c:v>
                </c:pt>
                <c:pt idx="23">
                  <c:v>103</c:v>
                </c:pt>
                <c:pt idx="24">
                  <c:v>110</c:v>
                </c:pt>
                <c:pt idx="25">
                  <c:v>82</c:v>
                </c:pt>
                <c:pt idx="26">
                  <c:v>83</c:v>
                </c:pt>
                <c:pt idx="27">
                  <c:v>74</c:v>
                </c:pt>
                <c:pt idx="28">
                  <c:v>72</c:v>
                </c:pt>
                <c:pt idx="29">
                  <c:v>57</c:v>
                </c:pt>
                <c:pt idx="30">
                  <c:v>62</c:v>
                </c:pt>
                <c:pt idx="31">
                  <c:v>58</c:v>
                </c:pt>
                <c:pt idx="32">
                  <c:v>45</c:v>
                </c:pt>
                <c:pt idx="33">
                  <c:v>44</c:v>
                </c:pt>
                <c:pt idx="34">
                  <c:v>48</c:v>
                </c:pt>
                <c:pt idx="35">
                  <c:v>37</c:v>
                </c:pt>
                <c:pt idx="36">
                  <c:v>21</c:v>
                </c:pt>
                <c:pt idx="37">
                  <c:v>34</c:v>
                </c:pt>
                <c:pt idx="38">
                  <c:v>30</c:v>
                </c:pt>
                <c:pt idx="39">
                  <c:v>20</c:v>
                </c:pt>
                <c:pt idx="40">
                  <c:v>26</c:v>
                </c:pt>
                <c:pt idx="41">
                  <c:v>23</c:v>
                </c:pt>
                <c:pt idx="42">
                  <c:v>20</c:v>
                </c:pt>
                <c:pt idx="43">
                  <c:v>26</c:v>
                </c:pt>
                <c:pt idx="44">
                  <c:v>15</c:v>
                </c:pt>
                <c:pt idx="45">
                  <c:v>12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9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9</c:v>
                </c:pt>
                <c:pt idx="54">
                  <c:v>7</c:v>
                </c:pt>
                <c:pt idx="55">
                  <c:v>13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9</c:v>
                </c:pt>
                <c:pt idx="60">
                  <c:v>4</c:v>
                </c:pt>
                <c:pt idx="61">
                  <c:v>6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0</c:v>
                </c:pt>
                <c:pt idx="80">
                  <c:v>1</c:v>
                </c:pt>
                <c:pt idx="81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2103064"/>
        <c:axId val="552100712"/>
      </c:barChart>
      <c:catAx>
        <c:axId val="552103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52100712"/>
        <c:crosses val="autoZero"/>
        <c:auto val="1"/>
        <c:lblAlgn val="ctr"/>
        <c:lblOffset val="100"/>
        <c:noMultiLvlLbl val="0"/>
      </c:catAx>
      <c:valAx>
        <c:axId val="552100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103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'Anova Resamp 1'!$Y$6:$Y$27</c:f>
              <c:strCache>
                <c:ptCount val="22"/>
                <c:pt idx="0">
                  <c:v>0.00</c:v>
                </c:pt>
                <c:pt idx="1">
                  <c:v>0.25</c:v>
                </c:pt>
                <c:pt idx="2">
                  <c:v>0.50</c:v>
                </c:pt>
                <c:pt idx="3">
                  <c:v>0.75</c:v>
                </c:pt>
                <c:pt idx="4">
                  <c:v>1.00</c:v>
                </c:pt>
                <c:pt idx="5">
                  <c:v>1.25</c:v>
                </c:pt>
                <c:pt idx="6">
                  <c:v>1.50</c:v>
                </c:pt>
                <c:pt idx="7">
                  <c:v>1.75</c:v>
                </c:pt>
                <c:pt idx="8">
                  <c:v>2.00</c:v>
                </c:pt>
                <c:pt idx="9">
                  <c:v>2.25</c:v>
                </c:pt>
                <c:pt idx="10">
                  <c:v>2.50</c:v>
                </c:pt>
                <c:pt idx="11">
                  <c:v>2.75</c:v>
                </c:pt>
                <c:pt idx="12">
                  <c:v>3.00</c:v>
                </c:pt>
                <c:pt idx="13">
                  <c:v>3.25</c:v>
                </c:pt>
                <c:pt idx="14">
                  <c:v>3.50</c:v>
                </c:pt>
                <c:pt idx="15">
                  <c:v>3.75</c:v>
                </c:pt>
                <c:pt idx="16">
                  <c:v>4.00</c:v>
                </c:pt>
                <c:pt idx="17">
                  <c:v>4.25</c:v>
                </c:pt>
                <c:pt idx="18">
                  <c:v>4.50</c:v>
                </c:pt>
                <c:pt idx="19">
                  <c:v>4.75</c:v>
                </c:pt>
                <c:pt idx="20">
                  <c:v>5.00</c:v>
                </c:pt>
                <c:pt idx="21">
                  <c:v>More</c:v>
                </c:pt>
              </c:strCache>
            </c:strRef>
          </c:cat>
          <c:val>
            <c:numRef>
              <c:f>'Anova Resamp 1'!$Z$6:$Z$27</c:f>
              <c:numCache>
                <c:formatCode>General</c:formatCode>
                <c:ptCount val="22"/>
                <c:pt idx="0">
                  <c:v>0</c:v>
                </c:pt>
                <c:pt idx="1">
                  <c:v>2180</c:v>
                </c:pt>
                <c:pt idx="2">
                  <c:v>1635</c:v>
                </c:pt>
                <c:pt idx="3">
                  <c:v>1252</c:v>
                </c:pt>
                <c:pt idx="4">
                  <c:v>1058</c:v>
                </c:pt>
                <c:pt idx="5">
                  <c:v>748</c:v>
                </c:pt>
                <c:pt idx="6">
                  <c:v>604</c:v>
                </c:pt>
                <c:pt idx="7">
                  <c:v>482</c:v>
                </c:pt>
                <c:pt idx="8">
                  <c:v>394</c:v>
                </c:pt>
                <c:pt idx="9">
                  <c:v>335</c:v>
                </c:pt>
                <c:pt idx="10">
                  <c:v>273</c:v>
                </c:pt>
                <c:pt idx="11">
                  <c:v>211</c:v>
                </c:pt>
                <c:pt idx="12">
                  <c:v>147</c:v>
                </c:pt>
                <c:pt idx="13">
                  <c:v>119</c:v>
                </c:pt>
                <c:pt idx="14">
                  <c:v>105</c:v>
                </c:pt>
                <c:pt idx="15">
                  <c:v>88</c:v>
                </c:pt>
                <c:pt idx="16">
                  <c:v>67</c:v>
                </c:pt>
                <c:pt idx="17">
                  <c:v>54</c:v>
                </c:pt>
                <c:pt idx="18">
                  <c:v>47</c:v>
                </c:pt>
                <c:pt idx="19">
                  <c:v>27</c:v>
                </c:pt>
                <c:pt idx="20">
                  <c:v>26</c:v>
                </c:pt>
                <c:pt idx="21">
                  <c:v>148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2102280"/>
        <c:axId val="552102672"/>
      </c:barChart>
      <c:catAx>
        <c:axId val="552102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52102672"/>
        <c:crosses val="autoZero"/>
        <c:auto val="1"/>
        <c:lblAlgn val="ctr"/>
        <c:lblOffset val="100"/>
        <c:noMultiLvlLbl val="0"/>
      </c:catAx>
      <c:valAx>
        <c:axId val="552102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102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Blend X</c:v>
          </c:tx>
          <c:marker>
            <c:symbol val="none"/>
          </c:marker>
          <c:cat>
            <c:strRef>
              <c:f>'ANOVA 2.2'!$K$43:$N$43</c:f>
              <c:strCache>
                <c:ptCount val="4"/>
                <c:pt idx="0">
                  <c:v>Wheat</c:v>
                </c:pt>
                <c:pt idx="1">
                  <c:v>Corn</c:v>
                </c:pt>
                <c:pt idx="2">
                  <c:v>Soy</c:v>
                </c:pt>
                <c:pt idx="3">
                  <c:v>Rice</c:v>
                </c:pt>
              </c:strCache>
            </c:strRef>
          </c:cat>
          <c:val>
            <c:numRef>
              <c:f>'ANOVA 2.2'!$K$44:$N$44</c:f>
              <c:numCache>
                <c:formatCode>General</c:formatCode>
                <c:ptCount val="4"/>
                <c:pt idx="0">
                  <c:v>131.80000000000001</c:v>
                </c:pt>
                <c:pt idx="1">
                  <c:v>135.4</c:v>
                </c:pt>
                <c:pt idx="2">
                  <c:v>175.8</c:v>
                </c:pt>
                <c:pt idx="3">
                  <c:v>141.19999999999999</c:v>
                </c:pt>
              </c:numCache>
            </c:numRef>
          </c:val>
          <c:smooth val="0"/>
        </c:ser>
        <c:ser>
          <c:idx val="1"/>
          <c:order val="1"/>
          <c:tx>
            <c:v>Blend Y</c:v>
          </c:tx>
          <c:marker>
            <c:symbol val="none"/>
          </c:marker>
          <c:cat>
            <c:strRef>
              <c:f>'ANOVA 2.2'!$K$43:$N$43</c:f>
              <c:strCache>
                <c:ptCount val="4"/>
                <c:pt idx="0">
                  <c:v>Wheat</c:v>
                </c:pt>
                <c:pt idx="1">
                  <c:v>Corn</c:v>
                </c:pt>
                <c:pt idx="2">
                  <c:v>Soy</c:v>
                </c:pt>
                <c:pt idx="3">
                  <c:v>Rice</c:v>
                </c:pt>
              </c:strCache>
            </c:strRef>
          </c:cat>
          <c:val>
            <c:numRef>
              <c:f>'ANOVA 2.2'!$K$45:$N$45</c:f>
              <c:numCache>
                <c:formatCode>General</c:formatCode>
                <c:ptCount val="4"/>
                <c:pt idx="0">
                  <c:v>143.19999999999999</c:v>
                </c:pt>
                <c:pt idx="1">
                  <c:v>159.6</c:v>
                </c:pt>
                <c:pt idx="2">
                  <c:v>140.19999999999999</c:v>
                </c:pt>
                <c:pt idx="3">
                  <c:v>165.4</c:v>
                </c:pt>
              </c:numCache>
            </c:numRef>
          </c:val>
          <c:smooth val="0"/>
        </c:ser>
        <c:ser>
          <c:idx val="2"/>
          <c:order val="2"/>
          <c:tx>
            <c:v>Blend Z</c:v>
          </c:tx>
          <c:marker>
            <c:symbol val="none"/>
          </c:marker>
          <c:cat>
            <c:strRef>
              <c:f>'ANOVA 2.2'!$K$43:$N$43</c:f>
              <c:strCache>
                <c:ptCount val="4"/>
                <c:pt idx="0">
                  <c:v>Wheat</c:v>
                </c:pt>
                <c:pt idx="1">
                  <c:v>Corn</c:v>
                </c:pt>
                <c:pt idx="2">
                  <c:v>Soy</c:v>
                </c:pt>
                <c:pt idx="3">
                  <c:v>Rice</c:v>
                </c:pt>
              </c:strCache>
            </c:strRef>
          </c:cat>
          <c:val>
            <c:numRef>
              <c:f>'ANOVA 2.2'!$K$46:$N$46</c:f>
              <c:numCache>
                <c:formatCode>General</c:formatCode>
                <c:ptCount val="4"/>
                <c:pt idx="0">
                  <c:v>164.4</c:v>
                </c:pt>
                <c:pt idx="1">
                  <c:v>173.6</c:v>
                </c:pt>
                <c:pt idx="2">
                  <c:v>186.4</c:v>
                </c:pt>
                <c:pt idx="3">
                  <c:v>172.4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192920"/>
        <c:axId val="637194096"/>
      </c:lineChart>
      <c:catAx>
        <c:axId val="637192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7194096"/>
        <c:crosses val="autoZero"/>
        <c:auto val="1"/>
        <c:lblAlgn val="ctr"/>
        <c:lblOffset val="100"/>
        <c:noMultiLvlLbl val="0"/>
      </c:catAx>
      <c:valAx>
        <c:axId val="637194096"/>
        <c:scaling>
          <c:orientation val="minMax"/>
          <c:min val="1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7192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'ANOVA 2.2'!$K$43</c:f>
              <c:strCache>
                <c:ptCount val="1"/>
                <c:pt idx="0">
                  <c:v>Wheat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2.2'!$K$44:$K$46</c:f>
              <c:numCache>
                <c:formatCode>General</c:formatCode>
                <c:ptCount val="3"/>
                <c:pt idx="0">
                  <c:v>131.80000000000001</c:v>
                </c:pt>
                <c:pt idx="1">
                  <c:v>143.19999999999999</c:v>
                </c:pt>
                <c:pt idx="2">
                  <c:v>164.4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'ANOVA 2.2'!$L$43</c:f>
              <c:strCache>
                <c:ptCount val="1"/>
                <c:pt idx="0">
                  <c:v>Corn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2.2'!$L$44:$L$46</c:f>
              <c:numCache>
                <c:formatCode>General</c:formatCode>
                <c:ptCount val="3"/>
                <c:pt idx="0">
                  <c:v>135.4</c:v>
                </c:pt>
                <c:pt idx="1">
                  <c:v>159.6</c:v>
                </c:pt>
                <c:pt idx="2">
                  <c:v>173.6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'ANOVA 2.2'!$M$43</c:f>
              <c:strCache>
                <c:ptCount val="1"/>
                <c:pt idx="0">
                  <c:v>Soy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2.2'!$M$44:$M$46</c:f>
              <c:numCache>
                <c:formatCode>General</c:formatCode>
                <c:ptCount val="3"/>
                <c:pt idx="0">
                  <c:v>175.8</c:v>
                </c:pt>
                <c:pt idx="1">
                  <c:v>140.19999999999999</c:v>
                </c:pt>
                <c:pt idx="2">
                  <c:v>186.4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'ANOVA 2.2'!$N$43</c:f>
              <c:strCache>
                <c:ptCount val="1"/>
                <c:pt idx="0">
                  <c:v>Rice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2.2'!$N$44:$N$46</c:f>
              <c:numCache>
                <c:formatCode>General</c:formatCode>
                <c:ptCount val="3"/>
                <c:pt idx="0">
                  <c:v>141.19999999999999</c:v>
                </c:pt>
                <c:pt idx="1">
                  <c:v>165.4</c:v>
                </c:pt>
                <c:pt idx="2">
                  <c:v>172.4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195664"/>
        <c:axId val="508946720"/>
      </c:lineChart>
      <c:catAx>
        <c:axId val="637195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8946720"/>
        <c:crosses val="autoZero"/>
        <c:auto val="1"/>
        <c:lblAlgn val="ctr"/>
        <c:lblOffset val="100"/>
        <c:noMultiLvlLbl val="0"/>
      </c:catAx>
      <c:valAx>
        <c:axId val="508946720"/>
        <c:scaling>
          <c:orientation val="minMax"/>
          <c:min val="1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7195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'ANOVA 2.5'!$AB$6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'ANOVA 2.5'!$AC$5:$AH$5</c:f>
              <c:strCache>
                <c:ptCount val="6"/>
                <c:pt idx="0">
                  <c:v>High-Direct</c:v>
                </c:pt>
                <c:pt idx="1">
                  <c:v>High-OEM</c:v>
                </c:pt>
                <c:pt idx="2">
                  <c:v>High-Reseller</c:v>
                </c:pt>
                <c:pt idx="3">
                  <c:v>Low-Direct</c:v>
                </c:pt>
                <c:pt idx="4">
                  <c:v>Low-OEM</c:v>
                </c:pt>
                <c:pt idx="5">
                  <c:v>Low-Reseller</c:v>
                </c:pt>
              </c:strCache>
            </c:strRef>
          </c:cat>
          <c:val>
            <c:numRef>
              <c:f>'ANOVA 2.5'!$AC$6:$AH$6</c:f>
              <c:numCache>
                <c:formatCode>0.0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14.6</c:v>
                </c:pt>
                <c:pt idx="3">
                  <c:v>6.7</c:v>
                </c:pt>
                <c:pt idx="4">
                  <c:v>12</c:v>
                </c:pt>
                <c:pt idx="5">
                  <c:v>13.8</c:v>
                </c:pt>
              </c:numCache>
            </c:numRef>
          </c:val>
        </c:ser>
        <c:ser>
          <c:idx val="1"/>
          <c:order val="1"/>
          <c:tx>
            <c:strRef>
              <c:f>'ANOVA 2.5'!$AB$7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'ANOVA 2.5'!$AC$5:$AH$5</c:f>
              <c:strCache>
                <c:ptCount val="6"/>
                <c:pt idx="0">
                  <c:v>High-Direct</c:v>
                </c:pt>
                <c:pt idx="1">
                  <c:v>High-OEM</c:v>
                </c:pt>
                <c:pt idx="2">
                  <c:v>High-Reseller</c:v>
                </c:pt>
                <c:pt idx="3">
                  <c:v>Low-Direct</c:v>
                </c:pt>
                <c:pt idx="4">
                  <c:v>Low-OEM</c:v>
                </c:pt>
                <c:pt idx="5">
                  <c:v>Low-Reseller</c:v>
                </c:pt>
              </c:strCache>
            </c:strRef>
          </c:cat>
          <c:val>
            <c:numRef>
              <c:f>'ANOVA 2.5'!$AC$7:$AH$7</c:f>
              <c:numCache>
                <c:formatCode>0.0</c:formatCode>
                <c:ptCount val="6"/>
                <c:pt idx="0">
                  <c:v>3.0500000000000007</c:v>
                </c:pt>
                <c:pt idx="1">
                  <c:v>1.0250000000000004</c:v>
                </c:pt>
                <c:pt idx="2">
                  <c:v>1.2249999999999996</c:v>
                </c:pt>
                <c:pt idx="3">
                  <c:v>1.9999999999999991</c:v>
                </c:pt>
                <c:pt idx="4">
                  <c:v>2.8249999999999993</c:v>
                </c:pt>
                <c:pt idx="5">
                  <c:v>3.5500000000000007</c:v>
                </c:pt>
              </c:numCache>
            </c:numRef>
          </c:val>
        </c:ser>
        <c:ser>
          <c:idx val="2"/>
          <c:order val="2"/>
          <c:tx>
            <c:strRef>
              <c:f>'ANOVA 2.5'!$AB$8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'ANOVA 2.5'!$AC$5:$AH$5</c:f>
              <c:strCache>
                <c:ptCount val="6"/>
                <c:pt idx="0">
                  <c:v>High-Direct</c:v>
                </c:pt>
                <c:pt idx="1">
                  <c:v>High-OEM</c:v>
                </c:pt>
                <c:pt idx="2">
                  <c:v>High-Reseller</c:v>
                </c:pt>
                <c:pt idx="3">
                  <c:v>Low-Direct</c:v>
                </c:pt>
                <c:pt idx="4">
                  <c:v>Low-OEM</c:v>
                </c:pt>
                <c:pt idx="5">
                  <c:v>Low-Reseller</c:v>
                </c:pt>
              </c:strCache>
            </c:strRef>
          </c:cat>
          <c:val>
            <c:numRef>
              <c:f>'ANOVA 2.5'!$AC$8:$AH$8</c:f>
              <c:numCache>
                <c:formatCode>0.0</c:formatCode>
                <c:ptCount val="6"/>
                <c:pt idx="0">
                  <c:v>3.0500000000000007</c:v>
                </c:pt>
                <c:pt idx="1">
                  <c:v>0.72499999999999964</c:v>
                </c:pt>
                <c:pt idx="2">
                  <c:v>2.4250000000000007</c:v>
                </c:pt>
                <c:pt idx="3">
                  <c:v>1.9500000000000011</c:v>
                </c:pt>
                <c:pt idx="4">
                  <c:v>1.9250000000000007</c:v>
                </c:pt>
                <c:pt idx="5">
                  <c:v>0.35000000000000142</c:v>
                </c:pt>
              </c:numCache>
            </c:numRef>
          </c:val>
        </c:ser>
        <c:ser>
          <c:idx val="3"/>
          <c:order val="3"/>
          <c:tx>
            <c:strRef>
              <c:f>'ANOVA 2.5'!$AB$9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'ANOVA 2.5'!$AC$10:$AH$10</c:f>
                <c:numCache>
                  <c:formatCode>General</c:formatCode>
                  <c:ptCount val="6"/>
                  <c:pt idx="0">
                    <c:v>3.8249999999999993</c:v>
                  </c:pt>
                  <c:pt idx="1">
                    <c:v>10.149999999999999</c:v>
                  </c:pt>
                  <c:pt idx="2">
                    <c:v>10.099999999999998</c:v>
                  </c:pt>
                  <c:pt idx="3">
                    <c:v>5.4500000000000011</c:v>
                  </c:pt>
                  <c:pt idx="4">
                    <c:v>0.59999999999999787</c:v>
                  </c:pt>
                  <c:pt idx="5">
                    <c:v>8.8000000000000007</c:v>
                  </c:pt>
                </c:numCache>
              </c:numRef>
            </c:plus>
          </c:errBars>
          <c:cat>
            <c:strRef>
              <c:f>'ANOVA 2.5'!$AC$5:$AH$5</c:f>
              <c:strCache>
                <c:ptCount val="6"/>
                <c:pt idx="0">
                  <c:v>High-Direct</c:v>
                </c:pt>
                <c:pt idx="1">
                  <c:v>High-OEM</c:v>
                </c:pt>
                <c:pt idx="2">
                  <c:v>High-Reseller</c:v>
                </c:pt>
                <c:pt idx="3">
                  <c:v>Low-Direct</c:v>
                </c:pt>
                <c:pt idx="4">
                  <c:v>Low-OEM</c:v>
                </c:pt>
                <c:pt idx="5">
                  <c:v>Low-Reseller</c:v>
                </c:pt>
              </c:strCache>
            </c:strRef>
          </c:cat>
          <c:val>
            <c:numRef>
              <c:f>'ANOVA 2.5'!$AC$9:$AH$9</c:f>
              <c:numCache>
                <c:formatCode>0.0</c:formatCode>
                <c:ptCount val="6"/>
                <c:pt idx="0">
                  <c:v>2.375</c:v>
                </c:pt>
                <c:pt idx="1">
                  <c:v>1.8000000000000007</c:v>
                </c:pt>
                <c:pt idx="2">
                  <c:v>0.55000000000000071</c:v>
                </c:pt>
                <c:pt idx="3">
                  <c:v>2.5</c:v>
                </c:pt>
                <c:pt idx="4">
                  <c:v>1.3500000000000014</c:v>
                </c:pt>
                <c:pt idx="5">
                  <c:v>1.1999999999999957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543192"/>
        <c:axId val="114540448"/>
      </c:barChart>
      <c:catAx>
        <c:axId val="114543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540448"/>
        <c:crosses val="autoZero"/>
        <c:auto val="1"/>
        <c:lblAlgn val="ctr"/>
        <c:lblOffset val="100"/>
        <c:noMultiLvlLbl val="0"/>
      </c:catAx>
      <c:valAx>
        <c:axId val="11454044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14543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'Contrasts 2.1'!$O$3</c:f>
              <c:strCache>
                <c:ptCount val="1"/>
                <c:pt idx="0">
                  <c:v>Arm</c:v>
                </c:pt>
              </c:strCache>
            </c:strRef>
          </c:tx>
          <c:marker>
            <c:symbol val="none"/>
          </c:marker>
          <c:cat>
            <c:strRef>
              <c:f>'Contrasts 2.1'!$N$4:$N$6</c:f>
              <c:strCache>
                <c:ptCount val="3"/>
                <c:pt idx="0">
                  <c:v>Cold</c:v>
                </c:pt>
                <c:pt idx="1">
                  <c:v>Dry</c:v>
                </c:pt>
                <c:pt idx="2">
                  <c:v>Humid</c:v>
                </c:pt>
              </c:strCache>
            </c:strRef>
          </c:cat>
          <c:val>
            <c:numRef>
              <c:f>'Contrasts 2.1'!$O$4:$O$6</c:f>
              <c:numCache>
                <c:formatCode>General</c:formatCode>
                <c:ptCount val="3"/>
                <c:pt idx="0">
                  <c:v>22.8</c:v>
                </c:pt>
                <c:pt idx="1">
                  <c:v>25</c:v>
                </c:pt>
                <c:pt idx="2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'Contrasts 2.1'!$P$3</c:f>
              <c:strCache>
                <c:ptCount val="1"/>
                <c:pt idx="0">
                  <c:v>Neck</c:v>
                </c:pt>
              </c:strCache>
            </c:strRef>
          </c:tx>
          <c:marker>
            <c:symbol val="none"/>
          </c:marker>
          <c:cat>
            <c:strRef>
              <c:f>'Contrasts 2.1'!$N$4:$N$6</c:f>
              <c:strCache>
                <c:ptCount val="3"/>
                <c:pt idx="0">
                  <c:v>Cold</c:v>
                </c:pt>
                <c:pt idx="1">
                  <c:v>Dry</c:v>
                </c:pt>
                <c:pt idx="2">
                  <c:v>Humid</c:v>
                </c:pt>
              </c:strCache>
            </c:strRef>
          </c:cat>
          <c:val>
            <c:numRef>
              <c:f>'Contrasts 2.1'!$P$4:$P$6</c:f>
              <c:numCache>
                <c:formatCode>General</c:formatCode>
                <c:ptCount val="3"/>
                <c:pt idx="0">
                  <c:v>19.8</c:v>
                </c:pt>
                <c:pt idx="1">
                  <c:v>21</c:v>
                </c:pt>
                <c:pt idx="2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'Contrasts 2.1'!$Q$3</c:f>
              <c:strCache>
                <c:ptCount val="1"/>
                <c:pt idx="0">
                  <c:v>Foot</c:v>
                </c:pt>
              </c:strCache>
            </c:strRef>
          </c:tx>
          <c:marker>
            <c:symbol val="none"/>
          </c:marker>
          <c:cat>
            <c:strRef>
              <c:f>'Contrasts 2.1'!$N$4:$N$6</c:f>
              <c:strCache>
                <c:ptCount val="3"/>
                <c:pt idx="0">
                  <c:v>Cold</c:v>
                </c:pt>
                <c:pt idx="1">
                  <c:v>Dry</c:v>
                </c:pt>
                <c:pt idx="2">
                  <c:v>Humid</c:v>
                </c:pt>
              </c:strCache>
            </c:strRef>
          </c:cat>
          <c:val>
            <c:numRef>
              <c:f>'Contrasts 2.1'!$Q$4:$Q$6</c:f>
              <c:numCache>
                <c:formatCode>General</c:formatCode>
                <c:ptCount val="3"/>
                <c:pt idx="0">
                  <c:v>10</c:v>
                </c:pt>
                <c:pt idx="1">
                  <c:v>29.4</c:v>
                </c:pt>
                <c:pt idx="2">
                  <c:v>37.200000000000003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540840"/>
        <c:axId val="114542408"/>
      </c:lineChart>
      <c:catAx>
        <c:axId val="114540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4542408"/>
        <c:crosses val="autoZero"/>
        <c:auto val="1"/>
        <c:lblAlgn val="ctr"/>
        <c:lblOffset val="100"/>
        <c:noMultiLvlLbl val="0"/>
      </c:catAx>
      <c:valAx>
        <c:axId val="114542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540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Longevity</a:t>
            </a:r>
            <a:r>
              <a:rPr lang="en-US" sz="1600" baseline="0"/>
              <a:t> vs Smoking</a:t>
            </a:r>
            <a:endParaRPr lang="en-US" sz="16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 1'!$B$3</c:f>
              <c:strCache>
                <c:ptCount val="1"/>
                <c:pt idx="0">
                  <c:v>Life Exp (y)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'Reg 1'!$A$4:$A$18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1'!$B$4:$B$18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43976"/>
        <c:axId val="114541232"/>
      </c:scatterChart>
      <c:valAx>
        <c:axId val="114543976"/>
        <c:scaling>
          <c:orientation val="minMax"/>
          <c:max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 smoked (per day)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41232"/>
        <c:crosses val="autoZero"/>
        <c:crossBetween val="midCat"/>
      </c:valAx>
      <c:valAx>
        <c:axId val="114541232"/>
        <c:scaling>
          <c:orientation val="minMax"/>
          <c:min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43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Cig (x)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2'!$A$4:$A$18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4'!$T$5:$T$19</c:f>
              <c:numCache>
                <c:formatCode>General</c:formatCode>
                <c:ptCount val="15"/>
                <c:pt idx="0">
                  <c:v>-2.5794191686621133</c:v>
                </c:pt>
                <c:pt idx="1">
                  <c:v>6.7281881254988747</c:v>
                </c:pt>
                <c:pt idx="2">
                  <c:v>-10.015411064038801</c:v>
                </c:pt>
                <c:pt idx="3">
                  <c:v>-2.5668017437219817</c:v>
                </c:pt>
                <c:pt idx="4">
                  <c:v>9.958985694111874</c:v>
                </c:pt>
                <c:pt idx="5">
                  <c:v>3.30518204703138</c:v>
                </c:pt>
                <c:pt idx="6">
                  <c:v>-10.207619573893282</c:v>
                </c:pt>
                <c:pt idx="7">
                  <c:v>9.6127893411923679</c:v>
                </c:pt>
                <c:pt idx="8">
                  <c:v>2.1897832627248874</c:v>
                </c:pt>
                <c:pt idx="9">
                  <c:v>1.2153865045742123</c:v>
                </c:pt>
                <c:pt idx="10">
                  <c:v>-8.9256155215816193</c:v>
                </c:pt>
                <c:pt idx="11">
                  <c:v>8.2665929882728619</c:v>
                </c:pt>
                <c:pt idx="12">
                  <c:v>-9.5026094431141246</c:v>
                </c:pt>
                <c:pt idx="13">
                  <c:v>8.7923804261067176</c:v>
                </c:pt>
                <c:pt idx="14">
                  <c:v>-6.2718118745011253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95512"/>
        <c:axId val="536896296"/>
      </c:scatterChart>
      <c:valAx>
        <c:axId val="536895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Cig (x)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6296"/>
        <c:crosses val="autoZero"/>
        <c:crossBetween val="midCat"/>
      </c:valAx>
      <c:valAx>
        <c:axId val="536896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5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4'!$W$5:$W$19</c:f>
              <c:numCache>
                <c:formatCode>General</c:formatCode>
                <c:ptCount val="15"/>
                <c:pt idx="0">
                  <c:v>3.3333333333333335</c:v>
                </c:pt>
                <c:pt idx="1">
                  <c:v>10</c:v>
                </c:pt>
                <c:pt idx="2">
                  <c:v>16.666666666666668</c:v>
                </c:pt>
                <c:pt idx="3">
                  <c:v>23.333333333333332</c:v>
                </c:pt>
                <c:pt idx="4">
                  <c:v>30</c:v>
                </c:pt>
                <c:pt idx="5">
                  <c:v>36.666666666666671</c:v>
                </c:pt>
                <c:pt idx="6">
                  <c:v>43.333333333333336</c:v>
                </c:pt>
                <c:pt idx="7">
                  <c:v>50.000000000000007</c:v>
                </c:pt>
                <c:pt idx="8">
                  <c:v>56.666666666666671</c:v>
                </c:pt>
                <c:pt idx="9">
                  <c:v>63.333333333333336</c:v>
                </c:pt>
                <c:pt idx="10">
                  <c:v>70</c:v>
                </c:pt>
                <c:pt idx="11">
                  <c:v>76.666666666666671</c:v>
                </c:pt>
                <c:pt idx="12">
                  <c:v>83.333333333333329</c:v>
                </c:pt>
                <c:pt idx="13">
                  <c:v>90</c:v>
                </c:pt>
                <c:pt idx="14">
                  <c:v>96.666666666666671</c:v>
                </c:pt>
              </c:numCache>
            </c:numRef>
          </c:xVal>
          <c:yVal>
            <c:numRef>
              <c:f>'Reg 4'!$X$5:$X$19</c:f>
              <c:numCache>
                <c:formatCode>General</c:formatCode>
                <c:ptCount val="15"/>
                <c:pt idx="0">
                  <c:v>53</c:v>
                </c:pt>
                <c:pt idx="1">
                  <c:v>58</c:v>
                </c:pt>
                <c:pt idx="2">
                  <c:v>60</c:v>
                </c:pt>
                <c:pt idx="3">
                  <c:v>65</c:v>
                </c:pt>
                <c:pt idx="4">
                  <c:v>68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84</c:v>
                </c:pt>
                <c:pt idx="13">
                  <c:v>85</c:v>
                </c:pt>
                <c:pt idx="14">
                  <c:v>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96688"/>
        <c:axId val="536894336"/>
      </c:scatterChart>
      <c:valAx>
        <c:axId val="53689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4336"/>
        <c:crosses val="autoZero"/>
        <c:crossBetween val="midCat"/>
      </c:valAx>
      <c:valAx>
        <c:axId val="536894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Life Exp (y)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6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Cig (x)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Life Exp (y)</c:v>
          </c:tx>
          <c:spPr>
            <a:ln w="28575">
              <a:noFill/>
            </a:ln>
          </c:spPr>
          <c:xVal>
            <c:numRef>
              <c:f>'Reg 2'!$A$4:$A$18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2'!$B$4:$B$18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  <c:smooth val="0"/>
        </c:ser>
        <c:ser>
          <c:idx val="1"/>
          <c:order val="1"/>
          <c:tx>
            <c:v>Predicted Life Exp (y)</c:v>
          </c:tx>
          <c:spPr>
            <a:ln w="28575">
              <a:noFill/>
            </a:ln>
          </c:spPr>
          <c:dPt>
            <c:idx val="5"/>
            <c:marker>
              <c:symbol val="square"/>
              <c:size val="6"/>
            </c:marker>
            <c:bubble3D val="0"/>
          </c:dPt>
          <c:xVal>
            <c:numRef>
              <c:f>'Reg 2'!$A$4:$A$18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4'!$S$5:$S$19</c:f>
              <c:numCache>
                <c:formatCode>General</c:formatCode>
                <c:ptCount val="15"/>
                <c:pt idx="0">
                  <c:v>82.579419168662113</c:v>
                </c:pt>
                <c:pt idx="1">
                  <c:v>71.271811874501125</c:v>
                </c:pt>
                <c:pt idx="2">
                  <c:v>70.015411064038801</c:v>
                </c:pt>
                <c:pt idx="3">
                  <c:v>55.566801743721982</c:v>
                </c:pt>
                <c:pt idx="4">
                  <c:v>75.041014305888126</c:v>
                </c:pt>
                <c:pt idx="5">
                  <c:v>80.69481795296862</c:v>
                </c:pt>
                <c:pt idx="6">
                  <c:v>83.207619573893282</c:v>
                </c:pt>
                <c:pt idx="7">
                  <c:v>69.387210658807632</c:v>
                </c:pt>
                <c:pt idx="8">
                  <c:v>78.810216737275113</c:v>
                </c:pt>
                <c:pt idx="9">
                  <c:v>73.784613495425788</c:v>
                </c:pt>
                <c:pt idx="10">
                  <c:v>76.925615521581619</c:v>
                </c:pt>
                <c:pt idx="11">
                  <c:v>63.733407011727138</c:v>
                </c:pt>
                <c:pt idx="12">
                  <c:v>67.502609443114125</c:v>
                </c:pt>
                <c:pt idx="13">
                  <c:v>83.207619573893282</c:v>
                </c:pt>
                <c:pt idx="14">
                  <c:v>71.271811874501125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95120"/>
        <c:axId val="536897472"/>
      </c:scatterChart>
      <c:valAx>
        <c:axId val="53689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Cig (x)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7472"/>
        <c:crosses val="autoZero"/>
        <c:crossBetween val="midCat"/>
      </c:valAx>
      <c:valAx>
        <c:axId val="536897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Life Exp (y)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95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'Reg 5'!$A$5:$A$19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5'!$B$5:$B$19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090728"/>
        <c:axId val="460088768"/>
      </c:scatterChart>
      <c:valAx>
        <c:axId val="460090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088768"/>
        <c:crosses val="autoZero"/>
        <c:crossBetween val="midCat"/>
      </c:valAx>
      <c:valAx>
        <c:axId val="460088768"/>
        <c:scaling>
          <c:orientation val="minMax"/>
          <c:max val="100"/>
          <c:min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Longevity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090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Women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'Reg 5'!$D$5:$D$20</c:f>
              <c:numCache>
                <c:formatCode>General</c:formatCode>
                <c:ptCount val="16"/>
                <c:pt idx="0">
                  <c:v>22</c:v>
                </c:pt>
                <c:pt idx="1">
                  <c:v>7</c:v>
                </c:pt>
                <c:pt idx="2">
                  <c:v>20</c:v>
                </c:pt>
                <c:pt idx="3">
                  <c:v>23</c:v>
                </c:pt>
                <c:pt idx="4">
                  <c:v>15</c:v>
                </c:pt>
                <c:pt idx="5">
                  <c:v>34</c:v>
                </c:pt>
                <c:pt idx="6">
                  <c:v>4</c:v>
                </c:pt>
                <c:pt idx="7">
                  <c:v>40</c:v>
                </c:pt>
                <c:pt idx="8">
                  <c:v>8</c:v>
                </c:pt>
                <c:pt idx="9">
                  <c:v>16</c:v>
                </c:pt>
                <c:pt idx="10">
                  <c:v>11</c:v>
                </c:pt>
                <c:pt idx="11">
                  <c:v>52</c:v>
                </c:pt>
                <c:pt idx="12">
                  <c:v>3</c:v>
                </c:pt>
                <c:pt idx="13">
                  <c:v>31</c:v>
                </c:pt>
                <c:pt idx="14">
                  <c:v>18</c:v>
                </c:pt>
                <c:pt idx="15">
                  <c:v>8</c:v>
                </c:pt>
              </c:numCache>
            </c:numRef>
          </c:xVal>
          <c:yVal>
            <c:numRef>
              <c:f>'Reg 5'!$E$5:$E$20</c:f>
              <c:numCache>
                <c:formatCode>General</c:formatCode>
                <c:ptCount val="16"/>
                <c:pt idx="0">
                  <c:v>88</c:v>
                </c:pt>
                <c:pt idx="1">
                  <c:v>95</c:v>
                </c:pt>
                <c:pt idx="2">
                  <c:v>86</c:v>
                </c:pt>
                <c:pt idx="3">
                  <c:v>60</c:v>
                </c:pt>
                <c:pt idx="4">
                  <c:v>82</c:v>
                </c:pt>
                <c:pt idx="5">
                  <c:v>75</c:v>
                </c:pt>
                <c:pt idx="6">
                  <c:v>80</c:v>
                </c:pt>
                <c:pt idx="7">
                  <c:v>68</c:v>
                </c:pt>
                <c:pt idx="8">
                  <c:v>93</c:v>
                </c:pt>
                <c:pt idx="9">
                  <c:v>77</c:v>
                </c:pt>
                <c:pt idx="10">
                  <c:v>72</c:v>
                </c:pt>
                <c:pt idx="11">
                  <c:v>67</c:v>
                </c:pt>
                <c:pt idx="12">
                  <c:v>90</c:v>
                </c:pt>
                <c:pt idx="13">
                  <c:v>66</c:v>
                </c:pt>
                <c:pt idx="14">
                  <c:v>72</c:v>
                </c:pt>
                <c:pt idx="15">
                  <c:v>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088376"/>
        <c:axId val="460091120"/>
      </c:scatterChart>
      <c:valAx>
        <c:axId val="460088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091120"/>
        <c:crosses val="autoZero"/>
        <c:crossBetween val="midCat"/>
      </c:valAx>
      <c:valAx>
        <c:axId val="460091120"/>
        <c:scaling>
          <c:orientation val="minMax"/>
          <c:max val="100"/>
          <c:min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Longevity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088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 Transformation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'Exp Reg'!$D$6:$D$16</c:f>
              <c:numCache>
                <c:formatCode>General</c:formatCode>
                <c:ptCount val="11"/>
                <c:pt idx="0">
                  <c:v>45</c:v>
                </c:pt>
                <c:pt idx="1">
                  <c:v>99</c:v>
                </c:pt>
                <c:pt idx="2">
                  <c:v>31</c:v>
                </c:pt>
                <c:pt idx="3">
                  <c:v>57</c:v>
                </c:pt>
                <c:pt idx="4">
                  <c:v>37</c:v>
                </c:pt>
                <c:pt idx="5">
                  <c:v>85</c:v>
                </c:pt>
                <c:pt idx="6">
                  <c:v>21</c:v>
                </c:pt>
                <c:pt idx="7">
                  <c:v>64</c:v>
                </c:pt>
                <c:pt idx="8">
                  <c:v>17</c:v>
                </c:pt>
                <c:pt idx="9">
                  <c:v>41</c:v>
                </c:pt>
                <c:pt idx="10">
                  <c:v>103</c:v>
                </c:pt>
              </c:numCache>
            </c:numRef>
          </c:xVal>
          <c:yVal>
            <c:numRef>
              <c:f>'Exp Reg'!$E$6:$E$16</c:f>
              <c:numCache>
                <c:formatCode>General</c:formatCode>
                <c:ptCount val="11"/>
                <c:pt idx="0">
                  <c:v>3.4965075614664802</c:v>
                </c:pt>
                <c:pt idx="1">
                  <c:v>4.2766661190160553</c:v>
                </c:pt>
                <c:pt idx="2">
                  <c:v>2.9444389791664403</c:v>
                </c:pt>
                <c:pt idx="3">
                  <c:v>3.2958368660043291</c:v>
                </c:pt>
                <c:pt idx="4">
                  <c:v>3.1354942159291497</c:v>
                </c:pt>
                <c:pt idx="5">
                  <c:v>4.1271343850450917</c:v>
                </c:pt>
                <c:pt idx="6">
                  <c:v>3.1780538303479458</c:v>
                </c:pt>
                <c:pt idx="7">
                  <c:v>3.4657359027997265</c:v>
                </c:pt>
                <c:pt idx="8">
                  <c:v>2.8903717578961645</c:v>
                </c:pt>
                <c:pt idx="9">
                  <c:v>3.5835189384561099</c:v>
                </c:pt>
                <c:pt idx="10">
                  <c:v>4.3307333402863311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089944"/>
        <c:axId val="460087592"/>
      </c:scatterChart>
      <c:valAx>
        <c:axId val="460089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0087592"/>
        <c:crosses val="autoZero"/>
        <c:crossBetween val="midCat"/>
      </c:valAx>
      <c:valAx>
        <c:axId val="460087592"/>
        <c:scaling>
          <c:orientation val="minMax"/>
          <c:min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0089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Original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exp"/>
            <c:dispRSqr val="0"/>
            <c:dispEq val="0"/>
          </c:trendline>
          <c:xVal>
            <c:numRef>
              <c:f>'Exp Reg'!$A$6:$A$16</c:f>
              <c:numCache>
                <c:formatCode>General</c:formatCode>
                <c:ptCount val="11"/>
                <c:pt idx="0">
                  <c:v>45</c:v>
                </c:pt>
                <c:pt idx="1">
                  <c:v>99</c:v>
                </c:pt>
                <c:pt idx="2">
                  <c:v>31</c:v>
                </c:pt>
                <c:pt idx="3">
                  <c:v>57</c:v>
                </c:pt>
                <c:pt idx="4">
                  <c:v>37</c:v>
                </c:pt>
                <c:pt idx="5">
                  <c:v>85</c:v>
                </c:pt>
                <c:pt idx="6">
                  <c:v>21</c:v>
                </c:pt>
                <c:pt idx="7">
                  <c:v>64</c:v>
                </c:pt>
                <c:pt idx="8">
                  <c:v>17</c:v>
                </c:pt>
                <c:pt idx="9">
                  <c:v>41</c:v>
                </c:pt>
                <c:pt idx="10">
                  <c:v>103</c:v>
                </c:pt>
              </c:numCache>
            </c:numRef>
          </c:xVal>
          <c:yVal>
            <c:numRef>
              <c:f>'Exp Reg'!$B$6:$B$16</c:f>
              <c:numCache>
                <c:formatCode>General</c:formatCode>
                <c:ptCount val="11"/>
                <c:pt idx="0">
                  <c:v>33</c:v>
                </c:pt>
                <c:pt idx="1">
                  <c:v>72</c:v>
                </c:pt>
                <c:pt idx="2">
                  <c:v>19</c:v>
                </c:pt>
                <c:pt idx="3">
                  <c:v>27</c:v>
                </c:pt>
                <c:pt idx="4">
                  <c:v>23</c:v>
                </c:pt>
                <c:pt idx="5">
                  <c:v>62</c:v>
                </c:pt>
                <c:pt idx="6">
                  <c:v>24</c:v>
                </c:pt>
                <c:pt idx="7">
                  <c:v>32</c:v>
                </c:pt>
                <c:pt idx="8">
                  <c:v>18</c:v>
                </c:pt>
                <c:pt idx="9">
                  <c:v>36</c:v>
                </c:pt>
                <c:pt idx="10">
                  <c:v>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090336"/>
        <c:axId val="500526696"/>
      </c:scatterChart>
      <c:valAx>
        <c:axId val="46009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526696"/>
        <c:crosses val="autoZero"/>
        <c:crossBetween val="midCat"/>
      </c:valAx>
      <c:valAx>
        <c:axId val="500526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0090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Original Data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'Pow Reg'!$A$6:$A$16</c:f>
              <c:numCache>
                <c:formatCode>General</c:formatCode>
                <c:ptCount val="11"/>
                <c:pt idx="0">
                  <c:v>8.1</c:v>
                </c:pt>
                <c:pt idx="1">
                  <c:v>69.900000000000006</c:v>
                </c:pt>
                <c:pt idx="2">
                  <c:v>4.2</c:v>
                </c:pt>
                <c:pt idx="3">
                  <c:v>14.1</c:v>
                </c:pt>
                <c:pt idx="4">
                  <c:v>5.6</c:v>
                </c:pt>
                <c:pt idx="5">
                  <c:v>52.1</c:v>
                </c:pt>
                <c:pt idx="6">
                  <c:v>44.6</c:v>
                </c:pt>
                <c:pt idx="7">
                  <c:v>19.600000000000001</c:v>
                </c:pt>
                <c:pt idx="8">
                  <c:v>33</c:v>
                </c:pt>
                <c:pt idx="9">
                  <c:v>6.7</c:v>
                </c:pt>
                <c:pt idx="10">
                  <c:v>30.1</c:v>
                </c:pt>
              </c:numCache>
            </c:numRef>
          </c:xVal>
          <c:yVal>
            <c:numRef>
              <c:f>'Pow Reg'!$B$6:$B$16</c:f>
              <c:numCache>
                <c:formatCode>General</c:formatCode>
                <c:ptCount val="11"/>
                <c:pt idx="0">
                  <c:v>33</c:v>
                </c:pt>
                <c:pt idx="1">
                  <c:v>49</c:v>
                </c:pt>
                <c:pt idx="2">
                  <c:v>18.999999999999996</c:v>
                </c:pt>
                <c:pt idx="3">
                  <c:v>27</c:v>
                </c:pt>
                <c:pt idx="4">
                  <c:v>23</c:v>
                </c:pt>
                <c:pt idx="5">
                  <c:v>51</c:v>
                </c:pt>
                <c:pt idx="6">
                  <c:v>34</c:v>
                </c:pt>
                <c:pt idx="7">
                  <c:v>32</c:v>
                </c:pt>
                <c:pt idx="8">
                  <c:v>28</c:v>
                </c:pt>
                <c:pt idx="9">
                  <c:v>36</c:v>
                </c:pt>
                <c:pt idx="10">
                  <c:v>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27480"/>
        <c:axId val="500527872"/>
      </c:scatterChart>
      <c:valAx>
        <c:axId val="50052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527872"/>
        <c:crosses val="autoZero"/>
        <c:crossBetween val="midCat"/>
      </c:valAx>
      <c:valAx>
        <c:axId val="500527872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527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Log-Log Transformation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'Pow Reg'!$D$6:$D$16</c:f>
              <c:numCache>
                <c:formatCode>General</c:formatCode>
                <c:ptCount val="11"/>
                <c:pt idx="0">
                  <c:v>2.0918640616783932</c:v>
                </c:pt>
                <c:pt idx="1">
                  <c:v>4.2470656492397643</c:v>
                </c:pt>
                <c:pt idx="2">
                  <c:v>1.4350845252893227</c:v>
                </c:pt>
                <c:pt idx="3">
                  <c:v>2.6461747973841225</c:v>
                </c:pt>
                <c:pt idx="4">
                  <c:v>1.7227665977411035</c:v>
                </c:pt>
                <c:pt idx="5">
                  <c:v>3.9531649487593215</c:v>
                </c:pt>
                <c:pt idx="6">
                  <c:v>3.7977338590260183</c:v>
                </c:pt>
                <c:pt idx="7">
                  <c:v>2.9755295662364718</c:v>
                </c:pt>
                <c:pt idx="8">
                  <c:v>3.4965075614664802</c:v>
                </c:pt>
                <c:pt idx="9">
                  <c:v>1.9021075263969205</c:v>
                </c:pt>
                <c:pt idx="10">
                  <c:v>3.4045251717548299</c:v>
                </c:pt>
              </c:numCache>
            </c:numRef>
          </c:xVal>
          <c:yVal>
            <c:numRef>
              <c:f>'Pow Reg'!$E$6:$E$16</c:f>
              <c:numCache>
                <c:formatCode>General</c:formatCode>
                <c:ptCount val="11"/>
                <c:pt idx="0">
                  <c:v>3.4965075614664802</c:v>
                </c:pt>
                <c:pt idx="1">
                  <c:v>3.8918202981106265</c:v>
                </c:pt>
                <c:pt idx="2">
                  <c:v>2.9444389791664403</c:v>
                </c:pt>
                <c:pt idx="3">
                  <c:v>3.2958368660043291</c:v>
                </c:pt>
                <c:pt idx="4">
                  <c:v>3.1354942159291497</c:v>
                </c:pt>
                <c:pt idx="5">
                  <c:v>3.9318256327243257</c:v>
                </c:pt>
                <c:pt idx="6">
                  <c:v>3.5263605246161616</c:v>
                </c:pt>
                <c:pt idx="7">
                  <c:v>3.4657359027997265</c:v>
                </c:pt>
                <c:pt idx="8">
                  <c:v>3.3322045101752038</c:v>
                </c:pt>
                <c:pt idx="9">
                  <c:v>3.5835189384561099</c:v>
                </c:pt>
                <c:pt idx="10">
                  <c:v>3.7612001156935624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29832"/>
        <c:axId val="500528656"/>
      </c:scatterChart>
      <c:valAx>
        <c:axId val="50052983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500528656"/>
        <c:crosses val="autoZero"/>
        <c:crossBetween val="midCat"/>
      </c:valAx>
      <c:valAx>
        <c:axId val="500528656"/>
        <c:scaling>
          <c:orientation val="minMax"/>
          <c:min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529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1A'!$C$25:$C$44</c:f>
              <c:numCache>
                <c:formatCode>General</c:formatCode>
                <c:ptCount val="20"/>
                <c:pt idx="0">
                  <c:v>-2</c:v>
                </c:pt>
                <c:pt idx="1">
                  <c:v>2</c:v>
                </c:pt>
                <c:pt idx="2">
                  <c:v>4</c:v>
                </c:pt>
                <c:pt idx="3">
                  <c:v>-4</c:v>
                </c:pt>
                <c:pt idx="4">
                  <c:v>5</c:v>
                </c:pt>
                <c:pt idx="5">
                  <c:v>0</c:v>
                </c:pt>
                <c:pt idx="6">
                  <c:v>3</c:v>
                </c:pt>
                <c:pt idx="7">
                  <c:v>-6</c:v>
                </c:pt>
                <c:pt idx="8">
                  <c:v>-3</c:v>
                </c:pt>
                <c:pt idx="9">
                  <c:v>1</c:v>
                </c:pt>
                <c:pt idx="10">
                  <c:v>0.89999999999999858</c:v>
                </c:pt>
                <c:pt idx="11">
                  <c:v>-3.1000000000000014</c:v>
                </c:pt>
                <c:pt idx="12">
                  <c:v>-5.1000000000000014</c:v>
                </c:pt>
                <c:pt idx="13">
                  <c:v>4.8999999999999986</c:v>
                </c:pt>
                <c:pt idx="14">
                  <c:v>0.89999999999999858</c:v>
                </c:pt>
                <c:pt idx="15">
                  <c:v>2.8999999999999986</c:v>
                </c:pt>
                <c:pt idx="16">
                  <c:v>-1.1000000000000014</c:v>
                </c:pt>
                <c:pt idx="17">
                  <c:v>6.8999999999999986</c:v>
                </c:pt>
                <c:pt idx="18">
                  <c:v>-7.1000000000000014</c:v>
                </c:pt>
                <c:pt idx="19">
                  <c:v>-0.10000000000000142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29048"/>
        <c:axId val="500529440"/>
      </c:scatterChart>
      <c:valAx>
        <c:axId val="500529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29440"/>
        <c:crosses val="autoZero"/>
        <c:crossBetween val="midCat"/>
      </c:valAx>
      <c:valAx>
        <c:axId val="500529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29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1A'!$C$25:$C$44</c:f>
              <c:numCache>
                <c:formatCode>General</c:formatCode>
                <c:ptCount val="20"/>
                <c:pt idx="0">
                  <c:v>-2</c:v>
                </c:pt>
                <c:pt idx="1">
                  <c:v>2</c:v>
                </c:pt>
                <c:pt idx="2">
                  <c:v>4</c:v>
                </c:pt>
                <c:pt idx="3">
                  <c:v>-4</c:v>
                </c:pt>
                <c:pt idx="4">
                  <c:v>5</c:v>
                </c:pt>
                <c:pt idx="5">
                  <c:v>0</c:v>
                </c:pt>
                <c:pt idx="6">
                  <c:v>3</c:v>
                </c:pt>
                <c:pt idx="7">
                  <c:v>-6</c:v>
                </c:pt>
                <c:pt idx="8">
                  <c:v>-3</c:v>
                </c:pt>
                <c:pt idx="9">
                  <c:v>1</c:v>
                </c:pt>
                <c:pt idx="10">
                  <c:v>0.89999999999999858</c:v>
                </c:pt>
                <c:pt idx="11">
                  <c:v>-3.1000000000000014</c:v>
                </c:pt>
                <c:pt idx="12">
                  <c:v>-5.1000000000000014</c:v>
                </c:pt>
                <c:pt idx="13">
                  <c:v>4.8999999999999986</c:v>
                </c:pt>
                <c:pt idx="14">
                  <c:v>0.89999999999999858</c:v>
                </c:pt>
                <c:pt idx="15">
                  <c:v>2.8999999999999986</c:v>
                </c:pt>
                <c:pt idx="16">
                  <c:v>-1.1000000000000014</c:v>
                </c:pt>
                <c:pt idx="17">
                  <c:v>6.8999999999999986</c:v>
                </c:pt>
                <c:pt idx="18">
                  <c:v>-7.1000000000000014</c:v>
                </c:pt>
                <c:pt idx="19">
                  <c:v>-0.10000000000000142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82520"/>
        <c:axId val="185482128"/>
      </c:scatterChart>
      <c:valAx>
        <c:axId val="185482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82128"/>
        <c:crosses val="autoZero"/>
        <c:crossBetween val="midCat"/>
      </c:valAx>
      <c:valAx>
        <c:axId val="185482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82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x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1'!$E$4:$E$23</c:f>
              <c:numCache>
                <c:formatCode>General</c:formatCode>
                <c:ptCount val="20"/>
                <c:pt idx="0">
                  <c:v>13</c:v>
                </c:pt>
                <c:pt idx="1">
                  <c:v>17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15</c:v>
                </c:pt>
                <c:pt idx="6">
                  <c:v>18</c:v>
                </c:pt>
                <c:pt idx="7">
                  <c:v>9</c:v>
                </c:pt>
                <c:pt idx="8">
                  <c:v>12</c:v>
                </c:pt>
                <c:pt idx="9">
                  <c:v>16</c:v>
                </c:pt>
                <c:pt idx="10">
                  <c:v>12</c:v>
                </c:pt>
                <c:pt idx="11">
                  <c:v>8</c:v>
                </c:pt>
                <c:pt idx="12">
                  <c:v>6</c:v>
                </c:pt>
                <c:pt idx="13">
                  <c:v>16</c:v>
                </c:pt>
                <c:pt idx="14">
                  <c:v>12</c:v>
                </c:pt>
                <c:pt idx="15">
                  <c:v>14</c:v>
                </c:pt>
                <c:pt idx="16">
                  <c:v>10</c:v>
                </c:pt>
                <c:pt idx="17">
                  <c:v>18</c:v>
                </c:pt>
                <c:pt idx="18">
                  <c:v>4</c:v>
                </c:pt>
                <c:pt idx="19">
                  <c:v>11</c:v>
                </c:pt>
              </c:numCache>
            </c:numRef>
          </c:yVal>
          <c:smooth val="0"/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1A'!$B$25:$B$44</c:f>
              <c:numCache>
                <c:formatCode>General</c:formatCode>
                <c:ptCount val="2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11.100000000000001</c:v>
                </c:pt>
                <c:pt idx="11">
                  <c:v>11.100000000000001</c:v>
                </c:pt>
                <c:pt idx="12">
                  <c:v>11.100000000000001</c:v>
                </c:pt>
                <c:pt idx="13">
                  <c:v>11.100000000000001</c:v>
                </c:pt>
                <c:pt idx="14">
                  <c:v>11.100000000000001</c:v>
                </c:pt>
                <c:pt idx="15">
                  <c:v>11.100000000000001</c:v>
                </c:pt>
                <c:pt idx="16">
                  <c:v>11.100000000000001</c:v>
                </c:pt>
                <c:pt idx="17">
                  <c:v>11.100000000000001</c:v>
                </c:pt>
                <c:pt idx="18">
                  <c:v>11.100000000000001</c:v>
                </c:pt>
                <c:pt idx="19">
                  <c:v>11.100000000000001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81344"/>
        <c:axId val="185483304"/>
      </c:scatterChart>
      <c:valAx>
        <c:axId val="18548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83304"/>
        <c:crosses val="autoZero"/>
        <c:crossBetween val="midCat"/>
      </c:valAx>
      <c:valAx>
        <c:axId val="185483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81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T 1A'!$F$25:$F$44</c:f>
              <c:numCache>
                <c:formatCode>General</c:formatCode>
                <c:ptCount val="2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</c:numCache>
            </c:numRef>
          </c:xVal>
          <c:yVal>
            <c:numRef>
              <c:f>'Reg T 1A'!$G$25:$G$44</c:f>
              <c:numCache>
                <c:formatCode>General</c:formatCode>
                <c:ptCount val="20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82912"/>
        <c:axId val="185479776"/>
      </c:scatterChart>
      <c:valAx>
        <c:axId val="18548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79776"/>
        <c:crosses val="autoZero"/>
        <c:crossBetween val="midCat"/>
      </c:valAx>
      <c:valAx>
        <c:axId val="185479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82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2A'!$C$25:$C$44</c:f>
              <c:numCache>
                <c:formatCode>General</c:formatCode>
                <c:ptCount val="20"/>
                <c:pt idx="0">
                  <c:v>0.5</c:v>
                </c:pt>
                <c:pt idx="1">
                  <c:v>18.5</c:v>
                </c:pt>
                <c:pt idx="2">
                  <c:v>-16.5</c:v>
                </c:pt>
                <c:pt idx="3">
                  <c:v>11.5</c:v>
                </c:pt>
                <c:pt idx="4">
                  <c:v>-28.5</c:v>
                </c:pt>
                <c:pt idx="5">
                  <c:v>-4.5</c:v>
                </c:pt>
                <c:pt idx="6">
                  <c:v>-2.5</c:v>
                </c:pt>
                <c:pt idx="7">
                  <c:v>-27.5</c:v>
                </c:pt>
                <c:pt idx="8">
                  <c:v>18.5</c:v>
                </c:pt>
                <c:pt idx="9">
                  <c:v>30.5</c:v>
                </c:pt>
                <c:pt idx="10">
                  <c:v>0.89999999999999503</c:v>
                </c:pt>
                <c:pt idx="11">
                  <c:v>-3.100000000000005</c:v>
                </c:pt>
                <c:pt idx="12">
                  <c:v>-5.100000000000005</c:v>
                </c:pt>
                <c:pt idx="13">
                  <c:v>4.899999999999995</c:v>
                </c:pt>
                <c:pt idx="14">
                  <c:v>0.89999999999999503</c:v>
                </c:pt>
                <c:pt idx="15">
                  <c:v>2.899999999999995</c:v>
                </c:pt>
                <c:pt idx="16">
                  <c:v>-1.100000000000005</c:v>
                </c:pt>
                <c:pt idx="17">
                  <c:v>6.899999999999995</c:v>
                </c:pt>
                <c:pt idx="18">
                  <c:v>-7.100000000000005</c:v>
                </c:pt>
                <c:pt idx="19">
                  <c:v>-0.10000000000000497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80560"/>
        <c:axId val="464796712"/>
      </c:scatterChart>
      <c:valAx>
        <c:axId val="18548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796712"/>
        <c:crosses val="autoZero"/>
        <c:crossBetween val="midCat"/>
      </c:valAx>
      <c:valAx>
        <c:axId val="464796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80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2A'!$C$25:$C$44</c:f>
              <c:numCache>
                <c:formatCode>General</c:formatCode>
                <c:ptCount val="20"/>
                <c:pt idx="0">
                  <c:v>0.5</c:v>
                </c:pt>
                <c:pt idx="1">
                  <c:v>18.5</c:v>
                </c:pt>
                <c:pt idx="2">
                  <c:v>-16.5</c:v>
                </c:pt>
                <c:pt idx="3">
                  <c:v>11.5</c:v>
                </c:pt>
                <c:pt idx="4">
                  <c:v>-28.5</c:v>
                </c:pt>
                <c:pt idx="5">
                  <c:v>-4.5</c:v>
                </c:pt>
                <c:pt idx="6">
                  <c:v>-2.5</c:v>
                </c:pt>
                <c:pt idx="7">
                  <c:v>-27.5</c:v>
                </c:pt>
                <c:pt idx="8">
                  <c:v>18.5</c:v>
                </c:pt>
                <c:pt idx="9">
                  <c:v>30.5</c:v>
                </c:pt>
                <c:pt idx="10">
                  <c:v>0.89999999999999503</c:v>
                </c:pt>
                <c:pt idx="11">
                  <c:v>-3.100000000000005</c:v>
                </c:pt>
                <c:pt idx="12">
                  <c:v>-5.100000000000005</c:v>
                </c:pt>
                <c:pt idx="13">
                  <c:v>4.899999999999995</c:v>
                </c:pt>
                <c:pt idx="14">
                  <c:v>0.89999999999999503</c:v>
                </c:pt>
                <c:pt idx="15">
                  <c:v>2.899999999999995</c:v>
                </c:pt>
                <c:pt idx="16">
                  <c:v>-1.100000000000005</c:v>
                </c:pt>
                <c:pt idx="17">
                  <c:v>6.899999999999995</c:v>
                </c:pt>
                <c:pt idx="18">
                  <c:v>-7.100000000000005</c:v>
                </c:pt>
                <c:pt idx="19">
                  <c:v>-0.10000000000000497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796320"/>
        <c:axId val="464797104"/>
      </c:scatterChart>
      <c:valAx>
        <c:axId val="46479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797104"/>
        <c:crosses val="autoZero"/>
        <c:crossBetween val="midCat"/>
      </c:valAx>
      <c:valAx>
        <c:axId val="464797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796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x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2'!$E$4:$E$23</c:f>
              <c:numCache>
                <c:formatCode>General</c:formatCode>
                <c:ptCount val="20"/>
                <c:pt idx="0">
                  <c:v>34</c:v>
                </c:pt>
                <c:pt idx="1">
                  <c:v>52</c:v>
                </c:pt>
                <c:pt idx="2">
                  <c:v>17</c:v>
                </c:pt>
                <c:pt idx="3">
                  <c:v>45</c:v>
                </c:pt>
                <c:pt idx="4">
                  <c:v>5</c:v>
                </c:pt>
                <c:pt idx="5">
                  <c:v>29</c:v>
                </c:pt>
                <c:pt idx="6">
                  <c:v>31</c:v>
                </c:pt>
                <c:pt idx="7">
                  <c:v>6</c:v>
                </c:pt>
                <c:pt idx="8">
                  <c:v>52</c:v>
                </c:pt>
                <c:pt idx="9">
                  <c:v>64</c:v>
                </c:pt>
                <c:pt idx="10">
                  <c:v>12</c:v>
                </c:pt>
                <c:pt idx="11">
                  <c:v>8</c:v>
                </c:pt>
                <c:pt idx="12">
                  <c:v>6</c:v>
                </c:pt>
                <c:pt idx="13">
                  <c:v>16</c:v>
                </c:pt>
                <c:pt idx="14">
                  <c:v>12</c:v>
                </c:pt>
                <c:pt idx="15">
                  <c:v>14</c:v>
                </c:pt>
                <c:pt idx="16">
                  <c:v>10</c:v>
                </c:pt>
                <c:pt idx="17">
                  <c:v>18</c:v>
                </c:pt>
                <c:pt idx="18">
                  <c:v>4</c:v>
                </c:pt>
                <c:pt idx="19">
                  <c:v>11</c:v>
                </c:pt>
              </c:numCache>
            </c:numRef>
          </c:yVal>
          <c:smooth val="0"/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2A'!$B$25:$B$44</c:f>
              <c:numCache>
                <c:formatCode>General</c:formatCode>
                <c:ptCount val="20"/>
                <c:pt idx="0">
                  <c:v>33.5</c:v>
                </c:pt>
                <c:pt idx="1">
                  <c:v>33.5</c:v>
                </c:pt>
                <c:pt idx="2">
                  <c:v>33.5</c:v>
                </c:pt>
                <c:pt idx="3">
                  <c:v>33.5</c:v>
                </c:pt>
                <c:pt idx="4">
                  <c:v>33.5</c:v>
                </c:pt>
                <c:pt idx="5">
                  <c:v>33.5</c:v>
                </c:pt>
                <c:pt idx="6">
                  <c:v>33.5</c:v>
                </c:pt>
                <c:pt idx="7">
                  <c:v>33.5</c:v>
                </c:pt>
                <c:pt idx="8">
                  <c:v>33.5</c:v>
                </c:pt>
                <c:pt idx="9">
                  <c:v>33.5</c:v>
                </c:pt>
                <c:pt idx="10">
                  <c:v>11.100000000000005</c:v>
                </c:pt>
                <c:pt idx="11">
                  <c:v>11.100000000000005</c:v>
                </c:pt>
                <c:pt idx="12">
                  <c:v>11.100000000000005</c:v>
                </c:pt>
                <c:pt idx="13">
                  <c:v>11.100000000000005</c:v>
                </c:pt>
                <c:pt idx="14">
                  <c:v>11.100000000000005</c:v>
                </c:pt>
                <c:pt idx="15">
                  <c:v>11.100000000000005</c:v>
                </c:pt>
                <c:pt idx="16">
                  <c:v>11.100000000000005</c:v>
                </c:pt>
                <c:pt idx="17">
                  <c:v>11.100000000000005</c:v>
                </c:pt>
                <c:pt idx="18">
                  <c:v>11.100000000000005</c:v>
                </c:pt>
                <c:pt idx="19">
                  <c:v>11.100000000000005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800240"/>
        <c:axId val="464801024"/>
      </c:scatterChart>
      <c:valAx>
        <c:axId val="46480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01024"/>
        <c:crosses val="autoZero"/>
        <c:crossBetween val="midCat"/>
      </c:valAx>
      <c:valAx>
        <c:axId val="464801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00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 T 2A'!$F$25:$F$44</c:f>
              <c:numCache>
                <c:formatCode>General</c:formatCode>
                <c:ptCount val="2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</c:numCache>
            </c:numRef>
          </c:xVal>
          <c:yVal>
            <c:numRef>
              <c:f>'Reg T 2A'!$G$25:$G$44</c:f>
              <c:numCache>
                <c:formatCode>General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29</c:v>
                </c:pt>
                <c:pt idx="14">
                  <c:v>31</c:v>
                </c:pt>
                <c:pt idx="15">
                  <c:v>34</c:v>
                </c:pt>
                <c:pt idx="16">
                  <c:v>45</c:v>
                </c:pt>
                <c:pt idx="17">
                  <c:v>52</c:v>
                </c:pt>
                <c:pt idx="18">
                  <c:v>52</c:v>
                </c:pt>
                <c:pt idx="19">
                  <c:v>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799064"/>
        <c:axId val="464802592"/>
      </c:scatterChart>
      <c:valAx>
        <c:axId val="46479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02592"/>
        <c:crosses val="autoZero"/>
        <c:crossBetween val="midCat"/>
      </c:valAx>
      <c:valAx>
        <c:axId val="464802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799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'Mult Reg 2'!$B$30:$B$40</c:f>
              <c:numCache>
                <c:formatCode>General</c:formatCode>
                <c:ptCount val="11"/>
                <c:pt idx="0">
                  <c:v>-1.3236303505689102</c:v>
                </c:pt>
                <c:pt idx="1">
                  <c:v>-1.0711234253885886</c:v>
                </c:pt>
                <c:pt idx="2">
                  <c:v>-0.95698541007981308</c:v>
                </c:pt>
                <c:pt idx="3">
                  <c:v>-0.85947290855377767</c:v>
                </c:pt>
                <c:pt idx="4">
                  <c:v>-0.40782898942708506</c:v>
                </c:pt>
                <c:pt idx="5">
                  <c:v>-0.23339821457085794</c:v>
                </c:pt>
                <c:pt idx="6">
                  <c:v>0.31381862189921916</c:v>
                </c:pt>
                <c:pt idx="7">
                  <c:v>0.79973849933219099</c:v>
                </c:pt>
                <c:pt idx="8">
                  <c:v>0.86327382787517848</c:v>
                </c:pt>
                <c:pt idx="9">
                  <c:v>0.95211784652177578</c:v>
                </c:pt>
                <c:pt idx="10">
                  <c:v>1.8529159932154711</c:v>
                </c:pt>
              </c:numCache>
            </c:numRef>
          </c:xVal>
          <c:yVal>
            <c:numRef>
              <c:f>'Mult Reg 2'!$C$30:$C$40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802200"/>
        <c:axId val="464803376"/>
      </c:scatterChart>
      <c:valAx>
        <c:axId val="464802200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03376"/>
        <c:crosses val="autoZero"/>
        <c:crossBetween val="midCat"/>
      </c:valAx>
      <c:valAx>
        <c:axId val="46480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02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2751531058618"/>
          <c:y val="0.20406277340332457"/>
          <c:w val="0.80895581802274719"/>
          <c:h val="0.6838768591426072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'Mult Reg 2'!$S$30:$S$40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xVal>
          <c:yVal>
            <c:numRef>
              <c:f>'Mult Reg 2'!$T$30:$T$40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801416"/>
        <c:axId val="464798280"/>
      </c:scatterChart>
      <c:valAx>
        <c:axId val="464801416"/>
        <c:scaling>
          <c:orientation val="minMax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798280"/>
        <c:crosses val="autoZero"/>
        <c:crossBetween val="midCat"/>
      </c:valAx>
      <c:valAx>
        <c:axId val="464798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01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2'!$A$48:$A$58</c:f>
              <c:numCache>
                <c:formatCode>0.00000</c:formatCode>
                <c:ptCount val="11"/>
                <c:pt idx="0">
                  <c:v>54.810499624828537</c:v>
                </c:pt>
                <c:pt idx="1">
                  <c:v>42.746177132655433</c:v>
                </c:pt>
                <c:pt idx="2">
                  <c:v>56.295169344614322</c:v>
                </c:pt>
                <c:pt idx="3">
                  <c:v>44.672126057595207</c:v>
                </c:pt>
                <c:pt idx="4">
                  <c:v>57.08424538797891</c:v>
                </c:pt>
                <c:pt idx="5">
                  <c:v>41.261507412869634</c:v>
                </c:pt>
                <c:pt idx="6">
                  <c:v>21.332557116613586</c:v>
                </c:pt>
                <c:pt idx="7">
                  <c:v>34.092473285207895</c:v>
                </c:pt>
                <c:pt idx="8">
                  <c:v>67.222618955212241</c:v>
                </c:pt>
                <c:pt idx="9">
                  <c:v>46.156795777380999</c:v>
                </c:pt>
                <c:pt idx="10">
                  <c:v>53.325829905042738</c:v>
                </c:pt>
              </c:numCache>
            </c:numRef>
          </c:xVal>
          <c:yVal>
            <c:numRef>
              <c:f>'Mult Reg 2'!$B$48:$B$58</c:f>
              <c:numCache>
                <c:formatCode>General</c:formatCode>
                <c:ptCount val="11"/>
                <c:pt idx="0">
                  <c:v>1.8529159932154711</c:v>
                </c:pt>
                <c:pt idx="1">
                  <c:v>-0.95698541007981308</c:v>
                </c:pt>
                <c:pt idx="2">
                  <c:v>-1.0711234253885886</c:v>
                </c:pt>
                <c:pt idx="3">
                  <c:v>-1.3236303505689102</c:v>
                </c:pt>
                <c:pt idx="4">
                  <c:v>-0.40782898942708506</c:v>
                </c:pt>
                <c:pt idx="5">
                  <c:v>0.31381862189921916</c:v>
                </c:pt>
                <c:pt idx="6">
                  <c:v>0.95211784652177578</c:v>
                </c:pt>
                <c:pt idx="7">
                  <c:v>-0.23339821457085794</c:v>
                </c:pt>
                <c:pt idx="8">
                  <c:v>0.79973849933219099</c:v>
                </c:pt>
                <c:pt idx="9">
                  <c:v>0.86327382787517848</c:v>
                </c:pt>
                <c:pt idx="10">
                  <c:v>-0.85947290855377767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802984"/>
        <c:axId val="464799456"/>
      </c:scatterChart>
      <c:valAx>
        <c:axId val="464802984"/>
        <c:scaling>
          <c:orientation val="minMax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Predicted values of price (y variable)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64799456"/>
        <c:crosses val="autoZero"/>
        <c:crossBetween val="midCat"/>
      </c:valAx>
      <c:valAx>
        <c:axId val="464799456"/>
        <c:scaling>
          <c:orientation val="minMax"/>
          <c:max val="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Studentized 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802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'Mult Reg 4A'!$O$10:$O$59</c:f>
              <c:numCache>
                <c:formatCode>General</c:formatCode>
                <c:ptCount val="50"/>
                <c:pt idx="0">
                  <c:v>7.6</c:v>
                </c:pt>
                <c:pt idx="1">
                  <c:v>8.1</c:v>
                </c:pt>
                <c:pt idx="2">
                  <c:v>8.4</c:v>
                </c:pt>
                <c:pt idx="3">
                  <c:v>8.6999999999999993</c:v>
                </c:pt>
                <c:pt idx="4">
                  <c:v>9.1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9.6</c:v>
                </c:pt>
                <c:pt idx="9">
                  <c:v>10</c:v>
                </c:pt>
                <c:pt idx="10">
                  <c:v>10</c:v>
                </c:pt>
                <c:pt idx="11">
                  <c:v>10.199999999999999</c:v>
                </c:pt>
                <c:pt idx="12">
                  <c:v>10.4</c:v>
                </c:pt>
                <c:pt idx="13">
                  <c:v>10.6</c:v>
                </c:pt>
                <c:pt idx="14">
                  <c:v>10.8</c:v>
                </c:pt>
                <c:pt idx="15">
                  <c:v>11.3</c:v>
                </c:pt>
                <c:pt idx="16">
                  <c:v>11.3</c:v>
                </c:pt>
                <c:pt idx="17">
                  <c:v>11.3</c:v>
                </c:pt>
                <c:pt idx="18">
                  <c:v>11.4</c:v>
                </c:pt>
                <c:pt idx="19">
                  <c:v>11.5</c:v>
                </c:pt>
                <c:pt idx="20">
                  <c:v>11.7</c:v>
                </c:pt>
                <c:pt idx="21">
                  <c:v>12</c:v>
                </c:pt>
                <c:pt idx="22">
                  <c:v>12.1</c:v>
                </c:pt>
                <c:pt idx="23">
                  <c:v>12.2</c:v>
                </c:pt>
                <c:pt idx="24">
                  <c:v>12.3</c:v>
                </c:pt>
                <c:pt idx="25">
                  <c:v>12.5</c:v>
                </c:pt>
                <c:pt idx="26">
                  <c:v>12.6</c:v>
                </c:pt>
                <c:pt idx="27">
                  <c:v>13.1</c:v>
                </c:pt>
                <c:pt idx="28">
                  <c:v>13.2</c:v>
                </c:pt>
                <c:pt idx="29">
                  <c:v>13.3</c:v>
                </c:pt>
                <c:pt idx="30">
                  <c:v>13.4</c:v>
                </c:pt>
                <c:pt idx="31">
                  <c:v>13.4</c:v>
                </c:pt>
                <c:pt idx="32">
                  <c:v>13.6</c:v>
                </c:pt>
                <c:pt idx="33">
                  <c:v>13.6</c:v>
                </c:pt>
                <c:pt idx="34">
                  <c:v>14.4</c:v>
                </c:pt>
                <c:pt idx="35">
                  <c:v>14.6</c:v>
                </c:pt>
                <c:pt idx="36">
                  <c:v>14.7</c:v>
                </c:pt>
                <c:pt idx="37">
                  <c:v>14.7</c:v>
                </c:pt>
                <c:pt idx="38">
                  <c:v>14.8</c:v>
                </c:pt>
                <c:pt idx="39">
                  <c:v>15.5</c:v>
                </c:pt>
                <c:pt idx="40">
                  <c:v>15.7</c:v>
                </c:pt>
                <c:pt idx="41">
                  <c:v>15.7</c:v>
                </c:pt>
                <c:pt idx="42">
                  <c:v>15.8</c:v>
                </c:pt>
                <c:pt idx="43">
                  <c:v>15.9</c:v>
                </c:pt>
                <c:pt idx="44">
                  <c:v>17</c:v>
                </c:pt>
                <c:pt idx="45">
                  <c:v>17.100000000000001</c:v>
                </c:pt>
                <c:pt idx="46">
                  <c:v>17.3</c:v>
                </c:pt>
                <c:pt idx="47">
                  <c:v>17.3</c:v>
                </c:pt>
                <c:pt idx="48">
                  <c:v>17.3</c:v>
                </c:pt>
                <c:pt idx="49">
                  <c:v>21.2</c:v>
                </c:pt>
              </c:numCache>
            </c:numRef>
          </c:xVal>
          <c:yVal>
            <c:numRef>
              <c:f>'Mult Reg 4A'!$P$10:$P$59</c:f>
              <c:numCache>
                <c:formatCode>General</c:formatCode>
                <c:ptCount val="50"/>
                <c:pt idx="0">
                  <c:v>-2.3263478740408408</c:v>
                </c:pt>
                <c:pt idx="1">
                  <c:v>-1.8807936081512509</c:v>
                </c:pt>
                <c:pt idx="2">
                  <c:v>-1.6448536269514726</c:v>
                </c:pt>
                <c:pt idx="3">
                  <c:v>-1.4757910281791702</c:v>
                </c:pt>
                <c:pt idx="4">
                  <c:v>-1.3407550336902161</c:v>
                </c:pt>
                <c:pt idx="5">
                  <c:v>-1.2265281200366105</c:v>
                </c:pt>
                <c:pt idx="6">
                  <c:v>-1.1263911290388013</c:v>
                </c:pt>
                <c:pt idx="7">
                  <c:v>-1.0364333894937898</c:v>
                </c:pt>
                <c:pt idx="8">
                  <c:v>-0.95416525314619549</c:v>
                </c:pt>
                <c:pt idx="9">
                  <c:v>-0.87789629505122846</c:v>
                </c:pt>
                <c:pt idx="10">
                  <c:v>-0.80642124701824058</c:v>
                </c:pt>
                <c:pt idx="11">
                  <c:v>-0.73884684918521393</c:v>
                </c:pt>
                <c:pt idx="12">
                  <c:v>-0.67448975019608193</c:v>
                </c:pt>
                <c:pt idx="13">
                  <c:v>-0.61281299101662734</c:v>
                </c:pt>
                <c:pt idx="14">
                  <c:v>-0.55338471955567303</c:v>
                </c:pt>
                <c:pt idx="15">
                  <c:v>-0.49585034734745354</c:v>
                </c:pt>
                <c:pt idx="16">
                  <c:v>-0.43991316567323374</c:v>
                </c:pt>
                <c:pt idx="17">
                  <c:v>-0.38532046640756784</c:v>
                </c:pt>
                <c:pt idx="18">
                  <c:v>-0.33185334643681658</c:v>
                </c:pt>
                <c:pt idx="19">
                  <c:v>-0.27931903444745415</c:v>
                </c:pt>
                <c:pt idx="20">
                  <c:v>-0.2275449766411495</c:v>
                </c:pt>
                <c:pt idx="21">
                  <c:v>-0.17637416478086138</c:v>
                </c:pt>
                <c:pt idx="22">
                  <c:v>-0.12566134685507402</c:v>
                </c:pt>
                <c:pt idx="23">
                  <c:v>-7.5269862099829901E-2</c:v>
                </c:pt>
                <c:pt idx="24">
                  <c:v>-2.506890825871106E-2</c:v>
                </c:pt>
                <c:pt idx="25">
                  <c:v>2.506890825871106E-2</c:v>
                </c:pt>
                <c:pt idx="26">
                  <c:v>7.5269862099829901E-2</c:v>
                </c:pt>
                <c:pt idx="27">
                  <c:v>0.12566134685507416</c:v>
                </c:pt>
                <c:pt idx="28">
                  <c:v>0.17637416478086121</c:v>
                </c:pt>
                <c:pt idx="29">
                  <c:v>0.22754497664114934</c:v>
                </c:pt>
                <c:pt idx="30">
                  <c:v>0.27931903444745415</c:v>
                </c:pt>
                <c:pt idx="31">
                  <c:v>0.33185334643681658</c:v>
                </c:pt>
                <c:pt idx="32">
                  <c:v>0.38532046640756784</c:v>
                </c:pt>
                <c:pt idx="33">
                  <c:v>0.43991316567323396</c:v>
                </c:pt>
                <c:pt idx="34">
                  <c:v>0.49585034734745331</c:v>
                </c:pt>
                <c:pt idx="35">
                  <c:v>0.5533847195556727</c:v>
                </c:pt>
                <c:pt idx="36">
                  <c:v>0.61281299101662734</c:v>
                </c:pt>
                <c:pt idx="37">
                  <c:v>0.67448975019608193</c:v>
                </c:pt>
                <c:pt idx="38">
                  <c:v>0.73884684918521393</c:v>
                </c:pt>
                <c:pt idx="39">
                  <c:v>0.80642124701824058</c:v>
                </c:pt>
                <c:pt idx="40">
                  <c:v>0.87789629505122857</c:v>
                </c:pt>
                <c:pt idx="41">
                  <c:v>0.95416525314619549</c:v>
                </c:pt>
                <c:pt idx="42">
                  <c:v>1.0364333894937898</c:v>
                </c:pt>
                <c:pt idx="43">
                  <c:v>1.1263911290388013</c:v>
                </c:pt>
                <c:pt idx="44">
                  <c:v>1.2265281200366105</c:v>
                </c:pt>
                <c:pt idx="45">
                  <c:v>1.3407550336902161</c:v>
                </c:pt>
                <c:pt idx="46">
                  <c:v>1.4757910281791713</c:v>
                </c:pt>
                <c:pt idx="47">
                  <c:v>1.6448536269514715</c:v>
                </c:pt>
                <c:pt idx="48">
                  <c:v>1.8807936081512504</c:v>
                </c:pt>
                <c:pt idx="49">
                  <c:v>2.3263478740408408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23360"/>
        <c:axId val="499323752"/>
      </c:scatterChart>
      <c:valAx>
        <c:axId val="499323360"/>
        <c:scaling>
          <c:orientation val="minMax"/>
          <c:max val="25"/>
          <c:min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3752"/>
        <c:crosses val="autoZero"/>
        <c:crossBetween val="midCat"/>
      </c:valAx>
      <c:valAx>
        <c:axId val="499323752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3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Color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5'!$G$28:$G$38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18656"/>
        <c:axId val="499319440"/>
      </c:scatterChart>
      <c:valAx>
        <c:axId val="49931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19440"/>
        <c:crosses val="autoZero"/>
        <c:crossBetween val="midCat"/>
      </c:valAx>
      <c:valAx>
        <c:axId val="499319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18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Quality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5'!$G$28:$G$38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24928"/>
        <c:axId val="499321400"/>
      </c:scatterChart>
      <c:valAx>
        <c:axId val="49932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1400"/>
        <c:crosses val="autoZero"/>
        <c:crossBetween val="midCat"/>
      </c:valAx>
      <c:valAx>
        <c:axId val="499321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4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Color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  <c:smooth val="0"/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5'!$F$28:$F$38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19048"/>
        <c:axId val="499324536"/>
      </c:scatterChart>
      <c:valAx>
        <c:axId val="499319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4536"/>
        <c:crosses val="autoZero"/>
        <c:crossBetween val="midCat"/>
      </c:valAx>
      <c:valAx>
        <c:axId val="499324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19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Quality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  <c:smooth val="0"/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5'!$F$28:$F$38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22576"/>
        <c:axId val="499325712"/>
      </c:scatterChart>
      <c:valAx>
        <c:axId val="49932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5712"/>
        <c:crosses val="autoZero"/>
        <c:crossBetween val="midCat"/>
      </c:valAx>
      <c:valAx>
        <c:axId val="499325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2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5'!$J$28:$J$38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22.72727272727273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59.090909090909093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'Mult Reg 5'!$K$28:$K$38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18264"/>
        <c:axId val="499322968"/>
      </c:scatterChart>
      <c:valAx>
        <c:axId val="499318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22968"/>
        <c:crosses val="autoZero"/>
        <c:crossBetween val="midCat"/>
      </c:valAx>
      <c:valAx>
        <c:axId val="499322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18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5'!$N$40:$N$59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'Mult Reg 5'!$O$40:$O$59</c:f>
              <c:numCache>
                <c:formatCode>General</c:formatCode>
                <c:ptCount val="20"/>
                <c:pt idx="0">
                  <c:v>-1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0</c:v>
                </c:pt>
                <c:pt idx="5">
                  <c:v>-7</c:v>
                </c:pt>
                <c:pt idx="6">
                  <c:v>-4</c:v>
                </c:pt>
                <c:pt idx="7">
                  <c:v>1</c:v>
                </c:pt>
                <c:pt idx="8">
                  <c:v>8</c:v>
                </c:pt>
                <c:pt idx="9">
                  <c:v>5</c:v>
                </c:pt>
                <c:pt idx="10">
                  <c:v>6</c:v>
                </c:pt>
                <c:pt idx="11">
                  <c:v>-2</c:v>
                </c:pt>
                <c:pt idx="12">
                  <c:v>-1</c:v>
                </c:pt>
                <c:pt idx="13">
                  <c:v>7</c:v>
                </c:pt>
                <c:pt idx="14">
                  <c:v>0</c:v>
                </c:pt>
                <c:pt idx="15">
                  <c:v>-4</c:v>
                </c:pt>
                <c:pt idx="16">
                  <c:v>6</c:v>
                </c:pt>
                <c:pt idx="17">
                  <c:v>5</c:v>
                </c:pt>
                <c:pt idx="18">
                  <c:v>-8</c:v>
                </c:pt>
                <c:pt idx="19">
                  <c:v>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20616"/>
        <c:axId val="499322184"/>
      </c:scatterChart>
      <c:valAx>
        <c:axId val="49932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99322184"/>
        <c:crosses val="autoZero"/>
        <c:crossBetween val="midCat"/>
      </c:valAx>
      <c:valAx>
        <c:axId val="499322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99320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5'!$N$61:$N$80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'Mult Reg 5'!$O$61:$O$80</c:f>
              <c:numCache>
                <c:formatCode>General</c:formatCode>
                <c:ptCount val="20"/>
                <c:pt idx="0">
                  <c:v>-1</c:v>
                </c:pt>
                <c:pt idx="1">
                  <c:v>1</c:v>
                </c:pt>
                <c:pt idx="2">
                  <c:v>-2</c:v>
                </c:pt>
                <c:pt idx="3">
                  <c:v>1</c:v>
                </c:pt>
                <c:pt idx="4">
                  <c:v>0</c:v>
                </c:pt>
                <c:pt idx="5">
                  <c:v>-3</c:v>
                </c:pt>
                <c:pt idx="6">
                  <c:v>-1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-2</c:v>
                </c:pt>
                <c:pt idx="12">
                  <c:v>-1</c:v>
                </c:pt>
                <c:pt idx="13">
                  <c:v>4</c:v>
                </c:pt>
                <c:pt idx="14">
                  <c:v>0</c:v>
                </c:pt>
                <c:pt idx="15">
                  <c:v>-4</c:v>
                </c:pt>
                <c:pt idx="16">
                  <c:v>8</c:v>
                </c:pt>
                <c:pt idx="17">
                  <c:v>5</c:v>
                </c:pt>
                <c:pt idx="18">
                  <c:v>-8</c:v>
                </c:pt>
                <c:pt idx="19">
                  <c:v>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5424"/>
        <c:axId val="463750720"/>
      </c:scatterChart>
      <c:valAx>
        <c:axId val="4637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63750720"/>
        <c:crosses val="autoZero"/>
        <c:crossBetween val="midCat"/>
      </c:valAx>
      <c:valAx>
        <c:axId val="463750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63755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5'!$N$82:$N$101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'Mult Reg 5'!$O$82:$O$101</c:f>
              <c:numCache>
                <c:formatCode>General</c:formatCode>
                <c:ptCount val="20"/>
                <c:pt idx="0">
                  <c:v>-1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-2</c:v>
                </c:pt>
                <c:pt idx="12">
                  <c:v>-1</c:v>
                </c:pt>
                <c:pt idx="13">
                  <c:v>2</c:v>
                </c:pt>
                <c:pt idx="14">
                  <c:v>0</c:v>
                </c:pt>
                <c:pt idx="15">
                  <c:v>6</c:v>
                </c:pt>
                <c:pt idx="16">
                  <c:v>8</c:v>
                </c:pt>
                <c:pt idx="17">
                  <c:v>-3</c:v>
                </c:pt>
                <c:pt idx="18">
                  <c:v>6</c:v>
                </c:pt>
                <c:pt idx="19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4640"/>
        <c:axId val="463751112"/>
      </c:scatterChart>
      <c:valAx>
        <c:axId val="4637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63751112"/>
        <c:crosses val="autoZero"/>
        <c:crossBetween val="midCat"/>
      </c:valAx>
      <c:valAx>
        <c:axId val="463751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63754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Infant Mort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5A'!$C$27:$C$76</c:f>
              <c:numCache>
                <c:formatCode>General</c:formatCode>
                <c:ptCount val="50"/>
                <c:pt idx="0">
                  <c:v>0.53151753471999008</c:v>
                </c:pt>
                <c:pt idx="1">
                  <c:v>-4.3701940963279213</c:v>
                </c:pt>
                <c:pt idx="2">
                  <c:v>2.2462656486003425</c:v>
                </c:pt>
                <c:pt idx="3">
                  <c:v>2.3010586126454893</c:v>
                </c:pt>
                <c:pt idx="4">
                  <c:v>2.9390538653623732</c:v>
                </c:pt>
                <c:pt idx="5">
                  <c:v>-8.3693052508371224E-2</c:v>
                </c:pt>
                <c:pt idx="6">
                  <c:v>-2.4947049280746594</c:v>
                </c:pt>
                <c:pt idx="7">
                  <c:v>-4.733447771089935</c:v>
                </c:pt>
                <c:pt idx="8">
                  <c:v>-0.5029894018649923</c:v>
                </c:pt>
                <c:pt idx="9">
                  <c:v>0.82356267893254831</c:v>
                </c:pt>
                <c:pt idx="10">
                  <c:v>3.2896849450136045E-2</c:v>
                </c:pt>
                <c:pt idx="11">
                  <c:v>-0.31369663181623331</c:v>
                </c:pt>
                <c:pt idx="12">
                  <c:v>-1.2091293343592771</c:v>
                </c:pt>
                <c:pt idx="13">
                  <c:v>-1.243063758629301</c:v>
                </c:pt>
                <c:pt idx="14">
                  <c:v>0.69825056776613792</c:v>
                </c:pt>
                <c:pt idx="15">
                  <c:v>-2.0864954336057906</c:v>
                </c:pt>
                <c:pt idx="16">
                  <c:v>3.5823125986140916</c:v>
                </c:pt>
                <c:pt idx="17">
                  <c:v>0.80471058834260845</c:v>
                </c:pt>
                <c:pt idx="18">
                  <c:v>0.13356232046473338</c:v>
                </c:pt>
                <c:pt idx="19">
                  <c:v>-5.7875976693676634</c:v>
                </c:pt>
                <c:pt idx="20">
                  <c:v>-0.32299043884211009</c:v>
                </c:pt>
                <c:pt idx="21">
                  <c:v>0.78447243635617347</c:v>
                </c:pt>
                <c:pt idx="22">
                  <c:v>-1.1349852544480097</c:v>
                </c:pt>
                <c:pt idx="23">
                  <c:v>4.5861284116821146</c:v>
                </c:pt>
                <c:pt idx="24">
                  <c:v>-0.31101336697906667</c:v>
                </c:pt>
                <c:pt idx="25">
                  <c:v>3.2474355930402812</c:v>
                </c:pt>
                <c:pt idx="26">
                  <c:v>-0.55073752484253724</c:v>
                </c:pt>
                <c:pt idx="27">
                  <c:v>-1.3305975324749575</c:v>
                </c:pt>
                <c:pt idx="28">
                  <c:v>-4.3052076088216076</c:v>
                </c:pt>
                <c:pt idx="29">
                  <c:v>-2.0037708049472513</c:v>
                </c:pt>
                <c:pt idx="30">
                  <c:v>5.247036016924115</c:v>
                </c:pt>
                <c:pt idx="31">
                  <c:v>2.7425474244084391</c:v>
                </c:pt>
                <c:pt idx="32">
                  <c:v>0.45107724189759857</c:v>
                </c:pt>
                <c:pt idx="33">
                  <c:v>0.62006434129559196</c:v>
                </c:pt>
                <c:pt idx="34">
                  <c:v>-0.58329089015636626</c:v>
                </c:pt>
                <c:pt idx="35">
                  <c:v>1.6791058988210104</c:v>
                </c:pt>
                <c:pt idx="36">
                  <c:v>2.4429935212216041</c:v>
                </c:pt>
                <c:pt idx="37">
                  <c:v>-1.7556004573916262</c:v>
                </c:pt>
                <c:pt idx="38">
                  <c:v>-7.8733948462614833E-2</c:v>
                </c:pt>
                <c:pt idx="39">
                  <c:v>0.89819379286492129</c:v>
                </c:pt>
                <c:pt idx="40">
                  <c:v>-0.20895717155026716</c:v>
                </c:pt>
                <c:pt idx="41">
                  <c:v>-5.8122806587869391E-2</c:v>
                </c:pt>
                <c:pt idx="42">
                  <c:v>3.7115298123194638</c:v>
                </c:pt>
                <c:pt idx="43">
                  <c:v>-1.0710112494406534</c:v>
                </c:pt>
                <c:pt idx="44">
                  <c:v>-0.55258597785637065</c:v>
                </c:pt>
                <c:pt idx="45">
                  <c:v>-2.3570521008724015</c:v>
                </c:pt>
                <c:pt idx="46">
                  <c:v>1.31430697733256</c:v>
                </c:pt>
                <c:pt idx="47">
                  <c:v>3.2705481858594432</c:v>
                </c:pt>
                <c:pt idx="48">
                  <c:v>-1.8961744980388389</c:v>
                </c:pt>
                <c:pt idx="49">
                  <c:v>-3.742787209565174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464"/>
        <c:axId val="463756600"/>
      </c:scatterChart>
      <c:valAx>
        <c:axId val="46375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3756600"/>
        <c:crosses val="autoZero"/>
        <c:crossBetween val="midCat"/>
      </c:valAx>
      <c:valAx>
        <c:axId val="463756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53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White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4'!$D$4:$D$53</c:f>
              <c:numCache>
                <c:formatCode>0.0</c:formatCode>
                <c:ptCount val="50"/>
                <c:pt idx="0">
                  <c:v>71.027177760140717</c:v>
                </c:pt>
                <c:pt idx="1">
                  <c:v>70.62318863808899</c:v>
                </c:pt>
                <c:pt idx="2">
                  <c:v>86.505696765320337</c:v>
                </c:pt>
                <c:pt idx="3">
                  <c:v>80.783955956979611</c:v>
                </c:pt>
                <c:pt idx="4">
                  <c:v>76.640052174481781</c:v>
                </c:pt>
                <c:pt idx="5">
                  <c:v>89.734092175332663</c:v>
                </c:pt>
                <c:pt idx="6">
                  <c:v>84.278652322083644</c:v>
                </c:pt>
                <c:pt idx="7">
                  <c:v>74.266056727126113</c:v>
                </c:pt>
                <c:pt idx="8">
                  <c:v>79.811068541941054</c:v>
                </c:pt>
                <c:pt idx="9">
                  <c:v>65.387718279566343</c:v>
                </c:pt>
                <c:pt idx="10">
                  <c:v>29.667333748383395</c:v>
                </c:pt>
                <c:pt idx="11">
                  <c:v>94.600660447193093</c:v>
                </c:pt>
                <c:pt idx="12">
                  <c:v>79.13310968601246</c:v>
                </c:pt>
                <c:pt idx="13">
                  <c:v>88.000000627274659</c:v>
                </c:pt>
                <c:pt idx="14">
                  <c:v>94.170464820794294</c:v>
                </c:pt>
                <c:pt idx="15">
                  <c:v>88.703716524620162</c:v>
                </c:pt>
                <c:pt idx="16">
                  <c:v>89.904327345935869</c:v>
                </c:pt>
                <c:pt idx="17">
                  <c:v>64.839543701408999</c:v>
                </c:pt>
                <c:pt idx="18">
                  <c:v>96.389852756187835</c:v>
                </c:pt>
                <c:pt idx="19">
                  <c:v>63.398020838196281</c:v>
                </c:pt>
                <c:pt idx="20">
                  <c:v>86.203669547721617</c:v>
                </c:pt>
                <c:pt idx="21">
                  <c:v>81.183409037427396</c:v>
                </c:pt>
                <c:pt idx="22">
                  <c:v>89.045556531854984</c:v>
                </c:pt>
                <c:pt idx="23">
                  <c:v>60.598179144073846</c:v>
                </c:pt>
                <c:pt idx="24">
                  <c:v>85.028888093842554</c:v>
                </c:pt>
                <c:pt idx="25">
                  <c:v>90.467729264863962</c:v>
                </c:pt>
                <c:pt idx="26">
                  <c:v>91.372477335833381</c:v>
                </c:pt>
                <c:pt idx="27">
                  <c:v>80.891227371165002</c:v>
                </c:pt>
                <c:pt idx="28">
                  <c:v>95.487186970145373</c:v>
                </c:pt>
                <c:pt idx="29">
                  <c:v>76.032117342828414</c:v>
                </c:pt>
                <c:pt idx="30">
                  <c:v>83.996520785584835</c:v>
                </c:pt>
                <c:pt idx="31">
                  <c:v>73.422529169257928</c:v>
                </c:pt>
                <c:pt idx="32">
                  <c:v>73.937344387272134</c:v>
                </c:pt>
                <c:pt idx="33">
                  <c:v>91.393509706444945</c:v>
                </c:pt>
                <c:pt idx="34">
                  <c:v>84.764237226305966</c:v>
                </c:pt>
                <c:pt idx="35">
                  <c:v>78.141238608693655</c:v>
                </c:pt>
                <c:pt idx="36">
                  <c:v>90.140446325387984</c:v>
                </c:pt>
                <c:pt idx="37">
                  <c:v>85.424563507935517</c:v>
                </c:pt>
                <c:pt idx="38">
                  <c:v>88.483880668602993</c:v>
                </c:pt>
                <c:pt idx="39">
                  <c:v>68.748136077503446</c:v>
                </c:pt>
                <c:pt idx="40">
                  <c:v>88.189790025789804</c:v>
                </c:pt>
                <c:pt idx="41">
                  <c:v>80.371971305033981</c:v>
                </c:pt>
                <c:pt idx="42">
                  <c:v>82.402677784750395</c:v>
                </c:pt>
                <c:pt idx="43">
                  <c:v>92.915461931338129</c:v>
                </c:pt>
                <c:pt idx="44">
                  <c:v>96.408807764739961</c:v>
                </c:pt>
                <c:pt idx="45">
                  <c:v>73.031896017666924</c:v>
                </c:pt>
                <c:pt idx="46">
                  <c:v>84.290902250404002</c:v>
                </c:pt>
                <c:pt idx="47">
                  <c:v>94.524786328554711</c:v>
                </c:pt>
                <c:pt idx="48">
                  <c:v>89.673695670212709</c:v>
                </c:pt>
                <c:pt idx="49">
                  <c:v>93.867286940458214</c:v>
                </c:pt>
              </c:numCache>
            </c:numRef>
          </c:xVal>
          <c:yVal>
            <c:numRef>
              <c:f>'Mult Reg 5A'!$C$27:$C$76</c:f>
              <c:numCache>
                <c:formatCode>General</c:formatCode>
                <c:ptCount val="50"/>
                <c:pt idx="0">
                  <c:v>0.53151753471999008</c:v>
                </c:pt>
                <c:pt idx="1">
                  <c:v>-4.3701940963279213</c:v>
                </c:pt>
                <c:pt idx="2">
                  <c:v>2.2462656486003425</c:v>
                </c:pt>
                <c:pt idx="3">
                  <c:v>2.3010586126454893</c:v>
                </c:pt>
                <c:pt idx="4">
                  <c:v>2.9390538653623732</c:v>
                </c:pt>
                <c:pt idx="5">
                  <c:v>-8.3693052508371224E-2</c:v>
                </c:pt>
                <c:pt idx="6">
                  <c:v>-2.4947049280746594</c:v>
                </c:pt>
                <c:pt idx="7">
                  <c:v>-4.733447771089935</c:v>
                </c:pt>
                <c:pt idx="8">
                  <c:v>-0.5029894018649923</c:v>
                </c:pt>
                <c:pt idx="9">
                  <c:v>0.82356267893254831</c:v>
                </c:pt>
                <c:pt idx="10">
                  <c:v>3.2896849450136045E-2</c:v>
                </c:pt>
                <c:pt idx="11">
                  <c:v>-0.31369663181623331</c:v>
                </c:pt>
                <c:pt idx="12">
                  <c:v>-1.2091293343592771</c:v>
                </c:pt>
                <c:pt idx="13">
                  <c:v>-1.243063758629301</c:v>
                </c:pt>
                <c:pt idx="14">
                  <c:v>0.69825056776613792</c:v>
                </c:pt>
                <c:pt idx="15">
                  <c:v>-2.0864954336057906</c:v>
                </c:pt>
                <c:pt idx="16">
                  <c:v>3.5823125986140916</c:v>
                </c:pt>
                <c:pt idx="17">
                  <c:v>0.80471058834260845</c:v>
                </c:pt>
                <c:pt idx="18">
                  <c:v>0.13356232046473338</c:v>
                </c:pt>
                <c:pt idx="19">
                  <c:v>-5.7875976693676634</c:v>
                </c:pt>
                <c:pt idx="20">
                  <c:v>-0.32299043884211009</c:v>
                </c:pt>
                <c:pt idx="21">
                  <c:v>0.78447243635617347</c:v>
                </c:pt>
                <c:pt idx="22">
                  <c:v>-1.1349852544480097</c:v>
                </c:pt>
                <c:pt idx="23">
                  <c:v>4.5861284116821146</c:v>
                </c:pt>
                <c:pt idx="24">
                  <c:v>-0.31101336697906667</c:v>
                </c:pt>
                <c:pt idx="25">
                  <c:v>3.2474355930402812</c:v>
                </c:pt>
                <c:pt idx="26">
                  <c:v>-0.55073752484253724</c:v>
                </c:pt>
                <c:pt idx="27">
                  <c:v>-1.3305975324749575</c:v>
                </c:pt>
                <c:pt idx="28">
                  <c:v>-4.3052076088216076</c:v>
                </c:pt>
                <c:pt idx="29">
                  <c:v>-2.0037708049472513</c:v>
                </c:pt>
                <c:pt idx="30">
                  <c:v>5.247036016924115</c:v>
                </c:pt>
                <c:pt idx="31">
                  <c:v>2.7425474244084391</c:v>
                </c:pt>
                <c:pt idx="32">
                  <c:v>0.45107724189759857</c:v>
                </c:pt>
                <c:pt idx="33">
                  <c:v>0.62006434129559196</c:v>
                </c:pt>
                <c:pt idx="34">
                  <c:v>-0.58329089015636626</c:v>
                </c:pt>
                <c:pt idx="35">
                  <c:v>1.6791058988210104</c:v>
                </c:pt>
                <c:pt idx="36">
                  <c:v>2.4429935212216041</c:v>
                </c:pt>
                <c:pt idx="37">
                  <c:v>-1.7556004573916262</c:v>
                </c:pt>
                <c:pt idx="38">
                  <c:v>-7.8733948462614833E-2</c:v>
                </c:pt>
                <c:pt idx="39">
                  <c:v>0.89819379286492129</c:v>
                </c:pt>
                <c:pt idx="40">
                  <c:v>-0.20895717155026716</c:v>
                </c:pt>
                <c:pt idx="41">
                  <c:v>-5.8122806587869391E-2</c:v>
                </c:pt>
                <c:pt idx="42">
                  <c:v>3.7115298123194638</c:v>
                </c:pt>
                <c:pt idx="43">
                  <c:v>-1.0710112494406534</c:v>
                </c:pt>
                <c:pt idx="44">
                  <c:v>-0.55258597785637065</c:v>
                </c:pt>
                <c:pt idx="45">
                  <c:v>-2.3570521008724015</c:v>
                </c:pt>
                <c:pt idx="46">
                  <c:v>1.31430697733256</c:v>
                </c:pt>
                <c:pt idx="47">
                  <c:v>3.2705481858594432</c:v>
                </c:pt>
                <c:pt idx="48">
                  <c:v>-1.8961744980388389</c:v>
                </c:pt>
                <c:pt idx="49">
                  <c:v>-3.742787209565174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072"/>
        <c:axId val="463752288"/>
      </c:scatterChart>
      <c:valAx>
        <c:axId val="46375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White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3752288"/>
        <c:crosses val="autoZero"/>
        <c:crossBetween val="midCat"/>
      </c:valAx>
      <c:valAx>
        <c:axId val="463752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53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Crime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4'!$E$4:$E$53</c:f>
              <c:numCache>
                <c:formatCode>#,##0</c:formatCode>
                <c:ptCount val="50"/>
                <c:pt idx="0">
                  <c:v>448</c:v>
                </c:pt>
                <c:pt idx="1">
                  <c:v>661.2</c:v>
                </c:pt>
                <c:pt idx="2">
                  <c:v>482.7</c:v>
                </c:pt>
                <c:pt idx="3">
                  <c:v>529.4</c:v>
                </c:pt>
                <c:pt idx="4">
                  <c:v>522.6</c:v>
                </c:pt>
                <c:pt idx="5">
                  <c:v>347.8</c:v>
                </c:pt>
                <c:pt idx="6">
                  <c:v>256</c:v>
                </c:pt>
                <c:pt idx="7">
                  <c:v>689.2</c:v>
                </c:pt>
                <c:pt idx="8">
                  <c:v>722.6</c:v>
                </c:pt>
                <c:pt idx="9">
                  <c:v>493.2</c:v>
                </c:pt>
                <c:pt idx="10">
                  <c:v>272.8</c:v>
                </c:pt>
                <c:pt idx="11">
                  <c:v>239.4</c:v>
                </c:pt>
                <c:pt idx="12">
                  <c:v>533.20000000000005</c:v>
                </c:pt>
                <c:pt idx="13">
                  <c:v>333.6</c:v>
                </c:pt>
                <c:pt idx="14">
                  <c:v>294.7</c:v>
                </c:pt>
                <c:pt idx="15">
                  <c:v>452.7</c:v>
                </c:pt>
                <c:pt idx="16">
                  <c:v>295</c:v>
                </c:pt>
                <c:pt idx="17">
                  <c:v>729.5</c:v>
                </c:pt>
                <c:pt idx="18">
                  <c:v>118</c:v>
                </c:pt>
                <c:pt idx="19">
                  <c:v>641.9</c:v>
                </c:pt>
                <c:pt idx="20">
                  <c:v>431.5</c:v>
                </c:pt>
                <c:pt idx="21">
                  <c:v>536</c:v>
                </c:pt>
                <c:pt idx="22">
                  <c:v>288.7</c:v>
                </c:pt>
                <c:pt idx="23">
                  <c:v>291.3</c:v>
                </c:pt>
                <c:pt idx="24">
                  <c:v>504.9</c:v>
                </c:pt>
                <c:pt idx="25">
                  <c:v>287.5</c:v>
                </c:pt>
                <c:pt idx="26">
                  <c:v>302.39999999999998</c:v>
                </c:pt>
                <c:pt idx="27">
                  <c:v>750.6</c:v>
                </c:pt>
                <c:pt idx="28">
                  <c:v>137.30000000000001</c:v>
                </c:pt>
                <c:pt idx="29">
                  <c:v>329.3</c:v>
                </c:pt>
                <c:pt idx="30">
                  <c:v>664.2</c:v>
                </c:pt>
                <c:pt idx="31">
                  <c:v>414.1</c:v>
                </c:pt>
                <c:pt idx="32">
                  <c:v>466.4</c:v>
                </c:pt>
                <c:pt idx="33">
                  <c:v>142.4</c:v>
                </c:pt>
                <c:pt idx="34">
                  <c:v>343.2</c:v>
                </c:pt>
                <c:pt idx="35">
                  <c:v>499.6</c:v>
                </c:pt>
                <c:pt idx="36">
                  <c:v>287.60000000000002</c:v>
                </c:pt>
                <c:pt idx="37">
                  <c:v>416.5</c:v>
                </c:pt>
                <c:pt idx="38">
                  <c:v>227.3</c:v>
                </c:pt>
                <c:pt idx="39">
                  <c:v>788.3</c:v>
                </c:pt>
                <c:pt idx="40">
                  <c:v>169.2</c:v>
                </c:pt>
                <c:pt idx="41">
                  <c:v>753.3</c:v>
                </c:pt>
                <c:pt idx="42">
                  <c:v>510.6</c:v>
                </c:pt>
                <c:pt idx="43">
                  <c:v>234.8</c:v>
                </c:pt>
                <c:pt idx="44">
                  <c:v>124.3</c:v>
                </c:pt>
                <c:pt idx="45">
                  <c:v>269.7</c:v>
                </c:pt>
                <c:pt idx="46">
                  <c:v>333.1</c:v>
                </c:pt>
                <c:pt idx="47">
                  <c:v>275.2</c:v>
                </c:pt>
                <c:pt idx="48">
                  <c:v>290.89999999999998</c:v>
                </c:pt>
                <c:pt idx="49">
                  <c:v>239.3</c:v>
                </c:pt>
              </c:numCache>
            </c:numRef>
          </c:xVal>
          <c:yVal>
            <c:numRef>
              <c:f>'Mult Reg 5A'!$C$27:$C$76</c:f>
              <c:numCache>
                <c:formatCode>General</c:formatCode>
                <c:ptCount val="50"/>
                <c:pt idx="0">
                  <c:v>0.53151753471999008</c:v>
                </c:pt>
                <c:pt idx="1">
                  <c:v>-4.3701940963279213</c:v>
                </c:pt>
                <c:pt idx="2">
                  <c:v>2.2462656486003425</c:v>
                </c:pt>
                <c:pt idx="3">
                  <c:v>2.3010586126454893</c:v>
                </c:pt>
                <c:pt idx="4">
                  <c:v>2.9390538653623732</c:v>
                </c:pt>
                <c:pt idx="5">
                  <c:v>-8.3693052508371224E-2</c:v>
                </c:pt>
                <c:pt idx="6">
                  <c:v>-2.4947049280746594</c:v>
                </c:pt>
                <c:pt idx="7">
                  <c:v>-4.733447771089935</c:v>
                </c:pt>
                <c:pt idx="8">
                  <c:v>-0.5029894018649923</c:v>
                </c:pt>
                <c:pt idx="9">
                  <c:v>0.82356267893254831</c:v>
                </c:pt>
                <c:pt idx="10">
                  <c:v>3.2896849450136045E-2</c:v>
                </c:pt>
                <c:pt idx="11">
                  <c:v>-0.31369663181623331</c:v>
                </c:pt>
                <c:pt idx="12">
                  <c:v>-1.2091293343592771</c:v>
                </c:pt>
                <c:pt idx="13">
                  <c:v>-1.243063758629301</c:v>
                </c:pt>
                <c:pt idx="14">
                  <c:v>0.69825056776613792</c:v>
                </c:pt>
                <c:pt idx="15">
                  <c:v>-2.0864954336057906</c:v>
                </c:pt>
                <c:pt idx="16">
                  <c:v>3.5823125986140916</c:v>
                </c:pt>
                <c:pt idx="17">
                  <c:v>0.80471058834260845</c:v>
                </c:pt>
                <c:pt idx="18">
                  <c:v>0.13356232046473338</c:v>
                </c:pt>
                <c:pt idx="19">
                  <c:v>-5.7875976693676634</c:v>
                </c:pt>
                <c:pt idx="20">
                  <c:v>-0.32299043884211009</c:v>
                </c:pt>
                <c:pt idx="21">
                  <c:v>0.78447243635617347</c:v>
                </c:pt>
                <c:pt idx="22">
                  <c:v>-1.1349852544480097</c:v>
                </c:pt>
                <c:pt idx="23">
                  <c:v>4.5861284116821146</c:v>
                </c:pt>
                <c:pt idx="24">
                  <c:v>-0.31101336697906667</c:v>
                </c:pt>
                <c:pt idx="25">
                  <c:v>3.2474355930402812</c:v>
                </c:pt>
                <c:pt idx="26">
                  <c:v>-0.55073752484253724</c:v>
                </c:pt>
                <c:pt idx="27">
                  <c:v>-1.3305975324749575</c:v>
                </c:pt>
                <c:pt idx="28">
                  <c:v>-4.3052076088216076</c:v>
                </c:pt>
                <c:pt idx="29">
                  <c:v>-2.0037708049472513</c:v>
                </c:pt>
                <c:pt idx="30">
                  <c:v>5.247036016924115</c:v>
                </c:pt>
                <c:pt idx="31">
                  <c:v>2.7425474244084391</c:v>
                </c:pt>
                <c:pt idx="32">
                  <c:v>0.45107724189759857</c:v>
                </c:pt>
                <c:pt idx="33">
                  <c:v>0.62006434129559196</c:v>
                </c:pt>
                <c:pt idx="34">
                  <c:v>-0.58329089015636626</c:v>
                </c:pt>
                <c:pt idx="35">
                  <c:v>1.6791058988210104</c:v>
                </c:pt>
                <c:pt idx="36">
                  <c:v>2.4429935212216041</c:v>
                </c:pt>
                <c:pt idx="37">
                  <c:v>-1.7556004573916262</c:v>
                </c:pt>
                <c:pt idx="38">
                  <c:v>-7.8733948462614833E-2</c:v>
                </c:pt>
                <c:pt idx="39">
                  <c:v>0.89819379286492129</c:v>
                </c:pt>
                <c:pt idx="40">
                  <c:v>-0.20895717155026716</c:v>
                </c:pt>
                <c:pt idx="41">
                  <c:v>-5.8122806587869391E-2</c:v>
                </c:pt>
                <c:pt idx="42">
                  <c:v>3.7115298123194638</c:v>
                </c:pt>
                <c:pt idx="43">
                  <c:v>-1.0710112494406534</c:v>
                </c:pt>
                <c:pt idx="44">
                  <c:v>-0.55258597785637065</c:v>
                </c:pt>
                <c:pt idx="45">
                  <c:v>-2.3570521008724015</c:v>
                </c:pt>
                <c:pt idx="46">
                  <c:v>1.31430697733256</c:v>
                </c:pt>
                <c:pt idx="47">
                  <c:v>3.2705481858594432</c:v>
                </c:pt>
                <c:pt idx="48">
                  <c:v>-1.8961744980388389</c:v>
                </c:pt>
                <c:pt idx="49">
                  <c:v>-3.742787209565174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49152"/>
        <c:axId val="463751896"/>
      </c:scatterChart>
      <c:valAx>
        <c:axId val="46374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Crime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463751896"/>
        <c:crosses val="autoZero"/>
        <c:crossBetween val="midCat"/>
      </c:valAx>
      <c:valAx>
        <c:axId val="463751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49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Infant Mort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  <c:smooth val="0"/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5A'!$B$27:$B$76</c:f>
              <c:numCache>
                <c:formatCode>General</c:formatCode>
                <c:ptCount val="50"/>
                <c:pt idx="0">
                  <c:v>15.168482465280009</c:v>
                </c:pt>
                <c:pt idx="1">
                  <c:v>12.770194096327922</c:v>
                </c:pt>
                <c:pt idx="2">
                  <c:v>12.453734351399657</c:v>
                </c:pt>
                <c:pt idx="3">
                  <c:v>14.998941387354511</c:v>
                </c:pt>
                <c:pt idx="4">
                  <c:v>10.360946134637627</c:v>
                </c:pt>
                <c:pt idx="5">
                  <c:v>11.483693052508372</c:v>
                </c:pt>
                <c:pt idx="6">
                  <c:v>11.79470492807466</c:v>
                </c:pt>
                <c:pt idx="7">
                  <c:v>14.733447771089935</c:v>
                </c:pt>
                <c:pt idx="8">
                  <c:v>13.702989401864992</c:v>
                </c:pt>
                <c:pt idx="9">
                  <c:v>13.876437321067451</c:v>
                </c:pt>
                <c:pt idx="10">
                  <c:v>9.0671031505498636</c:v>
                </c:pt>
                <c:pt idx="11">
                  <c:v>12.913696631816233</c:v>
                </c:pt>
                <c:pt idx="12">
                  <c:v>13.409129334359276</c:v>
                </c:pt>
                <c:pt idx="13">
                  <c:v>14.343063758629301</c:v>
                </c:pt>
                <c:pt idx="14">
                  <c:v>10.801749432233862</c:v>
                </c:pt>
                <c:pt idx="15">
                  <c:v>13.386495433605791</c:v>
                </c:pt>
                <c:pt idx="16">
                  <c:v>13.717687401385909</c:v>
                </c:pt>
                <c:pt idx="17">
                  <c:v>16.495289411657392</c:v>
                </c:pt>
                <c:pt idx="18">
                  <c:v>12.166437679535267</c:v>
                </c:pt>
                <c:pt idx="19">
                  <c:v>13.887597669367663</c:v>
                </c:pt>
                <c:pt idx="20">
                  <c:v>10.32299043884211</c:v>
                </c:pt>
                <c:pt idx="21">
                  <c:v>13.615527563643827</c:v>
                </c:pt>
                <c:pt idx="22">
                  <c:v>10.734985254448009</c:v>
                </c:pt>
                <c:pt idx="23">
                  <c:v>16.613871588317885</c:v>
                </c:pt>
                <c:pt idx="24">
                  <c:v>13.711013366979067</c:v>
                </c:pt>
                <c:pt idx="25">
                  <c:v>11.55256440695972</c:v>
                </c:pt>
                <c:pt idx="26">
                  <c:v>11.350737524842538</c:v>
                </c:pt>
                <c:pt idx="27">
                  <c:v>12.630597532474958</c:v>
                </c:pt>
                <c:pt idx="28">
                  <c:v>11.905207608821607</c:v>
                </c:pt>
                <c:pt idx="29">
                  <c:v>10.703770804947251</c:v>
                </c:pt>
                <c:pt idx="30">
                  <c:v>11.852963983075886</c:v>
                </c:pt>
                <c:pt idx="31">
                  <c:v>10.857452575591561</c:v>
                </c:pt>
                <c:pt idx="32">
                  <c:v>14.148922758102401</c:v>
                </c:pt>
                <c:pt idx="33">
                  <c:v>11.379935658704408</c:v>
                </c:pt>
                <c:pt idx="34">
                  <c:v>13.983290890156367</c:v>
                </c:pt>
                <c:pt idx="35">
                  <c:v>14.22089410117899</c:v>
                </c:pt>
                <c:pt idx="36">
                  <c:v>11.157006478778396</c:v>
                </c:pt>
                <c:pt idx="37">
                  <c:v>13.855600457391626</c:v>
                </c:pt>
                <c:pt idx="38">
                  <c:v>11.778733948462614</c:v>
                </c:pt>
                <c:pt idx="39">
                  <c:v>14.801806207135078</c:v>
                </c:pt>
                <c:pt idx="40">
                  <c:v>12.708957171550267</c:v>
                </c:pt>
                <c:pt idx="41">
                  <c:v>15.558122806587869</c:v>
                </c:pt>
                <c:pt idx="42">
                  <c:v>12.088470187680537</c:v>
                </c:pt>
                <c:pt idx="43">
                  <c:v>10.671011249440653</c:v>
                </c:pt>
                <c:pt idx="44">
                  <c:v>11.15258597785637</c:v>
                </c:pt>
                <c:pt idx="45">
                  <c:v>12.557052100872401</c:v>
                </c:pt>
                <c:pt idx="46">
                  <c:v>9.9856930226674407</c:v>
                </c:pt>
                <c:pt idx="47">
                  <c:v>13.729451814140557</c:v>
                </c:pt>
                <c:pt idx="48">
                  <c:v>12.296174498038839</c:v>
                </c:pt>
                <c:pt idx="49">
                  <c:v>13.142787209565174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0328"/>
        <c:axId val="463752680"/>
      </c:scatterChart>
      <c:valAx>
        <c:axId val="463750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3752680"/>
        <c:crosses val="autoZero"/>
        <c:crossBetween val="midCat"/>
      </c:valAx>
      <c:valAx>
        <c:axId val="463752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50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White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4'!$D$4:$D$53</c:f>
              <c:numCache>
                <c:formatCode>0.0</c:formatCode>
                <c:ptCount val="50"/>
                <c:pt idx="0">
                  <c:v>71.027177760140717</c:v>
                </c:pt>
                <c:pt idx="1">
                  <c:v>70.62318863808899</c:v>
                </c:pt>
                <c:pt idx="2">
                  <c:v>86.505696765320337</c:v>
                </c:pt>
                <c:pt idx="3">
                  <c:v>80.783955956979611</c:v>
                </c:pt>
                <c:pt idx="4">
                  <c:v>76.640052174481781</c:v>
                </c:pt>
                <c:pt idx="5">
                  <c:v>89.734092175332663</c:v>
                </c:pt>
                <c:pt idx="6">
                  <c:v>84.278652322083644</c:v>
                </c:pt>
                <c:pt idx="7">
                  <c:v>74.266056727126113</c:v>
                </c:pt>
                <c:pt idx="8">
                  <c:v>79.811068541941054</c:v>
                </c:pt>
                <c:pt idx="9">
                  <c:v>65.387718279566343</c:v>
                </c:pt>
                <c:pt idx="10">
                  <c:v>29.667333748383395</c:v>
                </c:pt>
                <c:pt idx="11">
                  <c:v>94.600660447193093</c:v>
                </c:pt>
                <c:pt idx="12">
                  <c:v>79.13310968601246</c:v>
                </c:pt>
                <c:pt idx="13">
                  <c:v>88.000000627274659</c:v>
                </c:pt>
                <c:pt idx="14">
                  <c:v>94.170464820794294</c:v>
                </c:pt>
                <c:pt idx="15">
                  <c:v>88.703716524620162</c:v>
                </c:pt>
                <c:pt idx="16">
                  <c:v>89.904327345935869</c:v>
                </c:pt>
                <c:pt idx="17">
                  <c:v>64.839543701408999</c:v>
                </c:pt>
                <c:pt idx="18">
                  <c:v>96.389852756187835</c:v>
                </c:pt>
                <c:pt idx="19">
                  <c:v>63.398020838196281</c:v>
                </c:pt>
                <c:pt idx="20">
                  <c:v>86.203669547721617</c:v>
                </c:pt>
                <c:pt idx="21">
                  <c:v>81.183409037427396</c:v>
                </c:pt>
                <c:pt idx="22">
                  <c:v>89.045556531854984</c:v>
                </c:pt>
                <c:pt idx="23">
                  <c:v>60.598179144073846</c:v>
                </c:pt>
                <c:pt idx="24">
                  <c:v>85.028888093842554</c:v>
                </c:pt>
                <c:pt idx="25">
                  <c:v>90.467729264863962</c:v>
                </c:pt>
                <c:pt idx="26">
                  <c:v>91.372477335833381</c:v>
                </c:pt>
                <c:pt idx="27">
                  <c:v>80.891227371165002</c:v>
                </c:pt>
                <c:pt idx="28">
                  <c:v>95.487186970145373</c:v>
                </c:pt>
                <c:pt idx="29">
                  <c:v>76.032117342828414</c:v>
                </c:pt>
                <c:pt idx="30">
                  <c:v>83.996520785584835</c:v>
                </c:pt>
                <c:pt idx="31">
                  <c:v>73.422529169257928</c:v>
                </c:pt>
                <c:pt idx="32">
                  <c:v>73.937344387272134</c:v>
                </c:pt>
                <c:pt idx="33">
                  <c:v>91.393509706444945</c:v>
                </c:pt>
                <c:pt idx="34">
                  <c:v>84.764237226305966</c:v>
                </c:pt>
                <c:pt idx="35">
                  <c:v>78.141238608693655</c:v>
                </c:pt>
                <c:pt idx="36">
                  <c:v>90.140446325387984</c:v>
                </c:pt>
                <c:pt idx="37">
                  <c:v>85.424563507935517</c:v>
                </c:pt>
                <c:pt idx="38">
                  <c:v>88.483880668602993</c:v>
                </c:pt>
                <c:pt idx="39">
                  <c:v>68.748136077503446</c:v>
                </c:pt>
                <c:pt idx="40">
                  <c:v>88.189790025789804</c:v>
                </c:pt>
                <c:pt idx="41">
                  <c:v>80.371971305033981</c:v>
                </c:pt>
                <c:pt idx="42">
                  <c:v>82.402677784750395</c:v>
                </c:pt>
                <c:pt idx="43">
                  <c:v>92.915461931338129</c:v>
                </c:pt>
                <c:pt idx="44">
                  <c:v>96.408807764739961</c:v>
                </c:pt>
                <c:pt idx="45">
                  <c:v>73.031896017666924</c:v>
                </c:pt>
                <c:pt idx="46">
                  <c:v>84.290902250404002</c:v>
                </c:pt>
                <c:pt idx="47">
                  <c:v>94.524786328554711</c:v>
                </c:pt>
                <c:pt idx="48">
                  <c:v>89.673695670212709</c:v>
                </c:pt>
                <c:pt idx="49">
                  <c:v>93.867286940458214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  <c:smooth val="0"/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4'!$D$4:$D$53</c:f>
              <c:numCache>
                <c:formatCode>0.0</c:formatCode>
                <c:ptCount val="50"/>
                <c:pt idx="0">
                  <c:v>71.027177760140717</c:v>
                </c:pt>
                <c:pt idx="1">
                  <c:v>70.62318863808899</c:v>
                </c:pt>
                <c:pt idx="2">
                  <c:v>86.505696765320337</c:v>
                </c:pt>
                <c:pt idx="3">
                  <c:v>80.783955956979611</c:v>
                </c:pt>
                <c:pt idx="4">
                  <c:v>76.640052174481781</c:v>
                </c:pt>
                <c:pt idx="5">
                  <c:v>89.734092175332663</c:v>
                </c:pt>
                <c:pt idx="6">
                  <c:v>84.278652322083644</c:v>
                </c:pt>
                <c:pt idx="7">
                  <c:v>74.266056727126113</c:v>
                </c:pt>
                <c:pt idx="8">
                  <c:v>79.811068541941054</c:v>
                </c:pt>
                <c:pt idx="9">
                  <c:v>65.387718279566343</c:v>
                </c:pt>
                <c:pt idx="10">
                  <c:v>29.667333748383395</c:v>
                </c:pt>
                <c:pt idx="11">
                  <c:v>94.600660447193093</c:v>
                </c:pt>
                <c:pt idx="12">
                  <c:v>79.13310968601246</c:v>
                </c:pt>
                <c:pt idx="13">
                  <c:v>88.000000627274659</c:v>
                </c:pt>
                <c:pt idx="14">
                  <c:v>94.170464820794294</c:v>
                </c:pt>
                <c:pt idx="15">
                  <c:v>88.703716524620162</c:v>
                </c:pt>
                <c:pt idx="16">
                  <c:v>89.904327345935869</c:v>
                </c:pt>
                <c:pt idx="17">
                  <c:v>64.839543701408999</c:v>
                </c:pt>
                <c:pt idx="18">
                  <c:v>96.389852756187835</c:v>
                </c:pt>
                <c:pt idx="19">
                  <c:v>63.398020838196281</c:v>
                </c:pt>
                <c:pt idx="20">
                  <c:v>86.203669547721617</c:v>
                </c:pt>
                <c:pt idx="21">
                  <c:v>81.183409037427396</c:v>
                </c:pt>
                <c:pt idx="22">
                  <c:v>89.045556531854984</c:v>
                </c:pt>
                <c:pt idx="23">
                  <c:v>60.598179144073846</c:v>
                </c:pt>
                <c:pt idx="24">
                  <c:v>85.028888093842554</c:v>
                </c:pt>
                <c:pt idx="25">
                  <c:v>90.467729264863962</c:v>
                </c:pt>
                <c:pt idx="26">
                  <c:v>91.372477335833381</c:v>
                </c:pt>
                <c:pt idx="27">
                  <c:v>80.891227371165002</c:v>
                </c:pt>
                <c:pt idx="28">
                  <c:v>95.487186970145373</c:v>
                </c:pt>
                <c:pt idx="29">
                  <c:v>76.032117342828414</c:v>
                </c:pt>
                <c:pt idx="30">
                  <c:v>83.996520785584835</c:v>
                </c:pt>
                <c:pt idx="31">
                  <c:v>73.422529169257928</c:v>
                </c:pt>
                <c:pt idx="32">
                  <c:v>73.937344387272134</c:v>
                </c:pt>
                <c:pt idx="33">
                  <c:v>91.393509706444945</c:v>
                </c:pt>
                <c:pt idx="34">
                  <c:v>84.764237226305966</c:v>
                </c:pt>
                <c:pt idx="35">
                  <c:v>78.141238608693655</c:v>
                </c:pt>
                <c:pt idx="36">
                  <c:v>90.140446325387984</c:v>
                </c:pt>
                <c:pt idx="37">
                  <c:v>85.424563507935517</c:v>
                </c:pt>
                <c:pt idx="38">
                  <c:v>88.483880668602993</c:v>
                </c:pt>
                <c:pt idx="39">
                  <c:v>68.748136077503446</c:v>
                </c:pt>
                <c:pt idx="40">
                  <c:v>88.189790025789804</c:v>
                </c:pt>
                <c:pt idx="41">
                  <c:v>80.371971305033981</c:v>
                </c:pt>
                <c:pt idx="42">
                  <c:v>82.402677784750395</c:v>
                </c:pt>
                <c:pt idx="43">
                  <c:v>92.915461931338129</c:v>
                </c:pt>
                <c:pt idx="44">
                  <c:v>96.408807764739961</c:v>
                </c:pt>
                <c:pt idx="45">
                  <c:v>73.031896017666924</c:v>
                </c:pt>
                <c:pt idx="46">
                  <c:v>84.290902250404002</c:v>
                </c:pt>
                <c:pt idx="47">
                  <c:v>94.524786328554711</c:v>
                </c:pt>
                <c:pt idx="48">
                  <c:v>89.673695670212709</c:v>
                </c:pt>
                <c:pt idx="49">
                  <c:v>93.867286940458214</c:v>
                </c:pt>
              </c:numCache>
            </c:numRef>
          </c:xVal>
          <c:yVal>
            <c:numRef>
              <c:f>'Mult Reg 5A'!$B$27:$B$76</c:f>
              <c:numCache>
                <c:formatCode>General</c:formatCode>
                <c:ptCount val="50"/>
                <c:pt idx="0">
                  <c:v>15.168482465280009</c:v>
                </c:pt>
                <c:pt idx="1">
                  <c:v>12.770194096327922</c:v>
                </c:pt>
                <c:pt idx="2">
                  <c:v>12.453734351399657</c:v>
                </c:pt>
                <c:pt idx="3">
                  <c:v>14.998941387354511</c:v>
                </c:pt>
                <c:pt idx="4">
                  <c:v>10.360946134637627</c:v>
                </c:pt>
                <c:pt idx="5">
                  <c:v>11.483693052508372</c:v>
                </c:pt>
                <c:pt idx="6">
                  <c:v>11.79470492807466</c:v>
                </c:pt>
                <c:pt idx="7">
                  <c:v>14.733447771089935</c:v>
                </c:pt>
                <c:pt idx="8">
                  <c:v>13.702989401864992</c:v>
                </c:pt>
                <c:pt idx="9">
                  <c:v>13.876437321067451</c:v>
                </c:pt>
                <c:pt idx="10">
                  <c:v>9.0671031505498636</c:v>
                </c:pt>
                <c:pt idx="11">
                  <c:v>12.913696631816233</c:v>
                </c:pt>
                <c:pt idx="12">
                  <c:v>13.409129334359276</c:v>
                </c:pt>
                <c:pt idx="13">
                  <c:v>14.343063758629301</c:v>
                </c:pt>
                <c:pt idx="14">
                  <c:v>10.801749432233862</c:v>
                </c:pt>
                <c:pt idx="15">
                  <c:v>13.386495433605791</c:v>
                </c:pt>
                <c:pt idx="16">
                  <c:v>13.717687401385909</c:v>
                </c:pt>
                <c:pt idx="17">
                  <c:v>16.495289411657392</c:v>
                </c:pt>
                <c:pt idx="18">
                  <c:v>12.166437679535267</c:v>
                </c:pt>
                <c:pt idx="19">
                  <c:v>13.887597669367663</c:v>
                </c:pt>
                <c:pt idx="20">
                  <c:v>10.32299043884211</c:v>
                </c:pt>
                <c:pt idx="21">
                  <c:v>13.615527563643827</c:v>
                </c:pt>
                <c:pt idx="22">
                  <c:v>10.734985254448009</c:v>
                </c:pt>
                <c:pt idx="23">
                  <c:v>16.613871588317885</c:v>
                </c:pt>
                <c:pt idx="24">
                  <c:v>13.711013366979067</c:v>
                </c:pt>
                <c:pt idx="25">
                  <c:v>11.55256440695972</c:v>
                </c:pt>
                <c:pt idx="26">
                  <c:v>11.350737524842538</c:v>
                </c:pt>
                <c:pt idx="27">
                  <c:v>12.630597532474958</c:v>
                </c:pt>
                <c:pt idx="28">
                  <c:v>11.905207608821607</c:v>
                </c:pt>
                <c:pt idx="29">
                  <c:v>10.703770804947251</c:v>
                </c:pt>
                <c:pt idx="30">
                  <c:v>11.852963983075886</c:v>
                </c:pt>
                <c:pt idx="31">
                  <c:v>10.857452575591561</c:v>
                </c:pt>
                <c:pt idx="32">
                  <c:v>14.148922758102401</c:v>
                </c:pt>
                <c:pt idx="33">
                  <c:v>11.379935658704408</c:v>
                </c:pt>
                <c:pt idx="34">
                  <c:v>13.983290890156367</c:v>
                </c:pt>
                <c:pt idx="35">
                  <c:v>14.22089410117899</c:v>
                </c:pt>
                <c:pt idx="36">
                  <c:v>11.157006478778396</c:v>
                </c:pt>
                <c:pt idx="37">
                  <c:v>13.855600457391626</c:v>
                </c:pt>
                <c:pt idx="38">
                  <c:v>11.778733948462614</c:v>
                </c:pt>
                <c:pt idx="39">
                  <c:v>14.801806207135078</c:v>
                </c:pt>
                <c:pt idx="40">
                  <c:v>12.708957171550267</c:v>
                </c:pt>
                <c:pt idx="41">
                  <c:v>15.558122806587869</c:v>
                </c:pt>
                <c:pt idx="42">
                  <c:v>12.088470187680537</c:v>
                </c:pt>
                <c:pt idx="43">
                  <c:v>10.671011249440653</c:v>
                </c:pt>
                <c:pt idx="44">
                  <c:v>11.15258597785637</c:v>
                </c:pt>
                <c:pt idx="45">
                  <c:v>12.557052100872401</c:v>
                </c:pt>
                <c:pt idx="46">
                  <c:v>9.9856930226674407</c:v>
                </c:pt>
                <c:pt idx="47">
                  <c:v>13.729451814140557</c:v>
                </c:pt>
                <c:pt idx="48">
                  <c:v>12.296174498038839</c:v>
                </c:pt>
                <c:pt idx="49">
                  <c:v>13.142787209565174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4248"/>
        <c:axId val="551359304"/>
      </c:scatterChart>
      <c:valAx>
        <c:axId val="46375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White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551359304"/>
        <c:crosses val="autoZero"/>
        <c:crossBetween val="midCat"/>
      </c:valAx>
      <c:valAx>
        <c:axId val="551359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54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Crime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4'!$E$4:$E$53</c:f>
              <c:numCache>
                <c:formatCode>#,##0</c:formatCode>
                <c:ptCount val="50"/>
                <c:pt idx="0">
                  <c:v>448</c:v>
                </c:pt>
                <c:pt idx="1">
                  <c:v>661.2</c:v>
                </c:pt>
                <c:pt idx="2">
                  <c:v>482.7</c:v>
                </c:pt>
                <c:pt idx="3">
                  <c:v>529.4</c:v>
                </c:pt>
                <c:pt idx="4">
                  <c:v>522.6</c:v>
                </c:pt>
                <c:pt idx="5">
                  <c:v>347.8</c:v>
                </c:pt>
                <c:pt idx="6">
                  <c:v>256</c:v>
                </c:pt>
                <c:pt idx="7">
                  <c:v>689.2</c:v>
                </c:pt>
                <c:pt idx="8">
                  <c:v>722.6</c:v>
                </c:pt>
                <c:pt idx="9">
                  <c:v>493.2</c:v>
                </c:pt>
                <c:pt idx="10">
                  <c:v>272.8</c:v>
                </c:pt>
                <c:pt idx="11">
                  <c:v>239.4</c:v>
                </c:pt>
                <c:pt idx="12">
                  <c:v>533.20000000000005</c:v>
                </c:pt>
                <c:pt idx="13">
                  <c:v>333.6</c:v>
                </c:pt>
                <c:pt idx="14">
                  <c:v>294.7</c:v>
                </c:pt>
                <c:pt idx="15">
                  <c:v>452.7</c:v>
                </c:pt>
                <c:pt idx="16">
                  <c:v>295</c:v>
                </c:pt>
                <c:pt idx="17">
                  <c:v>729.5</c:v>
                </c:pt>
                <c:pt idx="18">
                  <c:v>118</c:v>
                </c:pt>
                <c:pt idx="19">
                  <c:v>641.9</c:v>
                </c:pt>
                <c:pt idx="20">
                  <c:v>431.5</c:v>
                </c:pt>
                <c:pt idx="21">
                  <c:v>536</c:v>
                </c:pt>
                <c:pt idx="22">
                  <c:v>288.7</c:v>
                </c:pt>
                <c:pt idx="23">
                  <c:v>291.3</c:v>
                </c:pt>
                <c:pt idx="24">
                  <c:v>504.9</c:v>
                </c:pt>
                <c:pt idx="25">
                  <c:v>287.5</c:v>
                </c:pt>
                <c:pt idx="26">
                  <c:v>302.39999999999998</c:v>
                </c:pt>
                <c:pt idx="27">
                  <c:v>750.6</c:v>
                </c:pt>
                <c:pt idx="28">
                  <c:v>137.30000000000001</c:v>
                </c:pt>
                <c:pt idx="29">
                  <c:v>329.3</c:v>
                </c:pt>
                <c:pt idx="30">
                  <c:v>664.2</c:v>
                </c:pt>
                <c:pt idx="31">
                  <c:v>414.1</c:v>
                </c:pt>
                <c:pt idx="32">
                  <c:v>466.4</c:v>
                </c:pt>
                <c:pt idx="33">
                  <c:v>142.4</c:v>
                </c:pt>
                <c:pt idx="34">
                  <c:v>343.2</c:v>
                </c:pt>
                <c:pt idx="35">
                  <c:v>499.6</c:v>
                </c:pt>
                <c:pt idx="36">
                  <c:v>287.60000000000002</c:v>
                </c:pt>
                <c:pt idx="37">
                  <c:v>416.5</c:v>
                </c:pt>
                <c:pt idx="38">
                  <c:v>227.3</c:v>
                </c:pt>
                <c:pt idx="39">
                  <c:v>788.3</c:v>
                </c:pt>
                <c:pt idx="40">
                  <c:v>169.2</c:v>
                </c:pt>
                <c:pt idx="41">
                  <c:v>753.3</c:v>
                </c:pt>
                <c:pt idx="42">
                  <c:v>510.6</c:v>
                </c:pt>
                <c:pt idx="43">
                  <c:v>234.8</c:v>
                </c:pt>
                <c:pt idx="44">
                  <c:v>124.3</c:v>
                </c:pt>
                <c:pt idx="45">
                  <c:v>269.7</c:v>
                </c:pt>
                <c:pt idx="46">
                  <c:v>333.1</c:v>
                </c:pt>
                <c:pt idx="47">
                  <c:v>275.2</c:v>
                </c:pt>
                <c:pt idx="48">
                  <c:v>290.89999999999998</c:v>
                </c:pt>
                <c:pt idx="49">
                  <c:v>239.3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  <c:smooth val="0"/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4'!$E$4:$E$53</c:f>
              <c:numCache>
                <c:formatCode>#,##0</c:formatCode>
                <c:ptCount val="50"/>
                <c:pt idx="0">
                  <c:v>448</c:v>
                </c:pt>
                <c:pt idx="1">
                  <c:v>661.2</c:v>
                </c:pt>
                <c:pt idx="2">
                  <c:v>482.7</c:v>
                </c:pt>
                <c:pt idx="3">
                  <c:v>529.4</c:v>
                </c:pt>
                <c:pt idx="4">
                  <c:v>522.6</c:v>
                </c:pt>
                <c:pt idx="5">
                  <c:v>347.8</c:v>
                </c:pt>
                <c:pt idx="6">
                  <c:v>256</c:v>
                </c:pt>
                <c:pt idx="7">
                  <c:v>689.2</c:v>
                </c:pt>
                <c:pt idx="8">
                  <c:v>722.6</c:v>
                </c:pt>
                <c:pt idx="9">
                  <c:v>493.2</c:v>
                </c:pt>
                <c:pt idx="10">
                  <c:v>272.8</c:v>
                </c:pt>
                <c:pt idx="11">
                  <c:v>239.4</c:v>
                </c:pt>
                <c:pt idx="12">
                  <c:v>533.20000000000005</c:v>
                </c:pt>
                <c:pt idx="13">
                  <c:v>333.6</c:v>
                </c:pt>
                <c:pt idx="14">
                  <c:v>294.7</c:v>
                </c:pt>
                <c:pt idx="15">
                  <c:v>452.7</c:v>
                </c:pt>
                <c:pt idx="16">
                  <c:v>295</c:v>
                </c:pt>
                <c:pt idx="17">
                  <c:v>729.5</c:v>
                </c:pt>
                <c:pt idx="18">
                  <c:v>118</c:v>
                </c:pt>
                <c:pt idx="19">
                  <c:v>641.9</c:v>
                </c:pt>
                <c:pt idx="20">
                  <c:v>431.5</c:v>
                </c:pt>
                <c:pt idx="21">
                  <c:v>536</c:v>
                </c:pt>
                <c:pt idx="22">
                  <c:v>288.7</c:v>
                </c:pt>
                <c:pt idx="23">
                  <c:v>291.3</c:v>
                </c:pt>
                <c:pt idx="24">
                  <c:v>504.9</c:v>
                </c:pt>
                <c:pt idx="25">
                  <c:v>287.5</c:v>
                </c:pt>
                <c:pt idx="26">
                  <c:v>302.39999999999998</c:v>
                </c:pt>
                <c:pt idx="27">
                  <c:v>750.6</c:v>
                </c:pt>
                <c:pt idx="28">
                  <c:v>137.30000000000001</c:v>
                </c:pt>
                <c:pt idx="29">
                  <c:v>329.3</c:v>
                </c:pt>
                <c:pt idx="30">
                  <c:v>664.2</c:v>
                </c:pt>
                <c:pt idx="31">
                  <c:v>414.1</c:v>
                </c:pt>
                <c:pt idx="32">
                  <c:v>466.4</c:v>
                </c:pt>
                <c:pt idx="33">
                  <c:v>142.4</c:v>
                </c:pt>
                <c:pt idx="34">
                  <c:v>343.2</c:v>
                </c:pt>
                <c:pt idx="35">
                  <c:v>499.6</c:v>
                </c:pt>
                <c:pt idx="36">
                  <c:v>287.60000000000002</c:v>
                </c:pt>
                <c:pt idx="37">
                  <c:v>416.5</c:v>
                </c:pt>
                <c:pt idx="38">
                  <c:v>227.3</c:v>
                </c:pt>
                <c:pt idx="39">
                  <c:v>788.3</c:v>
                </c:pt>
                <c:pt idx="40">
                  <c:v>169.2</c:v>
                </c:pt>
                <c:pt idx="41">
                  <c:v>753.3</c:v>
                </c:pt>
                <c:pt idx="42">
                  <c:v>510.6</c:v>
                </c:pt>
                <c:pt idx="43">
                  <c:v>234.8</c:v>
                </c:pt>
                <c:pt idx="44">
                  <c:v>124.3</c:v>
                </c:pt>
                <c:pt idx="45">
                  <c:v>269.7</c:v>
                </c:pt>
                <c:pt idx="46">
                  <c:v>333.1</c:v>
                </c:pt>
                <c:pt idx="47">
                  <c:v>275.2</c:v>
                </c:pt>
                <c:pt idx="48">
                  <c:v>290.89999999999998</c:v>
                </c:pt>
                <c:pt idx="49">
                  <c:v>239.3</c:v>
                </c:pt>
              </c:numCache>
            </c:numRef>
          </c:xVal>
          <c:yVal>
            <c:numRef>
              <c:f>'Mult Reg 5A'!$B$27:$B$76</c:f>
              <c:numCache>
                <c:formatCode>General</c:formatCode>
                <c:ptCount val="50"/>
                <c:pt idx="0">
                  <c:v>15.168482465280009</c:v>
                </c:pt>
                <c:pt idx="1">
                  <c:v>12.770194096327922</c:v>
                </c:pt>
                <c:pt idx="2">
                  <c:v>12.453734351399657</c:v>
                </c:pt>
                <c:pt idx="3">
                  <c:v>14.998941387354511</c:v>
                </c:pt>
                <c:pt idx="4">
                  <c:v>10.360946134637627</c:v>
                </c:pt>
                <c:pt idx="5">
                  <c:v>11.483693052508372</c:v>
                </c:pt>
                <c:pt idx="6">
                  <c:v>11.79470492807466</c:v>
                </c:pt>
                <c:pt idx="7">
                  <c:v>14.733447771089935</c:v>
                </c:pt>
                <c:pt idx="8">
                  <c:v>13.702989401864992</c:v>
                </c:pt>
                <c:pt idx="9">
                  <c:v>13.876437321067451</c:v>
                </c:pt>
                <c:pt idx="10">
                  <c:v>9.0671031505498636</c:v>
                </c:pt>
                <c:pt idx="11">
                  <c:v>12.913696631816233</c:v>
                </c:pt>
                <c:pt idx="12">
                  <c:v>13.409129334359276</c:v>
                </c:pt>
                <c:pt idx="13">
                  <c:v>14.343063758629301</c:v>
                </c:pt>
                <c:pt idx="14">
                  <c:v>10.801749432233862</c:v>
                </c:pt>
                <c:pt idx="15">
                  <c:v>13.386495433605791</c:v>
                </c:pt>
                <c:pt idx="16">
                  <c:v>13.717687401385909</c:v>
                </c:pt>
                <c:pt idx="17">
                  <c:v>16.495289411657392</c:v>
                </c:pt>
                <c:pt idx="18">
                  <c:v>12.166437679535267</c:v>
                </c:pt>
                <c:pt idx="19">
                  <c:v>13.887597669367663</c:v>
                </c:pt>
                <c:pt idx="20">
                  <c:v>10.32299043884211</c:v>
                </c:pt>
                <c:pt idx="21">
                  <c:v>13.615527563643827</c:v>
                </c:pt>
                <c:pt idx="22">
                  <c:v>10.734985254448009</c:v>
                </c:pt>
                <c:pt idx="23">
                  <c:v>16.613871588317885</c:v>
                </c:pt>
                <c:pt idx="24">
                  <c:v>13.711013366979067</c:v>
                </c:pt>
                <c:pt idx="25">
                  <c:v>11.55256440695972</c:v>
                </c:pt>
                <c:pt idx="26">
                  <c:v>11.350737524842538</c:v>
                </c:pt>
                <c:pt idx="27">
                  <c:v>12.630597532474958</c:v>
                </c:pt>
                <c:pt idx="28">
                  <c:v>11.905207608821607</c:v>
                </c:pt>
                <c:pt idx="29">
                  <c:v>10.703770804947251</c:v>
                </c:pt>
                <c:pt idx="30">
                  <c:v>11.852963983075886</c:v>
                </c:pt>
                <c:pt idx="31">
                  <c:v>10.857452575591561</c:v>
                </c:pt>
                <c:pt idx="32">
                  <c:v>14.148922758102401</c:v>
                </c:pt>
                <c:pt idx="33">
                  <c:v>11.379935658704408</c:v>
                </c:pt>
                <c:pt idx="34">
                  <c:v>13.983290890156367</c:v>
                </c:pt>
                <c:pt idx="35">
                  <c:v>14.22089410117899</c:v>
                </c:pt>
                <c:pt idx="36">
                  <c:v>11.157006478778396</c:v>
                </c:pt>
                <c:pt idx="37">
                  <c:v>13.855600457391626</c:v>
                </c:pt>
                <c:pt idx="38">
                  <c:v>11.778733948462614</c:v>
                </c:pt>
                <c:pt idx="39">
                  <c:v>14.801806207135078</c:v>
                </c:pt>
                <c:pt idx="40">
                  <c:v>12.708957171550267</c:v>
                </c:pt>
                <c:pt idx="41">
                  <c:v>15.558122806587869</c:v>
                </c:pt>
                <c:pt idx="42">
                  <c:v>12.088470187680537</c:v>
                </c:pt>
                <c:pt idx="43">
                  <c:v>10.671011249440653</c:v>
                </c:pt>
                <c:pt idx="44">
                  <c:v>11.15258597785637</c:v>
                </c:pt>
                <c:pt idx="45">
                  <c:v>12.557052100872401</c:v>
                </c:pt>
                <c:pt idx="46">
                  <c:v>9.9856930226674407</c:v>
                </c:pt>
                <c:pt idx="47">
                  <c:v>13.729451814140557</c:v>
                </c:pt>
                <c:pt idx="48">
                  <c:v>12.296174498038839</c:v>
                </c:pt>
                <c:pt idx="49">
                  <c:v>13.142787209565174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361264"/>
        <c:axId val="551360872"/>
      </c:scatterChart>
      <c:valAx>
        <c:axId val="55136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Crime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51360872"/>
        <c:crosses val="autoZero"/>
        <c:crossBetween val="midCat"/>
      </c:valAx>
      <c:valAx>
        <c:axId val="551360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61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5A'!$F$27:$F$76</c:f>
              <c:numCache>
                <c:formatCode>General</c:formatCode>
                <c:ptCount val="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</c:numCache>
            </c:numRef>
          </c:xVal>
          <c:yVal>
            <c:numRef>
              <c:f>'Mult Reg 5A'!$G$27:$G$76</c:f>
              <c:numCache>
                <c:formatCode>General</c:formatCode>
                <c:ptCount val="50"/>
                <c:pt idx="0">
                  <c:v>7.6</c:v>
                </c:pt>
                <c:pt idx="1">
                  <c:v>8.1</c:v>
                </c:pt>
                <c:pt idx="2">
                  <c:v>8.4</c:v>
                </c:pt>
                <c:pt idx="3">
                  <c:v>8.6999999999999993</c:v>
                </c:pt>
                <c:pt idx="4">
                  <c:v>9.1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9.6</c:v>
                </c:pt>
                <c:pt idx="9">
                  <c:v>10</c:v>
                </c:pt>
                <c:pt idx="10">
                  <c:v>10</c:v>
                </c:pt>
                <c:pt idx="11">
                  <c:v>10.199999999999999</c:v>
                </c:pt>
                <c:pt idx="12">
                  <c:v>10.4</c:v>
                </c:pt>
                <c:pt idx="13">
                  <c:v>10.6</c:v>
                </c:pt>
                <c:pt idx="14">
                  <c:v>10.8</c:v>
                </c:pt>
                <c:pt idx="15">
                  <c:v>11.3</c:v>
                </c:pt>
                <c:pt idx="16">
                  <c:v>11.3</c:v>
                </c:pt>
                <c:pt idx="17">
                  <c:v>11.3</c:v>
                </c:pt>
                <c:pt idx="18">
                  <c:v>11.4</c:v>
                </c:pt>
                <c:pt idx="19">
                  <c:v>11.5</c:v>
                </c:pt>
                <c:pt idx="20">
                  <c:v>11.7</c:v>
                </c:pt>
                <c:pt idx="21">
                  <c:v>12</c:v>
                </c:pt>
                <c:pt idx="22">
                  <c:v>12.1</c:v>
                </c:pt>
                <c:pt idx="23">
                  <c:v>12.2</c:v>
                </c:pt>
                <c:pt idx="24">
                  <c:v>12.3</c:v>
                </c:pt>
                <c:pt idx="25">
                  <c:v>12.5</c:v>
                </c:pt>
                <c:pt idx="26">
                  <c:v>12.6</c:v>
                </c:pt>
                <c:pt idx="27">
                  <c:v>13.1</c:v>
                </c:pt>
                <c:pt idx="28">
                  <c:v>13.2</c:v>
                </c:pt>
                <c:pt idx="29">
                  <c:v>13.3</c:v>
                </c:pt>
                <c:pt idx="30">
                  <c:v>13.4</c:v>
                </c:pt>
                <c:pt idx="31">
                  <c:v>13.4</c:v>
                </c:pt>
                <c:pt idx="32">
                  <c:v>13.6</c:v>
                </c:pt>
                <c:pt idx="33">
                  <c:v>13.6</c:v>
                </c:pt>
                <c:pt idx="34">
                  <c:v>14.4</c:v>
                </c:pt>
                <c:pt idx="35">
                  <c:v>14.6</c:v>
                </c:pt>
                <c:pt idx="36">
                  <c:v>14.7</c:v>
                </c:pt>
                <c:pt idx="37">
                  <c:v>14.7</c:v>
                </c:pt>
                <c:pt idx="38">
                  <c:v>14.8</c:v>
                </c:pt>
                <c:pt idx="39">
                  <c:v>15.5</c:v>
                </c:pt>
                <c:pt idx="40">
                  <c:v>15.7</c:v>
                </c:pt>
                <c:pt idx="41">
                  <c:v>15.7</c:v>
                </c:pt>
                <c:pt idx="42">
                  <c:v>15.8</c:v>
                </c:pt>
                <c:pt idx="43">
                  <c:v>15.9</c:v>
                </c:pt>
                <c:pt idx="44">
                  <c:v>17</c:v>
                </c:pt>
                <c:pt idx="45">
                  <c:v>17.100000000000001</c:v>
                </c:pt>
                <c:pt idx="46">
                  <c:v>17.3</c:v>
                </c:pt>
                <c:pt idx="47">
                  <c:v>17.3</c:v>
                </c:pt>
                <c:pt idx="48">
                  <c:v>17.3</c:v>
                </c:pt>
                <c:pt idx="49">
                  <c:v>21.2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356560"/>
        <c:axId val="551360088"/>
      </c:scatterChart>
      <c:valAx>
        <c:axId val="55135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60088"/>
        <c:crosses val="autoZero"/>
        <c:crossBetween val="midCat"/>
      </c:valAx>
      <c:valAx>
        <c:axId val="551360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56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Infant Mort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5B'!$C$25:$C$74</c:f>
              <c:numCache>
                <c:formatCode>General</c:formatCode>
                <c:ptCount val="50"/>
                <c:pt idx="0">
                  <c:v>0.27920136635354176</c:v>
                </c:pt>
                <c:pt idx="1">
                  <c:v>-4.41873543979505</c:v>
                </c:pt>
                <c:pt idx="2">
                  <c:v>2.5008034158838548</c:v>
                </c:pt>
                <c:pt idx="3">
                  <c:v>2.4987402220324508</c:v>
                </c:pt>
                <c:pt idx="4">
                  <c:v>2.8355122117847955</c:v>
                </c:pt>
                <c:pt idx="5">
                  <c:v>6.8157813834327285E-2</c:v>
                </c:pt>
                <c:pt idx="6">
                  <c:v>-2.65138104184458</c:v>
                </c:pt>
                <c:pt idx="7">
                  <c:v>-4.5534442356959897</c:v>
                </c:pt>
                <c:pt idx="8">
                  <c:v>-0.11436652433817507</c:v>
                </c:pt>
                <c:pt idx="9">
                  <c:v>0.39437130657557518</c:v>
                </c:pt>
                <c:pt idx="10">
                  <c:v>-2.1079344150298933</c:v>
                </c:pt>
                <c:pt idx="11">
                  <c:v>-9.4827668659268838E-2</c:v>
                </c:pt>
                <c:pt idx="12">
                  <c:v>-1.1143665243381751</c:v>
                </c:pt>
                <c:pt idx="13">
                  <c:v>-1.0817209222886444</c:v>
                </c:pt>
                <c:pt idx="14">
                  <c:v>0.91160444064901469</c:v>
                </c:pt>
                <c:pt idx="15">
                  <c:v>-1.7665509820666117</c:v>
                </c:pt>
                <c:pt idx="16">
                  <c:v>3.7378179333902626</c:v>
                </c:pt>
                <c:pt idx="17">
                  <c:v>0.76403142613151331</c:v>
                </c:pt>
                <c:pt idx="18">
                  <c:v>0.22471118701963988</c:v>
                </c:pt>
                <c:pt idx="19">
                  <c:v>-6.0817209222886444</c:v>
                </c:pt>
                <c:pt idx="20">
                  <c:v>-0.21667224594364143</c:v>
                </c:pt>
                <c:pt idx="21">
                  <c:v>0.96172570452604411</c:v>
                </c:pt>
                <c:pt idx="22">
                  <c:v>-1.1123033304867675</c:v>
                </c:pt>
                <c:pt idx="23">
                  <c:v>3.7966770281810405</c:v>
                </c:pt>
                <c:pt idx="24">
                  <c:v>-3.8274295473955888E-2</c:v>
                </c:pt>
                <c:pt idx="25">
                  <c:v>3.3442500426985458</c:v>
                </c:pt>
                <c:pt idx="26">
                  <c:v>-0.40793441502989225</c:v>
                </c:pt>
                <c:pt idx="27">
                  <c:v>-0.89919658411614378</c:v>
                </c:pt>
                <c:pt idx="28">
                  <c:v>-4.2274732707087992</c:v>
                </c:pt>
                <c:pt idx="29">
                  <c:v>-2.3840266438941118</c:v>
                </c:pt>
                <c:pt idx="30">
                  <c:v>5.6442500426985465</c:v>
                </c:pt>
                <c:pt idx="31">
                  <c:v>2.3920655849701067</c:v>
                </c:pt>
                <c:pt idx="32">
                  <c:v>0.29437130657557553</c:v>
                </c:pt>
                <c:pt idx="33">
                  <c:v>0.54425004269854504</c:v>
                </c:pt>
                <c:pt idx="34">
                  <c:v>-0.53390538001708165</c:v>
                </c:pt>
                <c:pt idx="35">
                  <c:v>1.7182790777113564</c:v>
                </c:pt>
                <c:pt idx="36">
                  <c:v>2.5159733561058886</c:v>
                </c:pt>
                <c:pt idx="37">
                  <c:v>-1.5860898377455186</c:v>
                </c:pt>
                <c:pt idx="38">
                  <c:v>-0.12747327070879955</c:v>
                </c:pt>
                <c:pt idx="39">
                  <c:v>1.0226479931682295</c:v>
                </c:pt>
                <c:pt idx="40">
                  <c:v>-0.31873543979505037</c:v>
                </c:pt>
                <c:pt idx="41">
                  <c:v>0.45092467976088813</c:v>
                </c:pt>
                <c:pt idx="42">
                  <c:v>3.84861895815542</c:v>
                </c:pt>
                <c:pt idx="43">
                  <c:v>-0.98839555935098566</c:v>
                </c:pt>
                <c:pt idx="44">
                  <c:v>-0.48402664389411143</c:v>
                </c:pt>
                <c:pt idx="45">
                  <c:v>-2.8665509820666131</c:v>
                </c:pt>
                <c:pt idx="46">
                  <c:v>1.2072355251921394</c:v>
                </c:pt>
                <c:pt idx="47">
                  <c:v>3.5617257045260438</c:v>
                </c:pt>
                <c:pt idx="48">
                  <c:v>-1.7991965841161441</c:v>
                </c:pt>
                <c:pt idx="49">
                  <c:v>-3.5426432109308301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358128"/>
        <c:axId val="551359696"/>
      </c:scatterChart>
      <c:valAx>
        <c:axId val="55135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551359696"/>
        <c:crosses val="autoZero"/>
        <c:crossBetween val="midCat"/>
      </c:valAx>
      <c:valAx>
        <c:axId val="551359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58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Infant Mort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  <c:smooth val="0"/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5B'!$B$25:$B$74</c:f>
              <c:numCache>
                <c:formatCode>General</c:formatCode>
                <c:ptCount val="50"/>
                <c:pt idx="0">
                  <c:v>15.420798633646458</c:v>
                </c:pt>
                <c:pt idx="1">
                  <c:v>12.81873543979505</c:v>
                </c:pt>
                <c:pt idx="2">
                  <c:v>12.199196584116144</c:v>
                </c:pt>
                <c:pt idx="3">
                  <c:v>14.80125977796755</c:v>
                </c:pt>
                <c:pt idx="4">
                  <c:v>10.464487788215205</c:v>
                </c:pt>
                <c:pt idx="5">
                  <c:v>11.331842186165673</c:v>
                </c:pt>
                <c:pt idx="6">
                  <c:v>11.951381041844581</c:v>
                </c:pt>
                <c:pt idx="7">
                  <c:v>14.55344423569599</c:v>
                </c:pt>
                <c:pt idx="8">
                  <c:v>13.314366524338174</c:v>
                </c:pt>
                <c:pt idx="9">
                  <c:v>14.305628693424424</c:v>
                </c:pt>
                <c:pt idx="10">
                  <c:v>11.207934415029893</c:v>
                </c:pt>
                <c:pt idx="11">
                  <c:v>12.694827668659268</c:v>
                </c:pt>
                <c:pt idx="12">
                  <c:v>13.314366524338174</c:v>
                </c:pt>
                <c:pt idx="13">
                  <c:v>14.181720922288644</c:v>
                </c:pt>
                <c:pt idx="14">
                  <c:v>10.588395559350985</c:v>
                </c:pt>
                <c:pt idx="15">
                  <c:v>13.066550982066612</c:v>
                </c:pt>
                <c:pt idx="16">
                  <c:v>13.562182066609738</c:v>
                </c:pt>
                <c:pt idx="17">
                  <c:v>16.535968573868487</c:v>
                </c:pt>
                <c:pt idx="18">
                  <c:v>12.075288812980361</c:v>
                </c:pt>
                <c:pt idx="19">
                  <c:v>14.181720922288644</c:v>
                </c:pt>
                <c:pt idx="20">
                  <c:v>10.216672245943641</c:v>
                </c:pt>
                <c:pt idx="21">
                  <c:v>13.438274295473956</c:v>
                </c:pt>
                <c:pt idx="22">
                  <c:v>10.712303330486767</c:v>
                </c:pt>
                <c:pt idx="23">
                  <c:v>17.403322971818959</c:v>
                </c:pt>
                <c:pt idx="24">
                  <c:v>13.438274295473956</c:v>
                </c:pt>
                <c:pt idx="25">
                  <c:v>11.455749957301455</c:v>
                </c:pt>
                <c:pt idx="26">
                  <c:v>11.207934415029893</c:v>
                </c:pt>
                <c:pt idx="27">
                  <c:v>12.199196584116144</c:v>
                </c:pt>
                <c:pt idx="28">
                  <c:v>11.827473270708799</c:v>
                </c:pt>
                <c:pt idx="29">
                  <c:v>11.084026643894111</c:v>
                </c:pt>
                <c:pt idx="30">
                  <c:v>11.455749957301455</c:v>
                </c:pt>
                <c:pt idx="31">
                  <c:v>11.207934415029893</c:v>
                </c:pt>
                <c:pt idx="32">
                  <c:v>14.305628693424424</c:v>
                </c:pt>
                <c:pt idx="33">
                  <c:v>11.455749957301455</c:v>
                </c:pt>
                <c:pt idx="34">
                  <c:v>13.933905380017082</c:v>
                </c:pt>
                <c:pt idx="35">
                  <c:v>14.181720922288644</c:v>
                </c:pt>
                <c:pt idx="36">
                  <c:v>11.084026643894111</c:v>
                </c:pt>
                <c:pt idx="37">
                  <c:v>13.686089837745518</c:v>
                </c:pt>
                <c:pt idx="38">
                  <c:v>11.827473270708799</c:v>
                </c:pt>
                <c:pt idx="39">
                  <c:v>14.67735200683177</c:v>
                </c:pt>
                <c:pt idx="40">
                  <c:v>12.81873543979505</c:v>
                </c:pt>
                <c:pt idx="41">
                  <c:v>15.049075320239112</c:v>
                </c:pt>
                <c:pt idx="42">
                  <c:v>11.951381041844581</c:v>
                </c:pt>
                <c:pt idx="43">
                  <c:v>10.588395559350985</c:v>
                </c:pt>
                <c:pt idx="44">
                  <c:v>11.084026643894111</c:v>
                </c:pt>
                <c:pt idx="45">
                  <c:v>13.066550982066612</c:v>
                </c:pt>
                <c:pt idx="46">
                  <c:v>10.092764474807861</c:v>
                </c:pt>
                <c:pt idx="47">
                  <c:v>13.438274295473956</c:v>
                </c:pt>
                <c:pt idx="48">
                  <c:v>12.199196584116144</c:v>
                </c:pt>
                <c:pt idx="49">
                  <c:v>12.94264321093083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355384"/>
        <c:axId val="551354208"/>
      </c:scatterChart>
      <c:valAx>
        <c:axId val="551355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551354208"/>
        <c:crosses val="autoZero"/>
        <c:crossBetween val="midCat"/>
      </c:valAx>
      <c:valAx>
        <c:axId val="55135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55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5B'!$F$25:$F$74</c:f>
              <c:numCache>
                <c:formatCode>General</c:formatCode>
                <c:ptCount val="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</c:numCache>
            </c:numRef>
          </c:xVal>
          <c:yVal>
            <c:numRef>
              <c:f>'Mult Reg 5B'!$G$25:$G$74</c:f>
              <c:numCache>
                <c:formatCode>General</c:formatCode>
                <c:ptCount val="50"/>
                <c:pt idx="0">
                  <c:v>7.6</c:v>
                </c:pt>
                <c:pt idx="1">
                  <c:v>8.1</c:v>
                </c:pt>
                <c:pt idx="2">
                  <c:v>8.4</c:v>
                </c:pt>
                <c:pt idx="3">
                  <c:v>8.6999999999999993</c:v>
                </c:pt>
                <c:pt idx="4">
                  <c:v>9.1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9.6</c:v>
                </c:pt>
                <c:pt idx="9">
                  <c:v>10</c:v>
                </c:pt>
                <c:pt idx="10">
                  <c:v>10</c:v>
                </c:pt>
                <c:pt idx="11">
                  <c:v>10.199999999999999</c:v>
                </c:pt>
                <c:pt idx="12">
                  <c:v>10.4</c:v>
                </c:pt>
                <c:pt idx="13">
                  <c:v>10.6</c:v>
                </c:pt>
                <c:pt idx="14">
                  <c:v>10.8</c:v>
                </c:pt>
                <c:pt idx="15">
                  <c:v>11.3</c:v>
                </c:pt>
                <c:pt idx="16">
                  <c:v>11.3</c:v>
                </c:pt>
                <c:pt idx="17">
                  <c:v>11.3</c:v>
                </c:pt>
                <c:pt idx="18">
                  <c:v>11.4</c:v>
                </c:pt>
                <c:pt idx="19">
                  <c:v>11.5</c:v>
                </c:pt>
                <c:pt idx="20">
                  <c:v>11.7</c:v>
                </c:pt>
                <c:pt idx="21">
                  <c:v>12</c:v>
                </c:pt>
                <c:pt idx="22">
                  <c:v>12.1</c:v>
                </c:pt>
                <c:pt idx="23">
                  <c:v>12.2</c:v>
                </c:pt>
                <c:pt idx="24">
                  <c:v>12.3</c:v>
                </c:pt>
                <c:pt idx="25">
                  <c:v>12.5</c:v>
                </c:pt>
                <c:pt idx="26">
                  <c:v>12.6</c:v>
                </c:pt>
                <c:pt idx="27">
                  <c:v>13.1</c:v>
                </c:pt>
                <c:pt idx="28">
                  <c:v>13.2</c:v>
                </c:pt>
                <c:pt idx="29">
                  <c:v>13.3</c:v>
                </c:pt>
                <c:pt idx="30">
                  <c:v>13.4</c:v>
                </c:pt>
                <c:pt idx="31">
                  <c:v>13.4</c:v>
                </c:pt>
                <c:pt idx="32">
                  <c:v>13.6</c:v>
                </c:pt>
                <c:pt idx="33">
                  <c:v>13.6</c:v>
                </c:pt>
                <c:pt idx="34">
                  <c:v>14.4</c:v>
                </c:pt>
                <c:pt idx="35">
                  <c:v>14.6</c:v>
                </c:pt>
                <c:pt idx="36">
                  <c:v>14.7</c:v>
                </c:pt>
                <c:pt idx="37">
                  <c:v>14.7</c:v>
                </c:pt>
                <c:pt idx="38">
                  <c:v>14.8</c:v>
                </c:pt>
                <c:pt idx="39">
                  <c:v>15.5</c:v>
                </c:pt>
                <c:pt idx="40">
                  <c:v>15.7</c:v>
                </c:pt>
                <c:pt idx="41">
                  <c:v>15.7</c:v>
                </c:pt>
                <c:pt idx="42">
                  <c:v>15.8</c:v>
                </c:pt>
                <c:pt idx="43">
                  <c:v>15.9</c:v>
                </c:pt>
                <c:pt idx="44">
                  <c:v>17</c:v>
                </c:pt>
                <c:pt idx="45">
                  <c:v>17.100000000000001</c:v>
                </c:pt>
                <c:pt idx="46">
                  <c:v>17.3</c:v>
                </c:pt>
                <c:pt idx="47">
                  <c:v>17.3</c:v>
                </c:pt>
                <c:pt idx="48">
                  <c:v>17.3</c:v>
                </c:pt>
                <c:pt idx="49">
                  <c:v>21.2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360480"/>
        <c:axId val="551355776"/>
      </c:scatterChart>
      <c:valAx>
        <c:axId val="55136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55776"/>
        <c:crosses val="autoZero"/>
        <c:crossBetween val="midCat"/>
      </c:valAx>
      <c:valAx>
        <c:axId val="551355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60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Color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5C'!$C$26:$C$36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357736"/>
        <c:axId val="551356952"/>
      </c:scatterChart>
      <c:valAx>
        <c:axId val="551357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56952"/>
        <c:crosses val="autoZero"/>
        <c:crossBetween val="midCat"/>
      </c:valAx>
      <c:valAx>
        <c:axId val="551356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357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Quality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5C'!$C$26:$C$36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78552"/>
        <c:axId val="636587568"/>
      </c:scatterChart>
      <c:valAx>
        <c:axId val="636578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7568"/>
        <c:crosses val="autoZero"/>
        <c:crossBetween val="midCat"/>
      </c:valAx>
      <c:valAx>
        <c:axId val="636587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8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Color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  <c:smooth val="0"/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5C'!$B$26:$B$36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2472"/>
        <c:axId val="636580512"/>
      </c:scatterChart>
      <c:valAx>
        <c:axId val="636582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0512"/>
        <c:crosses val="autoZero"/>
        <c:crossBetween val="midCat"/>
      </c:valAx>
      <c:valAx>
        <c:axId val="636580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2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Quality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  <c:smooth val="0"/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5C'!$B$26:$B$36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6784"/>
        <c:axId val="636585608"/>
      </c:scatterChart>
      <c:valAx>
        <c:axId val="63658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5608"/>
        <c:crosses val="autoZero"/>
        <c:crossBetween val="midCat"/>
      </c:valAx>
      <c:valAx>
        <c:axId val="636585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6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5C'!$F$26:$F$36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22.72727272727273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59.090909090909093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'Mult Reg 5C'!$G$26:$G$36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76984"/>
        <c:axId val="636586392"/>
      </c:scatterChart>
      <c:valAx>
        <c:axId val="636576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6392"/>
        <c:crosses val="autoZero"/>
        <c:crossBetween val="midCat"/>
      </c:valAx>
      <c:valAx>
        <c:axId val="636586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6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6'!$J$26:$J$36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22.727272727272727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59.090909090909101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'Mult Reg 6'!$K$26:$K$36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6000"/>
        <c:axId val="636587960"/>
      </c:scatterChart>
      <c:valAx>
        <c:axId val="63658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7960"/>
        <c:crosses val="autoZero"/>
        <c:crossBetween val="midCat"/>
      </c:valAx>
      <c:valAx>
        <c:axId val="636587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6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Color Residuals</a:t>
            </a:r>
          </a:p>
        </c:rich>
      </c:tx>
      <c:layout>
        <c:manualLayout>
          <c:xMode val="edge"/>
          <c:yMode val="edge"/>
          <c:x val="0.39397922134733154"/>
          <c:y val="3.7037037037037035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'Mult Reg 6'!$G$41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6'!$F$42:$F$52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6'!$G$42:$G$52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2080"/>
        <c:axId val="636587176"/>
      </c:scatterChart>
      <c:valAx>
        <c:axId val="63658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7176"/>
        <c:crosses val="autoZero"/>
        <c:crossBetween val="midCat"/>
      </c:valAx>
      <c:valAx>
        <c:axId val="636587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2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Quality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 Reg 6'!$I$42:$I$52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6'!$J$42:$J$52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5216"/>
        <c:axId val="636581296"/>
      </c:scatterChart>
      <c:valAx>
        <c:axId val="63658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1296"/>
        <c:crosses val="autoZero"/>
        <c:crossBetween val="midCat"/>
      </c:valAx>
      <c:valAx>
        <c:axId val="636581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5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'Mult Reg 6'!$AD$30:$AD$40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xVal>
          <c:yVal>
            <c:numRef>
              <c:f>'Mult Reg 6'!$AE$30:$AE$40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75808"/>
        <c:axId val="636583256"/>
      </c:scatterChart>
      <c:valAx>
        <c:axId val="636575808"/>
        <c:scaling>
          <c:orientation val="minMax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3256"/>
        <c:crosses val="autoZero"/>
        <c:crossBetween val="midCat"/>
      </c:valAx>
      <c:valAx>
        <c:axId val="636583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5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Revised 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'Mult Reg 6'!$AP$30:$AP$40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xVal>
          <c:yVal>
            <c:numRef>
              <c:f>'Mult Reg 6'!$AQ$30:$AQ$40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3648"/>
        <c:axId val="636584040"/>
      </c:scatterChart>
      <c:valAx>
        <c:axId val="63658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Standard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4040"/>
        <c:crosses val="autoZero"/>
        <c:crossBetween val="midCat"/>
      </c:valAx>
      <c:valAx>
        <c:axId val="636584040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3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Color Line Fit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'Mult Reg 6'!$G$57</c:f>
              <c:strCache>
                <c:ptCount val="1"/>
                <c:pt idx="0">
                  <c:v>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6'!$F$58:$F$68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6'!$G$58:$G$68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'Mult Reg 6'!$H$57</c:f>
              <c:strCache>
                <c:ptCount val="1"/>
                <c:pt idx="0">
                  <c:v>Pred 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6'!$F$58:$F$68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6'!$H$58:$H$68</c:f>
              <c:numCache>
                <c:formatCode>General</c:formatCode>
                <c:ptCount val="11"/>
                <c:pt idx="0">
                  <c:v>54.810499624828537</c:v>
                </c:pt>
                <c:pt idx="1">
                  <c:v>42.746177132655433</c:v>
                </c:pt>
                <c:pt idx="2">
                  <c:v>56.295169344614322</c:v>
                </c:pt>
                <c:pt idx="3">
                  <c:v>44.672126057595207</c:v>
                </c:pt>
                <c:pt idx="4">
                  <c:v>57.08424538797891</c:v>
                </c:pt>
                <c:pt idx="5">
                  <c:v>41.261507412869634</c:v>
                </c:pt>
                <c:pt idx="6">
                  <c:v>21.332557116613586</c:v>
                </c:pt>
                <c:pt idx="7">
                  <c:v>34.092473285207895</c:v>
                </c:pt>
                <c:pt idx="8">
                  <c:v>67.222618955212241</c:v>
                </c:pt>
                <c:pt idx="9">
                  <c:v>46.156795777380999</c:v>
                </c:pt>
                <c:pt idx="10">
                  <c:v>53.325829905042738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78160"/>
        <c:axId val="636579336"/>
      </c:scatterChart>
      <c:valAx>
        <c:axId val="63657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9336"/>
        <c:crosses val="autoZero"/>
        <c:crossBetween val="midCat"/>
      </c:valAx>
      <c:valAx>
        <c:axId val="636579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8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Quality Line Fit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'Mult Reg 6'!$K$57</c:f>
              <c:strCache>
                <c:ptCount val="1"/>
                <c:pt idx="0">
                  <c:v>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6'!$J$58:$J$68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6'!$K$58:$K$68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'Mult Reg 6'!$L$57</c:f>
              <c:strCache>
                <c:ptCount val="1"/>
                <c:pt idx="0">
                  <c:v>Pred 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6'!$J$58:$J$68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6'!$L$58:$L$68</c:f>
              <c:numCache>
                <c:formatCode>General</c:formatCode>
                <c:ptCount val="11"/>
                <c:pt idx="0">
                  <c:v>54.810499624828537</c:v>
                </c:pt>
                <c:pt idx="1">
                  <c:v>42.746177132655433</c:v>
                </c:pt>
                <c:pt idx="2">
                  <c:v>56.295169344614322</c:v>
                </c:pt>
                <c:pt idx="3">
                  <c:v>44.672126057595207</c:v>
                </c:pt>
                <c:pt idx="4">
                  <c:v>57.08424538797891</c:v>
                </c:pt>
                <c:pt idx="5">
                  <c:v>41.261507412869634</c:v>
                </c:pt>
                <c:pt idx="6">
                  <c:v>21.332557116613586</c:v>
                </c:pt>
                <c:pt idx="7">
                  <c:v>34.092473285207895</c:v>
                </c:pt>
                <c:pt idx="8">
                  <c:v>67.222618955212241</c:v>
                </c:pt>
                <c:pt idx="9">
                  <c:v>46.156795777380999</c:v>
                </c:pt>
                <c:pt idx="10">
                  <c:v>53.325829905042738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79728"/>
        <c:axId val="636580904"/>
      </c:scatterChart>
      <c:valAx>
        <c:axId val="63657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0904"/>
        <c:crosses val="autoZero"/>
        <c:crossBetween val="midCat"/>
      </c:valAx>
      <c:valAx>
        <c:axId val="636580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9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Internet use</a:t>
            </a:r>
            <a:r>
              <a:rPr lang="en-US" baseline="0"/>
              <a:t> </a:t>
            </a:r>
            <a:r>
              <a:rPr lang="en-US"/>
              <a:t>per month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'Poly Reg'!$K$2</c:f>
              <c:strCache>
                <c:ptCount val="1"/>
                <c:pt idx="0">
                  <c:v>Use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poly"/>
            <c:order val="2"/>
            <c:dispRSqr val="0"/>
            <c:dispEq val="0"/>
          </c:trendline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Reg'!$K$3:$K$32</c:f>
              <c:numCache>
                <c:formatCode>General</c:formatCode>
                <c:ptCount val="30"/>
                <c:pt idx="0">
                  <c:v>7</c:v>
                </c:pt>
                <c:pt idx="1">
                  <c:v>11</c:v>
                </c:pt>
                <c:pt idx="2">
                  <c:v>23</c:v>
                </c:pt>
                <c:pt idx="3">
                  <c:v>59</c:v>
                </c:pt>
                <c:pt idx="4">
                  <c:v>120</c:v>
                </c:pt>
                <c:pt idx="5">
                  <c:v>180</c:v>
                </c:pt>
                <c:pt idx="6">
                  <c:v>3</c:v>
                </c:pt>
                <c:pt idx="7">
                  <c:v>8</c:v>
                </c:pt>
                <c:pt idx="8">
                  <c:v>20</c:v>
                </c:pt>
                <c:pt idx="9">
                  <c:v>48</c:v>
                </c:pt>
                <c:pt idx="10">
                  <c:v>88</c:v>
                </c:pt>
                <c:pt idx="11">
                  <c:v>140</c:v>
                </c:pt>
                <c:pt idx="12">
                  <c:v>4</c:v>
                </c:pt>
                <c:pt idx="13">
                  <c:v>11</c:v>
                </c:pt>
                <c:pt idx="14">
                  <c:v>21</c:v>
                </c:pt>
                <c:pt idx="15">
                  <c:v>58</c:v>
                </c:pt>
                <c:pt idx="16">
                  <c:v>128</c:v>
                </c:pt>
                <c:pt idx="17">
                  <c:v>195</c:v>
                </c:pt>
                <c:pt idx="18">
                  <c:v>5</c:v>
                </c:pt>
                <c:pt idx="19">
                  <c:v>9</c:v>
                </c:pt>
                <c:pt idx="20">
                  <c:v>16</c:v>
                </c:pt>
                <c:pt idx="21">
                  <c:v>45</c:v>
                </c:pt>
                <c:pt idx="22">
                  <c:v>111</c:v>
                </c:pt>
                <c:pt idx="23">
                  <c:v>156</c:v>
                </c:pt>
                <c:pt idx="24">
                  <c:v>2</c:v>
                </c:pt>
                <c:pt idx="25">
                  <c:v>5</c:v>
                </c:pt>
                <c:pt idx="26">
                  <c:v>12</c:v>
                </c:pt>
                <c:pt idx="27">
                  <c:v>38</c:v>
                </c:pt>
                <c:pt idx="28">
                  <c:v>78</c:v>
                </c:pt>
                <c:pt idx="29">
                  <c:v>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8744"/>
        <c:axId val="636589136"/>
      </c:scatterChart>
      <c:valAx>
        <c:axId val="636588744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9136"/>
        <c:crosses val="autoZero"/>
        <c:crossBetween val="midCat"/>
        <c:majorUnit val="1"/>
      </c:valAx>
      <c:valAx>
        <c:axId val="636589136"/>
        <c:scaling>
          <c:orientation val="minMax"/>
          <c:max val="2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Hours of use per 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8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Month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 1'!$C$26:$C$55</c:f>
              <c:numCache>
                <c:formatCode>General</c:formatCode>
                <c:ptCount val="30"/>
                <c:pt idx="0">
                  <c:v>1.5714285714285303</c:v>
                </c:pt>
                <c:pt idx="1">
                  <c:v>5.9485714285714124</c:v>
                </c:pt>
                <c:pt idx="2">
                  <c:v>2.21142857142857</c:v>
                </c:pt>
                <c:pt idx="3">
                  <c:v>6.3600000000000136</c:v>
                </c:pt>
                <c:pt idx="4">
                  <c:v>19.394285714285743</c:v>
                </c:pt>
                <c:pt idx="5">
                  <c:v>15.314285714285717</c:v>
                </c:pt>
                <c:pt idx="6">
                  <c:v>-2.4285714285714697</c:v>
                </c:pt>
                <c:pt idx="7">
                  <c:v>2.9485714285714124</c:v>
                </c:pt>
                <c:pt idx="8">
                  <c:v>-0.78857142857143003</c:v>
                </c:pt>
                <c:pt idx="9">
                  <c:v>-4.6399999999999864</c:v>
                </c:pt>
                <c:pt idx="10">
                  <c:v>-12.605714285714257</c:v>
                </c:pt>
                <c:pt idx="11">
                  <c:v>-24.685714285714283</c:v>
                </c:pt>
                <c:pt idx="12">
                  <c:v>-1.4285714285714697</c:v>
                </c:pt>
                <c:pt idx="13">
                  <c:v>5.9485714285714124</c:v>
                </c:pt>
                <c:pt idx="14">
                  <c:v>0.21142857142856997</c:v>
                </c:pt>
                <c:pt idx="15">
                  <c:v>5.3600000000000136</c:v>
                </c:pt>
                <c:pt idx="16">
                  <c:v>27.394285714285743</c:v>
                </c:pt>
                <c:pt idx="17">
                  <c:v>30.314285714285717</c:v>
                </c:pt>
                <c:pt idx="18">
                  <c:v>-0.42857142857146968</c:v>
                </c:pt>
                <c:pt idx="19">
                  <c:v>3.9485714285714124</c:v>
                </c:pt>
                <c:pt idx="20">
                  <c:v>-4.78857142857143</c:v>
                </c:pt>
                <c:pt idx="21">
                  <c:v>-7.6399999999999864</c:v>
                </c:pt>
                <c:pt idx="22">
                  <c:v>10.394285714285743</c:v>
                </c:pt>
                <c:pt idx="23">
                  <c:v>-8.6857142857142833</c:v>
                </c:pt>
                <c:pt idx="24">
                  <c:v>-3.4285714285714697</c:v>
                </c:pt>
                <c:pt idx="25">
                  <c:v>-5.1428571428587588E-2</c:v>
                </c:pt>
                <c:pt idx="26">
                  <c:v>-8.78857142857143</c:v>
                </c:pt>
                <c:pt idx="27">
                  <c:v>-14.639999999999986</c:v>
                </c:pt>
                <c:pt idx="28">
                  <c:v>-22.605714285714257</c:v>
                </c:pt>
                <c:pt idx="29">
                  <c:v>-19.685714285714283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89528"/>
        <c:axId val="636590704"/>
      </c:scatterChart>
      <c:valAx>
        <c:axId val="636589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90704"/>
        <c:crosses val="autoZero"/>
        <c:crossBetween val="midCat"/>
      </c:valAx>
      <c:valAx>
        <c:axId val="636590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9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MonSq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'Poly Reg'!$J$3:$J$32</c:f>
              <c:numCache>
                <c:formatCode>General</c:formatCode>
                <c:ptCount val="30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16</c:v>
                </c:pt>
                <c:pt idx="10">
                  <c:v>25</c:v>
                </c:pt>
                <c:pt idx="11">
                  <c:v>36</c:v>
                </c:pt>
                <c:pt idx="12">
                  <c:v>1</c:v>
                </c:pt>
                <c:pt idx="13">
                  <c:v>4</c:v>
                </c:pt>
                <c:pt idx="14">
                  <c:v>9</c:v>
                </c:pt>
                <c:pt idx="15">
                  <c:v>16</c:v>
                </c:pt>
                <c:pt idx="16">
                  <c:v>25</c:v>
                </c:pt>
                <c:pt idx="17">
                  <c:v>36</c:v>
                </c:pt>
                <c:pt idx="18">
                  <c:v>1</c:v>
                </c:pt>
                <c:pt idx="19">
                  <c:v>4</c:v>
                </c:pt>
                <c:pt idx="20">
                  <c:v>9</c:v>
                </c:pt>
                <c:pt idx="21">
                  <c:v>16</c:v>
                </c:pt>
                <c:pt idx="22">
                  <c:v>25</c:v>
                </c:pt>
                <c:pt idx="23">
                  <c:v>36</c:v>
                </c:pt>
                <c:pt idx="24">
                  <c:v>1</c:v>
                </c:pt>
                <c:pt idx="25">
                  <c:v>4</c:v>
                </c:pt>
                <c:pt idx="26">
                  <c:v>9</c:v>
                </c:pt>
                <c:pt idx="27">
                  <c:v>16</c:v>
                </c:pt>
                <c:pt idx="28">
                  <c:v>25</c:v>
                </c:pt>
                <c:pt idx="29">
                  <c:v>36</c:v>
                </c:pt>
              </c:numCache>
            </c:numRef>
          </c:xVal>
          <c:yVal>
            <c:numRef>
              <c:f>'Poly Reg 1'!$C$26:$C$55</c:f>
              <c:numCache>
                <c:formatCode>General</c:formatCode>
                <c:ptCount val="30"/>
                <c:pt idx="0">
                  <c:v>1.5714285714285303</c:v>
                </c:pt>
                <c:pt idx="1">
                  <c:v>5.9485714285714124</c:v>
                </c:pt>
                <c:pt idx="2">
                  <c:v>2.21142857142857</c:v>
                </c:pt>
                <c:pt idx="3">
                  <c:v>6.3600000000000136</c:v>
                </c:pt>
                <c:pt idx="4">
                  <c:v>19.394285714285743</c:v>
                </c:pt>
                <c:pt idx="5">
                  <c:v>15.314285714285717</c:v>
                </c:pt>
                <c:pt idx="6">
                  <c:v>-2.4285714285714697</c:v>
                </c:pt>
                <c:pt idx="7">
                  <c:v>2.9485714285714124</c:v>
                </c:pt>
                <c:pt idx="8">
                  <c:v>-0.78857142857143003</c:v>
                </c:pt>
                <c:pt idx="9">
                  <c:v>-4.6399999999999864</c:v>
                </c:pt>
                <c:pt idx="10">
                  <c:v>-12.605714285714257</c:v>
                </c:pt>
                <c:pt idx="11">
                  <c:v>-24.685714285714283</c:v>
                </c:pt>
                <c:pt idx="12">
                  <c:v>-1.4285714285714697</c:v>
                </c:pt>
                <c:pt idx="13">
                  <c:v>5.9485714285714124</c:v>
                </c:pt>
                <c:pt idx="14">
                  <c:v>0.21142857142856997</c:v>
                </c:pt>
                <c:pt idx="15">
                  <c:v>5.3600000000000136</c:v>
                </c:pt>
                <c:pt idx="16">
                  <c:v>27.394285714285743</c:v>
                </c:pt>
                <c:pt idx="17">
                  <c:v>30.314285714285717</c:v>
                </c:pt>
                <c:pt idx="18">
                  <c:v>-0.42857142857146968</c:v>
                </c:pt>
                <c:pt idx="19">
                  <c:v>3.9485714285714124</c:v>
                </c:pt>
                <c:pt idx="20">
                  <c:v>-4.78857142857143</c:v>
                </c:pt>
                <c:pt idx="21">
                  <c:v>-7.6399999999999864</c:v>
                </c:pt>
                <c:pt idx="22">
                  <c:v>10.394285714285743</c:v>
                </c:pt>
                <c:pt idx="23">
                  <c:v>-8.6857142857142833</c:v>
                </c:pt>
                <c:pt idx="24">
                  <c:v>-3.4285714285714697</c:v>
                </c:pt>
                <c:pt idx="25">
                  <c:v>-5.1428571428587588E-2</c:v>
                </c:pt>
                <c:pt idx="26">
                  <c:v>-8.78857142857143</c:v>
                </c:pt>
                <c:pt idx="27">
                  <c:v>-14.639999999999986</c:v>
                </c:pt>
                <c:pt idx="28">
                  <c:v>-22.605714285714257</c:v>
                </c:pt>
                <c:pt idx="29">
                  <c:v>-19.685714285714283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91488"/>
        <c:axId val="636588352"/>
      </c:scatterChart>
      <c:valAx>
        <c:axId val="63659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MonSq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8352"/>
        <c:crosses val="autoZero"/>
        <c:crossBetween val="midCat"/>
      </c:valAx>
      <c:valAx>
        <c:axId val="636588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91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Month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Hours</c:v>
          </c:tx>
          <c:spPr>
            <a:ln w="28575">
              <a:noFill/>
            </a:ln>
          </c:spPr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Reg'!$K$3:$K$32</c:f>
              <c:numCache>
                <c:formatCode>General</c:formatCode>
                <c:ptCount val="30"/>
                <c:pt idx="0">
                  <c:v>7</c:v>
                </c:pt>
                <c:pt idx="1">
                  <c:v>11</c:v>
                </c:pt>
                <c:pt idx="2">
                  <c:v>23</c:v>
                </c:pt>
                <c:pt idx="3">
                  <c:v>59</c:v>
                </c:pt>
                <c:pt idx="4">
                  <c:v>120</c:v>
                </c:pt>
                <c:pt idx="5">
                  <c:v>180</c:v>
                </c:pt>
                <c:pt idx="6">
                  <c:v>3</c:v>
                </c:pt>
                <c:pt idx="7">
                  <c:v>8</c:v>
                </c:pt>
                <c:pt idx="8">
                  <c:v>20</c:v>
                </c:pt>
                <c:pt idx="9">
                  <c:v>48</c:v>
                </c:pt>
                <c:pt idx="10">
                  <c:v>88</c:v>
                </c:pt>
                <c:pt idx="11">
                  <c:v>140</c:v>
                </c:pt>
                <c:pt idx="12">
                  <c:v>4</c:v>
                </c:pt>
                <c:pt idx="13">
                  <c:v>11</c:v>
                </c:pt>
                <c:pt idx="14">
                  <c:v>21</c:v>
                </c:pt>
                <c:pt idx="15">
                  <c:v>58</c:v>
                </c:pt>
                <c:pt idx="16">
                  <c:v>128</c:v>
                </c:pt>
                <c:pt idx="17">
                  <c:v>195</c:v>
                </c:pt>
                <c:pt idx="18">
                  <c:v>5</c:v>
                </c:pt>
                <c:pt idx="19">
                  <c:v>9</c:v>
                </c:pt>
                <c:pt idx="20">
                  <c:v>16</c:v>
                </c:pt>
                <c:pt idx="21">
                  <c:v>45</c:v>
                </c:pt>
                <c:pt idx="22">
                  <c:v>111</c:v>
                </c:pt>
                <c:pt idx="23">
                  <c:v>156</c:v>
                </c:pt>
                <c:pt idx="24">
                  <c:v>2</c:v>
                </c:pt>
                <c:pt idx="25">
                  <c:v>5</c:v>
                </c:pt>
                <c:pt idx="26">
                  <c:v>12</c:v>
                </c:pt>
                <c:pt idx="27">
                  <c:v>38</c:v>
                </c:pt>
                <c:pt idx="28">
                  <c:v>78</c:v>
                </c:pt>
                <c:pt idx="29">
                  <c:v>145</c:v>
                </c:pt>
              </c:numCache>
            </c:numRef>
          </c:yVal>
          <c:smooth val="0"/>
        </c:ser>
        <c:ser>
          <c:idx val="1"/>
          <c:order val="1"/>
          <c:tx>
            <c:v>Predicted Hours</c:v>
          </c:tx>
          <c:spPr>
            <a:ln w="28575">
              <a:noFill/>
            </a:ln>
          </c:spPr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 1'!$B$26:$B$55</c:f>
              <c:numCache>
                <c:formatCode>General</c:formatCode>
                <c:ptCount val="30"/>
                <c:pt idx="0">
                  <c:v>5.4285714285714697</c:v>
                </c:pt>
                <c:pt idx="1">
                  <c:v>5.0514285714285876</c:v>
                </c:pt>
                <c:pt idx="2">
                  <c:v>20.78857142857143</c:v>
                </c:pt>
                <c:pt idx="3">
                  <c:v>52.639999999999986</c:v>
                </c:pt>
                <c:pt idx="4">
                  <c:v>100.60571428571426</c:v>
                </c:pt>
                <c:pt idx="5">
                  <c:v>164.68571428571428</c:v>
                </c:pt>
                <c:pt idx="6">
                  <c:v>5.4285714285714697</c:v>
                </c:pt>
                <c:pt idx="7">
                  <c:v>5.0514285714285876</c:v>
                </c:pt>
                <c:pt idx="8">
                  <c:v>20.78857142857143</c:v>
                </c:pt>
                <c:pt idx="9">
                  <c:v>52.639999999999986</c:v>
                </c:pt>
                <c:pt idx="10">
                  <c:v>100.60571428571426</c:v>
                </c:pt>
                <c:pt idx="11">
                  <c:v>164.68571428571428</c:v>
                </c:pt>
                <c:pt idx="12">
                  <c:v>5.4285714285714697</c:v>
                </c:pt>
                <c:pt idx="13">
                  <c:v>5.0514285714285876</c:v>
                </c:pt>
                <c:pt idx="14">
                  <c:v>20.78857142857143</c:v>
                </c:pt>
                <c:pt idx="15">
                  <c:v>52.639999999999986</c:v>
                </c:pt>
                <c:pt idx="16">
                  <c:v>100.60571428571426</c:v>
                </c:pt>
                <c:pt idx="17">
                  <c:v>164.68571428571428</c:v>
                </c:pt>
                <c:pt idx="18">
                  <c:v>5.4285714285714697</c:v>
                </c:pt>
                <c:pt idx="19">
                  <c:v>5.0514285714285876</c:v>
                </c:pt>
                <c:pt idx="20">
                  <c:v>20.78857142857143</c:v>
                </c:pt>
                <c:pt idx="21">
                  <c:v>52.639999999999986</c:v>
                </c:pt>
                <c:pt idx="22">
                  <c:v>100.60571428571426</c:v>
                </c:pt>
                <c:pt idx="23">
                  <c:v>164.68571428571428</c:v>
                </c:pt>
                <c:pt idx="24">
                  <c:v>5.4285714285714697</c:v>
                </c:pt>
                <c:pt idx="25">
                  <c:v>5.0514285714285876</c:v>
                </c:pt>
                <c:pt idx="26">
                  <c:v>20.78857142857143</c:v>
                </c:pt>
                <c:pt idx="27">
                  <c:v>52.639999999999986</c:v>
                </c:pt>
                <c:pt idx="28">
                  <c:v>100.60571428571426</c:v>
                </c:pt>
                <c:pt idx="29">
                  <c:v>164.68571428571428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4088"/>
        <c:axId val="495118400"/>
      </c:scatterChart>
      <c:valAx>
        <c:axId val="495114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8400"/>
        <c:crosses val="autoZero"/>
        <c:crossBetween val="midCat"/>
      </c:valAx>
      <c:valAx>
        <c:axId val="495118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Hours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4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MonSq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Hours</c:v>
          </c:tx>
          <c:spPr>
            <a:ln w="28575">
              <a:noFill/>
            </a:ln>
          </c:spPr>
          <c:xVal>
            <c:numRef>
              <c:f>'Poly Reg'!$J$3:$J$32</c:f>
              <c:numCache>
                <c:formatCode>General</c:formatCode>
                <c:ptCount val="30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16</c:v>
                </c:pt>
                <c:pt idx="10">
                  <c:v>25</c:v>
                </c:pt>
                <c:pt idx="11">
                  <c:v>36</c:v>
                </c:pt>
                <c:pt idx="12">
                  <c:v>1</c:v>
                </c:pt>
                <c:pt idx="13">
                  <c:v>4</c:v>
                </c:pt>
                <c:pt idx="14">
                  <c:v>9</c:v>
                </c:pt>
                <c:pt idx="15">
                  <c:v>16</c:v>
                </c:pt>
                <c:pt idx="16">
                  <c:v>25</c:v>
                </c:pt>
                <c:pt idx="17">
                  <c:v>36</c:v>
                </c:pt>
                <c:pt idx="18">
                  <c:v>1</c:v>
                </c:pt>
                <c:pt idx="19">
                  <c:v>4</c:v>
                </c:pt>
                <c:pt idx="20">
                  <c:v>9</c:v>
                </c:pt>
                <c:pt idx="21">
                  <c:v>16</c:v>
                </c:pt>
                <c:pt idx="22">
                  <c:v>25</c:v>
                </c:pt>
                <c:pt idx="23">
                  <c:v>36</c:v>
                </c:pt>
                <c:pt idx="24">
                  <c:v>1</c:v>
                </c:pt>
                <c:pt idx="25">
                  <c:v>4</c:v>
                </c:pt>
                <c:pt idx="26">
                  <c:v>9</c:v>
                </c:pt>
                <c:pt idx="27">
                  <c:v>16</c:v>
                </c:pt>
                <c:pt idx="28">
                  <c:v>25</c:v>
                </c:pt>
                <c:pt idx="29">
                  <c:v>36</c:v>
                </c:pt>
              </c:numCache>
            </c:numRef>
          </c:xVal>
          <c:yVal>
            <c:numRef>
              <c:f>'Poly Reg'!$K$3:$K$32</c:f>
              <c:numCache>
                <c:formatCode>General</c:formatCode>
                <c:ptCount val="30"/>
                <c:pt idx="0">
                  <c:v>7</c:v>
                </c:pt>
                <c:pt idx="1">
                  <c:v>11</c:v>
                </c:pt>
                <c:pt idx="2">
                  <c:v>23</c:v>
                </c:pt>
                <c:pt idx="3">
                  <c:v>59</c:v>
                </c:pt>
                <c:pt idx="4">
                  <c:v>120</c:v>
                </c:pt>
                <c:pt idx="5">
                  <c:v>180</c:v>
                </c:pt>
                <c:pt idx="6">
                  <c:v>3</c:v>
                </c:pt>
                <c:pt idx="7">
                  <c:v>8</c:v>
                </c:pt>
                <c:pt idx="8">
                  <c:v>20</c:v>
                </c:pt>
                <c:pt idx="9">
                  <c:v>48</c:v>
                </c:pt>
                <c:pt idx="10">
                  <c:v>88</c:v>
                </c:pt>
                <c:pt idx="11">
                  <c:v>140</c:v>
                </c:pt>
                <c:pt idx="12">
                  <c:v>4</c:v>
                </c:pt>
                <c:pt idx="13">
                  <c:v>11</c:v>
                </c:pt>
                <c:pt idx="14">
                  <c:v>21</c:v>
                </c:pt>
                <c:pt idx="15">
                  <c:v>58</c:v>
                </c:pt>
                <c:pt idx="16">
                  <c:v>128</c:v>
                </c:pt>
                <c:pt idx="17">
                  <c:v>195</c:v>
                </c:pt>
                <c:pt idx="18">
                  <c:v>5</c:v>
                </c:pt>
                <c:pt idx="19">
                  <c:v>9</c:v>
                </c:pt>
                <c:pt idx="20">
                  <c:v>16</c:v>
                </c:pt>
                <c:pt idx="21">
                  <c:v>45</c:v>
                </c:pt>
                <c:pt idx="22">
                  <c:v>111</c:v>
                </c:pt>
                <c:pt idx="23">
                  <c:v>156</c:v>
                </c:pt>
                <c:pt idx="24">
                  <c:v>2</c:v>
                </c:pt>
                <c:pt idx="25">
                  <c:v>5</c:v>
                </c:pt>
                <c:pt idx="26">
                  <c:v>12</c:v>
                </c:pt>
                <c:pt idx="27">
                  <c:v>38</c:v>
                </c:pt>
                <c:pt idx="28">
                  <c:v>78</c:v>
                </c:pt>
                <c:pt idx="29">
                  <c:v>145</c:v>
                </c:pt>
              </c:numCache>
            </c:numRef>
          </c:yVal>
          <c:smooth val="0"/>
        </c:ser>
        <c:ser>
          <c:idx val="1"/>
          <c:order val="1"/>
          <c:tx>
            <c:v>Predicted Hours</c:v>
          </c:tx>
          <c:spPr>
            <a:ln w="28575">
              <a:noFill/>
            </a:ln>
          </c:spPr>
          <c:xVal>
            <c:numRef>
              <c:f>'Poly Reg'!$J$3:$J$32</c:f>
              <c:numCache>
                <c:formatCode>General</c:formatCode>
                <c:ptCount val="30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16</c:v>
                </c:pt>
                <c:pt idx="10">
                  <c:v>25</c:v>
                </c:pt>
                <c:pt idx="11">
                  <c:v>36</c:v>
                </c:pt>
                <c:pt idx="12">
                  <c:v>1</c:v>
                </c:pt>
                <c:pt idx="13">
                  <c:v>4</c:v>
                </c:pt>
                <c:pt idx="14">
                  <c:v>9</c:v>
                </c:pt>
                <c:pt idx="15">
                  <c:v>16</c:v>
                </c:pt>
                <c:pt idx="16">
                  <c:v>25</c:v>
                </c:pt>
                <c:pt idx="17">
                  <c:v>36</c:v>
                </c:pt>
                <c:pt idx="18">
                  <c:v>1</c:v>
                </c:pt>
                <c:pt idx="19">
                  <c:v>4</c:v>
                </c:pt>
                <c:pt idx="20">
                  <c:v>9</c:v>
                </c:pt>
                <c:pt idx="21">
                  <c:v>16</c:v>
                </c:pt>
                <c:pt idx="22">
                  <c:v>25</c:v>
                </c:pt>
                <c:pt idx="23">
                  <c:v>36</c:v>
                </c:pt>
                <c:pt idx="24">
                  <c:v>1</c:v>
                </c:pt>
                <c:pt idx="25">
                  <c:v>4</c:v>
                </c:pt>
                <c:pt idx="26">
                  <c:v>9</c:v>
                </c:pt>
                <c:pt idx="27">
                  <c:v>16</c:v>
                </c:pt>
                <c:pt idx="28">
                  <c:v>25</c:v>
                </c:pt>
                <c:pt idx="29">
                  <c:v>36</c:v>
                </c:pt>
              </c:numCache>
            </c:numRef>
          </c:xVal>
          <c:yVal>
            <c:numRef>
              <c:f>'Poly Reg 1'!$B$26:$B$55</c:f>
              <c:numCache>
                <c:formatCode>General</c:formatCode>
                <c:ptCount val="30"/>
                <c:pt idx="0">
                  <c:v>5.4285714285714697</c:v>
                </c:pt>
                <c:pt idx="1">
                  <c:v>5.0514285714285876</c:v>
                </c:pt>
                <c:pt idx="2">
                  <c:v>20.78857142857143</c:v>
                </c:pt>
                <c:pt idx="3">
                  <c:v>52.639999999999986</c:v>
                </c:pt>
                <c:pt idx="4">
                  <c:v>100.60571428571426</c:v>
                </c:pt>
                <c:pt idx="5">
                  <c:v>164.68571428571428</c:v>
                </c:pt>
                <c:pt idx="6">
                  <c:v>5.4285714285714697</c:v>
                </c:pt>
                <c:pt idx="7">
                  <c:v>5.0514285714285876</c:v>
                </c:pt>
                <c:pt idx="8">
                  <c:v>20.78857142857143</c:v>
                </c:pt>
                <c:pt idx="9">
                  <c:v>52.639999999999986</c:v>
                </c:pt>
                <c:pt idx="10">
                  <c:v>100.60571428571426</c:v>
                </c:pt>
                <c:pt idx="11">
                  <c:v>164.68571428571428</c:v>
                </c:pt>
                <c:pt idx="12">
                  <c:v>5.4285714285714697</c:v>
                </c:pt>
                <c:pt idx="13">
                  <c:v>5.0514285714285876</c:v>
                </c:pt>
                <c:pt idx="14">
                  <c:v>20.78857142857143</c:v>
                </c:pt>
                <c:pt idx="15">
                  <c:v>52.639999999999986</c:v>
                </c:pt>
                <c:pt idx="16">
                  <c:v>100.60571428571426</c:v>
                </c:pt>
                <c:pt idx="17">
                  <c:v>164.68571428571428</c:v>
                </c:pt>
                <c:pt idx="18">
                  <c:v>5.4285714285714697</c:v>
                </c:pt>
                <c:pt idx="19">
                  <c:v>5.0514285714285876</c:v>
                </c:pt>
                <c:pt idx="20">
                  <c:v>20.78857142857143</c:v>
                </c:pt>
                <c:pt idx="21">
                  <c:v>52.639999999999986</c:v>
                </c:pt>
                <c:pt idx="22">
                  <c:v>100.60571428571426</c:v>
                </c:pt>
                <c:pt idx="23">
                  <c:v>164.68571428571428</c:v>
                </c:pt>
                <c:pt idx="24">
                  <c:v>5.4285714285714697</c:v>
                </c:pt>
                <c:pt idx="25">
                  <c:v>5.0514285714285876</c:v>
                </c:pt>
                <c:pt idx="26">
                  <c:v>20.78857142857143</c:v>
                </c:pt>
                <c:pt idx="27">
                  <c:v>52.639999999999986</c:v>
                </c:pt>
                <c:pt idx="28">
                  <c:v>100.60571428571426</c:v>
                </c:pt>
                <c:pt idx="29">
                  <c:v>164.68571428571428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9968"/>
        <c:axId val="495112128"/>
      </c:scatterChart>
      <c:valAx>
        <c:axId val="49511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MonSq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2128"/>
        <c:crosses val="autoZero"/>
        <c:crossBetween val="midCat"/>
      </c:valAx>
      <c:valAx>
        <c:axId val="495112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Hours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9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'Poly Reg 1'!$F$26:$F$55</c:f>
              <c:numCache>
                <c:formatCode>General</c:formatCode>
                <c:ptCount val="30"/>
                <c:pt idx="0">
                  <c:v>1.6666666666666667</c:v>
                </c:pt>
                <c:pt idx="1">
                  <c:v>5</c:v>
                </c:pt>
                <c:pt idx="2">
                  <c:v>8.3333333333333339</c:v>
                </c:pt>
                <c:pt idx="3">
                  <c:v>11.666666666666666</c:v>
                </c:pt>
                <c:pt idx="4">
                  <c:v>15</c:v>
                </c:pt>
                <c:pt idx="5">
                  <c:v>18.333333333333336</c:v>
                </c:pt>
                <c:pt idx="6">
                  <c:v>21.666666666666668</c:v>
                </c:pt>
                <c:pt idx="7">
                  <c:v>25.000000000000004</c:v>
                </c:pt>
                <c:pt idx="8">
                  <c:v>28.333333333333336</c:v>
                </c:pt>
                <c:pt idx="9">
                  <c:v>31.666666666666668</c:v>
                </c:pt>
                <c:pt idx="10">
                  <c:v>35</c:v>
                </c:pt>
                <c:pt idx="11">
                  <c:v>38.333333333333336</c:v>
                </c:pt>
                <c:pt idx="12">
                  <c:v>41.666666666666664</c:v>
                </c:pt>
                <c:pt idx="13">
                  <c:v>45</c:v>
                </c:pt>
                <c:pt idx="14">
                  <c:v>48.333333333333336</c:v>
                </c:pt>
                <c:pt idx="15">
                  <c:v>51.666666666666664</c:v>
                </c:pt>
                <c:pt idx="16">
                  <c:v>55</c:v>
                </c:pt>
                <c:pt idx="17">
                  <c:v>58.333333333333336</c:v>
                </c:pt>
                <c:pt idx="18">
                  <c:v>61.666666666666664</c:v>
                </c:pt>
                <c:pt idx="19">
                  <c:v>65</c:v>
                </c:pt>
                <c:pt idx="20">
                  <c:v>68.333333333333343</c:v>
                </c:pt>
                <c:pt idx="21">
                  <c:v>71.666666666666671</c:v>
                </c:pt>
                <c:pt idx="22">
                  <c:v>75.000000000000014</c:v>
                </c:pt>
                <c:pt idx="23">
                  <c:v>78.333333333333343</c:v>
                </c:pt>
                <c:pt idx="24">
                  <c:v>81.666666666666671</c:v>
                </c:pt>
                <c:pt idx="25">
                  <c:v>85.000000000000014</c:v>
                </c:pt>
                <c:pt idx="26">
                  <c:v>88.333333333333343</c:v>
                </c:pt>
                <c:pt idx="27">
                  <c:v>91.666666666666671</c:v>
                </c:pt>
                <c:pt idx="28">
                  <c:v>95.000000000000014</c:v>
                </c:pt>
                <c:pt idx="29">
                  <c:v>98.333333333333343</c:v>
                </c:pt>
              </c:numCache>
            </c:numRef>
          </c:xVal>
          <c:yVal>
            <c:numRef>
              <c:f>'Poly Reg 1'!$G$26:$G$55</c:f>
              <c:numCache>
                <c:formatCode>General</c:formatCode>
                <c:ptCount val="3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38</c:v>
                </c:pt>
                <c:pt idx="16">
                  <c:v>45</c:v>
                </c:pt>
                <c:pt idx="17">
                  <c:v>48</c:v>
                </c:pt>
                <c:pt idx="18">
                  <c:v>58</c:v>
                </c:pt>
                <c:pt idx="19">
                  <c:v>59</c:v>
                </c:pt>
                <c:pt idx="20">
                  <c:v>78</c:v>
                </c:pt>
                <c:pt idx="21">
                  <c:v>88</c:v>
                </c:pt>
                <c:pt idx="22">
                  <c:v>111</c:v>
                </c:pt>
                <c:pt idx="23">
                  <c:v>120</c:v>
                </c:pt>
                <c:pt idx="24">
                  <c:v>128</c:v>
                </c:pt>
                <c:pt idx="25">
                  <c:v>140</c:v>
                </c:pt>
                <c:pt idx="26">
                  <c:v>145</c:v>
                </c:pt>
                <c:pt idx="27">
                  <c:v>156</c:v>
                </c:pt>
                <c:pt idx="28">
                  <c:v>180</c:v>
                </c:pt>
                <c:pt idx="29">
                  <c:v>195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4480"/>
        <c:axId val="495115264"/>
      </c:scatterChart>
      <c:valAx>
        <c:axId val="49511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5264"/>
        <c:crosses val="autoZero"/>
        <c:crossBetween val="midCat"/>
      </c:valAx>
      <c:valAx>
        <c:axId val="495115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Hours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4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1'!$N$32:$N$46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'Res 1'!$O$32:$O$46</c:f>
              <c:numCache>
                <c:formatCode>General</c:formatCode>
                <c:ptCount val="15"/>
                <c:pt idx="0">
                  <c:v>-2.5794191686621275</c:v>
                </c:pt>
                <c:pt idx="1">
                  <c:v>6.7281881254988463</c:v>
                </c:pt>
                <c:pt idx="2">
                  <c:v>-10.015411064038815</c:v>
                </c:pt>
                <c:pt idx="3">
                  <c:v>-2.5668017437220101</c:v>
                </c:pt>
                <c:pt idx="4">
                  <c:v>9.9589856941118597</c:v>
                </c:pt>
                <c:pt idx="5">
                  <c:v>3.3051820470313658</c:v>
                </c:pt>
                <c:pt idx="6">
                  <c:v>-10.207619573893297</c:v>
                </c:pt>
                <c:pt idx="7">
                  <c:v>9.6127893411923537</c:v>
                </c:pt>
                <c:pt idx="8">
                  <c:v>2.189783262724859</c:v>
                </c:pt>
                <c:pt idx="9">
                  <c:v>1.2153865045741838</c:v>
                </c:pt>
                <c:pt idx="10">
                  <c:v>-8.9256155215816477</c:v>
                </c:pt>
                <c:pt idx="11">
                  <c:v>8.2665929882728335</c:v>
                </c:pt>
                <c:pt idx="12">
                  <c:v>-9.502609443114153</c:v>
                </c:pt>
                <c:pt idx="13">
                  <c:v>8.7923804261067033</c:v>
                </c:pt>
                <c:pt idx="14">
                  <c:v>-6.2718118745011537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1344"/>
        <c:axId val="495110952"/>
      </c:scatterChart>
      <c:valAx>
        <c:axId val="49511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5110952"/>
        <c:crosses val="autoZero"/>
        <c:crossBetween val="midCat"/>
      </c:valAx>
      <c:valAx>
        <c:axId val="495110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5111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1'!$Q$32:$Q$46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'Res 1'!$R$32:$R$46</c:f>
              <c:numCache>
                <c:formatCode>General</c:formatCode>
                <c:ptCount val="15"/>
                <c:pt idx="0">
                  <c:v>-0.32345100811793859</c:v>
                </c:pt>
                <c:pt idx="1">
                  <c:v>0.84369351768774359</c:v>
                </c:pt>
                <c:pt idx="2">
                  <c:v>-1.2559008806076084</c:v>
                </c:pt>
                <c:pt idx="3">
                  <c:v>-0.32186882292434321</c:v>
                </c:pt>
                <c:pt idx="4">
                  <c:v>1.2488253176250446</c:v>
                </c:pt>
                <c:pt idx="5">
                  <c:v>0.41445937834140428</c:v>
                </c:pt>
                <c:pt idx="6">
                  <c:v>-1.2800032200166485</c:v>
                </c:pt>
                <c:pt idx="7">
                  <c:v>1.2054133895758909</c:v>
                </c:pt>
                <c:pt idx="8">
                  <c:v>0.27459189746795337</c:v>
                </c:pt>
                <c:pt idx="9">
                  <c:v>0.1524056248528837</c:v>
                </c:pt>
                <c:pt idx="10">
                  <c:v>-1.1192439653094886</c:v>
                </c:pt>
                <c:pt idx="11">
                  <c:v>1.0366046233363364</c:v>
                </c:pt>
                <c:pt idx="12">
                  <c:v>-1.1915971787247441</c:v>
                </c:pt>
                <c:pt idx="13">
                  <c:v>1.1025367056009348</c:v>
                </c:pt>
                <c:pt idx="14">
                  <c:v>-0.78646537878744494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1736"/>
        <c:axId val="495112520"/>
      </c:scatterChart>
      <c:valAx>
        <c:axId val="495111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5112520"/>
        <c:crosses val="autoZero"/>
        <c:crossBetween val="midCat"/>
      </c:valAx>
      <c:valAx>
        <c:axId val="49511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5111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Studentized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1'!$T$32:$T$46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'Res 1'!$U$32:$U$46</c:f>
              <c:numCache>
                <c:formatCode>General</c:formatCode>
                <c:ptCount val="15"/>
                <c:pt idx="0">
                  <c:v>-0.35336731270605498</c:v>
                </c:pt>
                <c:pt idx="1">
                  <c:v>0.87611128018264017</c:v>
                </c:pt>
                <c:pt idx="2">
                  <c:v>-1.3101560983825884</c:v>
                </c:pt>
                <c:pt idx="3">
                  <c:v>-0.43139948969891356</c:v>
                </c:pt>
                <c:pt idx="4">
                  <c:v>1.2944977248762728</c:v>
                </c:pt>
                <c:pt idx="5">
                  <c:v>0.44345901226089324</c:v>
                </c:pt>
                <c:pt idx="6">
                  <c:v>-1.4099863361999463</c:v>
                </c:pt>
                <c:pt idx="7">
                  <c:v>1.2613493026239915</c:v>
                </c:pt>
                <c:pt idx="8">
                  <c:v>0.28931010782196626</c:v>
                </c:pt>
                <c:pt idx="9">
                  <c:v>0.15776103618215834</c:v>
                </c:pt>
                <c:pt idx="10">
                  <c:v>-1.1669524669732534</c:v>
                </c:pt>
                <c:pt idx="11">
                  <c:v>1.1438539062603683</c:v>
                </c:pt>
                <c:pt idx="12">
                  <c:v>-1.2624561672637942</c:v>
                </c:pt>
                <c:pt idx="13">
                  <c:v>1.2144982651184277</c:v>
                </c:pt>
                <c:pt idx="14">
                  <c:v>-0.81668422879101499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4872"/>
        <c:axId val="495119184"/>
      </c:scatterChart>
      <c:valAx>
        <c:axId val="495114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5119184"/>
        <c:crosses val="autoZero"/>
        <c:crossBetween val="midCat"/>
      </c:valAx>
      <c:valAx>
        <c:axId val="495119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5114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'Res 1'!$O$56:$O$70</c:f>
              <c:numCache>
                <c:formatCode>General</c:formatCode>
                <c:ptCount val="15"/>
                <c:pt idx="0">
                  <c:v>-10.207619573893297</c:v>
                </c:pt>
                <c:pt idx="1">
                  <c:v>-10.015411064038815</c:v>
                </c:pt>
                <c:pt idx="2">
                  <c:v>-9.502609443114153</c:v>
                </c:pt>
                <c:pt idx="3">
                  <c:v>-8.9256155215816477</c:v>
                </c:pt>
                <c:pt idx="4">
                  <c:v>-6.2718118745011537</c:v>
                </c:pt>
                <c:pt idx="5">
                  <c:v>-2.5794191686621275</c:v>
                </c:pt>
                <c:pt idx="6">
                  <c:v>-2.5668017437220101</c:v>
                </c:pt>
                <c:pt idx="7">
                  <c:v>1.2153865045741838</c:v>
                </c:pt>
                <c:pt idx="8">
                  <c:v>2.189783262724859</c:v>
                </c:pt>
                <c:pt idx="9">
                  <c:v>3.3051820470313658</c:v>
                </c:pt>
                <c:pt idx="10">
                  <c:v>6.7281881254988463</c:v>
                </c:pt>
                <c:pt idx="11">
                  <c:v>8.2665929882728335</c:v>
                </c:pt>
                <c:pt idx="12">
                  <c:v>8.7923804261067033</c:v>
                </c:pt>
                <c:pt idx="13">
                  <c:v>9.6127893411923537</c:v>
                </c:pt>
                <c:pt idx="14">
                  <c:v>9.9589856941118597</c:v>
                </c:pt>
              </c:numCache>
            </c:numRef>
          </c:xVal>
          <c:yVal>
            <c:numRef>
              <c:f>'Res 1'!$P$56:$P$70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3304"/>
        <c:axId val="495113696"/>
      </c:scatterChart>
      <c:valAx>
        <c:axId val="495113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3696"/>
        <c:crosses val="autoZero"/>
        <c:crossBetween val="midCat"/>
      </c:valAx>
      <c:valAx>
        <c:axId val="495113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3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'Res 1'!$O$80:$O$94</c:f>
              <c:numCache>
                <c:formatCode>General</c:formatCode>
                <c:ptCount val="15"/>
                <c:pt idx="0">
                  <c:v>53</c:v>
                </c:pt>
                <c:pt idx="1">
                  <c:v>58</c:v>
                </c:pt>
                <c:pt idx="2">
                  <c:v>60</c:v>
                </c:pt>
                <c:pt idx="3">
                  <c:v>65</c:v>
                </c:pt>
                <c:pt idx="4">
                  <c:v>68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84</c:v>
                </c:pt>
                <c:pt idx="13">
                  <c:v>85</c:v>
                </c:pt>
                <c:pt idx="14">
                  <c:v>92</c:v>
                </c:pt>
              </c:numCache>
            </c:numRef>
          </c:xVal>
          <c:yVal>
            <c:numRef>
              <c:f>'Res 1'!$P$80:$P$94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20360"/>
        <c:axId val="495116440"/>
      </c:scatterChart>
      <c:valAx>
        <c:axId val="495120360"/>
        <c:scaling>
          <c:orientation val="minMax"/>
          <c:min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6440"/>
        <c:crosses val="autoZero"/>
        <c:crossBetween val="midCat"/>
      </c:valAx>
      <c:valAx>
        <c:axId val="495116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20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Studentized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'Res 1'!$O$104:$O$118</c:f>
              <c:numCache>
                <c:formatCode>General</c:formatCode>
                <c:ptCount val="15"/>
                <c:pt idx="0">
                  <c:v>-4.4098569762515689</c:v>
                </c:pt>
                <c:pt idx="1">
                  <c:v>-3.9547885483193022</c:v>
                </c:pt>
                <c:pt idx="2">
                  <c:v>-3.6074996744649384</c:v>
                </c:pt>
                <c:pt idx="3">
                  <c:v>-3.0521593017915123</c:v>
                </c:pt>
                <c:pt idx="4">
                  <c:v>-2.9181511633249473</c:v>
                </c:pt>
                <c:pt idx="5">
                  <c:v>-0.80323912920398621</c:v>
                </c:pt>
                <c:pt idx="6">
                  <c:v>-0.48341021558419511</c:v>
                </c:pt>
                <c:pt idx="7">
                  <c:v>0.58993854401092605</c:v>
                </c:pt>
                <c:pt idx="8">
                  <c:v>0.87201107950729451</c:v>
                </c:pt>
                <c:pt idx="9">
                  <c:v>1.1652422147908958</c:v>
                </c:pt>
                <c:pt idx="10">
                  <c:v>2.4519555167106906</c:v>
                </c:pt>
                <c:pt idx="11">
                  <c:v>2.6289915595077131</c:v>
                </c:pt>
                <c:pt idx="12">
                  <c:v>3.1304940898048206</c:v>
                </c:pt>
                <c:pt idx="13">
                  <c:v>4.0931940220702412</c:v>
                </c:pt>
                <c:pt idx="14">
                  <c:v>4.7432418796866473</c:v>
                </c:pt>
              </c:numCache>
            </c:numRef>
          </c:xVal>
          <c:yVal>
            <c:numRef>
              <c:f>'Res 1'!$P$104:$P$118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16832"/>
        <c:axId val="495120752"/>
      </c:scatterChart>
      <c:valAx>
        <c:axId val="49511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20752"/>
        <c:crosses val="autoZero"/>
        <c:crossBetween val="midCat"/>
      </c:valAx>
      <c:valAx>
        <c:axId val="495120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6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'Res 2'!$B$31:$B$41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xVal>
          <c:yVal>
            <c:numRef>
              <c:f>'Res 2'!$C$31:$C$41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72912"/>
        <c:axId val="687873304"/>
      </c:scatterChart>
      <c:valAx>
        <c:axId val="687872912"/>
        <c:scaling>
          <c:orientation val="minMax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873304"/>
        <c:crosses val="autoZero"/>
        <c:crossBetween val="midCat"/>
      </c:valAx>
      <c:valAx>
        <c:axId val="687873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872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2'!$S$27:$S$37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'Res 2'!$T$27:$T$37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74088"/>
        <c:axId val="687873696"/>
      </c:scatterChart>
      <c:valAx>
        <c:axId val="68787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7873696"/>
        <c:crosses val="autoZero"/>
        <c:crossBetween val="midCat"/>
      </c:valAx>
      <c:valAx>
        <c:axId val="687873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7874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2'!$V$27:$V$37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'Res 2'!$W$27:$W$37</c:f>
              <c:numCache>
                <c:formatCode>General</c:formatCode>
                <c:ptCount val="11"/>
                <c:pt idx="0">
                  <c:v>0.72498805947326206</c:v>
                </c:pt>
                <c:pt idx="1">
                  <c:v>-0.33769288214608184</c:v>
                </c:pt>
                <c:pt idx="2">
                  <c:v>-0.37675395322507593</c:v>
                </c:pt>
                <c:pt idx="3">
                  <c:v>-0.47472511359277891</c:v>
                </c:pt>
                <c:pt idx="4">
                  <c:v>-0.14829510414258162</c:v>
                </c:pt>
                <c:pt idx="5">
                  <c:v>0.12369461904368265</c:v>
                </c:pt>
                <c:pt idx="6">
                  <c:v>0.26094039956405612</c:v>
                </c:pt>
                <c:pt idx="7">
                  <c:v>-7.7730021876163222E-2</c:v>
                </c:pt>
                <c:pt idx="8">
                  <c:v>0.26876255485742384</c:v>
                </c:pt>
                <c:pt idx="9">
                  <c:v>0.34459640823460619</c:v>
                </c:pt>
                <c:pt idx="10">
                  <c:v>-0.30778496619031398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70560"/>
        <c:axId val="469369512"/>
      </c:scatterChart>
      <c:valAx>
        <c:axId val="68787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9369512"/>
        <c:crosses val="autoZero"/>
        <c:crossBetween val="midCat"/>
      </c:valAx>
      <c:valAx>
        <c:axId val="469369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7870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Studentized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2'!$Z$27:$Z$37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xVal>
          <c:yVal>
            <c:numRef>
              <c:f>'Res 2'!$Y$27:$Y$37</c:f>
              <c:numCache>
                <c:formatCode>General</c:formatCode>
                <c:ptCount val="11"/>
                <c:pt idx="0">
                  <c:v>0.77626092500939581</c:v>
                </c:pt>
                <c:pt idx="1">
                  <c:v>-0.40091962202771336</c:v>
                </c:pt>
                <c:pt idx="2">
                  <c:v>-0.44873662056771335</c:v>
                </c:pt>
                <c:pt idx="3">
                  <c:v>-0.55452191252345118</c:v>
                </c:pt>
                <c:pt idx="4">
                  <c:v>-0.17085594259939102</c:v>
                </c:pt>
                <c:pt idx="5">
                  <c:v>0.13147122406662365</c:v>
                </c:pt>
                <c:pt idx="6">
                  <c:v>0.39888040416573833</c:v>
                </c:pt>
                <c:pt idx="7">
                  <c:v>-9.7779885651430545E-2</c:v>
                </c:pt>
                <c:pt idx="8">
                  <c:v>0.33504257588057895</c:v>
                </c:pt>
                <c:pt idx="9">
                  <c:v>0.36166007666644429</c:v>
                </c:pt>
                <c:pt idx="10">
                  <c:v>-0.36006771891297884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367944"/>
        <c:axId val="469368336"/>
      </c:scatterChart>
      <c:valAx>
        <c:axId val="469367944"/>
        <c:scaling>
          <c:orientation val="minMax"/>
          <c:min val="20"/>
        </c:scaling>
        <c:delete val="0"/>
        <c:axPos val="b"/>
        <c:numFmt formatCode="General" sourceLinked="1"/>
        <c:majorTickMark val="out"/>
        <c:minorTickMark val="none"/>
        <c:tickLblPos val="nextTo"/>
        <c:crossAx val="469368336"/>
        <c:crosses val="autoZero"/>
        <c:crossBetween val="midCat"/>
      </c:valAx>
      <c:valAx>
        <c:axId val="46936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9367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2'!$S$60:$S$70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'Res 2'!$T$60:$T$70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253856"/>
        <c:axId val="518252288"/>
      </c:scatterChart>
      <c:valAx>
        <c:axId val="51825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8252288"/>
        <c:crosses val="autoZero"/>
        <c:crossBetween val="midCat"/>
      </c:valAx>
      <c:valAx>
        <c:axId val="51825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8253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2'!$V$60:$V$70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'Res 2'!$W$60:$W$70</c:f>
              <c:numCache>
                <c:formatCode>General</c:formatCode>
                <c:ptCount val="11"/>
                <c:pt idx="0">
                  <c:v>0.72498805947326206</c:v>
                </c:pt>
                <c:pt idx="1">
                  <c:v>-0.33769288214608184</c:v>
                </c:pt>
                <c:pt idx="2">
                  <c:v>-0.37675395322507593</c:v>
                </c:pt>
                <c:pt idx="3">
                  <c:v>-0.47472511359277891</c:v>
                </c:pt>
                <c:pt idx="4">
                  <c:v>-0.14829510414258162</c:v>
                </c:pt>
                <c:pt idx="5">
                  <c:v>0.12369461904368265</c:v>
                </c:pt>
                <c:pt idx="6">
                  <c:v>0.26094039956405612</c:v>
                </c:pt>
                <c:pt idx="7">
                  <c:v>-7.7730021876163222E-2</c:v>
                </c:pt>
                <c:pt idx="8">
                  <c:v>0.26876255485742384</c:v>
                </c:pt>
                <c:pt idx="9">
                  <c:v>0.34459640823460619</c:v>
                </c:pt>
                <c:pt idx="10">
                  <c:v>-0.30778496619031398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250720"/>
        <c:axId val="458076304"/>
      </c:scatterChart>
      <c:valAx>
        <c:axId val="51825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8076304"/>
        <c:crosses val="autoZero"/>
        <c:crossBetween val="midCat"/>
      </c:valAx>
      <c:valAx>
        <c:axId val="45807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8250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Studentized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'Res 2'!$Y$60:$Y$70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'Res 2'!$Z$60:$Z$70</c:f>
              <c:numCache>
                <c:formatCode>General</c:formatCode>
                <c:ptCount val="11"/>
                <c:pt idx="0">
                  <c:v>0.72498805947326206</c:v>
                </c:pt>
                <c:pt idx="1">
                  <c:v>-0.33769288214608184</c:v>
                </c:pt>
                <c:pt idx="2">
                  <c:v>-0.37675395322507593</c:v>
                </c:pt>
                <c:pt idx="3">
                  <c:v>-0.47472511359277891</c:v>
                </c:pt>
                <c:pt idx="4">
                  <c:v>-0.14829510414258162</c:v>
                </c:pt>
                <c:pt idx="5">
                  <c:v>0.12369461904368265</c:v>
                </c:pt>
                <c:pt idx="6">
                  <c:v>0.26094039956405612</c:v>
                </c:pt>
                <c:pt idx="7">
                  <c:v>-7.7730021876163222E-2</c:v>
                </c:pt>
                <c:pt idx="8">
                  <c:v>0.26876255485742384</c:v>
                </c:pt>
                <c:pt idx="9">
                  <c:v>0.34459640823460619</c:v>
                </c:pt>
                <c:pt idx="10">
                  <c:v>-0.30778496619031398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076696"/>
        <c:axId val="458075912"/>
      </c:scatterChart>
      <c:valAx>
        <c:axId val="45807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8075912"/>
        <c:crosses val="autoZero"/>
        <c:crossBetween val="midCat"/>
      </c:valAx>
      <c:valAx>
        <c:axId val="458075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8076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Longevity</a:t>
            </a:r>
            <a:r>
              <a:rPr lang="en-US" baseline="0"/>
              <a:t> vs Smoking - Version 1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'Cooks 1'!$B$5</c:f>
              <c:strCache>
                <c:ptCount val="1"/>
                <c:pt idx="0">
                  <c:v>Life Exp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'Cooks 1'!$A$6:$A$20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1'!$B$6:$B$20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16136"/>
        <c:axId val="459216528"/>
      </c:scatterChart>
      <c:valAx>
        <c:axId val="4592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 smoked (per day)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16528"/>
        <c:crosses val="autoZero"/>
        <c:crossBetween val="midCat"/>
      </c:valAx>
      <c:valAx>
        <c:axId val="459216528"/>
        <c:scaling>
          <c:orientation val="minMax"/>
          <c:min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16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Longevity</a:t>
            </a:r>
            <a:r>
              <a:rPr lang="en-US" baseline="0"/>
              <a:t> vs Smoking - Version 2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'Cooks 1'!$B$28</c:f>
              <c:strCache>
                <c:ptCount val="1"/>
                <c:pt idx="0">
                  <c:v>Life Exp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'Cooks 1'!$A$29:$A$43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1'!$B$29:$B$43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83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67264"/>
        <c:axId val="139666480"/>
      </c:scatterChart>
      <c:valAx>
        <c:axId val="13966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 smoked (per day)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66480"/>
        <c:crosses val="autoZero"/>
        <c:crossBetween val="midCat"/>
      </c:valAx>
      <c:valAx>
        <c:axId val="139666480"/>
        <c:scaling>
          <c:orientation val="minMax"/>
          <c:min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67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Studentized Residuals - Version 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'Cooks 1'!$W$66</c:f>
              <c:strCache>
                <c:ptCount val="1"/>
                <c:pt idx="0">
                  <c:v>RStudent</c:v>
                </c:pt>
              </c:strCache>
            </c:strRef>
          </c:tx>
          <c:spPr>
            <a:ln w="28575">
              <a:noFill/>
            </a:ln>
          </c:spPr>
          <c:xVal>
            <c:numRef>
              <c:f>'Cooks 1'!$V$67:$V$81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1'!$W$67:$W$81</c:f>
              <c:numCache>
                <c:formatCode>General</c:formatCode>
                <c:ptCount val="15"/>
                <c:pt idx="0">
                  <c:v>0.14623230177453703</c:v>
                </c:pt>
                <c:pt idx="1">
                  <c:v>0.41656011578665819</c:v>
                </c:pt>
                <c:pt idx="2">
                  <c:v>-2.0878910978328102</c:v>
                </c:pt>
                <c:pt idx="3">
                  <c:v>3.0335704242792341</c:v>
                </c:pt>
                <c:pt idx="4">
                  <c:v>1.1745697221543929</c:v>
                </c:pt>
                <c:pt idx="5">
                  <c:v>0.76700036126600379</c:v>
                </c:pt>
                <c:pt idx="6">
                  <c:v>-0.8359285807354262</c:v>
                </c:pt>
                <c:pt idx="7">
                  <c:v>0.64172189954042136</c:v>
                </c:pt>
                <c:pt idx="8">
                  <c:v>0.44909462967616182</c:v>
                </c:pt>
                <c:pt idx="9">
                  <c:v>-7.8160390167444527E-2</c:v>
                </c:pt>
                <c:pt idx="10">
                  <c:v>-1.1651995306055807</c:v>
                </c:pt>
                <c:pt idx="11">
                  <c:v>1.3696739817148742E-2</c:v>
                </c:pt>
                <c:pt idx="12">
                  <c:v>-2.3634766178487125</c:v>
                </c:pt>
                <c:pt idx="13">
                  <c:v>1.9646219279288331</c:v>
                </c:pt>
                <c:pt idx="14">
                  <c:v>-1.294749553741537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67656"/>
        <c:axId val="139665304"/>
      </c:scatterChart>
      <c:valAx>
        <c:axId val="139667656"/>
        <c:scaling>
          <c:orientation val="minMax"/>
          <c:max val="50"/>
        </c:scaling>
        <c:delete val="0"/>
        <c:axPos val="b"/>
        <c:numFmt formatCode="General" sourceLinked="1"/>
        <c:majorTickMark val="out"/>
        <c:minorTickMark val="none"/>
        <c:tickLblPos val="nextTo"/>
        <c:crossAx val="139665304"/>
        <c:crosses val="autoZero"/>
        <c:crossBetween val="midCat"/>
      </c:valAx>
      <c:valAx>
        <c:axId val="139665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667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 sz="1600" b="1" i="0" baseline="0">
                <a:effectLst/>
              </a:rPr>
              <a:t>Studentized Residuals - Version 1</a:t>
            </a:r>
            <a:endParaRPr lang="it-IT" sz="1600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'Cooks 1'!$T$66</c:f>
              <c:strCache>
                <c:ptCount val="1"/>
                <c:pt idx="0">
                  <c:v>RStudent</c:v>
                </c:pt>
              </c:strCache>
            </c:strRef>
          </c:tx>
          <c:spPr>
            <a:ln w="28575">
              <a:noFill/>
            </a:ln>
          </c:spPr>
          <c:xVal>
            <c:numRef>
              <c:f>'Cooks 1'!$S$67:$S$81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1'!$T$67:$T$81</c:f>
              <c:numCache>
                <c:formatCode>General</c:formatCode>
                <c:ptCount val="15"/>
                <c:pt idx="0">
                  <c:v>-0.34114668806182424</c:v>
                </c:pt>
                <c:pt idx="1">
                  <c:v>0.8677478429535036</c:v>
                </c:pt>
                <c:pt idx="2">
                  <c:v>-1.3511137768141768</c:v>
                </c:pt>
                <c:pt idx="3">
                  <c:v>-0.41747423579741882</c:v>
                </c:pt>
                <c:pt idx="4">
                  <c:v>1.3325597725103162</c:v>
                </c:pt>
                <c:pt idx="5">
                  <c:v>0.42932126412379101</c:v>
                </c:pt>
                <c:pt idx="6">
                  <c:v>-1.4718841811600343</c:v>
                </c:pt>
                <c:pt idx="7">
                  <c:v>1.2936066624599454</c:v>
                </c:pt>
                <c:pt idx="8">
                  <c:v>0.27885932646467648</c:v>
                </c:pt>
                <c:pt idx="9">
                  <c:v>0.1517172019269904</c:v>
                </c:pt>
                <c:pt idx="10">
                  <c:v>-1.1849512188942048</c:v>
                </c:pt>
                <c:pt idx="11">
                  <c:v>1.1588420374683235</c:v>
                </c:pt>
                <c:pt idx="12">
                  <c:v>-1.2949003726146766</c:v>
                </c:pt>
                <c:pt idx="13">
                  <c:v>1.2392735154674501</c:v>
                </c:pt>
                <c:pt idx="14">
                  <c:v>-0.80558236972443698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66088"/>
        <c:axId val="139664520"/>
      </c:scatterChart>
      <c:valAx>
        <c:axId val="139666088"/>
        <c:scaling>
          <c:orientation val="minMax"/>
          <c:max val="50"/>
        </c:scaling>
        <c:delete val="0"/>
        <c:axPos val="b"/>
        <c:numFmt formatCode="General" sourceLinked="1"/>
        <c:majorTickMark val="out"/>
        <c:minorTickMark val="none"/>
        <c:tickLblPos val="nextTo"/>
        <c:crossAx val="139664520"/>
        <c:crosses val="autoZero"/>
        <c:crossBetween val="midCat"/>
      </c:valAx>
      <c:valAx>
        <c:axId val="139664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666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Autocorr!$G$3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Autocorr!$A$4:$A$14</c:f>
              <c:numCache>
                <c:formatCode>General</c:formatCode>
                <c:ptCount val="1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</c:numCache>
            </c:numRef>
          </c:cat>
          <c:val>
            <c:numRef>
              <c:f>Autocorr!$G$4:$G$14</c:f>
              <c:numCache>
                <c:formatCode>General</c:formatCode>
                <c:ptCount val="11"/>
                <c:pt idx="0">
                  <c:v>2.3212803510947921</c:v>
                </c:pt>
                <c:pt idx="1">
                  <c:v>1.3147927300481896</c:v>
                </c:pt>
                <c:pt idx="2">
                  <c:v>0.40366359776750471</c:v>
                </c:pt>
                <c:pt idx="3">
                  <c:v>7.3415064637707417E-2</c:v>
                </c:pt>
                <c:pt idx="4">
                  <c:v>-2.1610933549587301</c:v>
                </c:pt>
                <c:pt idx="5">
                  <c:v>-1.202833563898281</c:v>
                </c:pt>
                <c:pt idx="6">
                  <c:v>-0.80933072556408092</c:v>
                </c:pt>
                <c:pt idx="7">
                  <c:v>-1.2312169059771918</c:v>
                </c:pt>
                <c:pt idx="8">
                  <c:v>-0.41377665410485065</c:v>
                </c:pt>
                <c:pt idx="9">
                  <c:v>1.3298192052664319</c:v>
                </c:pt>
                <c:pt idx="10">
                  <c:v>0.37528025568860812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23848"/>
        <c:axId val="469421888"/>
      </c:lineChart>
      <c:catAx>
        <c:axId val="46942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21888"/>
        <c:crosses val="autoZero"/>
        <c:auto val="1"/>
        <c:lblAlgn val="ctr"/>
        <c:lblOffset val="100"/>
        <c:noMultiLvlLbl val="0"/>
      </c:catAx>
      <c:valAx>
        <c:axId val="4694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2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Autocorr!$Q$5:$Q$14</c:f>
              <c:numCache>
                <c:formatCode>General</c:formatCode>
                <c:ptCount val="10"/>
                <c:pt idx="0">
                  <c:v>1.3147927300481896</c:v>
                </c:pt>
                <c:pt idx="1">
                  <c:v>0.40366359776750471</c:v>
                </c:pt>
                <c:pt idx="2">
                  <c:v>7.3415064637707417E-2</c:v>
                </c:pt>
                <c:pt idx="3">
                  <c:v>-2.1610933549587301</c:v>
                </c:pt>
                <c:pt idx="4">
                  <c:v>-1.202833563898281</c:v>
                </c:pt>
                <c:pt idx="5">
                  <c:v>-0.80933072556408092</c:v>
                </c:pt>
                <c:pt idx="6">
                  <c:v>-1.2312169059771918</c:v>
                </c:pt>
                <c:pt idx="7">
                  <c:v>-0.41377665410485065</c:v>
                </c:pt>
                <c:pt idx="8">
                  <c:v>1.3298192052664319</c:v>
                </c:pt>
                <c:pt idx="9">
                  <c:v>0.37528025568860812</c:v>
                </c:pt>
              </c:numCache>
            </c:numRef>
          </c:xVal>
          <c:yVal>
            <c:numRef>
              <c:f>Autocorr!$R$5:$R$14</c:f>
              <c:numCache>
                <c:formatCode>General</c:formatCode>
                <c:ptCount val="10"/>
                <c:pt idx="0">
                  <c:v>2.3212803510947921</c:v>
                </c:pt>
                <c:pt idx="1">
                  <c:v>1.3147927300481896</c:v>
                </c:pt>
                <c:pt idx="2">
                  <c:v>0.40366359776750471</c:v>
                </c:pt>
                <c:pt idx="3">
                  <c:v>7.3415064637707417E-2</c:v>
                </c:pt>
                <c:pt idx="4">
                  <c:v>-2.1610933549587301</c:v>
                </c:pt>
                <c:pt idx="5">
                  <c:v>-1.202833563898281</c:v>
                </c:pt>
                <c:pt idx="6">
                  <c:v>-0.80933072556408092</c:v>
                </c:pt>
                <c:pt idx="7">
                  <c:v>-1.2312169059771918</c:v>
                </c:pt>
                <c:pt idx="8">
                  <c:v>-0.41377665410485065</c:v>
                </c:pt>
                <c:pt idx="9">
                  <c:v>1.3298192052664319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24240"/>
        <c:axId val="469423064"/>
      </c:scatterChart>
      <c:valAx>
        <c:axId val="46942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23064"/>
        <c:crosses val="autoZero"/>
        <c:crossBetween val="midCat"/>
      </c:valAx>
      <c:valAx>
        <c:axId val="4694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2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'Logit 1'!$D$7:$D$37</c:f>
              <c:numCache>
                <c:formatCode>General</c:formatCode>
                <c:ptCount val="31"/>
                <c:pt idx="0">
                  <c:v>-3</c:v>
                </c:pt>
                <c:pt idx="1">
                  <c:v>-2.8</c:v>
                </c:pt>
                <c:pt idx="2">
                  <c:v>-2.5999999999999996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-1.9999999999999993</c:v>
                </c:pt>
                <c:pt idx="6">
                  <c:v>-1.7999999999999994</c:v>
                </c:pt>
                <c:pt idx="7">
                  <c:v>-1.5999999999999994</c:v>
                </c:pt>
                <c:pt idx="8">
                  <c:v>-1.3999999999999995</c:v>
                </c:pt>
                <c:pt idx="9">
                  <c:v>-1.1999999999999995</c:v>
                </c:pt>
                <c:pt idx="10">
                  <c:v>-0.99999999999999956</c:v>
                </c:pt>
                <c:pt idx="11">
                  <c:v>-0.7999999999999996</c:v>
                </c:pt>
                <c:pt idx="12">
                  <c:v>-0.59999999999999964</c:v>
                </c:pt>
                <c:pt idx="13">
                  <c:v>-0.39999999999999963</c:v>
                </c:pt>
                <c:pt idx="14">
                  <c:v>-0.19999999999999962</c:v>
                </c:pt>
                <c:pt idx="15">
                  <c:v>0</c:v>
                </c:pt>
                <c:pt idx="16">
                  <c:v>0.2</c:v>
                </c:pt>
                <c:pt idx="17">
                  <c:v>0.4</c:v>
                </c:pt>
                <c:pt idx="18">
                  <c:v>0.60000000000000009</c:v>
                </c:pt>
                <c:pt idx="19">
                  <c:v>0.8</c:v>
                </c:pt>
                <c:pt idx="20">
                  <c:v>1</c:v>
                </c:pt>
                <c:pt idx="21">
                  <c:v>1.2</c:v>
                </c:pt>
                <c:pt idx="22">
                  <c:v>1.4</c:v>
                </c:pt>
                <c:pt idx="23">
                  <c:v>1.5999999999999999</c:v>
                </c:pt>
                <c:pt idx="24">
                  <c:v>1.7999999999999998</c:v>
                </c:pt>
                <c:pt idx="25">
                  <c:v>1.9999999999999998</c:v>
                </c:pt>
                <c:pt idx="26">
                  <c:v>2.1999999999999997</c:v>
                </c:pt>
                <c:pt idx="27">
                  <c:v>2.4</c:v>
                </c:pt>
                <c:pt idx="28">
                  <c:v>2.6</c:v>
                </c:pt>
                <c:pt idx="29">
                  <c:v>2.8000000000000003</c:v>
                </c:pt>
                <c:pt idx="30">
                  <c:v>3.0000000000000004</c:v>
                </c:pt>
              </c:numCache>
            </c:numRef>
          </c:cat>
          <c:val>
            <c:numRef>
              <c:f>'Logit 1'!$B$7:$B$37</c:f>
              <c:numCache>
                <c:formatCode>General</c:formatCode>
                <c:ptCount val="31"/>
                <c:pt idx="0">
                  <c:v>1.2339457598623172E-4</c:v>
                </c:pt>
                <c:pt idx="1">
                  <c:v>2.0342697805520653E-4</c:v>
                </c:pt>
                <c:pt idx="2">
                  <c:v>3.3535013046647811E-4</c:v>
                </c:pt>
                <c:pt idx="3">
                  <c:v>5.5277863692360053E-4</c:v>
                </c:pt>
                <c:pt idx="4">
                  <c:v>9.1105119440064691E-4</c:v>
                </c:pt>
                <c:pt idx="5">
                  <c:v>1.5011822567369941E-3</c:v>
                </c:pt>
                <c:pt idx="6">
                  <c:v>2.4726231566347808E-3</c:v>
                </c:pt>
                <c:pt idx="7">
                  <c:v>4.0701377158961416E-3</c:v>
                </c:pt>
                <c:pt idx="8">
                  <c:v>6.6928509242848789E-3</c:v>
                </c:pt>
                <c:pt idx="9">
                  <c:v>1.0986942630593218E-2</c:v>
                </c:pt>
                <c:pt idx="10">
                  <c:v>1.7986209962091621E-2</c:v>
                </c:pt>
                <c:pt idx="11">
                  <c:v>2.931223075135642E-2</c:v>
                </c:pt>
                <c:pt idx="12">
                  <c:v>4.7425873177566941E-2</c:v>
                </c:pt>
                <c:pt idx="13">
                  <c:v>7.5858180021243796E-2</c:v>
                </c:pt>
                <c:pt idx="14">
                  <c:v>0.11920292202211794</c:v>
                </c:pt>
                <c:pt idx="15">
                  <c:v>0.18242552380635688</c:v>
                </c:pt>
                <c:pt idx="16">
                  <c:v>0.26894142136999571</c:v>
                </c:pt>
                <c:pt idx="17">
                  <c:v>0.37754066879814618</c:v>
                </c:pt>
                <c:pt idx="18">
                  <c:v>0.50000000000000078</c:v>
                </c:pt>
                <c:pt idx="19">
                  <c:v>0.62245933120185537</c:v>
                </c:pt>
                <c:pt idx="20">
                  <c:v>0.7310585786300049</c:v>
                </c:pt>
                <c:pt idx="21">
                  <c:v>0.81757447619364365</c:v>
                </c:pt>
                <c:pt idx="22">
                  <c:v>0.88079707797788231</c:v>
                </c:pt>
                <c:pt idx="23">
                  <c:v>0.92414181997875655</c:v>
                </c:pt>
                <c:pt idx="24">
                  <c:v>0.95257412682243336</c:v>
                </c:pt>
                <c:pt idx="25">
                  <c:v>0.97068776924864364</c:v>
                </c:pt>
                <c:pt idx="26">
                  <c:v>0.98201379003790845</c:v>
                </c:pt>
                <c:pt idx="27">
                  <c:v>0.98901305736940681</c:v>
                </c:pt>
                <c:pt idx="28">
                  <c:v>0.99330714907571527</c:v>
                </c:pt>
                <c:pt idx="29">
                  <c:v>0.99592986228410396</c:v>
                </c:pt>
                <c:pt idx="30">
                  <c:v>0.99752737684336534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24632"/>
        <c:axId val="469425024"/>
      </c:lineChart>
      <c:catAx>
        <c:axId val="469424632"/>
        <c:scaling>
          <c:orientation val="minMax"/>
        </c:scaling>
        <c:delete val="0"/>
        <c:axPos val="b"/>
        <c:numFmt formatCode="#,##0.0" sourceLinked="0"/>
        <c:majorTickMark val="none"/>
        <c:minorTickMark val="none"/>
        <c:tickLblPos val="nextTo"/>
        <c:crossAx val="469425024"/>
        <c:crosses val="autoZero"/>
        <c:auto val="1"/>
        <c:lblAlgn val="ctr"/>
        <c:lblOffset val="100"/>
        <c:noMultiLvlLbl val="0"/>
      </c:catAx>
      <c:valAx>
        <c:axId val="46942502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469424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'Logit 2'!$K$3</c:f>
              <c:strCache>
                <c:ptCount val="1"/>
                <c:pt idx="0">
                  <c:v>P(E)</c:v>
                </c:pt>
              </c:strCache>
            </c:strRef>
          </c:tx>
          <c:spPr>
            <a:ln w="28575">
              <a:noFill/>
            </a:ln>
          </c:spPr>
          <c:xVal>
            <c:numRef>
              <c:f>'Logit 2'!$J$4:$J$13</c:f>
              <c:numCache>
                <c:formatCode>General</c:formatCode>
                <c:ptCount val="10"/>
                <c:pt idx="0">
                  <c:v>50</c:v>
                </c:pt>
                <c:pt idx="1">
                  <c:v>150</c:v>
                </c:pt>
                <c:pt idx="2">
                  <c:v>250</c:v>
                </c:pt>
                <c:pt idx="3">
                  <c:v>350</c:v>
                </c:pt>
                <c:pt idx="4">
                  <c:v>450</c:v>
                </c:pt>
                <c:pt idx="5">
                  <c:v>550</c:v>
                </c:pt>
                <c:pt idx="6">
                  <c:v>650</c:v>
                </c:pt>
                <c:pt idx="7">
                  <c:v>750</c:v>
                </c:pt>
                <c:pt idx="8">
                  <c:v>850</c:v>
                </c:pt>
                <c:pt idx="9">
                  <c:v>950</c:v>
                </c:pt>
              </c:numCache>
            </c:numRef>
          </c:xVal>
          <c:yVal>
            <c:numRef>
              <c:f>'Logit 2'!$K$4:$K$13</c:f>
              <c:numCache>
                <c:formatCode>General</c:formatCode>
                <c:ptCount val="10"/>
                <c:pt idx="0">
                  <c:v>1</c:v>
                </c:pt>
                <c:pt idx="1">
                  <c:v>0.96666666666666667</c:v>
                </c:pt>
                <c:pt idx="2">
                  <c:v>0.93548387096774188</c:v>
                </c:pt>
                <c:pt idx="3">
                  <c:v>0.87209302325581395</c:v>
                </c:pt>
                <c:pt idx="4">
                  <c:v>0.78703703703703709</c:v>
                </c:pt>
                <c:pt idx="5">
                  <c:v>0.62745098039215685</c:v>
                </c:pt>
                <c:pt idx="6">
                  <c:v>0.42063492063492064</c:v>
                </c:pt>
                <c:pt idx="7">
                  <c:v>0.2767857142857143</c:v>
                </c:pt>
                <c:pt idx="8">
                  <c:v>0.19607843137254902</c:v>
                </c:pt>
                <c:pt idx="9">
                  <c:v>9.6774193548387094E-2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65472"/>
        <c:axId val="532465864"/>
      </c:scatterChart>
      <c:valAx>
        <c:axId val="5324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5864"/>
        <c:crosses val="autoZero"/>
        <c:crossBetween val="midCat"/>
      </c:valAx>
      <c:valAx>
        <c:axId val="532465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 of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5472"/>
        <c:crosses val="autoZero"/>
        <c:crossBetween val="midCat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accent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it-IT" sz="1400"/>
              <a:t>ln Odds(E)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'Logit 2'!$K$17:$K$18</c:f>
              <c:strCache>
                <c:ptCount val="2"/>
                <c:pt idx="0">
                  <c:v>ln Odds(E)</c:v>
                </c:pt>
                <c:pt idx="1">
                  <c:v>∞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'Logit 2'!$J$19:$J$27</c:f>
              <c:numCache>
                <c:formatCode>General</c:formatCode>
                <c:ptCount val="9"/>
                <c:pt idx="0">
                  <c:v>150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  <c:pt idx="4">
                  <c:v>550</c:v>
                </c:pt>
                <c:pt idx="5">
                  <c:v>650</c:v>
                </c:pt>
                <c:pt idx="6">
                  <c:v>750</c:v>
                </c:pt>
                <c:pt idx="7">
                  <c:v>850</c:v>
                </c:pt>
                <c:pt idx="8">
                  <c:v>950</c:v>
                </c:pt>
              </c:numCache>
            </c:numRef>
          </c:xVal>
          <c:yVal>
            <c:numRef>
              <c:f>'Logit 2'!$K$19:$K$27</c:f>
              <c:numCache>
                <c:formatCode>General</c:formatCode>
                <c:ptCount val="9"/>
                <c:pt idx="0">
                  <c:v>3.3672958299864741</c:v>
                </c:pt>
                <c:pt idx="1">
                  <c:v>2.6741486494265279</c:v>
                </c:pt>
                <c:pt idx="2">
                  <c:v>1.9195928407379399</c:v>
                </c:pt>
                <c:pt idx="3">
                  <c:v>1.3071570405611672</c:v>
                </c:pt>
                <c:pt idx="4">
                  <c:v>0.52129692363328606</c:v>
                </c:pt>
                <c:pt idx="5">
                  <c:v>-0.3201675275962691</c:v>
                </c:pt>
                <c:pt idx="6">
                  <c:v>-0.96046195018729241</c:v>
                </c:pt>
                <c:pt idx="7">
                  <c:v>-1.410986973710262</c:v>
                </c:pt>
                <c:pt idx="8">
                  <c:v>-2.2335922215070942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65080"/>
        <c:axId val="532467432"/>
      </c:scatterChart>
      <c:valAx>
        <c:axId val="53246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7432"/>
        <c:crosses val="autoZero"/>
        <c:crossBetween val="midCat"/>
      </c:valAx>
      <c:valAx>
        <c:axId val="532467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Odds of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5080"/>
        <c:crosses val="autoZero"/>
        <c:crossBetween val="midCat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accent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3a'!$AI$6:$AI$16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0.86423841059602646</c:v>
                </c:pt>
                <c:pt idx="3">
                  <c:v>0.77152317880794707</c:v>
                </c:pt>
                <c:pt idx="4">
                  <c:v>0.76821192052980136</c:v>
                </c:pt>
                <c:pt idx="5">
                  <c:v>0.7483443708609272</c:v>
                </c:pt>
                <c:pt idx="6">
                  <c:v>0.50662251655629142</c:v>
                </c:pt>
                <c:pt idx="7">
                  <c:v>0.23841059602649006</c:v>
                </c:pt>
                <c:pt idx="8">
                  <c:v>0.20198675496688745</c:v>
                </c:pt>
                <c:pt idx="9">
                  <c:v>0.1258278145695364</c:v>
                </c:pt>
                <c:pt idx="10">
                  <c:v>0</c:v>
                </c:pt>
              </c:numCache>
            </c:numRef>
          </c:xVal>
          <c:yVal>
            <c:numRef>
              <c:f>'Logit 3a'!$AJ$6:$AJ$16</c:f>
              <c:numCache>
                <c:formatCode>General</c:formatCode>
                <c:ptCount val="11"/>
                <c:pt idx="0">
                  <c:v>1</c:v>
                </c:pt>
                <c:pt idx="1">
                  <c:v>0.95414847161572047</c:v>
                </c:pt>
                <c:pt idx="2">
                  <c:v>0.93231441048034935</c:v>
                </c:pt>
                <c:pt idx="3">
                  <c:v>0.92576419213973793</c:v>
                </c:pt>
                <c:pt idx="4">
                  <c:v>0.86244541484716164</c:v>
                </c:pt>
                <c:pt idx="5">
                  <c:v>0.67248908296943233</c:v>
                </c:pt>
                <c:pt idx="6">
                  <c:v>0.55676855895196509</c:v>
                </c:pt>
                <c:pt idx="7">
                  <c:v>0.48908296943231444</c:v>
                </c:pt>
                <c:pt idx="8">
                  <c:v>0.3253275109170306</c:v>
                </c:pt>
                <c:pt idx="9">
                  <c:v>0.13973799126637554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66648"/>
        <c:axId val="532467824"/>
      </c:scatterChart>
      <c:valAx>
        <c:axId val="53246664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7824"/>
        <c:crosses val="autoZero"/>
        <c:crossBetween val="midCat"/>
      </c:valAx>
      <c:valAx>
        <c:axId val="53246782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6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3a'!$AI$33:$AI$43</c:f>
              <c:numCache>
                <c:formatCode>General</c:formatCode>
                <c:ptCount val="11"/>
                <c:pt idx="0">
                  <c:v>1</c:v>
                </c:pt>
                <c:pt idx="1">
                  <c:v>0.9072847682119205</c:v>
                </c:pt>
                <c:pt idx="2">
                  <c:v>0.77152317880794707</c:v>
                </c:pt>
                <c:pt idx="3">
                  <c:v>0.50331125827814571</c:v>
                </c:pt>
                <c:pt idx="4">
                  <c:v>0.26158940397350994</c:v>
                </c:pt>
                <c:pt idx="5">
                  <c:v>0.13576158940397354</c:v>
                </c:pt>
                <c:pt idx="6">
                  <c:v>5.9602649006622488E-2</c:v>
                </c:pt>
                <c:pt idx="7">
                  <c:v>2.3178807947019875E-2</c:v>
                </c:pt>
                <c:pt idx="8">
                  <c:v>3.3112582781457123E-3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3a'!$AJ$33:$AJ$43</c:f>
              <c:numCache>
                <c:formatCode>General</c:formatCode>
                <c:ptCount val="11"/>
                <c:pt idx="0">
                  <c:v>1</c:v>
                </c:pt>
                <c:pt idx="1">
                  <c:v>0.99344978165938869</c:v>
                </c:pt>
                <c:pt idx="2">
                  <c:v>0.97161572052401746</c:v>
                </c:pt>
                <c:pt idx="3">
                  <c:v>0.90393013100436681</c:v>
                </c:pt>
                <c:pt idx="4">
                  <c:v>0.78820960698689957</c:v>
                </c:pt>
                <c:pt idx="5">
                  <c:v>0.64847161572052403</c:v>
                </c:pt>
                <c:pt idx="6">
                  <c:v>0.46288209606986896</c:v>
                </c:pt>
                <c:pt idx="7">
                  <c:v>0.29912663755458513</c:v>
                </c:pt>
                <c:pt idx="8">
                  <c:v>0.10917030567685593</c:v>
                </c:pt>
                <c:pt idx="9">
                  <c:v>4.5851528384279527E-2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67040"/>
        <c:axId val="520458120"/>
      </c:scatterChart>
      <c:valAx>
        <c:axId val="53246704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458120"/>
        <c:crosses val="autoZero"/>
        <c:crossBetween val="midCat"/>
      </c:valAx>
      <c:valAx>
        <c:axId val="52045812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7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4a'!$AK$6:$AK$16</c:f>
              <c:numCache>
                <c:formatCode>General</c:formatCode>
                <c:ptCount val="11"/>
                <c:pt idx="0">
                  <c:v>1</c:v>
                </c:pt>
                <c:pt idx="1">
                  <c:v>0.9072847682119205</c:v>
                </c:pt>
                <c:pt idx="2">
                  <c:v>0.77152317880794707</c:v>
                </c:pt>
                <c:pt idx="3">
                  <c:v>0.50331125827814571</c:v>
                </c:pt>
                <c:pt idx="4">
                  <c:v>0.26158940397350994</c:v>
                </c:pt>
                <c:pt idx="5">
                  <c:v>0.13576158940397354</c:v>
                </c:pt>
                <c:pt idx="6">
                  <c:v>5.9602649006622488E-2</c:v>
                </c:pt>
                <c:pt idx="7">
                  <c:v>2.3178807947019875E-2</c:v>
                </c:pt>
                <c:pt idx="8">
                  <c:v>3.3112582781457123E-3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4a'!$AL$6:$AL$16</c:f>
              <c:numCache>
                <c:formatCode>General</c:formatCode>
                <c:ptCount val="11"/>
                <c:pt idx="0">
                  <c:v>1</c:v>
                </c:pt>
                <c:pt idx="1">
                  <c:v>0.99344978165938869</c:v>
                </c:pt>
                <c:pt idx="2">
                  <c:v>0.97161572052401746</c:v>
                </c:pt>
                <c:pt idx="3">
                  <c:v>0.90393013100436681</c:v>
                </c:pt>
                <c:pt idx="4">
                  <c:v>0.78820960698689957</c:v>
                </c:pt>
                <c:pt idx="5">
                  <c:v>0.64847161572052403</c:v>
                </c:pt>
                <c:pt idx="6">
                  <c:v>0.46288209606986896</c:v>
                </c:pt>
                <c:pt idx="7">
                  <c:v>0.29912663755458513</c:v>
                </c:pt>
                <c:pt idx="8">
                  <c:v>0.10917030567685593</c:v>
                </c:pt>
                <c:pt idx="9">
                  <c:v>4.5851528384279527E-2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56944"/>
        <c:axId val="520458512"/>
      </c:scatterChart>
      <c:valAx>
        <c:axId val="520456944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458512"/>
        <c:crosses val="autoZero"/>
        <c:crossBetween val="midCat"/>
      </c:valAx>
      <c:valAx>
        <c:axId val="52045851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456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5'!$AM$6:$AM$12</c:f>
              <c:numCache>
                <c:formatCode>General</c:formatCode>
                <c:ptCount val="7"/>
                <c:pt idx="0">
                  <c:v>1</c:v>
                </c:pt>
                <c:pt idx="1">
                  <c:v>0.75</c:v>
                </c:pt>
                <c:pt idx="2">
                  <c:v>0.54166666666666674</c:v>
                </c:pt>
                <c:pt idx="3">
                  <c:v>0.33333333333333337</c:v>
                </c:pt>
                <c:pt idx="4">
                  <c:v>0.20833333333333337</c:v>
                </c:pt>
                <c:pt idx="5">
                  <c:v>4.166666666666663E-2</c:v>
                </c:pt>
                <c:pt idx="6">
                  <c:v>0</c:v>
                </c:pt>
              </c:numCache>
            </c:numRef>
          </c:xVal>
          <c:yVal>
            <c:numRef>
              <c:f>'Logit 5'!$AN$6:$AN$12</c:f>
              <c:numCache>
                <c:formatCode>General</c:formatCode>
                <c:ptCount val="7"/>
                <c:pt idx="0">
                  <c:v>1</c:v>
                </c:pt>
                <c:pt idx="1">
                  <c:v>0.92</c:v>
                </c:pt>
                <c:pt idx="2">
                  <c:v>0.84</c:v>
                </c:pt>
                <c:pt idx="3">
                  <c:v>0.67999999999999994</c:v>
                </c:pt>
                <c:pt idx="4">
                  <c:v>0.48</c:v>
                </c:pt>
                <c:pt idx="5">
                  <c:v>0.28000000000000003</c:v>
                </c:pt>
                <c:pt idx="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55376"/>
        <c:axId val="520456552"/>
      </c:scatterChart>
      <c:valAx>
        <c:axId val="52045537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456552"/>
        <c:crosses val="autoZero"/>
        <c:crossBetween val="midCat"/>
      </c:valAx>
      <c:valAx>
        <c:axId val="52045655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455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6'!$AN$6:$AN$18</c:f>
              <c:numCache>
                <c:formatCode>General</c:formatCode>
                <c:ptCount val="13"/>
                <c:pt idx="0">
                  <c:v>1</c:v>
                </c:pt>
                <c:pt idx="1">
                  <c:v>0.9349112426035503</c:v>
                </c:pt>
                <c:pt idx="2">
                  <c:v>0.85207100591715978</c:v>
                </c:pt>
                <c:pt idx="3">
                  <c:v>0.71597633136094674</c:v>
                </c:pt>
                <c:pt idx="4">
                  <c:v>0.59467455621301779</c:v>
                </c:pt>
                <c:pt idx="5">
                  <c:v>0.40236686390532539</c:v>
                </c:pt>
                <c:pt idx="6">
                  <c:v>0.18639053254437865</c:v>
                </c:pt>
                <c:pt idx="7">
                  <c:v>0.12426035502958577</c:v>
                </c:pt>
                <c:pt idx="8">
                  <c:v>5.6213017751479244E-2</c:v>
                </c:pt>
                <c:pt idx="9">
                  <c:v>2.9585798816568087E-2</c:v>
                </c:pt>
                <c:pt idx="10">
                  <c:v>1.1834319526627168E-2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'Logit 6'!$AO$6:$AO$18</c:f>
              <c:numCache>
                <c:formatCode>General</c:formatCode>
                <c:ptCount val="13"/>
                <c:pt idx="0">
                  <c:v>1</c:v>
                </c:pt>
                <c:pt idx="1">
                  <c:v>0.98659003831417624</c:v>
                </c:pt>
                <c:pt idx="2">
                  <c:v>0.97892720306513414</c:v>
                </c:pt>
                <c:pt idx="3">
                  <c:v>0.94636015325670497</c:v>
                </c:pt>
                <c:pt idx="4">
                  <c:v>0.92528735632183912</c:v>
                </c:pt>
                <c:pt idx="5">
                  <c:v>0.8122605363984674</c:v>
                </c:pt>
                <c:pt idx="6">
                  <c:v>0.6954022988505747</c:v>
                </c:pt>
                <c:pt idx="7">
                  <c:v>0.56513409961685823</c:v>
                </c:pt>
                <c:pt idx="8">
                  <c:v>0.39080459770114939</c:v>
                </c:pt>
                <c:pt idx="9">
                  <c:v>0.24712643678160917</c:v>
                </c:pt>
                <c:pt idx="10">
                  <c:v>7.4712643678160884E-2</c:v>
                </c:pt>
                <c:pt idx="11">
                  <c:v>4.0229885057471271E-2</c:v>
                </c:pt>
                <c:pt idx="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57728"/>
        <c:axId val="695987712"/>
      </c:scatterChart>
      <c:valAx>
        <c:axId val="52045772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7712"/>
        <c:crosses val="autoZero"/>
        <c:crossBetween val="midCat"/>
      </c:valAx>
      <c:valAx>
        <c:axId val="69598771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457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6'!$AL$29:$AL$35</c:f>
              <c:numCache>
                <c:formatCode>General</c:formatCode>
                <c:ptCount val="7"/>
                <c:pt idx="0">
                  <c:v>1</c:v>
                </c:pt>
                <c:pt idx="1">
                  <c:v>0.85207100591715978</c:v>
                </c:pt>
                <c:pt idx="2">
                  <c:v>0.59467455621301779</c:v>
                </c:pt>
                <c:pt idx="3">
                  <c:v>0.18639053254437865</c:v>
                </c:pt>
                <c:pt idx="4">
                  <c:v>5.6213017751479244E-2</c:v>
                </c:pt>
                <c:pt idx="5">
                  <c:v>1.1834319526627168E-2</c:v>
                </c:pt>
                <c:pt idx="6">
                  <c:v>0</c:v>
                </c:pt>
              </c:numCache>
            </c:numRef>
          </c:xVal>
          <c:yVal>
            <c:numRef>
              <c:f>'Logit 6'!$AM$29:$AM$35</c:f>
              <c:numCache>
                <c:formatCode>General</c:formatCode>
                <c:ptCount val="7"/>
                <c:pt idx="0">
                  <c:v>1</c:v>
                </c:pt>
                <c:pt idx="1">
                  <c:v>0.97892720306513414</c:v>
                </c:pt>
                <c:pt idx="2">
                  <c:v>0.92528735632183912</c:v>
                </c:pt>
                <c:pt idx="3">
                  <c:v>0.6954022988505747</c:v>
                </c:pt>
                <c:pt idx="4">
                  <c:v>0.39080459770114939</c:v>
                </c:pt>
                <c:pt idx="5">
                  <c:v>7.4712643678160884E-2</c:v>
                </c:pt>
                <c:pt idx="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86144"/>
        <c:axId val="695986928"/>
      </c:scatterChart>
      <c:valAx>
        <c:axId val="695986144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6928"/>
        <c:crosses val="autoZero"/>
        <c:crossBetween val="midCat"/>
      </c:valAx>
      <c:valAx>
        <c:axId val="695986928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6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6'!$AL$50:$AL$52</c:f>
              <c:numCache>
                <c:formatCode>General</c:formatCode>
                <c:ptCount val="3"/>
                <c:pt idx="0">
                  <c:v>1</c:v>
                </c:pt>
                <c:pt idx="1">
                  <c:v>0.50591715976331364</c:v>
                </c:pt>
                <c:pt idx="2">
                  <c:v>0</c:v>
                </c:pt>
              </c:numCache>
            </c:numRef>
          </c:xVal>
          <c:yVal>
            <c:numRef>
              <c:f>'Logit 6'!$AM$50:$AM$52</c:f>
              <c:numCache>
                <c:formatCode>General</c:formatCode>
                <c:ptCount val="3"/>
                <c:pt idx="0">
                  <c:v>1</c:v>
                </c:pt>
                <c:pt idx="1">
                  <c:v>0.53256704980842917</c:v>
                </c:pt>
                <c:pt idx="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86536"/>
        <c:axId val="695987320"/>
      </c:scatterChart>
      <c:valAx>
        <c:axId val="69598653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7320"/>
        <c:crosses val="autoZero"/>
        <c:crossBetween val="midCat"/>
      </c:valAx>
      <c:valAx>
        <c:axId val="69598732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6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6'!$AR$71:$AR$83</c:f>
              <c:numCache>
                <c:formatCode>General</c:formatCode>
                <c:ptCount val="13"/>
                <c:pt idx="0">
                  <c:v>1</c:v>
                </c:pt>
                <c:pt idx="1">
                  <c:v>0.91715976331360949</c:v>
                </c:pt>
                <c:pt idx="2">
                  <c:v>0.85207100591715978</c:v>
                </c:pt>
                <c:pt idx="3">
                  <c:v>0.73076923076923084</c:v>
                </c:pt>
                <c:pt idx="4">
                  <c:v>0.59467455621301779</c:v>
                </c:pt>
                <c:pt idx="5">
                  <c:v>0.37869822485207105</c:v>
                </c:pt>
                <c:pt idx="6">
                  <c:v>0.18639053254437865</c:v>
                </c:pt>
                <c:pt idx="7">
                  <c:v>0.12426035502958577</c:v>
                </c:pt>
                <c:pt idx="8">
                  <c:v>5.6213017751479244E-2</c:v>
                </c:pt>
                <c:pt idx="9">
                  <c:v>2.9585798816568087E-2</c:v>
                </c:pt>
                <c:pt idx="10">
                  <c:v>1.1834319526627168E-2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'Logit 6'!$AS$71:$AS$83</c:f>
              <c:numCache>
                <c:formatCode>General</c:formatCode>
                <c:ptCount val="13"/>
                <c:pt idx="0">
                  <c:v>1</c:v>
                </c:pt>
                <c:pt idx="1">
                  <c:v>0.9923371647509579</c:v>
                </c:pt>
                <c:pt idx="2">
                  <c:v>0.97892720306513414</c:v>
                </c:pt>
                <c:pt idx="3">
                  <c:v>0.95785440613026818</c:v>
                </c:pt>
                <c:pt idx="4">
                  <c:v>0.92528735632183912</c:v>
                </c:pt>
                <c:pt idx="5">
                  <c:v>0.8084291187739463</c:v>
                </c:pt>
                <c:pt idx="6">
                  <c:v>0.6954022988505747</c:v>
                </c:pt>
                <c:pt idx="7">
                  <c:v>0.56513409961685823</c:v>
                </c:pt>
                <c:pt idx="8">
                  <c:v>0.39080459770114939</c:v>
                </c:pt>
                <c:pt idx="9">
                  <c:v>0.24712643678160917</c:v>
                </c:pt>
                <c:pt idx="10">
                  <c:v>7.4712643678160884E-2</c:v>
                </c:pt>
                <c:pt idx="11">
                  <c:v>4.0229885057471271E-2</c:v>
                </c:pt>
                <c:pt idx="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84576"/>
        <c:axId val="695984968"/>
      </c:scatterChart>
      <c:valAx>
        <c:axId val="69598457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4968"/>
        <c:crosses val="autoZero"/>
        <c:crossBetween val="midCat"/>
      </c:valAx>
      <c:valAx>
        <c:axId val="695984968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984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1 vs 2+3+4</c:v>
          </c:tx>
          <c:marker>
            <c:symbol val="none"/>
          </c:marker>
          <c:val>
            <c:numRef>
              <c:f>'OLogit 1'!$D$28:$D$35</c:f>
              <c:numCache>
                <c:formatCode>General</c:formatCode>
                <c:ptCount val="8"/>
                <c:pt idx="0">
                  <c:v>51</c:v>
                </c:pt>
                <c:pt idx="1">
                  <c:v>44</c:v>
                </c:pt>
                <c:pt idx="2">
                  <c:v>34</c:v>
                </c:pt>
                <c:pt idx="3">
                  <c:v>39</c:v>
                </c:pt>
                <c:pt idx="4">
                  <c:v>57</c:v>
                </c:pt>
                <c:pt idx="5">
                  <c:v>52</c:v>
                </c:pt>
                <c:pt idx="6">
                  <c:v>50</c:v>
                </c:pt>
                <c:pt idx="7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v>1+2 vs 3+4</c:v>
          </c:tx>
          <c:marker>
            <c:symbol val="none"/>
          </c:marker>
          <c:val>
            <c:numRef>
              <c:f>'OLogit 1'!$K$28:$K$35</c:f>
              <c:numCache>
                <c:formatCode>General</c:formatCode>
                <c:ptCount val="8"/>
                <c:pt idx="0">
                  <c:v>42</c:v>
                </c:pt>
                <c:pt idx="1">
                  <c:v>36</c:v>
                </c:pt>
                <c:pt idx="2">
                  <c:v>32</c:v>
                </c:pt>
                <c:pt idx="3">
                  <c:v>20</c:v>
                </c:pt>
                <c:pt idx="4">
                  <c:v>44</c:v>
                </c:pt>
                <c:pt idx="5">
                  <c:v>37</c:v>
                </c:pt>
                <c:pt idx="6">
                  <c:v>38</c:v>
                </c:pt>
                <c:pt idx="7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v>1+2+3 vs 4</c:v>
          </c:tx>
          <c:marker>
            <c:symbol val="none"/>
          </c:marker>
          <c:val>
            <c:numRef>
              <c:f>'OLogit 1'!$R$28:$R$35</c:f>
              <c:numCache>
                <c:formatCode>General</c:formatCode>
                <c:ptCount val="8"/>
                <c:pt idx="0">
                  <c:v>25</c:v>
                </c:pt>
                <c:pt idx="1">
                  <c:v>16</c:v>
                </c:pt>
                <c:pt idx="2">
                  <c:v>24</c:v>
                </c:pt>
                <c:pt idx="3">
                  <c:v>8</c:v>
                </c:pt>
                <c:pt idx="4">
                  <c:v>28</c:v>
                </c:pt>
                <c:pt idx="5">
                  <c:v>20</c:v>
                </c:pt>
                <c:pt idx="6">
                  <c:v>12</c:v>
                </c:pt>
                <c:pt idx="7">
                  <c:v>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30536"/>
        <c:axId val="466331712"/>
      </c:lineChart>
      <c:catAx>
        <c:axId val="46633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6331712"/>
        <c:crosses val="autoZero"/>
        <c:auto val="1"/>
        <c:lblAlgn val="ctr"/>
        <c:lblOffset val="100"/>
        <c:noMultiLvlLbl val="0"/>
      </c:catAx>
      <c:valAx>
        <c:axId val="46633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6330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Survival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Kaplan!$N$4:$N$20</c:f>
              <c:numCache>
                <c:formatCode>General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</c:numCache>
            </c:numRef>
          </c:xVal>
          <c:yVal>
            <c:numRef>
              <c:f>Kaplan!$O$4:$O$20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0.94444444444444442</c:v>
                </c:pt>
                <c:pt idx="3">
                  <c:v>0.94444444444444442</c:v>
                </c:pt>
                <c:pt idx="4">
                  <c:v>0.88888888888888884</c:v>
                </c:pt>
                <c:pt idx="5">
                  <c:v>0.88888888888888884</c:v>
                </c:pt>
                <c:pt idx="6">
                  <c:v>0.72222222222222221</c:v>
                </c:pt>
                <c:pt idx="7">
                  <c:v>0.72222222222222221</c:v>
                </c:pt>
                <c:pt idx="8">
                  <c:v>0.54166666666666663</c:v>
                </c:pt>
                <c:pt idx="9">
                  <c:v>0.54166666666666663</c:v>
                </c:pt>
                <c:pt idx="10">
                  <c:v>0.54166666666666663</c:v>
                </c:pt>
                <c:pt idx="11">
                  <c:v>0.54166666666666663</c:v>
                </c:pt>
                <c:pt idx="12">
                  <c:v>0.54166666666666663</c:v>
                </c:pt>
                <c:pt idx="13">
                  <c:v>0.54166666666666663</c:v>
                </c:pt>
                <c:pt idx="14">
                  <c:v>0.3611111111111111</c:v>
                </c:pt>
                <c:pt idx="15">
                  <c:v>0.3611111111111111</c:v>
                </c:pt>
                <c:pt idx="16">
                  <c:v>0.18055555555555555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36416"/>
        <c:axId val="466331320"/>
      </c:scatterChart>
      <c:valAx>
        <c:axId val="4663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time t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1320"/>
        <c:crosses val="autoZero"/>
        <c:crossBetween val="midCat"/>
      </c:valAx>
      <c:valAx>
        <c:axId val="46633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Survival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Kaplan!$N$25:$N$43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10</c:v>
                </c:pt>
                <c:pt idx="15">
                  <c:v>12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</c:numCache>
            </c:numRef>
          </c:xVal>
          <c:yVal>
            <c:numRef>
              <c:f>Kaplan!$O$25:$O$43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0.94444444444444442</c:v>
                </c:pt>
                <c:pt idx="3">
                  <c:v>0.94444444444444442</c:v>
                </c:pt>
                <c:pt idx="4">
                  <c:v>0.88888888888888884</c:v>
                </c:pt>
                <c:pt idx="5">
                  <c:v>0.88888888888888884</c:v>
                </c:pt>
                <c:pt idx="6">
                  <c:v>0.83333333333333326</c:v>
                </c:pt>
                <c:pt idx="7">
                  <c:v>0.83333333333333326</c:v>
                </c:pt>
                <c:pt idx="8">
                  <c:v>0.77777777777777768</c:v>
                </c:pt>
                <c:pt idx="9">
                  <c:v>0.77777777777777768</c:v>
                </c:pt>
                <c:pt idx="10">
                  <c:v>0.7129629629629628</c:v>
                </c:pt>
                <c:pt idx="11">
                  <c:v>0.7129629629629628</c:v>
                </c:pt>
                <c:pt idx="12">
                  <c:v>0.7129629629629628</c:v>
                </c:pt>
                <c:pt idx="13">
                  <c:v>0.7129629629629628</c:v>
                </c:pt>
                <c:pt idx="14">
                  <c:v>0.55452674897119325</c:v>
                </c:pt>
                <c:pt idx="15">
                  <c:v>0.55452674897119325</c:v>
                </c:pt>
                <c:pt idx="16">
                  <c:v>0.55452674897119325</c:v>
                </c:pt>
                <c:pt idx="17">
                  <c:v>0.55452674897119325</c:v>
                </c:pt>
                <c:pt idx="18">
                  <c:v>0.3666292555181444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37592"/>
        <c:axId val="466332496"/>
      </c:scatterChart>
      <c:valAx>
        <c:axId val="466337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time t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2496"/>
        <c:crosses val="autoZero"/>
        <c:crossBetween val="midCat"/>
      </c:valAx>
      <c:valAx>
        <c:axId val="46633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7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Survival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Lit>
              <c:formatCode>General</c:formatCode>
              <c:ptCount val="17"/>
              <c:pt idx="0">
                <c:v>0</c:v>
              </c:pt>
              <c:pt idx="1">
                <c:v>2</c:v>
              </c:pt>
              <c:pt idx="2">
                <c:v>2</c:v>
              </c:pt>
              <c:pt idx="3">
                <c:v>3</c:v>
              </c:pt>
              <c:pt idx="4">
                <c:v>3</c:v>
              </c:pt>
              <c:pt idx="5">
                <c:v>5</c:v>
              </c:pt>
              <c:pt idx="6">
                <c:v>5</c:v>
              </c:pt>
              <c:pt idx="7">
                <c:v>8</c:v>
              </c:pt>
              <c:pt idx="8">
                <c:v>8</c:v>
              </c:pt>
              <c:pt idx="9">
                <c:v>9</c:v>
              </c:pt>
              <c:pt idx="10">
                <c:v>9</c:v>
              </c:pt>
              <c:pt idx="11">
                <c:v>10</c:v>
              </c:pt>
              <c:pt idx="12">
                <c:v>10</c:v>
              </c:pt>
              <c:pt idx="13">
                <c:v>11</c:v>
              </c:pt>
              <c:pt idx="14">
                <c:v>11</c:v>
              </c:pt>
              <c:pt idx="15">
                <c:v>12</c:v>
              </c:pt>
              <c:pt idx="16">
                <c:v>12</c:v>
              </c:pt>
            </c:numLit>
          </c:xVal>
          <c:yVal>
            <c:numLit>
              <c:formatCode>General</c:formatCode>
              <c:ptCount val="17"/>
              <c:pt idx="0">
                <c:v>1</c:v>
              </c:pt>
              <c:pt idx="1">
                <c:v>1</c:v>
              </c:pt>
              <c:pt idx="2">
                <c:v>0.94444444444444442</c:v>
              </c:pt>
              <c:pt idx="3">
                <c:v>0.94444444444444442</c:v>
              </c:pt>
              <c:pt idx="4">
                <c:v>0.88888888888888884</c:v>
              </c:pt>
              <c:pt idx="5">
                <c:v>0.88888888888888884</c:v>
              </c:pt>
              <c:pt idx="6">
                <c:v>0.72222222222222221</c:v>
              </c:pt>
              <c:pt idx="7">
                <c:v>0.72222222222222221</c:v>
              </c:pt>
              <c:pt idx="8">
                <c:v>0.54166666666666663</c:v>
              </c:pt>
              <c:pt idx="9">
                <c:v>0.54166666666666663</c:v>
              </c:pt>
              <c:pt idx="10">
                <c:v>0.54166666666666663</c:v>
              </c:pt>
              <c:pt idx="11">
                <c:v>0.54166666666666663</c:v>
              </c:pt>
              <c:pt idx="12">
                <c:v>0.54166666666666663</c:v>
              </c:pt>
              <c:pt idx="13">
                <c:v>0.54166666666666663</c:v>
              </c:pt>
              <c:pt idx="14">
                <c:v>0.3611111111111111</c:v>
              </c:pt>
              <c:pt idx="15">
                <c:v>0.3611111111111111</c:v>
              </c:pt>
              <c:pt idx="16">
                <c:v>0.18055555555555555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30144"/>
        <c:axId val="466333280"/>
      </c:scatterChart>
      <c:valAx>
        <c:axId val="46633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333280"/>
        <c:crosses val="autoZero"/>
        <c:crossBetween val="midCat"/>
      </c:valAx>
      <c:valAx>
        <c:axId val="466333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330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Survival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0.88888888888888884</c:v>
              </c:pt>
              <c:pt idx="9">
                <c:v>0.88888888888888884</c:v>
              </c:pt>
              <c:pt idx="10">
                <c:v>0.72222222222222221</c:v>
              </c:pt>
              <c:pt idx="11">
                <c:v>0.72222222222222221</c:v>
              </c:pt>
              <c:pt idx="12">
                <c:v>0.72222222222222221</c:v>
              </c:pt>
              <c:pt idx="13">
                <c:v>0.72222222222222221</c:v>
              </c:pt>
              <c:pt idx="14">
                <c:v>0.54166666666666663</c:v>
              </c:pt>
              <c:pt idx="15">
                <c:v>0.54166666666666663</c:v>
              </c:pt>
              <c:pt idx="16">
                <c:v>0.54166666666666663</c:v>
              </c:pt>
              <c:pt idx="17">
                <c:v>0.54166666666666663</c:v>
              </c:pt>
              <c:pt idx="18">
                <c:v>0.54166666666666663</c:v>
              </c:pt>
              <c:pt idx="19">
                <c:v>0.54166666666666663</c:v>
              </c:pt>
              <c:pt idx="20">
                <c:v>0.3611111111111111</c:v>
              </c:pt>
              <c:pt idx="21">
                <c:v>0.3611111111111111</c:v>
              </c:pt>
              <c:pt idx="22">
                <c:v>0.18055555555555555</c:v>
              </c:pt>
              <c:pt idx="23">
                <c:v>0.18055555555555555</c:v>
              </c:pt>
              <c:pt idx="24">
                <c:v>0.18055555555555555</c:v>
              </c:pt>
            </c:numLit>
          </c:yVal>
          <c:smooth val="0"/>
        </c:ser>
        <c:ser>
          <c:idx val="1"/>
          <c:order val="1"/>
          <c:tx>
            <c:v>B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0.94444444444444442</c:v>
              </c:pt>
              <c:pt idx="3">
                <c:v>0.94444444444444442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0.83333333333333326</c:v>
              </c:pt>
              <c:pt idx="9">
                <c:v>0.83333333333333326</c:v>
              </c:pt>
              <c:pt idx="10">
                <c:v>0.83333333333333326</c:v>
              </c:pt>
              <c:pt idx="11">
                <c:v>0.83333333333333326</c:v>
              </c:pt>
              <c:pt idx="12">
                <c:v>0.77777777777777768</c:v>
              </c:pt>
              <c:pt idx="13">
                <c:v>0.77777777777777768</c:v>
              </c:pt>
              <c:pt idx="14">
                <c:v>0.7129629629629628</c:v>
              </c:pt>
              <c:pt idx="15">
                <c:v>0.7129629629629628</c:v>
              </c:pt>
              <c:pt idx="16">
                <c:v>0.7129629629629628</c:v>
              </c:pt>
              <c:pt idx="17">
                <c:v>0.7129629629629628</c:v>
              </c:pt>
              <c:pt idx="18">
                <c:v>0.55452674897119325</c:v>
              </c:pt>
              <c:pt idx="19">
                <c:v>0.55452674897119325</c:v>
              </c:pt>
              <c:pt idx="20">
                <c:v>0.55452674897119325</c:v>
              </c:pt>
              <c:pt idx="21">
                <c:v>0.55452674897119325</c:v>
              </c:pt>
              <c:pt idx="22">
                <c:v>0.55452674897119325</c:v>
              </c:pt>
              <c:pt idx="23">
                <c:v>0.55452674897119325</c:v>
              </c:pt>
              <c:pt idx="24">
                <c:v>0.36968449931412889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36808"/>
        <c:axId val="466337200"/>
      </c:scatterChart>
      <c:valAx>
        <c:axId val="466336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337200"/>
        <c:crosses val="autoZero"/>
        <c:crossBetween val="midCat"/>
      </c:valAx>
      <c:valAx>
        <c:axId val="466337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336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Survival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0.88888888888888884</c:v>
              </c:pt>
              <c:pt idx="9">
                <c:v>0.88888888888888884</c:v>
              </c:pt>
              <c:pt idx="10">
                <c:v>0.72222222222222221</c:v>
              </c:pt>
              <c:pt idx="11">
                <c:v>0.72222222222222221</c:v>
              </c:pt>
              <c:pt idx="12">
                <c:v>0.72222222222222221</c:v>
              </c:pt>
              <c:pt idx="13">
                <c:v>0.72222222222222221</c:v>
              </c:pt>
              <c:pt idx="14">
                <c:v>0.54166666666666663</c:v>
              </c:pt>
              <c:pt idx="15">
                <c:v>0.54166666666666663</c:v>
              </c:pt>
              <c:pt idx="16">
                <c:v>0.54166666666666663</c:v>
              </c:pt>
              <c:pt idx="17">
                <c:v>0.54166666666666663</c:v>
              </c:pt>
              <c:pt idx="18">
                <c:v>0.54166666666666663</c:v>
              </c:pt>
              <c:pt idx="19">
                <c:v>0.54166666666666663</c:v>
              </c:pt>
              <c:pt idx="20">
                <c:v>0.3611111111111111</c:v>
              </c:pt>
              <c:pt idx="21">
                <c:v>0.3611111111111111</c:v>
              </c:pt>
              <c:pt idx="22">
                <c:v>0.18055555555555555</c:v>
              </c:pt>
              <c:pt idx="23">
                <c:v>0.18055555555555555</c:v>
              </c:pt>
              <c:pt idx="24">
                <c:v>0.18055555555555555</c:v>
              </c:pt>
            </c:numLit>
          </c:yVal>
          <c:smooth val="0"/>
        </c:ser>
        <c:ser>
          <c:idx val="1"/>
          <c:order val="1"/>
          <c:tx>
            <c:v>B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0.94444444444444442</c:v>
              </c:pt>
              <c:pt idx="3">
                <c:v>0.94444444444444442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0.83333333333333326</c:v>
              </c:pt>
              <c:pt idx="9">
                <c:v>0.83333333333333326</c:v>
              </c:pt>
              <c:pt idx="10">
                <c:v>0.83333333333333326</c:v>
              </c:pt>
              <c:pt idx="11">
                <c:v>0.83333333333333326</c:v>
              </c:pt>
              <c:pt idx="12">
                <c:v>0.77777777777777768</c:v>
              </c:pt>
              <c:pt idx="13">
                <c:v>0.77777777777777768</c:v>
              </c:pt>
              <c:pt idx="14">
                <c:v>0.7129629629629628</c:v>
              </c:pt>
              <c:pt idx="15">
                <c:v>0.7129629629629628</c:v>
              </c:pt>
              <c:pt idx="16">
                <c:v>0.7129629629629628</c:v>
              </c:pt>
              <c:pt idx="17">
                <c:v>0.7129629629629628</c:v>
              </c:pt>
              <c:pt idx="18">
                <c:v>0.55452674897119325</c:v>
              </c:pt>
              <c:pt idx="19">
                <c:v>0.55452674897119325</c:v>
              </c:pt>
              <c:pt idx="20">
                <c:v>0.55452674897119325</c:v>
              </c:pt>
              <c:pt idx="21">
                <c:v>0.55452674897119325</c:v>
              </c:pt>
              <c:pt idx="22">
                <c:v>0.55452674897119325</c:v>
              </c:pt>
              <c:pt idx="23">
                <c:v>0.55452674897119325</c:v>
              </c:pt>
              <c:pt idx="24">
                <c:v>0.36968449931412889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35240"/>
        <c:axId val="466335632"/>
      </c:scatterChart>
      <c:valAx>
        <c:axId val="466335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335632"/>
        <c:crosses val="autoZero"/>
        <c:crossBetween val="midCat"/>
      </c:valAx>
      <c:valAx>
        <c:axId val="466335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335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Survival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'Log-Rank'!$V$5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'Log-Rank'!$U$6:$U$30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</c:numCache>
            </c:numRef>
          </c:xVal>
          <c:yVal>
            <c:numRef>
              <c:f>'Log-Rank'!$V$6:$V$30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0.94444444444444442</c:v>
                </c:pt>
                <c:pt idx="5">
                  <c:v>0.94444444444444442</c:v>
                </c:pt>
                <c:pt idx="6">
                  <c:v>0.88888888888888884</c:v>
                </c:pt>
                <c:pt idx="7">
                  <c:v>0.88888888888888884</c:v>
                </c:pt>
                <c:pt idx="8">
                  <c:v>0.88888888888888884</c:v>
                </c:pt>
                <c:pt idx="9">
                  <c:v>0.88888888888888884</c:v>
                </c:pt>
                <c:pt idx="10">
                  <c:v>0.72222222222222221</c:v>
                </c:pt>
                <c:pt idx="11">
                  <c:v>0.72222222222222221</c:v>
                </c:pt>
                <c:pt idx="12">
                  <c:v>0.72222222222222221</c:v>
                </c:pt>
                <c:pt idx="13">
                  <c:v>0.72222222222222221</c:v>
                </c:pt>
                <c:pt idx="14">
                  <c:v>0.54166666666666663</c:v>
                </c:pt>
                <c:pt idx="15">
                  <c:v>0.54166666666666663</c:v>
                </c:pt>
                <c:pt idx="16">
                  <c:v>0.54166666666666663</c:v>
                </c:pt>
                <c:pt idx="17">
                  <c:v>0.54166666666666663</c:v>
                </c:pt>
                <c:pt idx="18">
                  <c:v>0.54166666666666663</c:v>
                </c:pt>
                <c:pt idx="19">
                  <c:v>0.54166666666666663</c:v>
                </c:pt>
                <c:pt idx="20">
                  <c:v>0.3611111111111111</c:v>
                </c:pt>
                <c:pt idx="21">
                  <c:v>0.3611111111111111</c:v>
                </c:pt>
                <c:pt idx="22">
                  <c:v>0.18055555555555555</c:v>
                </c:pt>
                <c:pt idx="23">
                  <c:v>0.18055555555555555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'Log-Rank'!$W$5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'Log-Rank'!$U$6:$U$30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</c:numCache>
            </c:numRef>
          </c:xVal>
          <c:yVal>
            <c:numRef>
              <c:f>'Log-Rank'!$W$6:$W$30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0.94444444444444442</c:v>
                </c:pt>
                <c:pt idx="3">
                  <c:v>0.94444444444444442</c:v>
                </c:pt>
                <c:pt idx="4">
                  <c:v>0.94444444444444442</c:v>
                </c:pt>
                <c:pt idx="5">
                  <c:v>0.94444444444444442</c:v>
                </c:pt>
                <c:pt idx="6">
                  <c:v>0.88888888888888884</c:v>
                </c:pt>
                <c:pt idx="7">
                  <c:v>0.88888888888888884</c:v>
                </c:pt>
                <c:pt idx="8">
                  <c:v>0.83333333333333326</c:v>
                </c:pt>
                <c:pt idx="9">
                  <c:v>0.83333333333333326</c:v>
                </c:pt>
                <c:pt idx="10">
                  <c:v>0.83333333333333326</c:v>
                </c:pt>
                <c:pt idx="11">
                  <c:v>0.83333333333333326</c:v>
                </c:pt>
                <c:pt idx="12">
                  <c:v>0.77777777777777768</c:v>
                </c:pt>
                <c:pt idx="13">
                  <c:v>0.77777777777777768</c:v>
                </c:pt>
                <c:pt idx="14">
                  <c:v>0.7129629629629628</c:v>
                </c:pt>
                <c:pt idx="15">
                  <c:v>0.7129629629629628</c:v>
                </c:pt>
                <c:pt idx="16">
                  <c:v>0.7129629629629628</c:v>
                </c:pt>
                <c:pt idx="17">
                  <c:v>0.7129629629629628</c:v>
                </c:pt>
                <c:pt idx="18">
                  <c:v>0.55452674897119325</c:v>
                </c:pt>
                <c:pt idx="19">
                  <c:v>0.55452674897119325</c:v>
                </c:pt>
                <c:pt idx="20">
                  <c:v>0.55452674897119325</c:v>
                </c:pt>
                <c:pt idx="21">
                  <c:v>0.55452674897119325</c:v>
                </c:pt>
                <c:pt idx="22">
                  <c:v>0.55452674897119325</c:v>
                </c:pt>
                <c:pt idx="23">
                  <c:v>0.55452674897119325</c:v>
                </c:pt>
                <c:pt idx="24">
                  <c:v>0.36968449931412889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09912"/>
        <c:axId val="547204032"/>
      </c:scatterChart>
      <c:valAx>
        <c:axId val="547209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04032"/>
        <c:crosses val="autoZero"/>
        <c:crossBetween val="midCat"/>
      </c:valAx>
      <c:valAx>
        <c:axId val="5472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09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'ANOVA Match 2.2'!$A$29</c:f>
              <c:strCache>
                <c:ptCount val="1"/>
                <c:pt idx="0">
                  <c:v>Pre</c:v>
                </c:pt>
              </c:strCache>
            </c:strRef>
          </c:tx>
          <c:cat>
            <c:strRef>
              <c:f>'ANOVA Match 2.2'!$B$28:$D$28</c:f>
              <c:strCache>
                <c:ptCount val="3"/>
                <c:pt idx="0">
                  <c:v>Product</c:v>
                </c:pt>
                <c:pt idx="1">
                  <c:v>Client</c:v>
                </c:pt>
                <c:pt idx="2">
                  <c:v>Action</c:v>
                </c:pt>
              </c:strCache>
            </c:strRef>
          </c:cat>
          <c:val>
            <c:numRef>
              <c:f>'ANOVA Match 2.2'!$B$29:$D$29</c:f>
              <c:numCache>
                <c:formatCode>General</c:formatCode>
                <c:ptCount val="3"/>
                <c:pt idx="0">
                  <c:v>15.5</c:v>
                </c:pt>
                <c:pt idx="1">
                  <c:v>20.3</c:v>
                </c:pt>
                <c:pt idx="2">
                  <c:v>22.3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'ANOVA Match 2.2'!$A$30</c:f>
              <c:strCache>
                <c:ptCount val="1"/>
                <c:pt idx="0">
                  <c:v>Post</c:v>
                </c:pt>
              </c:strCache>
            </c:strRef>
          </c:tx>
          <c:cat>
            <c:strRef>
              <c:f>'ANOVA Match 2.2'!$B$28:$D$28</c:f>
              <c:strCache>
                <c:ptCount val="3"/>
                <c:pt idx="0">
                  <c:v>Product</c:v>
                </c:pt>
                <c:pt idx="1">
                  <c:v>Client</c:v>
                </c:pt>
                <c:pt idx="2">
                  <c:v>Action</c:v>
                </c:pt>
              </c:strCache>
            </c:strRef>
          </c:cat>
          <c:val>
            <c:numRef>
              <c:f>'ANOVA Match 2.2'!$B$30:$D$30</c:f>
              <c:numCache>
                <c:formatCode>General</c:formatCode>
                <c:ptCount val="3"/>
                <c:pt idx="0">
                  <c:v>17.5</c:v>
                </c:pt>
                <c:pt idx="1">
                  <c:v>29.9</c:v>
                </c:pt>
                <c:pt idx="2">
                  <c:v>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10696"/>
        <c:axId val="547210304"/>
      </c:lineChart>
      <c:catAx>
        <c:axId val="547210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47210304"/>
        <c:crosses val="autoZero"/>
        <c:auto val="1"/>
        <c:lblAlgn val="ctr"/>
        <c:lblOffset val="100"/>
        <c:noMultiLvlLbl val="0"/>
      </c:catAx>
      <c:valAx>
        <c:axId val="547210304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210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'ANOVA Match 2.2'!$B$28</c:f>
              <c:strCache>
                <c:ptCount val="1"/>
                <c:pt idx="0">
                  <c:v>Product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2.2'!$B$29:$B$30</c:f>
              <c:numCache>
                <c:formatCode>General</c:formatCode>
                <c:ptCount val="2"/>
                <c:pt idx="0">
                  <c:v>15.5</c:v>
                </c:pt>
                <c:pt idx="1">
                  <c:v>17.5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'ANOVA Match 2.2'!$C$28</c:f>
              <c:strCache>
                <c:ptCount val="1"/>
                <c:pt idx="0">
                  <c:v>Client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2.2'!$C$29:$C$30</c:f>
              <c:numCache>
                <c:formatCode>General</c:formatCode>
                <c:ptCount val="2"/>
                <c:pt idx="0">
                  <c:v>20.3</c:v>
                </c:pt>
                <c:pt idx="1">
                  <c:v>29.9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'ANOVA Match 2.2'!$D$28</c:f>
              <c:strCache>
                <c:ptCount val="1"/>
                <c:pt idx="0">
                  <c:v>Action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2.2'!$D$29:$D$30</c:f>
              <c:numCache>
                <c:formatCode>General</c:formatCode>
                <c:ptCount val="2"/>
                <c:pt idx="0">
                  <c:v>22.3</c:v>
                </c:pt>
                <c:pt idx="1">
                  <c:v>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09128"/>
        <c:axId val="547209520"/>
      </c:lineChart>
      <c:catAx>
        <c:axId val="547209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47209520"/>
        <c:crosses val="autoZero"/>
        <c:auto val="1"/>
        <c:lblAlgn val="ctr"/>
        <c:lblOffset val="100"/>
        <c:noMultiLvlLbl val="0"/>
      </c:catAx>
      <c:valAx>
        <c:axId val="547209520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209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'ANOVA Match 2.3'!$I$9</c:f>
              <c:strCache>
                <c:ptCount val="1"/>
                <c:pt idx="0">
                  <c:v>Young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2.3'!$J$9:$N$9</c:f>
              <c:numCache>
                <c:formatCode>General</c:formatCode>
                <c:ptCount val="5"/>
                <c:pt idx="0">
                  <c:v>184.85714285714286</c:v>
                </c:pt>
                <c:pt idx="1">
                  <c:v>259.85714285714283</c:v>
                </c:pt>
                <c:pt idx="2">
                  <c:v>382.85714285714283</c:v>
                </c:pt>
                <c:pt idx="3">
                  <c:v>362.57142857142856</c:v>
                </c:pt>
                <c:pt idx="4">
                  <c:v>383.71428571428572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'ANOVA Match 2.3'!$I$10</c:f>
              <c:strCache>
                <c:ptCount val="1"/>
                <c:pt idx="0">
                  <c:v>Middle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2.3'!$J$10:$N$10</c:f>
              <c:numCache>
                <c:formatCode>General</c:formatCode>
                <c:ptCount val="5"/>
                <c:pt idx="0">
                  <c:v>54.428571428571431</c:v>
                </c:pt>
                <c:pt idx="1">
                  <c:v>119.14285714285714</c:v>
                </c:pt>
                <c:pt idx="2">
                  <c:v>317.42857142857144</c:v>
                </c:pt>
                <c:pt idx="3">
                  <c:v>281.57142857142856</c:v>
                </c:pt>
                <c:pt idx="4">
                  <c:v>309.85714285714283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'ANOVA Match 2.3'!$I$11</c:f>
              <c:strCache>
                <c:ptCount val="1"/>
                <c:pt idx="0">
                  <c:v>Old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2.3'!$J$11:$N$11</c:f>
              <c:numCache>
                <c:formatCode>General</c:formatCode>
                <c:ptCount val="5"/>
                <c:pt idx="0">
                  <c:v>87.428571428571431</c:v>
                </c:pt>
                <c:pt idx="1">
                  <c:v>238.71428571428572</c:v>
                </c:pt>
                <c:pt idx="2">
                  <c:v>369.57142857142856</c:v>
                </c:pt>
                <c:pt idx="3">
                  <c:v>374.28571428571428</c:v>
                </c:pt>
                <c:pt idx="4">
                  <c:v>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11088"/>
        <c:axId val="547203640"/>
      </c:lineChart>
      <c:catAx>
        <c:axId val="547211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47203640"/>
        <c:crosses val="autoZero"/>
        <c:auto val="1"/>
        <c:lblAlgn val="ctr"/>
        <c:lblOffset val="100"/>
        <c:noMultiLvlLbl val="0"/>
      </c:catAx>
      <c:valAx>
        <c:axId val="547203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211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'ANOVA Match 2.3'!$BH$6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2.3'!$BI$6:$BK$6</c:f>
              <c:numCache>
                <c:formatCode>General</c:formatCode>
                <c:ptCount val="3"/>
                <c:pt idx="0">
                  <c:v>237</c:v>
                </c:pt>
                <c:pt idx="1">
                  <c:v>155.19999999999999</c:v>
                </c:pt>
                <c:pt idx="2">
                  <c:v>249.8</c:v>
                </c:pt>
              </c:numCache>
            </c:numRef>
          </c:val>
        </c:ser>
        <c:ser>
          <c:idx val="1"/>
          <c:order val="1"/>
          <c:tx>
            <c:strRef>
              <c:f>'ANOVA Match 2.3'!$BH$7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2.3'!$BI$7:$BK$7</c:f>
              <c:numCache>
                <c:formatCode>General</c:formatCode>
                <c:ptCount val="3"/>
                <c:pt idx="0">
                  <c:v>37.100000000000023</c:v>
                </c:pt>
                <c:pt idx="1">
                  <c:v>32.199999999999989</c:v>
                </c:pt>
                <c:pt idx="2">
                  <c:v>9.6999999999999886</c:v>
                </c:pt>
              </c:numCache>
            </c:numRef>
          </c:val>
        </c:ser>
        <c:ser>
          <c:idx val="2"/>
          <c:order val="2"/>
          <c:tx>
            <c:strRef>
              <c:f>'ANOVA Match 2.3'!$BH$8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2.3'!$BI$8:$BK$8</c:f>
              <c:numCache>
                <c:formatCode>General</c:formatCode>
                <c:ptCount val="3"/>
                <c:pt idx="0">
                  <c:v>57.699999999999989</c:v>
                </c:pt>
                <c:pt idx="1">
                  <c:v>43.400000000000034</c:v>
                </c:pt>
                <c:pt idx="2">
                  <c:v>5.1000000000000227</c:v>
                </c:pt>
              </c:numCache>
            </c:numRef>
          </c:val>
        </c:ser>
        <c:ser>
          <c:idx val="3"/>
          <c:order val="3"/>
          <c:tx>
            <c:strRef>
              <c:f>'ANOVA Match 2.3'!$BH$9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'ANOVA Match 2.3'!$BI$10:$BK$10</c:f>
                <c:numCache>
                  <c:formatCode>General</c:formatCode>
                  <c:ptCount val="3"/>
                  <c:pt idx="0">
                    <c:v>15.099999999999966</c:v>
                  </c:pt>
                  <c:pt idx="1">
                    <c:v>34.900000000000006</c:v>
                  </c:pt>
                  <c:pt idx="2">
                    <c:v>47.199999999999989</c:v>
                  </c:pt>
                </c:numCache>
              </c:numRef>
            </c:plus>
          </c:errBars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2.3'!$BI$9:$BK$9</c:f>
              <c:numCache>
                <c:formatCode>General</c:formatCode>
                <c:ptCount val="3"/>
                <c:pt idx="0">
                  <c:v>25.300000000000011</c:v>
                </c:pt>
                <c:pt idx="1">
                  <c:v>9.0999999999999943</c:v>
                </c:pt>
                <c:pt idx="2">
                  <c:v>41.599999999999966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206384"/>
        <c:axId val="547205992"/>
      </c:barChart>
      <c:catAx>
        <c:axId val="547206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47205992"/>
        <c:crosses val="autoZero"/>
        <c:auto val="1"/>
        <c:lblAlgn val="ctr"/>
        <c:lblOffset val="100"/>
        <c:noMultiLvlLbl val="0"/>
      </c:catAx>
      <c:valAx>
        <c:axId val="547205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20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'ANOVA Match 2.3'!$BD$24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2.3'!$BE$24:$BS$24</c:f>
              <c:numCache>
                <c:formatCode>General</c:formatCode>
                <c:ptCount val="15"/>
                <c:pt idx="0">
                  <c:v>65</c:v>
                </c:pt>
                <c:pt idx="1">
                  <c:v>167</c:v>
                </c:pt>
                <c:pt idx="2">
                  <c:v>257</c:v>
                </c:pt>
                <c:pt idx="3">
                  <c:v>275</c:v>
                </c:pt>
                <c:pt idx="4">
                  <c:v>298</c:v>
                </c:pt>
                <c:pt idx="5">
                  <c:v>3</c:v>
                </c:pt>
                <c:pt idx="6">
                  <c:v>54</c:v>
                </c:pt>
                <c:pt idx="7">
                  <c:v>193</c:v>
                </c:pt>
                <c:pt idx="8">
                  <c:v>216</c:v>
                </c:pt>
                <c:pt idx="9">
                  <c:v>233</c:v>
                </c:pt>
                <c:pt idx="10">
                  <c:v>38</c:v>
                </c:pt>
                <c:pt idx="11">
                  <c:v>124</c:v>
                </c:pt>
                <c:pt idx="12">
                  <c:v>289</c:v>
                </c:pt>
                <c:pt idx="13">
                  <c:v>307</c:v>
                </c:pt>
                <c:pt idx="14">
                  <c:v>295</c:v>
                </c:pt>
              </c:numCache>
            </c:numRef>
          </c:val>
        </c:ser>
        <c:ser>
          <c:idx val="1"/>
          <c:order val="1"/>
          <c:tx>
            <c:strRef>
              <c:f>'ANOVA Match 2.3'!$BD$25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2.3'!$BE$25:$BS$25</c:f>
              <c:numCache>
                <c:formatCode>General</c:formatCode>
                <c:ptCount val="15"/>
                <c:pt idx="0">
                  <c:v>63.5</c:v>
                </c:pt>
                <c:pt idx="1">
                  <c:v>67</c:v>
                </c:pt>
                <c:pt idx="2">
                  <c:v>105.5</c:v>
                </c:pt>
                <c:pt idx="3">
                  <c:v>54.5</c:v>
                </c:pt>
                <c:pt idx="4">
                  <c:v>39</c:v>
                </c:pt>
                <c:pt idx="5">
                  <c:v>21.5</c:v>
                </c:pt>
                <c:pt idx="6">
                  <c:v>29.5</c:v>
                </c:pt>
                <c:pt idx="7">
                  <c:v>91</c:v>
                </c:pt>
                <c:pt idx="8">
                  <c:v>33.5</c:v>
                </c:pt>
                <c:pt idx="9">
                  <c:v>23.5</c:v>
                </c:pt>
                <c:pt idx="10">
                  <c:v>33</c:v>
                </c:pt>
                <c:pt idx="11">
                  <c:v>85</c:v>
                </c:pt>
                <c:pt idx="12">
                  <c:v>47.5</c:v>
                </c:pt>
                <c:pt idx="13">
                  <c:v>33</c:v>
                </c:pt>
                <c:pt idx="14">
                  <c:v>19.5</c:v>
                </c:pt>
              </c:numCache>
            </c:numRef>
          </c:val>
        </c:ser>
        <c:ser>
          <c:idx val="2"/>
          <c:order val="2"/>
          <c:tx>
            <c:strRef>
              <c:f>'ANOVA Match 2.3'!$BD$26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2.3'!$BE$26:$BS$26</c:f>
              <c:numCache>
                <c:formatCode>General</c:formatCode>
                <c:ptCount val="15"/>
                <c:pt idx="0">
                  <c:v>101.5</c:v>
                </c:pt>
                <c:pt idx="1">
                  <c:v>44</c:v>
                </c:pt>
                <c:pt idx="2">
                  <c:v>38.5</c:v>
                </c:pt>
                <c:pt idx="3">
                  <c:v>52.5</c:v>
                </c:pt>
                <c:pt idx="4">
                  <c:v>30</c:v>
                </c:pt>
                <c:pt idx="5">
                  <c:v>9.5</c:v>
                </c:pt>
                <c:pt idx="6">
                  <c:v>32.5</c:v>
                </c:pt>
                <c:pt idx="7">
                  <c:v>23</c:v>
                </c:pt>
                <c:pt idx="8">
                  <c:v>11.5</c:v>
                </c:pt>
                <c:pt idx="9">
                  <c:v>16.5</c:v>
                </c:pt>
                <c:pt idx="10">
                  <c:v>12</c:v>
                </c:pt>
                <c:pt idx="11">
                  <c:v>38</c:v>
                </c:pt>
                <c:pt idx="12">
                  <c:v>28.5</c:v>
                </c:pt>
                <c:pt idx="13">
                  <c:v>40</c:v>
                </c:pt>
                <c:pt idx="14">
                  <c:v>16.5</c:v>
                </c:pt>
              </c:numCache>
            </c:numRef>
          </c:val>
        </c:ser>
        <c:ser>
          <c:idx val="3"/>
          <c:order val="3"/>
          <c:tx>
            <c:strRef>
              <c:f>'ANOVA Match 2.3'!$BD$27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'ANOVA Match 2.3'!$BE$28:$BS$28</c:f>
                <c:numCache>
                  <c:formatCode>General</c:formatCode>
                  <c:ptCount val="15"/>
                  <c:pt idx="0">
                    <c:v>5.5</c:v>
                  </c:pt>
                  <c:pt idx="1">
                    <c:v>18</c:v>
                  </c:pt>
                  <c:pt idx="2">
                    <c:v>14.5</c:v>
                  </c:pt>
                  <c:pt idx="3">
                    <c:v>20.5</c:v>
                  </c:pt>
                  <c:pt idx="4">
                    <c:v>28.5</c:v>
                  </c:pt>
                  <c:pt idx="5">
                    <c:v>152.5</c:v>
                  </c:pt>
                  <c:pt idx="6">
                    <c:v>9.5</c:v>
                  </c:pt>
                  <c:pt idx="7">
                    <c:v>60.5</c:v>
                  </c:pt>
                  <c:pt idx="8">
                    <c:v>99.5</c:v>
                  </c:pt>
                  <c:pt idx="9">
                    <c:v>130</c:v>
                  </c:pt>
                  <c:pt idx="10">
                    <c:v>10</c:v>
                  </c:pt>
                  <c:pt idx="11">
                    <c:v>55.5</c:v>
                  </c:pt>
                  <c:pt idx="12">
                    <c:v>76.5</c:v>
                  </c:pt>
                  <c:pt idx="13">
                    <c:v>65</c:v>
                  </c:pt>
                  <c:pt idx="14">
                    <c:v>42</c:v>
                  </c:pt>
                </c:numCache>
              </c:numRef>
            </c:plus>
          </c:errBars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2.3'!$BE$27:$BS$27</c:f>
              <c:numCache>
                <c:formatCode>General</c:formatCode>
                <c:ptCount val="15"/>
                <c:pt idx="0">
                  <c:v>15.5</c:v>
                </c:pt>
                <c:pt idx="1">
                  <c:v>18</c:v>
                </c:pt>
                <c:pt idx="2">
                  <c:v>26.5</c:v>
                </c:pt>
                <c:pt idx="3">
                  <c:v>18.5</c:v>
                </c:pt>
                <c:pt idx="4">
                  <c:v>72.5</c:v>
                </c:pt>
                <c:pt idx="5">
                  <c:v>13.5</c:v>
                </c:pt>
                <c:pt idx="6">
                  <c:v>46.5</c:v>
                </c:pt>
                <c:pt idx="7">
                  <c:v>57.5</c:v>
                </c:pt>
                <c:pt idx="8">
                  <c:v>37.5</c:v>
                </c:pt>
                <c:pt idx="9">
                  <c:v>67</c:v>
                </c:pt>
                <c:pt idx="10">
                  <c:v>30</c:v>
                </c:pt>
                <c:pt idx="11">
                  <c:v>28.5</c:v>
                </c:pt>
                <c:pt idx="12">
                  <c:v>29.5</c:v>
                </c:pt>
                <c:pt idx="13">
                  <c:v>16</c:v>
                </c:pt>
                <c:pt idx="14">
                  <c:v>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207560"/>
        <c:axId val="547207952"/>
      </c:barChart>
      <c:catAx>
        <c:axId val="547207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47207952"/>
        <c:crosses val="autoZero"/>
        <c:auto val="1"/>
        <c:lblAlgn val="ctr"/>
        <c:lblOffset val="100"/>
        <c:noMultiLvlLbl val="0"/>
      </c:catAx>
      <c:valAx>
        <c:axId val="547207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207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'ANCOVA 1'!$M$6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1'!$N$6:$Q$6</c:f>
              <c:numCache>
                <c:formatCode>General</c:formatCode>
                <c:ptCount val="4"/>
                <c:pt idx="0">
                  <c:v>8</c:v>
                </c:pt>
                <c:pt idx="1">
                  <c:v>13</c:v>
                </c:pt>
                <c:pt idx="2">
                  <c:v>9</c:v>
                </c:pt>
                <c:pt idx="3">
                  <c:v>7</c:v>
                </c:pt>
              </c:numCache>
            </c:numRef>
          </c:val>
        </c:ser>
        <c:ser>
          <c:idx val="1"/>
          <c:order val="1"/>
          <c:tx>
            <c:strRef>
              <c:f>'ANCOVA 1'!$M$7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1'!$N$7:$Q$7</c:f>
              <c:numCache>
                <c:formatCode>General</c:formatCode>
                <c:ptCount val="4"/>
                <c:pt idx="0">
                  <c:v>6.25</c:v>
                </c:pt>
                <c:pt idx="1">
                  <c:v>16</c:v>
                </c:pt>
                <c:pt idx="2">
                  <c:v>4.5</c:v>
                </c:pt>
                <c:pt idx="3">
                  <c:v>3.5</c:v>
                </c:pt>
              </c:numCache>
            </c:numRef>
          </c:val>
        </c:ser>
        <c:ser>
          <c:idx val="2"/>
          <c:order val="2"/>
          <c:tx>
            <c:strRef>
              <c:f>'ANCOVA 1'!$M$8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1'!$N$8:$Q$8</c:f>
              <c:numCache>
                <c:formatCode>General</c:formatCode>
                <c:ptCount val="4"/>
                <c:pt idx="0">
                  <c:v>6.75</c:v>
                </c:pt>
                <c:pt idx="1">
                  <c:v>7</c:v>
                </c:pt>
                <c:pt idx="2">
                  <c:v>7</c:v>
                </c:pt>
                <c:pt idx="3">
                  <c:v>5.5</c:v>
                </c:pt>
              </c:numCache>
            </c:numRef>
          </c:val>
        </c:ser>
        <c:ser>
          <c:idx val="3"/>
          <c:order val="3"/>
          <c:tx>
            <c:strRef>
              <c:f>'ANCOVA 1'!$M$9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'ANCOVA 1'!$N$10:$Q$10</c:f>
                <c:numCache>
                  <c:formatCode>General</c:formatCode>
                  <c:ptCount val="4"/>
                  <c:pt idx="0">
                    <c:v>6.75</c:v>
                  </c:pt>
                  <c:pt idx="1">
                    <c:v>8.75</c:v>
                  </c:pt>
                  <c:pt idx="2">
                    <c:v>12.75</c:v>
                  </c:pt>
                  <c:pt idx="3">
                    <c:v>7</c:v>
                  </c:pt>
                </c:numCache>
              </c:numRef>
            </c:plus>
          </c:errBars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1'!$N$9:$Q$9</c:f>
              <c:numCache>
                <c:formatCode>General</c:formatCode>
                <c:ptCount val="4"/>
                <c:pt idx="0">
                  <c:v>11.25</c:v>
                </c:pt>
                <c:pt idx="1">
                  <c:v>5.25</c:v>
                </c:pt>
                <c:pt idx="2">
                  <c:v>8.75</c:v>
                </c:pt>
                <c:pt idx="3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208736"/>
        <c:axId val="569655584"/>
      </c:barChart>
      <c:catAx>
        <c:axId val="54720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69655584"/>
        <c:crosses val="autoZero"/>
        <c:auto val="1"/>
        <c:lblAlgn val="ctr"/>
        <c:lblOffset val="100"/>
        <c:noMultiLvlLbl val="0"/>
      </c:catAx>
      <c:valAx>
        <c:axId val="569655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208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Method 1</c:v>
          </c:tx>
          <c:spPr>
            <a:ln w="28575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1'!$T$6:$T$13</c:f>
              <c:numCache>
                <c:formatCode>General</c:formatCode>
                <c:ptCount val="8"/>
                <c:pt idx="0">
                  <c:v>17.5</c:v>
                </c:pt>
                <c:pt idx="1">
                  <c:v>104.60000000000001</c:v>
                </c:pt>
                <c:pt idx="2">
                  <c:v>64.7</c:v>
                </c:pt>
                <c:pt idx="3">
                  <c:v>47</c:v>
                </c:pt>
                <c:pt idx="4">
                  <c:v>22</c:v>
                </c:pt>
                <c:pt idx="5">
                  <c:v>12.4</c:v>
                </c:pt>
                <c:pt idx="6">
                  <c:v>20</c:v>
                </c:pt>
                <c:pt idx="7">
                  <c:v>79.7</c:v>
                </c:pt>
              </c:numCache>
            </c:numRef>
          </c:xVal>
          <c:yVal>
            <c:numRef>
              <c:f>'ANCOVA 1'!$U$6:$U$13</c:f>
              <c:numCache>
                <c:formatCode>General</c:formatCode>
                <c:ptCount val="8"/>
                <c:pt idx="0">
                  <c:v>12</c:v>
                </c:pt>
                <c:pt idx="1">
                  <c:v>39</c:v>
                </c:pt>
                <c:pt idx="2">
                  <c:v>36</c:v>
                </c:pt>
                <c:pt idx="3">
                  <c:v>17</c:v>
                </c:pt>
                <c:pt idx="4">
                  <c:v>25</c:v>
                </c:pt>
                <c:pt idx="5">
                  <c:v>15</c:v>
                </c:pt>
                <c:pt idx="6">
                  <c:v>8</c:v>
                </c:pt>
                <c:pt idx="7">
                  <c:v>31</c:v>
                </c:pt>
              </c:numCache>
            </c:numRef>
          </c:yVal>
          <c:smooth val="0"/>
        </c:ser>
        <c:ser>
          <c:idx val="1"/>
          <c:order val="1"/>
          <c:tx>
            <c:v>Method 2</c:v>
          </c:tx>
          <c:spPr>
            <a:ln w="28575">
              <a:noFill/>
            </a:ln>
          </c:spP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1'!$V$6:$V$13</c:f>
              <c:numCache>
                <c:formatCode>General</c:formatCode>
                <c:ptCount val="8"/>
                <c:pt idx="0">
                  <c:v>70.8</c:v>
                </c:pt>
                <c:pt idx="1">
                  <c:v>45.9</c:v>
                </c:pt>
                <c:pt idx="2">
                  <c:v>47.5</c:v>
                </c:pt>
                <c:pt idx="3">
                  <c:v>77.8</c:v>
                </c:pt>
                <c:pt idx="4">
                  <c:v>70.900000000000006</c:v>
                </c:pt>
                <c:pt idx="5">
                  <c:v>84.8</c:v>
                </c:pt>
                <c:pt idx="6">
                  <c:v>49.8</c:v>
                </c:pt>
                <c:pt idx="7">
                  <c:v>34.599999999999994</c:v>
                </c:pt>
              </c:numCache>
            </c:numRef>
          </c:xVal>
          <c:yVal>
            <c:numRef>
              <c:f>'ANCOVA 1'!$W$6:$W$13</c:f>
              <c:numCache>
                <c:formatCode>General</c:formatCode>
                <c:ptCount val="8"/>
                <c:pt idx="0">
                  <c:v>45</c:v>
                </c:pt>
                <c:pt idx="1">
                  <c:v>37</c:v>
                </c:pt>
                <c:pt idx="2">
                  <c:v>13</c:v>
                </c:pt>
                <c:pt idx="3">
                  <c:v>50</c:v>
                </c:pt>
                <c:pt idx="4">
                  <c:v>35</c:v>
                </c:pt>
                <c:pt idx="5">
                  <c:v>40</c:v>
                </c:pt>
                <c:pt idx="6">
                  <c:v>33</c:v>
                </c:pt>
                <c:pt idx="7">
                  <c:v>17</c:v>
                </c:pt>
              </c:numCache>
            </c:numRef>
          </c:yVal>
          <c:smooth val="0"/>
        </c:ser>
        <c:ser>
          <c:idx val="2"/>
          <c:order val="2"/>
          <c:tx>
            <c:v>Method 3</c:v>
          </c:tx>
          <c:spPr>
            <a:ln w="28575">
              <a:noFill/>
            </a:ln>
          </c:spP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1'!$X$6:$X$15</c:f>
              <c:numCache>
                <c:formatCode>General</c:formatCode>
                <c:ptCount val="10"/>
                <c:pt idx="0">
                  <c:v>71.400000000000006</c:v>
                </c:pt>
                <c:pt idx="1">
                  <c:v>55</c:v>
                </c:pt>
                <c:pt idx="2">
                  <c:v>54</c:v>
                </c:pt>
                <c:pt idx="3">
                  <c:v>27.9</c:v>
                </c:pt>
                <c:pt idx="4">
                  <c:v>40.599999999999994</c:v>
                </c:pt>
                <c:pt idx="5">
                  <c:v>33</c:v>
                </c:pt>
                <c:pt idx="6">
                  <c:v>22.2</c:v>
                </c:pt>
                <c:pt idx="7">
                  <c:v>80.5</c:v>
                </c:pt>
                <c:pt idx="8">
                  <c:v>80</c:v>
                </c:pt>
                <c:pt idx="9">
                  <c:v>41</c:v>
                </c:pt>
              </c:numCache>
            </c:numRef>
          </c:xVal>
          <c:yVal>
            <c:numRef>
              <c:f>'ANCOVA 1'!$Y$6:$Y$15</c:f>
              <c:numCache>
                <c:formatCode>General</c:formatCode>
                <c:ptCount val="10"/>
                <c:pt idx="0">
                  <c:v>20</c:v>
                </c:pt>
                <c:pt idx="1">
                  <c:v>42</c:v>
                </c:pt>
                <c:pt idx="2">
                  <c:v>31</c:v>
                </c:pt>
                <c:pt idx="3">
                  <c:v>24</c:v>
                </c:pt>
                <c:pt idx="4">
                  <c:v>15</c:v>
                </c:pt>
                <c:pt idx="5">
                  <c:v>13</c:v>
                </c:pt>
                <c:pt idx="6">
                  <c:v>9</c:v>
                </c:pt>
                <c:pt idx="7">
                  <c:v>21</c:v>
                </c:pt>
                <c:pt idx="8">
                  <c:v>31</c:v>
                </c:pt>
                <c:pt idx="9">
                  <c:v>13</c:v>
                </c:pt>
              </c:numCache>
            </c:numRef>
          </c:yVal>
          <c:smooth val="0"/>
        </c:ser>
        <c:ser>
          <c:idx val="3"/>
          <c:order val="3"/>
          <c:tx>
            <c:v>Method 4</c:v>
          </c:tx>
          <c:spPr>
            <a:ln w="28575">
              <a:noFill/>
            </a:ln>
          </c:spPr>
          <c:marker>
            <c:symbol val="circle"/>
            <c:size val="7"/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1'!$Z$6:$Z$15</c:f>
              <c:numCache>
                <c:formatCode>General</c:formatCode>
                <c:ptCount val="10"/>
                <c:pt idx="0">
                  <c:v>35</c:v>
                </c:pt>
                <c:pt idx="1">
                  <c:v>33</c:v>
                </c:pt>
                <c:pt idx="2">
                  <c:v>34.200000000000003</c:v>
                </c:pt>
                <c:pt idx="3">
                  <c:v>43.2</c:v>
                </c:pt>
                <c:pt idx="4">
                  <c:v>20</c:v>
                </c:pt>
                <c:pt idx="5">
                  <c:v>37</c:v>
                </c:pt>
                <c:pt idx="6">
                  <c:v>28.2</c:v>
                </c:pt>
                <c:pt idx="7">
                  <c:v>46.400000000000006</c:v>
                </c:pt>
                <c:pt idx="8">
                  <c:v>64.900000000000006</c:v>
                </c:pt>
                <c:pt idx="9">
                  <c:v>59.4</c:v>
                </c:pt>
              </c:numCache>
            </c:numRef>
          </c:xVal>
          <c:yVal>
            <c:numRef>
              <c:f>'ANCOVA 1'!$AA$6:$AA$15</c:f>
              <c:numCache>
                <c:formatCode>General</c:formatCode>
                <c:ptCount val="10"/>
                <c:pt idx="0">
                  <c:v>12</c:v>
                </c:pt>
                <c:pt idx="1">
                  <c:v>10</c:v>
                </c:pt>
                <c:pt idx="2">
                  <c:v>19</c:v>
                </c:pt>
                <c:pt idx="3">
                  <c:v>18</c:v>
                </c:pt>
                <c:pt idx="4">
                  <c:v>14</c:v>
                </c:pt>
                <c:pt idx="5">
                  <c:v>8</c:v>
                </c:pt>
                <c:pt idx="6">
                  <c:v>7</c:v>
                </c:pt>
                <c:pt idx="7">
                  <c:v>19</c:v>
                </c:pt>
                <c:pt idx="8">
                  <c:v>25</c:v>
                </c:pt>
                <c:pt idx="9">
                  <c:v>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58328"/>
        <c:axId val="569652840"/>
      </c:scatterChart>
      <c:valAx>
        <c:axId val="569658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9652840"/>
        <c:crosses val="autoZero"/>
        <c:crossBetween val="midCat"/>
      </c:valAx>
      <c:valAx>
        <c:axId val="569652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9658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Bland!$B$3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Bland!$A$4:$A$23</c:f>
              <c:numCache>
                <c:formatCode>0.0</c:formatCode>
                <c:ptCount val="20"/>
                <c:pt idx="0">
                  <c:v>38.799999999999997</c:v>
                </c:pt>
                <c:pt idx="1">
                  <c:v>43.7</c:v>
                </c:pt>
                <c:pt idx="2">
                  <c:v>45.8</c:v>
                </c:pt>
                <c:pt idx="3">
                  <c:v>50.3</c:v>
                </c:pt>
                <c:pt idx="4">
                  <c:v>56.5</c:v>
                </c:pt>
                <c:pt idx="5">
                  <c:v>61.5</c:v>
                </c:pt>
                <c:pt idx="6">
                  <c:v>62.2</c:v>
                </c:pt>
                <c:pt idx="7">
                  <c:v>62.8</c:v>
                </c:pt>
                <c:pt idx="8">
                  <c:v>63.7</c:v>
                </c:pt>
                <c:pt idx="9">
                  <c:v>64.5</c:v>
                </c:pt>
                <c:pt idx="10">
                  <c:v>66.2</c:v>
                </c:pt>
                <c:pt idx="11">
                  <c:v>67.3</c:v>
                </c:pt>
                <c:pt idx="12">
                  <c:v>68.3</c:v>
                </c:pt>
                <c:pt idx="13">
                  <c:v>68.400000000000006</c:v>
                </c:pt>
                <c:pt idx="14">
                  <c:v>69.3</c:v>
                </c:pt>
                <c:pt idx="15">
                  <c:v>69.5</c:v>
                </c:pt>
                <c:pt idx="16">
                  <c:v>72.5</c:v>
                </c:pt>
                <c:pt idx="17">
                  <c:v>73</c:v>
                </c:pt>
                <c:pt idx="18">
                  <c:v>75.3</c:v>
                </c:pt>
                <c:pt idx="19">
                  <c:v>77.2</c:v>
                </c:pt>
              </c:numCache>
            </c:numRef>
          </c:xVal>
          <c:yVal>
            <c:numRef>
              <c:f>Bland!$B$4:$B$23</c:f>
              <c:numCache>
                <c:formatCode>0.0</c:formatCode>
                <c:ptCount val="20"/>
                <c:pt idx="0">
                  <c:v>28.5</c:v>
                </c:pt>
                <c:pt idx="1">
                  <c:v>48.7</c:v>
                </c:pt>
                <c:pt idx="2">
                  <c:v>41.5</c:v>
                </c:pt>
                <c:pt idx="3">
                  <c:v>55.5</c:v>
                </c:pt>
                <c:pt idx="4">
                  <c:v>58.4</c:v>
                </c:pt>
                <c:pt idx="5">
                  <c:v>56.3</c:v>
                </c:pt>
                <c:pt idx="6">
                  <c:v>61.6</c:v>
                </c:pt>
                <c:pt idx="7">
                  <c:v>59.1</c:v>
                </c:pt>
                <c:pt idx="8">
                  <c:v>59.1</c:v>
                </c:pt>
                <c:pt idx="9">
                  <c:v>64.599999999999994</c:v>
                </c:pt>
                <c:pt idx="10">
                  <c:v>63.9</c:v>
                </c:pt>
                <c:pt idx="11">
                  <c:v>66.099999999999994</c:v>
                </c:pt>
                <c:pt idx="12">
                  <c:v>66.599999999999994</c:v>
                </c:pt>
                <c:pt idx="13">
                  <c:v>69.2</c:v>
                </c:pt>
                <c:pt idx="14">
                  <c:v>64.7</c:v>
                </c:pt>
                <c:pt idx="15">
                  <c:v>67</c:v>
                </c:pt>
                <c:pt idx="16">
                  <c:v>75.3</c:v>
                </c:pt>
                <c:pt idx="17">
                  <c:v>65.900000000000006</c:v>
                </c:pt>
                <c:pt idx="18">
                  <c:v>78.8</c:v>
                </c:pt>
                <c:pt idx="19">
                  <c:v>75.7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52448"/>
        <c:axId val="569654016"/>
      </c:scatterChart>
      <c:valAx>
        <c:axId val="569652448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4016"/>
        <c:crosses val="autoZero"/>
        <c:crossBetween val="midCat"/>
      </c:valAx>
      <c:valAx>
        <c:axId val="5696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Bland-Altman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Bland!$E$4:$E$23</c:f>
              <c:numCache>
                <c:formatCode>General</c:formatCode>
                <c:ptCount val="20"/>
                <c:pt idx="0">
                  <c:v>33.65</c:v>
                </c:pt>
                <c:pt idx="1">
                  <c:v>46.2</c:v>
                </c:pt>
                <c:pt idx="2">
                  <c:v>43.65</c:v>
                </c:pt>
                <c:pt idx="3">
                  <c:v>52.9</c:v>
                </c:pt>
                <c:pt idx="4">
                  <c:v>57.45</c:v>
                </c:pt>
                <c:pt idx="5">
                  <c:v>58.9</c:v>
                </c:pt>
                <c:pt idx="6">
                  <c:v>61.900000000000006</c:v>
                </c:pt>
                <c:pt idx="7">
                  <c:v>60.95</c:v>
                </c:pt>
                <c:pt idx="8">
                  <c:v>61.400000000000006</c:v>
                </c:pt>
                <c:pt idx="9">
                  <c:v>64.55</c:v>
                </c:pt>
                <c:pt idx="10">
                  <c:v>65.05</c:v>
                </c:pt>
                <c:pt idx="11">
                  <c:v>66.699999999999989</c:v>
                </c:pt>
                <c:pt idx="12">
                  <c:v>67.449999999999989</c:v>
                </c:pt>
                <c:pt idx="13">
                  <c:v>68.800000000000011</c:v>
                </c:pt>
                <c:pt idx="14">
                  <c:v>67</c:v>
                </c:pt>
                <c:pt idx="15">
                  <c:v>68.25</c:v>
                </c:pt>
                <c:pt idx="16">
                  <c:v>73.900000000000006</c:v>
                </c:pt>
                <c:pt idx="17">
                  <c:v>69.45</c:v>
                </c:pt>
                <c:pt idx="18">
                  <c:v>77.05</c:v>
                </c:pt>
                <c:pt idx="19">
                  <c:v>76.45</c:v>
                </c:pt>
              </c:numCache>
            </c:numRef>
          </c:xVal>
          <c:yVal>
            <c:numRef>
              <c:f>Bland!$F$4:$F$23</c:f>
              <c:numCache>
                <c:formatCode>General</c:formatCode>
                <c:ptCount val="20"/>
                <c:pt idx="0">
                  <c:v>10.299999999999997</c:v>
                </c:pt>
                <c:pt idx="1">
                  <c:v>-5</c:v>
                </c:pt>
                <c:pt idx="2">
                  <c:v>4.2999999999999972</c:v>
                </c:pt>
                <c:pt idx="3">
                  <c:v>-5.2000000000000028</c:v>
                </c:pt>
                <c:pt idx="4">
                  <c:v>-1.8999999999999986</c:v>
                </c:pt>
                <c:pt idx="5">
                  <c:v>5.2000000000000028</c:v>
                </c:pt>
                <c:pt idx="6">
                  <c:v>0.60000000000000142</c:v>
                </c:pt>
                <c:pt idx="7">
                  <c:v>3.6999999999999957</c:v>
                </c:pt>
                <c:pt idx="8">
                  <c:v>4.6000000000000014</c:v>
                </c:pt>
                <c:pt idx="9">
                  <c:v>-9.9999999999994316E-2</c:v>
                </c:pt>
                <c:pt idx="10">
                  <c:v>2.3000000000000043</c:v>
                </c:pt>
                <c:pt idx="11">
                  <c:v>1.2000000000000028</c:v>
                </c:pt>
                <c:pt idx="12">
                  <c:v>1.7000000000000028</c:v>
                </c:pt>
                <c:pt idx="13">
                  <c:v>-0.79999999999999716</c:v>
                </c:pt>
                <c:pt idx="14">
                  <c:v>4.5999999999999943</c:v>
                </c:pt>
                <c:pt idx="15">
                  <c:v>2.5</c:v>
                </c:pt>
                <c:pt idx="16">
                  <c:v>-2.7999999999999972</c:v>
                </c:pt>
                <c:pt idx="17">
                  <c:v>7.0999999999999943</c:v>
                </c:pt>
                <c:pt idx="18">
                  <c:v>-3.5</c:v>
                </c:pt>
                <c:pt idx="19">
                  <c:v>1.5</c:v>
                </c:pt>
              </c:numCache>
            </c:numRef>
          </c:yVal>
          <c:smooth val="0"/>
        </c:ser>
        <c:ser>
          <c:idx val="1"/>
          <c:order val="1"/>
          <c:tx>
            <c:v>mean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Bland!$W$2:$W$3</c:f>
              <c:numCache>
                <c:formatCode>General</c:formatCode>
                <c:ptCount val="2"/>
                <c:pt idx="0">
                  <c:v>1.5150000000000001</c:v>
                </c:pt>
                <c:pt idx="1">
                  <c:v>1.5150000000000001</c:v>
                </c:pt>
              </c:numCache>
            </c:numRef>
          </c:yVal>
          <c:smooth val="0"/>
        </c:ser>
        <c:ser>
          <c:idx val="2"/>
          <c:order val="2"/>
          <c:tx>
            <c:v>lower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Bland!$X$2:$X$3</c:f>
              <c:numCache>
                <c:formatCode>General</c:formatCode>
                <c:ptCount val="2"/>
                <c:pt idx="0">
                  <c:v>-6.3635150416767488</c:v>
                </c:pt>
                <c:pt idx="1">
                  <c:v>-6.3635150416767488</c:v>
                </c:pt>
              </c:numCache>
            </c:numRef>
          </c:yVal>
          <c:smooth val="0"/>
        </c:ser>
        <c:ser>
          <c:idx val="3"/>
          <c:order val="3"/>
          <c:tx>
            <c:v>upper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Bland!$Y$2:$Y$3</c:f>
              <c:numCache>
                <c:formatCode>General</c:formatCode>
                <c:ptCount val="2"/>
                <c:pt idx="0">
                  <c:v>9.3935150416767499</c:v>
                </c:pt>
                <c:pt idx="1">
                  <c:v>9.3935150416767499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58720"/>
        <c:axId val="569655976"/>
      </c:scatterChart>
      <c:valAx>
        <c:axId val="569658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5976"/>
        <c:crosses val="autoZero"/>
        <c:crossBetween val="midCat"/>
      </c:valAx>
      <c:valAx>
        <c:axId val="56965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Adjusted 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Bland!$AM$4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strRef>
              <c:f>Bland!$AM$5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Bland!$AN$5</c:f>
              <c:numCache>
                <c:formatCode>General</c:formatCode>
                <c:ptCount val="1"/>
                <c:pt idx="0">
                  <c:v>4.1250000000000053</c:v>
                </c:pt>
              </c:numCache>
            </c:numRef>
          </c:val>
        </c:ser>
        <c:ser>
          <c:idx val="2"/>
          <c:order val="2"/>
          <c:tx>
            <c:strRef>
              <c:f>Bland!$AM$6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Bland!$AN$6</c:f>
              <c:numCache>
                <c:formatCode>General</c:formatCode>
                <c:ptCount val="1"/>
                <c:pt idx="0">
                  <c:v>2.6749999999999989</c:v>
                </c:pt>
              </c:numCache>
            </c:numRef>
          </c:val>
        </c:ser>
        <c:ser>
          <c:idx val="3"/>
          <c:order val="3"/>
          <c:tx>
            <c:strRef>
              <c:f>Bland!$AM$7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Bland!$AN$8</c:f>
                <c:numCache>
                  <c:formatCode>General</c:formatCode>
                  <c:ptCount val="1"/>
                  <c:pt idx="0">
                    <c:v>5.9250000000000007</c:v>
                  </c:pt>
                </c:numCache>
              </c:numRef>
            </c:plus>
          </c:errBars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Bland!$AN$7</c:f>
              <c:numCache>
                <c:formatCode>General</c:formatCode>
                <c:ptCount val="1"/>
                <c:pt idx="0">
                  <c:v>2.774999999999995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655192"/>
        <c:axId val="569656368"/>
      </c:barChart>
      <c:catAx>
        <c:axId val="56965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9656368"/>
        <c:crosses val="autoZero"/>
        <c:auto val="1"/>
        <c:lblAlgn val="ctr"/>
        <c:lblOffset val="100"/>
        <c:noMultiLvlLbl val="0"/>
      </c:catAx>
      <c:valAx>
        <c:axId val="56965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9655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Bland!$AQ$10:$AQ$29</c:f>
              <c:numCache>
                <c:formatCode>General</c:formatCode>
                <c:ptCount val="20"/>
                <c:pt idx="0">
                  <c:v>-5.2000000000000028</c:v>
                </c:pt>
                <c:pt idx="1">
                  <c:v>-5</c:v>
                </c:pt>
                <c:pt idx="2">
                  <c:v>-3.5</c:v>
                </c:pt>
                <c:pt idx="3">
                  <c:v>-2.7999999999999972</c:v>
                </c:pt>
                <c:pt idx="4">
                  <c:v>-1.8999999999999986</c:v>
                </c:pt>
                <c:pt idx="5">
                  <c:v>-0.79999999999999716</c:v>
                </c:pt>
                <c:pt idx="6">
                  <c:v>-9.9999999999994316E-2</c:v>
                </c:pt>
                <c:pt idx="7">
                  <c:v>0.60000000000000142</c:v>
                </c:pt>
                <c:pt idx="8">
                  <c:v>1.2000000000000028</c:v>
                </c:pt>
                <c:pt idx="9">
                  <c:v>1.5</c:v>
                </c:pt>
                <c:pt idx="10">
                  <c:v>1.7000000000000028</c:v>
                </c:pt>
                <c:pt idx="11">
                  <c:v>2.3000000000000043</c:v>
                </c:pt>
                <c:pt idx="12">
                  <c:v>2.5</c:v>
                </c:pt>
                <c:pt idx="13">
                  <c:v>3.6999999999999957</c:v>
                </c:pt>
                <c:pt idx="14">
                  <c:v>4.2999999999999972</c:v>
                </c:pt>
                <c:pt idx="15">
                  <c:v>4.5999999999999943</c:v>
                </c:pt>
                <c:pt idx="16">
                  <c:v>4.6000000000000014</c:v>
                </c:pt>
                <c:pt idx="17">
                  <c:v>5.2000000000000028</c:v>
                </c:pt>
                <c:pt idx="18">
                  <c:v>7.0999999999999943</c:v>
                </c:pt>
                <c:pt idx="19">
                  <c:v>10.299999999999997</c:v>
                </c:pt>
              </c:numCache>
            </c:numRef>
          </c:xVal>
          <c:yVal>
            <c:numRef>
              <c:f>Bland!$AR$10:$AR$29</c:f>
              <c:numCache>
                <c:formatCode>General</c:formatCode>
                <c:ptCount val="20"/>
                <c:pt idx="0">
                  <c:v>-1.9599639845400538</c:v>
                </c:pt>
                <c:pt idx="1">
                  <c:v>-1.4395314709384572</c:v>
                </c:pt>
                <c:pt idx="2">
                  <c:v>-1.1503493803760083</c:v>
                </c:pt>
                <c:pt idx="3">
                  <c:v>-0.93458929107347943</c:v>
                </c:pt>
                <c:pt idx="4">
                  <c:v>-0.75541502636046909</c:v>
                </c:pt>
                <c:pt idx="5">
                  <c:v>-0.59776012604247841</c:v>
                </c:pt>
                <c:pt idx="6">
                  <c:v>-0.45376219016987951</c:v>
                </c:pt>
                <c:pt idx="7">
                  <c:v>-0.3186393639643752</c:v>
                </c:pt>
                <c:pt idx="8">
                  <c:v>-0.18911842627279254</c:v>
                </c:pt>
                <c:pt idx="9">
                  <c:v>-6.2706777943213846E-2</c:v>
                </c:pt>
                <c:pt idx="10">
                  <c:v>6.2706777943213846E-2</c:v>
                </c:pt>
                <c:pt idx="11">
                  <c:v>0.18911842627279243</c:v>
                </c:pt>
                <c:pt idx="12">
                  <c:v>0.3186393639643752</c:v>
                </c:pt>
                <c:pt idx="13">
                  <c:v>0.45376219016987968</c:v>
                </c:pt>
                <c:pt idx="14">
                  <c:v>0.59776012604247841</c:v>
                </c:pt>
                <c:pt idx="15">
                  <c:v>0.75541502636046909</c:v>
                </c:pt>
                <c:pt idx="16">
                  <c:v>0.9345892910734801</c:v>
                </c:pt>
                <c:pt idx="17">
                  <c:v>1.1503493803760083</c:v>
                </c:pt>
                <c:pt idx="18">
                  <c:v>1.4395314709384563</c:v>
                </c:pt>
                <c:pt idx="19">
                  <c:v>1.9599639845400536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57152"/>
        <c:axId val="569653232"/>
      </c:scatterChart>
      <c:valAx>
        <c:axId val="56965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653232"/>
        <c:crosses val="autoZero"/>
        <c:crossBetween val="midCat"/>
      </c:valAx>
      <c:valAx>
        <c:axId val="569653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657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4" Type="http://schemas.openxmlformats.org/officeDocument/2006/relationships/chart" Target="../charts/chart80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6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Relationship Id="rId4" Type="http://schemas.openxmlformats.org/officeDocument/2006/relationships/chart" Target="../charts/chart87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chart" Target="../charts/chart10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3.xml"/><Relationship Id="rId1" Type="http://schemas.openxmlformats.org/officeDocument/2006/relationships/chart" Target="../charts/chart10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9.xml"/><Relationship Id="rId1" Type="http://schemas.openxmlformats.org/officeDocument/2006/relationships/chart" Target="../charts/chart108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chart" Target="../charts/chart1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</xdr:row>
      <xdr:rowOff>4762</xdr:rowOff>
    </xdr:from>
    <xdr:to>
      <xdr:col>14</xdr:col>
      <xdr:colOff>304800</xdr:colOff>
      <xdr:row>37</xdr:row>
      <xdr:rowOff>52387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39</xdr:row>
      <xdr:rowOff>4762</xdr:rowOff>
    </xdr:from>
    <xdr:to>
      <xdr:col>14</xdr:col>
      <xdr:colOff>314325</xdr:colOff>
      <xdr:row>53</xdr:row>
      <xdr:rowOff>71437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200025</xdr:colOff>
      <xdr:row>2</xdr:row>
      <xdr:rowOff>52387</xdr:rowOff>
    </xdr:from>
    <xdr:to>
      <xdr:col>26</xdr:col>
      <xdr:colOff>504825</xdr:colOff>
      <xdr:row>16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133350</xdr:colOff>
      <xdr:row>31</xdr:row>
      <xdr:rowOff>90487</xdr:rowOff>
    </xdr:from>
    <xdr:to>
      <xdr:col>26</xdr:col>
      <xdr:colOff>438150</xdr:colOff>
      <xdr:row>45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561975</xdr:colOff>
      <xdr:row>2</xdr:row>
      <xdr:rowOff>176212</xdr:rowOff>
    </xdr:from>
    <xdr:to>
      <xdr:col>47</xdr:col>
      <xdr:colOff>257175</xdr:colOff>
      <xdr:row>17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2</xdr:row>
      <xdr:rowOff>42862</xdr:rowOff>
    </xdr:from>
    <xdr:to>
      <xdr:col>17</xdr:col>
      <xdr:colOff>19050</xdr:colOff>
      <xdr:row>16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17</xdr:row>
      <xdr:rowOff>14287</xdr:rowOff>
    </xdr:from>
    <xdr:to>
      <xdr:col>17</xdr:col>
      <xdr:colOff>38100</xdr:colOff>
      <xdr:row>31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161925</xdr:colOff>
      <xdr:row>4</xdr:row>
      <xdr:rowOff>23812</xdr:rowOff>
    </xdr:from>
    <xdr:to>
      <xdr:col>36</xdr:col>
      <xdr:colOff>466725</xdr:colOff>
      <xdr:row>18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10584</xdr:colOff>
      <xdr:row>2</xdr:row>
      <xdr:rowOff>20108</xdr:rowOff>
    </xdr:from>
    <xdr:to>
      <xdr:col>21</xdr:col>
      <xdr:colOff>285751</xdr:colOff>
      <xdr:row>16</xdr:row>
      <xdr:rowOff>64558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370417</xdr:colOff>
      <xdr:row>2</xdr:row>
      <xdr:rowOff>20106</xdr:rowOff>
    </xdr:from>
    <xdr:to>
      <xdr:col>29</xdr:col>
      <xdr:colOff>31750</xdr:colOff>
      <xdr:row>16</xdr:row>
      <xdr:rowOff>64556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123825</xdr:colOff>
      <xdr:row>11</xdr:row>
      <xdr:rowOff>4762</xdr:rowOff>
    </xdr:from>
    <xdr:to>
      <xdr:col>33</xdr:col>
      <xdr:colOff>742950</xdr:colOff>
      <xdr:row>25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19050</xdr:colOff>
      <xdr:row>1</xdr:row>
      <xdr:rowOff>185737</xdr:rowOff>
    </xdr:from>
    <xdr:to>
      <xdr:col>27</xdr:col>
      <xdr:colOff>323850</xdr:colOff>
      <xdr:row>16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5</xdr:row>
      <xdr:rowOff>90487</xdr:rowOff>
    </xdr:from>
    <xdr:to>
      <xdr:col>6</xdr:col>
      <xdr:colOff>2419350</xdr:colOff>
      <xdr:row>18</xdr:row>
      <xdr:rowOff>37147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219075</xdr:colOff>
      <xdr:row>11</xdr:row>
      <xdr:rowOff>180975</xdr:rowOff>
    </xdr:from>
    <xdr:to>
      <xdr:col>15</xdr:col>
      <xdr:colOff>219075</xdr:colOff>
      <xdr:row>21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200025</xdr:colOff>
      <xdr:row>23</xdr:row>
      <xdr:rowOff>47625</xdr:rowOff>
    </xdr:from>
    <xdr:to>
      <xdr:col>19</xdr:col>
      <xdr:colOff>734926</xdr:colOff>
      <xdr:row>44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0</xdr:row>
      <xdr:rowOff>100012</xdr:rowOff>
    </xdr:from>
    <xdr:to>
      <xdr:col>11</xdr:col>
      <xdr:colOff>449525</xdr:colOff>
      <xdr:row>12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333374</xdr:colOff>
      <xdr:row>12</xdr:row>
      <xdr:rowOff>100011</xdr:rowOff>
    </xdr:from>
    <xdr:to>
      <xdr:col>11</xdr:col>
      <xdr:colOff>438150</xdr:colOff>
      <xdr:row>24</xdr:row>
      <xdr:rowOff>15217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25</xdr:row>
      <xdr:rowOff>14287</xdr:rowOff>
    </xdr:from>
    <xdr:to>
      <xdr:col>12</xdr:col>
      <xdr:colOff>304800</xdr:colOff>
      <xdr:row>39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24</xdr:row>
      <xdr:rowOff>185737</xdr:rowOff>
    </xdr:from>
    <xdr:to>
      <xdr:col>6</xdr:col>
      <xdr:colOff>1131127</xdr:colOff>
      <xdr:row>39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457200</xdr:colOff>
      <xdr:row>7</xdr:row>
      <xdr:rowOff>157162</xdr:rowOff>
    </xdr:from>
    <xdr:ext cx="65" cy="172227"/>
    <xdr:sp macro="" textlink="">
      <xdr:nvSpPr>
        <xdr:cNvPr id="2" name="TextBox 1"/>
        <xdr:cNvSpPr txBox="1"/>
      </xdr:nvSpPr>
      <xdr:spPr>
        <a:xfrm>
          <a:off x="5943600" y="18716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457200</xdr:colOff>
      <xdr:row>7</xdr:row>
      <xdr:rowOff>157162</xdr:rowOff>
    </xdr:from>
    <xdr:ext cx="65" cy="172227"/>
    <xdr:sp macro="" textlink="">
      <xdr:nvSpPr>
        <xdr:cNvPr id="2" name="TextBox 1"/>
        <xdr:cNvSpPr txBox="1"/>
      </xdr:nvSpPr>
      <xdr:spPr>
        <a:xfrm>
          <a:off x="5943600" y="14906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457200</xdr:colOff>
      <xdr:row>7</xdr:row>
      <xdr:rowOff>157162</xdr:rowOff>
    </xdr:from>
    <xdr:ext cx="65" cy="172227"/>
    <xdr:sp macro="" textlink="">
      <xdr:nvSpPr>
        <xdr:cNvPr id="2" name="TextBox 1"/>
        <xdr:cNvSpPr txBox="1"/>
      </xdr:nvSpPr>
      <xdr:spPr>
        <a:xfrm>
          <a:off x="9601200" y="19002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457200</xdr:colOff>
      <xdr:row>7</xdr:row>
      <xdr:rowOff>157162</xdr:rowOff>
    </xdr:from>
    <xdr:ext cx="65" cy="172227"/>
    <xdr:sp macro="" textlink="">
      <xdr:nvSpPr>
        <xdr:cNvPr id="2" name="TextBox 1"/>
        <xdr:cNvSpPr txBox="1"/>
      </xdr:nvSpPr>
      <xdr:spPr>
        <a:xfrm>
          <a:off x="5943600" y="14906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457200</xdr:colOff>
      <xdr:row>12</xdr:row>
      <xdr:rowOff>157162</xdr:rowOff>
    </xdr:from>
    <xdr:ext cx="65" cy="172227"/>
    <xdr:sp macro="" textlink="">
      <xdr:nvSpPr>
        <xdr:cNvPr id="4" name="TextBox 3"/>
        <xdr:cNvSpPr txBox="1"/>
      </xdr:nvSpPr>
      <xdr:spPr>
        <a:xfrm>
          <a:off x="6448425" y="15097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457200</xdr:colOff>
      <xdr:row>13</xdr:row>
      <xdr:rowOff>157162</xdr:rowOff>
    </xdr:from>
    <xdr:ext cx="65" cy="172227"/>
    <xdr:sp macro="" textlink="">
      <xdr:nvSpPr>
        <xdr:cNvPr id="5" name="TextBox 4"/>
        <xdr:cNvSpPr txBox="1"/>
      </xdr:nvSpPr>
      <xdr:spPr>
        <a:xfrm>
          <a:off x="6238875" y="24812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457200</xdr:colOff>
      <xdr:row>14</xdr:row>
      <xdr:rowOff>157162</xdr:rowOff>
    </xdr:from>
    <xdr:ext cx="65" cy="172227"/>
    <xdr:sp macro="" textlink="">
      <xdr:nvSpPr>
        <xdr:cNvPr id="6" name="TextBox 5"/>
        <xdr:cNvSpPr txBox="1"/>
      </xdr:nvSpPr>
      <xdr:spPr>
        <a:xfrm>
          <a:off x="6238875" y="24812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457200</xdr:colOff>
      <xdr:row>15</xdr:row>
      <xdr:rowOff>157162</xdr:rowOff>
    </xdr:from>
    <xdr:ext cx="65" cy="172227"/>
    <xdr:sp macro="" textlink="">
      <xdr:nvSpPr>
        <xdr:cNvPr id="7" name="TextBox 6"/>
        <xdr:cNvSpPr txBox="1"/>
      </xdr:nvSpPr>
      <xdr:spPr>
        <a:xfrm>
          <a:off x="6238875" y="24812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457200</xdr:colOff>
      <xdr:row>12</xdr:row>
      <xdr:rowOff>157162</xdr:rowOff>
    </xdr:from>
    <xdr:ext cx="65" cy="172227"/>
    <xdr:sp macro="" textlink="">
      <xdr:nvSpPr>
        <xdr:cNvPr id="8" name="TextBox 7"/>
        <xdr:cNvSpPr txBox="1"/>
      </xdr:nvSpPr>
      <xdr:spPr>
        <a:xfrm>
          <a:off x="6238875" y="24812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24</xdr:row>
      <xdr:rowOff>185737</xdr:rowOff>
    </xdr:from>
    <xdr:to>
      <xdr:col>6</xdr:col>
      <xdr:colOff>1114425</xdr:colOff>
      <xdr:row>39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</xdr:colOff>
      <xdr:row>25</xdr:row>
      <xdr:rowOff>14287</xdr:rowOff>
    </xdr:from>
    <xdr:to>
      <xdr:col>12</xdr:col>
      <xdr:colOff>304800</xdr:colOff>
      <xdr:row>39</xdr:row>
      <xdr:rowOff>90487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18</xdr:row>
      <xdr:rowOff>0</xdr:rowOff>
    </xdr:from>
    <xdr:to>
      <xdr:col>17</xdr:col>
      <xdr:colOff>476250</xdr:colOff>
      <xdr:row>28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285750</xdr:colOff>
      <xdr:row>6</xdr:row>
      <xdr:rowOff>171450</xdr:rowOff>
    </xdr:from>
    <xdr:to>
      <xdr:col>20</xdr:col>
      <xdr:colOff>285750</xdr:colOff>
      <xdr:row>16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371475</xdr:colOff>
      <xdr:row>15</xdr:row>
      <xdr:rowOff>95250</xdr:rowOff>
    </xdr:from>
    <xdr:to>
      <xdr:col>17</xdr:col>
      <xdr:colOff>371475</xdr:colOff>
      <xdr:row>25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18</xdr:row>
      <xdr:rowOff>0</xdr:rowOff>
    </xdr:from>
    <xdr:to>
      <xdr:col>17</xdr:col>
      <xdr:colOff>533400</xdr:colOff>
      <xdr:row>28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180975</xdr:colOff>
      <xdr:row>0</xdr:row>
      <xdr:rowOff>171450</xdr:rowOff>
    </xdr:from>
    <xdr:to>
      <xdr:col>22</xdr:col>
      <xdr:colOff>180975</xdr:colOff>
      <xdr:row>10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361950</xdr:colOff>
      <xdr:row>15</xdr:row>
      <xdr:rowOff>104775</xdr:rowOff>
    </xdr:from>
    <xdr:to>
      <xdr:col>17</xdr:col>
      <xdr:colOff>361950</xdr:colOff>
      <xdr:row>25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28</xdr:row>
      <xdr:rowOff>4762</xdr:rowOff>
    </xdr:from>
    <xdr:to>
      <xdr:col>15</xdr:col>
      <xdr:colOff>266700</xdr:colOff>
      <xdr:row>42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228600</xdr:colOff>
      <xdr:row>27</xdr:row>
      <xdr:rowOff>185737</xdr:rowOff>
    </xdr:from>
    <xdr:to>
      <xdr:col>28</xdr:col>
      <xdr:colOff>533400</xdr:colOff>
      <xdr:row>42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44</xdr:row>
      <xdr:rowOff>157162</xdr:rowOff>
    </xdr:from>
    <xdr:to>
      <xdr:col>15</xdr:col>
      <xdr:colOff>238125</xdr:colOff>
      <xdr:row>59</xdr:row>
      <xdr:rowOff>42862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590550</xdr:colOff>
      <xdr:row>2</xdr:row>
      <xdr:rowOff>33337</xdr:rowOff>
    </xdr:from>
    <xdr:to>
      <xdr:col>25</xdr:col>
      <xdr:colOff>285750</xdr:colOff>
      <xdr:row>16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238125</xdr:colOff>
      <xdr:row>2</xdr:row>
      <xdr:rowOff>180975</xdr:rowOff>
    </xdr:from>
    <xdr:to>
      <xdr:col>19</xdr:col>
      <xdr:colOff>238125</xdr:colOff>
      <xdr:row>12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333375</xdr:colOff>
      <xdr:row>2</xdr:row>
      <xdr:rowOff>180975</xdr:rowOff>
    </xdr:from>
    <xdr:to>
      <xdr:col>25</xdr:col>
      <xdr:colOff>333375</xdr:colOff>
      <xdr:row>12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352425</xdr:colOff>
      <xdr:row>14</xdr:row>
      <xdr:rowOff>19050</xdr:rowOff>
    </xdr:from>
    <xdr:to>
      <xdr:col>25</xdr:col>
      <xdr:colOff>352425</xdr:colOff>
      <xdr:row>24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238125</xdr:colOff>
      <xdr:row>14</xdr:row>
      <xdr:rowOff>19050</xdr:rowOff>
    </xdr:from>
    <xdr:to>
      <xdr:col>19</xdr:col>
      <xdr:colOff>238125</xdr:colOff>
      <xdr:row>24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247650</xdr:colOff>
      <xdr:row>24</xdr:row>
      <xdr:rowOff>171450</xdr:rowOff>
    </xdr:from>
    <xdr:to>
      <xdr:col>19</xdr:col>
      <xdr:colOff>247650</xdr:colOff>
      <xdr:row>35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39</xdr:row>
      <xdr:rowOff>4762</xdr:rowOff>
    </xdr:from>
    <xdr:to>
      <xdr:col>23</xdr:col>
      <xdr:colOff>304800</xdr:colOff>
      <xdr:row>53</xdr:row>
      <xdr:rowOff>80962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19050</xdr:colOff>
      <xdr:row>60</xdr:row>
      <xdr:rowOff>4762</xdr:rowOff>
    </xdr:from>
    <xdr:to>
      <xdr:col>23</xdr:col>
      <xdr:colOff>323850</xdr:colOff>
      <xdr:row>74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371475</xdr:colOff>
      <xdr:row>59</xdr:row>
      <xdr:rowOff>185737</xdr:rowOff>
    </xdr:from>
    <xdr:to>
      <xdr:col>31</xdr:col>
      <xdr:colOff>66675</xdr:colOff>
      <xdr:row>74</xdr:row>
      <xdr:rowOff>71437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180975</xdr:rowOff>
    </xdr:from>
    <xdr:to>
      <xdr:col>21</xdr:col>
      <xdr:colOff>238125</xdr:colOff>
      <xdr:row>22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180975</xdr:rowOff>
    </xdr:from>
    <xdr:to>
      <xdr:col>13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238125</xdr:colOff>
      <xdr:row>2</xdr:row>
      <xdr:rowOff>180975</xdr:rowOff>
    </xdr:from>
    <xdr:to>
      <xdr:col>14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238125</xdr:colOff>
      <xdr:row>4</xdr:row>
      <xdr:rowOff>180975</xdr:rowOff>
    </xdr:from>
    <xdr:to>
      <xdr:col>15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</xdr:colOff>
      <xdr:row>12</xdr:row>
      <xdr:rowOff>38100</xdr:rowOff>
    </xdr:from>
    <xdr:to>
      <xdr:col>18</xdr:col>
      <xdr:colOff>123825</xdr:colOff>
      <xdr:row>22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238125</xdr:colOff>
      <xdr:row>2</xdr:row>
      <xdr:rowOff>180975</xdr:rowOff>
    </xdr:from>
    <xdr:to>
      <xdr:col>14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238125</xdr:colOff>
      <xdr:row>4</xdr:row>
      <xdr:rowOff>180975</xdr:rowOff>
    </xdr:from>
    <xdr:to>
      <xdr:col>15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238125</xdr:colOff>
      <xdr:row>6</xdr:row>
      <xdr:rowOff>180975</xdr:rowOff>
    </xdr:from>
    <xdr:to>
      <xdr:col>16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200025</xdr:colOff>
      <xdr:row>9</xdr:row>
      <xdr:rowOff>76200</xdr:rowOff>
    </xdr:from>
    <xdr:to>
      <xdr:col>17</xdr:col>
      <xdr:colOff>200025</xdr:colOff>
      <xdr:row>19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22</xdr:row>
      <xdr:rowOff>52387</xdr:rowOff>
    </xdr:from>
    <xdr:to>
      <xdr:col>19</xdr:col>
      <xdr:colOff>95250</xdr:colOff>
      <xdr:row>36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28575</xdr:colOff>
      <xdr:row>37</xdr:row>
      <xdr:rowOff>185737</xdr:rowOff>
    </xdr:from>
    <xdr:to>
      <xdr:col>19</xdr:col>
      <xdr:colOff>95250</xdr:colOff>
      <xdr:row>52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323850</xdr:colOff>
      <xdr:row>37</xdr:row>
      <xdr:rowOff>166687</xdr:rowOff>
    </xdr:from>
    <xdr:to>
      <xdr:col>27</xdr:col>
      <xdr:colOff>19050</xdr:colOff>
      <xdr:row>52</xdr:row>
      <xdr:rowOff>52387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314325</xdr:colOff>
      <xdr:row>22</xdr:row>
      <xdr:rowOff>33337</xdr:rowOff>
    </xdr:from>
    <xdr:to>
      <xdr:col>27</xdr:col>
      <xdr:colOff>9525</xdr:colOff>
      <xdr:row>36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9525</xdr:colOff>
      <xdr:row>22</xdr:row>
      <xdr:rowOff>33337</xdr:rowOff>
    </xdr:from>
    <xdr:to>
      <xdr:col>40</xdr:col>
      <xdr:colOff>314325</xdr:colOff>
      <xdr:row>36</xdr:row>
      <xdr:rowOff>90487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19050</xdr:colOff>
      <xdr:row>55</xdr:row>
      <xdr:rowOff>4762</xdr:rowOff>
    </xdr:from>
    <xdr:to>
      <xdr:col>19</xdr:col>
      <xdr:colOff>85725</xdr:colOff>
      <xdr:row>69</xdr:row>
      <xdr:rowOff>80962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28575</xdr:colOff>
      <xdr:row>69</xdr:row>
      <xdr:rowOff>166687</xdr:rowOff>
    </xdr:from>
    <xdr:to>
      <xdr:col>19</xdr:col>
      <xdr:colOff>95250</xdr:colOff>
      <xdr:row>84</xdr:row>
      <xdr:rowOff>52387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40215</xdr:colOff>
      <xdr:row>11</xdr:row>
      <xdr:rowOff>1587</xdr:rowOff>
    </xdr:from>
    <xdr:to>
      <xdr:col>7</xdr:col>
      <xdr:colOff>661458</xdr:colOff>
      <xdr:row>23</xdr:row>
      <xdr:rowOff>127318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0</xdr:row>
      <xdr:rowOff>180975</xdr:rowOff>
    </xdr:from>
    <xdr:to>
      <xdr:col>14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238125</xdr:colOff>
      <xdr:row>4</xdr:row>
      <xdr:rowOff>180975</xdr:rowOff>
    </xdr:from>
    <xdr:to>
      <xdr:col>16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238125</xdr:colOff>
      <xdr:row>6</xdr:row>
      <xdr:rowOff>180975</xdr:rowOff>
    </xdr:from>
    <xdr:to>
      <xdr:col>17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238125</xdr:colOff>
      <xdr:row>8</xdr:row>
      <xdr:rowOff>180975</xdr:rowOff>
    </xdr:from>
    <xdr:to>
      <xdr:col>18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48</xdr:row>
      <xdr:rowOff>0</xdr:rowOff>
    </xdr:from>
    <xdr:to>
      <xdr:col>13</xdr:col>
      <xdr:colOff>1095375</xdr:colOff>
      <xdr:row>49</xdr:row>
      <xdr:rowOff>180975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9296400"/>
          <a:ext cx="10953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590550</xdr:colOff>
      <xdr:row>23</xdr:row>
      <xdr:rowOff>195262</xdr:rowOff>
    </xdr:from>
    <xdr:to>
      <xdr:col>30</xdr:col>
      <xdr:colOff>285750</xdr:colOff>
      <xdr:row>37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590550</xdr:colOff>
      <xdr:row>38</xdr:row>
      <xdr:rowOff>90487</xdr:rowOff>
    </xdr:from>
    <xdr:to>
      <xdr:col>30</xdr:col>
      <xdr:colOff>285750</xdr:colOff>
      <xdr:row>52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53</xdr:row>
      <xdr:rowOff>80962</xdr:rowOff>
    </xdr:from>
    <xdr:to>
      <xdr:col>30</xdr:col>
      <xdr:colOff>304800</xdr:colOff>
      <xdr:row>67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123825</xdr:colOff>
      <xdr:row>48</xdr:row>
      <xdr:rowOff>23812</xdr:rowOff>
    </xdr:from>
    <xdr:to>
      <xdr:col>12</xdr:col>
      <xdr:colOff>0</xdr:colOff>
      <xdr:row>62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123825</xdr:colOff>
      <xdr:row>70</xdr:row>
      <xdr:rowOff>100012</xdr:rowOff>
    </xdr:from>
    <xdr:to>
      <xdr:col>12</xdr:col>
      <xdr:colOff>0</xdr:colOff>
      <xdr:row>84</xdr:row>
      <xdr:rowOff>176212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171450</xdr:colOff>
      <xdr:row>95</xdr:row>
      <xdr:rowOff>176212</xdr:rowOff>
    </xdr:from>
    <xdr:to>
      <xdr:col>12</xdr:col>
      <xdr:colOff>47625</xdr:colOff>
      <xdr:row>110</xdr:row>
      <xdr:rowOff>61912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25</xdr:row>
      <xdr:rowOff>4762</xdr:rowOff>
    </xdr:from>
    <xdr:to>
      <xdr:col>13</xdr:col>
      <xdr:colOff>323850</xdr:colOff>
      <xdr:row>39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19050</xdr:colOff>
      <xdr:row>23</xdr:row>
      <xdr:rowOff>4762</xdr:rowOff>
    </xdr:from>
    <xdr:to>
      <xdr:col>34</xdr:col>
      <xdr:colOff>323850</xdr:colOff>
      <xdr:row>37</xdr:row>
      <xdr:rowOff>80962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304800</xdr:colOff>
      <xdr:row>38</xdr:row>
      <xdr:rowOff>71437</xdr:rowOff>
    </xdr:from>
    <xdr:to>
      <xdr:col>26</xdr:col>
      <xdr:colOff>0</xdr:colOff>
      <xdr:row>52</xdr:row>
      <xdr:rowOff>147637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9525</xdr:colOff>
      <xdr:row>38</xdr:row>
      <xdr:rowOff>42862</xdr:rowOff>
    </xdr:from>
    <xdr:to>
      <xdr:col>34</xdr:col>
      <xdr:colOff>314325</xdr:colOff>
      <xdr:row>52</xdr:row>
      <xdr:rowOff>119062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56</xdr:row>
      <xdr:rowOff>33337</xdr:rowOff>
    </xdr:from>
    <xdr:to>
      <xdr:col>34</xdr:col>
      <xdr:colOff>304800</xdr:colOff>
      <xdr:row>70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257175</xdr:colOff>
      <xdr:row>71</xdr:row>
      <xdr:rowOff>138112</xdr:rowOff>
    </xdr:from>
    <xdr:to>
      <xdr:col>25</xdr:col>
      <xdr:colOff>561975</xdr:colOff>
      <xdr:row>86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71</xdr:row>
      <xdr:rowOff>90487</xdr:rowOff>
    </xdr:from>
    <xdr:to>
      <xdr:col>34</xdr:col>
      <xdr:colOff>304800</xdr:colOff>
      <xdr:row>85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48</xdr:row>
      <xdr:rowOff>128587</xdr:rowOff>
    </xdr:from>
    <xdr:to>
      <xdr:col>9</xdr:col>
      <xdr:colOff>200025</xdr:colOff>
      <xdr:row>63</xdr:row>
      <xdr:rowOff>14287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323850</xdr:colOff>
      <xdr:row>48</xdr:row>
      <xdr:rowOff>123825</xdr:rowOff>
    </xdr:from>
    <xdr:to>
      <xdr:col>16</xdr:col>
      <xdr:colOff>485775</xdr:colOff>
      <xdr:row>63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323850</xdr:colOff>
      <xdr:row>65</xdr:row>
      <xdr:rowOff>14287</xdr:rowOff>
    </xdr:from>
    <xdr:to>
      <xdr:col>16</xdr:col>
      <xdr:colOff>485775</xdr:colOff>
      <xdr:row>79</xdr:row>
      <xdr:rowOff>90487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76200</xdr:colOff>
      <xdr:row>65</xdr:row>
      <xdr:rowOff>23812</xdr:rowOff>
    </xdr:from>
    <xdr:to>
      <xdr:col>9</xdr:col>
      <xdr:colOff>180975</xdr:colOff>
      <xdr:row>79</xdr:row>
      <xdr:rowOff>100012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61912</xdr:rowOff>
    </xdr:from>
    <xdr:to>
      <xdr:col>14</xdr:col>
      <xdr:colOff>533400</xdr:colOff>
      <xdr:row>15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1</xdr:row>
      <xdr:rowOff>52387</xdr:rowOff>
    </xdr:from>
    <xdr:to>
      <xdr:col>25</xdr:col>
      <xdr:colOff>476250</xdr:colOff>
      <xdr:row>15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6</xdr:row>
      <xdr:rowOff>90487</xdr:rowOff>
    </xdr:from>
    <xdr:to>
      <xdr:col>13</xdr:col>
      <xdr:colOff>38100</xdr:colOff>
      <xdr:row>20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2</xdr:row>
      <xdr:rowOff>4762</xdr:rowOff>
    </xdr:from>
    <xdr:to>
      <xdr:col>18</xdr:col>
      <xdr:colOff>123825</xdr:colOff>
      <xdr:row>13</xdr:row>
      <xdr:rowOff>100012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141286</xdr:colOff>
      <xdr:row>2</xdr:row>
      <xdr:rowOff>9525</xdr:rowOff>
    </xdr:from>
    <xdr:to>
      <xdr:col>25</xdr:col>
      <xdr:colOff>419100</xdr:colOff>
      <xdr:row>13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476250</xdr:colOff>
      <xdr:row>3</xdr:row>
      <xdr:rowOff>147637</xdr:rowOff>
    </xdr:from>
    <xdr:to>
      <xdr:col>45</xdr:col>
      <xdr:colOff>171450</xdr:colOff>
      <xdr:row>17</xdr:row>
      <xdr:rowOff>195262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400050</xdr:colOff>
      <xdr:row>29</xdr:row>
      <xdr:rowOff>138112</xdr:rowOff>
    </xdr:from>
    <xdr:to>
      <xdr:col>45</xdr:col>
      <xdr:colOff>95250</xdr:colOff>
      <xdr:row>43</xdr:row>
      <xdr:rowOff>195262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276225</xdr:colOff>
      <xdr:row>17</xdr:row>
      <xdr:rowOff>166687</xdr:rowOff>
    </xdr:from>
    <xdr:to>
      <xdr:col>38</xdr:col>
      <xdr:colOff>581025</xdr:colOff>
      <xdr:row>32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266700</xdr:colOff>
      <xdr:row>14</xdr:row>
      <xdr:rowOff>61912</xdr:rowOff>
    </xdr:from>
    <xdr:to>
      <xdr:col>40</xdr:col>
      <xdr:colOff>571500</xdr:colOff>
      <xdr:row>28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76200</xdr:colOff>
      <xdr:row>4</xdr:row>
      <xdr:rowOff>80962</xdr:rowOff>
    </xdr:from>
    <xdr:to>
      <xdr:col>50</xdr:col>
      <xdr:colOff>381000</xdr:colOff>
      <xdr:row>18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590550</xdr:colOff>
      <xdr:row>25</xdr:row>
      <xdr:rowOff>90487</xdr:rowOff>
    </xdr:from>
    <xdr:to>
      <xdr:col>48</xdr:col>
      <xdr:colOff>285750</xdr:colOff>
      <xdr:row>39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152400</xdr:colOff>
      <xdr:row>54</xdr:row>
      <xdr:rowOff>14287</xdr:rowOff>
    </xdr:from>
    <xdr:to>
      <xdr:col>39</xdr:col>
      <xdr:colOff>457200</xdr:colOff>
      <xdr:row>68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133350</xdr:colOff>
      <xdr:row>84</xdr:row>
      <xdr:rowOff>138112</xdr:rowOff>
    </xdr:from>
    <xdr:to>
      <xdr:col>45</xdr:col>
      <xdr:colOff>438150</xdr:colOff>
      <xdr:row>99</xdr:row>
      <xdr:rowOff>14287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</xdr:colOff>
      <xdr:row>24</xdr:row>
      <xdr:rowOff>23812</xdr:rowOff>
    </xdr:from>
    <xdr:to>
      <xdr:col>26</xdr:col>
      <xdr:colOff>342900</xdr:colOff>
      <xdr:row>38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2</xdr:row>
      <xdr:rowOff>128587</xdr:rowOff>
    </xdr:from>
    <xdr:to>
      <xdr:col>23</xdr:col>
      <xdr:colOff>323850</xdr:colOff>
      <xdr:row>17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23</xdr:row>
      <xdr:rowOff>166687</xdr:rowOff>
    </xdr:from>
    <xdr:to>
      <xdr:col>23</xdr:col>
      <xdr:colOff>285750</xdr:colOff>
      <xdr:row>38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0</xdr:row>
      <xdr:rowOff>166687</xdr:rowOff>
    </xdr:from>
    <xdr:to>
      <xdr:col>19</xdr:col>
      <xdr:colOff>209550</xdr:colOff>
      <xdr:row>15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19</xdr:row>
      <xdr:rowOff>119062</xdr:rowOff>
    </xdr:from>
    <xdr:to>
      <xdr:col>16</xdr:col>
      <xdr:colOff>485775</xdr:colOff>
      <xdr:row>34</xdr:row>
      <xdr:rowOff>4762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20</xdr:row>
      <xdr:rowOff>80962</xdr:rowOff>
    </xdr:from>
    <xdr:to>
      <xdr:col>15</xdr:col>
      <xdr:colOff>561975</xdr:colOff>
      <xdr:row>34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590550</xdr:colOff>
      <xdr:row>10</xdr:row>
      <xdr:rowOff>52387</xdr:rowOff>
    </xdr:from>
    <xdr:to>
      <xdr:col>31</xdr:col>
      <xdr:colOff>285750</xdr:colOff>
      <xdr:row>24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26</xdr:row>
      <xdr:rowOff>104774</xdr:rowOff>
    </xdr:from>
    <xdr:to>
      <xdr:col>10</xdr:col>
      <xdr:colOff>519112</xdr:colOff>
      <xdr:row>37</xdr:row>
      <xdr:rowOff>160971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561975</xdr:colOff>
      <xdr:row>26</xdr:row>
      <xdr:rowOff>114300</xdr:rowOff>
    </xdr:from>
    <xdr:to>
      <xdr:col>16</xdr:col>
      <xdr:colOff>438151</xdr:colOff>
      <xdr:row>38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12</xdr:row>
      <xdr:rowOff>76200</xdr:rowOff>
    </xdr:from>
    <xdr:to>
      <xdr:col>14</xdr:col>
      <xdr:colOff>514350</xdr:colOff>
      <xdr:row>24</xdr:row>
      <xdr:rowOff>147636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514350</xdr:colOff>
      <xdr:row>1</xdr:row>
      <xdr:rowOff>33337</xdr:rowOff>
    </xdr:from>
    <xdr:to>
      <xdr:col>69</xdr:col>
      <xdr:colOff>209550</xdr:colOff>
      <xdr:row>11</xdr:row>
      <xdr:rowOff>111442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19050</xdr:colOff>
      <xdr:row>28</xdr:row>
      <xdr:rowOff>185737</xdr:rowOff>
    </xdr:from>
    <xdr:to>
      <xdr:col>62</xdr:col>
      <xdr:colOff>323850</xdr:colOff>
      <xdr:row>43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28574</xdr:colOff>
      <xdr:row>10</xdr:row>
      <xdr:rowOff>128587</xdr:rowOff>
    </xdr:from>
    <xdr:to>
      <xdr:col>18</xdr:col>
      <xdr:colOff>266699</xdr:colOff>
      <xdr:row>22</xdr:row>
      <xdr:rowOff>180022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47625</xdr:colOff>
      <xdr:row>15</xdr:row>
      <xdr:rowOff>166687</xdr:rowOff>
    </xdr:from>
    <xdr:to>
      <xdr:col>26</xdr:col>
      <xdr:colOff>352425</xdr:colOff>
      <xdr:row>30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3</xdr:row>
      <xdr:rowOff>128587</xdr:rowOff>
    </xdr:from>
    <xdr:to>
      <xdr:col>2</xdr:col>
      <xdr:colOff>4667250</xdr:colOff>
      <xdr:row>17</xdr:row>
      <xdr:rowOff>119062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3</xdr:row>
      <xdr:rowOff>119062</xdr:rowOff>
    </xdr:from>
    <xdr:to>
      <xdr:col>13</xdr:col>
      <xdr:colOff>485775</xdr:colOff>
      <xdr:row>17</xdr:row>
      <xdr:rowOff>109537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200025</xdr:colOff>
      <xdr:row>14</xdr:row>
      <xdr:rowOff>128587</xdr:rowOff>
    </xdr:from>
    <xdr:to>
      <xdr:col>55</xdr:col>
      <xdr:colOff>504825</xdr:colOff>
      <xdr:row>28</xdr:row>
      <xdr:rowOff>185737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209550</xdr:colOff>
      <xdr:row>0</xdr:row>
      <xdr:rowOff>42862</xdr:rowOff>
    </xdr:from>
    <xdr:to>
      <xdr:col>55</xdr:col>
      <xdr:colOff>514350</xdr:colOff>
      <xdr:row>14</xdr:row>
      <xdr:rowOff>52387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arles\AppData\Roaming\Microsoft\AddIns\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lcoxon Table"/>
      <sheetName val="Mann Table"/>
      <sheetName val="RSign Table"/>
      <sheetName val="Runs Table"/>
      <sheetName val="KS Table"/>
      <sheetName val="Lil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</sheetNames>
    <definedNames>
      <definedName name="ADJK"/>
      <definedName name="AdjRSquare"/>
      <definedName name="ANOVA1"/>
      <definedName name="ANOVA1_POWER"/>
      <definedName name="ANOVA1_SIZE"/>
      <definedName name="Anova1Std"/>
      <definedName name="Anova2Std"/>
      <definedName name="Anova3Cols"/>
      <definedName name="Anova3Rows"/>
      <definedName name="ANOVACol"/>
      <definedName name="Anovaint"/>
      <definedName name="ANOVARow"/>
      <definedName name="Atest"/>
      <definedName name="AtestCol"/>
      <definedName name="Atestint"/>
      <definedName name="Atestrow"/>
      <definedName name="bftest"/>
      <definedName name="CALPHA"/>
      <definedName name="CALPHA_POWER"/>
      <definedName name="CALPHA_SIZE"/>
      <definedName name="CHI_MAX2"/>
      <definedName name="CHI_STAT"/>
      <definedName name="CHI_STAT2"/>
      <definedName name="CHI_TESt"/>
      <definedName name="CHISQ_INV"/>
      <definedName name="CHOL"/>
      <definedName name="COCHRAN"/>
      <definedName name="CORE"/>
      <definedName name="CORR"/>
      <definedName name="COUNTCOL"/>
      <definedName name="COV"/>
      <definedName name="COVP"/>
      <definedName name="CoxEST"/>
      <definedName name="COXPRED"/>
      <definedName name="COXPRED0"/>
      <definedName name="CRONALPHA"/>
      <definedName name="DCRIT"/>
      <definedName name="DescStats"/>
      <definedName name="DESIGN"/>
      <definedName name="DF_POOLED"/>
      <definedName name="dfBet"/>
      <definedName name="dfcol"/>
      <definedName name="dfint"/>
      <definedName name="dfreg"/>
      <definedName name="dfregtot"/>
      <definedName name="dfres"/>
      <definedName name="dfrow"/>
      <definedName name="dfstar"/>
      <definedName name="dftot"/>
      <definedName name="dfw"/>
      <definedName name="dfWF"/>
      <definedName name="DIAG"/>
      <definedName name="DIAGONAL"/>
      <definedName name="DLowerCRIT"/>
      <definedName name="DUpperCRIT"/>
      <definedName name="DURBIN"/>
      <definedName name="eVALUES"/>
      <definedName name="ExpCoeff"/>
      <definedName name="ExpPred"/>
      <definedName name="ExpPredC"/>
      <definedName name="ExtractUnique"/>
      <definedName name="FKTEST"/>
      <definedName name="FRIEDMAN"/>
      <definedName name="FrTEST"/>
      <definedName name="fstar"/>
      <definedName name="FSTAR_TEST"/>
      <definedName name="FTEXT"/>
      <definedName name="GGEpsilon"/>
      <definedName name="HAT"/>
      <definedName name="HFEpsilon"/>
      <definedName name="HLTEST"/>
      <definedName name="HOSMER"/>
      <definedName name="ICC"/>
      <definedName name="ICC_POWER"/>
      <definedName name="ICC_SIZE"/>
      <definedName name="ImputedData"/>
      <definedName name="ImputeFCS"/>
      <definedName name="ImputeParam"/>
      <definedName name="ImputeReg"/>
      <definedName name="ImputeSimple"/>
      <definedName name="ImputeVar"/>
      <definedName name="IPFP2"/>
      <definedName name="IPFP3"/>
      <definedName name="IQR"/>
      <definedName name="ITEMDIFF"/>
      <definedName name="ITEMDISC"/>
      <definedName name="KAPPA"/>
      <definedName name="KendallW"/>
      <definedName name="KRUSKAL"/>
      <definedName name="Ktest"/>
      <definedName name="KUDER"/>
      <definedName name="Levene"/>
      <definedName name="LEVERAGE"/>
      <definedName name="LLReg"/>
      <definedName name="LogitCoeff"/>
      <definedName name="LogitMatches"/>
      <definedName name="LogitPred"/>
      <definedName name="LogitPredC"/>
      <definedName name="LogitReduce"/>
      <definedName name="LogitRSquare"/>
      <definedName name="LogitSelect"/>
      <definedName name="LogitSummary"/>
      <definedName name="LogitTest"/>
      <definedName name="LOGRANK"/>
      <definedName name="MAD"/>
      <definedName name="MEANCOL"/>
      <definedName name="MEANROW"/>
      <definedName name="MERGE"/>
      <definedName name="MICombine"/>
      <definedName name="MissingFreq"/>
      <definedName name="MissingPairwise"/>
      <definedName name="MissingPatterns"/>
      <definedName name="MISummary"/>
      <definedName name="MLogitCoeff"/>
      <definedName name="MLogitExtract"/>
      <definedName name="MLogitParam"/>
      <definedName name="MLogitPred"/>
      <definedName name="MLogitPredC"/>
      <definedName name="MLogitRSquare"/>
      <definedName name="MLogitSelect"/>
      <definedName name="MLogitSummary"/>
      <definedName name="MLogitTest"/>
      <definedName name="MOODS_STAT"/>
      <definedName name="MOODS_TEST"/>
      <definedName name="MSBet"/>
      <definedName name="mscol"/>
      <definedName name="msint"/>
      <definedName name="mSReg"/>
      <definedName name="MSRes"/>
      <definedName name="msrow"/>
      <definedName name="mstot"/>
      <definedName name="MSW"/>
      <definedName name="MSWF"/>
      <definedName name="MultipleR"/>
      <definedName name="NF_DIST"/>
      <definedName name="NF_NCP"/>
      <definedName name="OLogitPredC"/>
      <definedName name="PCorr"/>
      <definedName name="PCorrel"/>
      <definedName name="QCRIT"/>
      <definedName name="QINV"/>
      <definedName name="QRATIO"/>
      <definedName name="QSORT"/>
      <definedName name="QSORT2RowsMixed"/>
      <definedName name="QSORTRows"/>
      <definedName name="QTEST"/>
      <definedName name="RANK_AVG"/>
      <definedName name="RANK_SUM"/>
      <definedName name="REG_POWER"/>
      <definedName name="REG_SIZE"/>
      <definedName name="Reg0Coeff"/>
      <definedName name="RegAIC"/>
      <definedName name="RegAICc"/>
      <definedName name="RegCoeff"/>
      <definedName name="RegCoeffSE"/>
      <definedName name="RegCov"/>
      <definedName name="rege"/>
      <definedName name="RegF"/>
      <definedName name="RegPred"/>
      <definedName name="RegSBC"/>
      <definedName name="regse"/>
      <definedName name="RegStudE"/>
      <definedName name="regtest"/>
      <definedName name="regY"/>
      <definedName name="RESHAPE"/>
      <definedName name="RRegCoeff"/>
      <definedName name="RSquare"/>
      <definedName name="RSquareTest"/>
      <definedName name="RUNSTEST"/>
      <definedName name="SelectCols"/>
      <definedName name="SHAPIRO"/>
      <definedName name="SlopesTest"/>
      <definedName name="SortUnique"/>
      <definedName name="SPLIT_HALF"/>
      <definedName name="SPLITHALF"/>
      <definedName name="SSAnova2"/>
      <definedName name="SSAnova3"/>
      <definedName name="SSBet"/>
      <definedName name="sscol"/>
      <definedName name="SSInt"/>
      <definedName name="SSReg"/>
      <definedName name="SSRegTot"/>
      <definedName name="ssres"/>
      <definedName name="ssrow"/>
      <definedName name="sstot"/>
      <definedName name="SSW"/>
      <definedName name="SSWF"/>
      <definedName name="StdAnova1"/>
      <definedName name="StdAnova2"/>
      <definedName name="StdNested"/>
      <definedName name="SWTEST"/>
      <definedName name="TiesCorrection"/>
      <definedName name="TOLERANCE"/>
      <definedName name="TRACE"/>
      <definedName name="VARCOL"/>
      <definedName name="VIF"/>
      <definedName name="WELCH_TEST"/>
      <definedName name="WKAPPA"/>
      <definedName name="WRegCoef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2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3.nd.edu/~wevans1/econ30331/Durbin_Watson_tables.pdf" TargetMode="Externa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B25"/>
  <sheetViews>
    <sheetView tabSelected="1" zoomScaleNormal="100" workbookViewId="0"/>
  </sheetViews>
  <sheetFormatPr defaultRowHeight="15" x14ac:dyDescent="0.25"/>
  <cols>
    <col min="1" max="1" width="49.42578125" customWidth="1"/>
  </cols>
  <sheetData>
    <row r="1" spans="1:2" x14ac:dyDescent="0.25">
      <c r="A1" s="1" t="s">
        <v>2507</v>
      </c>
      <c r="B1" s="1"/>
    </row>
    <row r="2" spans="1:2" x14ac:dyDescent="0.25">
      <c r="A2" s="1" t="s">
        <v>2708</v>
      </c>
      <c r="B2" s="1"/>
    </row>
    <row r="3" spans="1:2" x14ac:dyDescent="0.25">
      <c r="A3" s="1"/>
      <c r="B3" s="1"/>
    </row>
    <row r="4" spans="1:2" x14ac:dyDescent="0.25">
      <c r="A4" s="667" t="s">
        <v>2705</v>
      </c>
    </row>
    <row r="6" spans="1:2" x14ac:dyDescent="0.25">
      <c r="A6" s="1" t="s">
        <v>1333</v>
      </c>
    </row>
    <row r="8" spans="1:2" x14ac:dyDescent="0.25">
      <c r="A8" s="2" t="s">
        <v>1334</v>
      </c>
    </row>
    <row r="9" spans="1:2" x14ac:dyDescent="0.25">
      <c r="A9" s="2" t="s">
        <v>1688</v>
      </c>
    </row>
    <row r="10" spans="1:2" x14ac:dyDescent="0.25">
      <c r="A10" s="2" t="s">
        <v>1594</v>
      </c>
    </row>
    <row r="11" spans="1:2" x14ac:dyDescent="0.25">
      <c r="A11" s="2" t="s">
        <v>398</v>
      </c>
    </row>
    <row r="12" spans="1:2" x14ac:dyDescent="0.25">
      <c r="A12" s="2" t="s">
        <v>1243</v>
      </c>
    </row>
    <row r="13" spans="1:2" x14ac:dyDescent="0.25">
      <c r="A13" s="2" t="s">
        <v>1807</v>
      </c>
    </row>
    <row r="14" spans="1:2" x14ac:dyDescent="0.25">
      <c r="A14" s="2" t="s">
        <v>1335</v>
      </c>
    </row>
    <row r="15" spans="1:2" x14ac:dyDescent="0.25">
      <c r="A15" s="2" t="s">
        <v>2509</v>
      </c>
    </row>
    <row r="16" spans="1:2" x14ac:dyDescent="0.25">
      <c r="A16" s="2" t="s">
        <v>2239</v>
      </c>
    </row>
    <row r="17" spans="1:1" x14ac:dyDescent="0.25">
      <c r="A17" s="2" t="s">
        <v>1336</v>
      </c>
    </row>
    <row r="18" spans="1:1" x14ac:dyDescent="0.25">
      <c r="A18" s="2" t="s">
        <v>1338</v>
      </c>
    </row>
    <row r="19" spans="1:1" x14ac:dyDescent="0.25">
      <c r="A19" s="2" t="s">
        <v>1337</v>
      </c>
    </row>
    <row r="20" spans="1:1" x14ac:dyDescent="0.25">
      <c r="A20" s="2" t="s">
        <v>1982</v>
      </c>
    </row>
    <row r="22" spans="1:1" x14ac:dyDescent="0.25">
      <c r="A22" s="1" t="s">
        <v>1339</v>
      </c>
    </row>
    <row r="24" spans="1:1" x14ac:dyDescent="0.25">
      <c r="A24" s="2" t="s">
        <v>2508</v>
      </c>
    </row>
    <row r="25" spans="1:1" x14ac:dyDescent="0.25">
      <c r="A25" s="2" t="s">
        <v>1340</v>
      </c>
    </row>
  </sheetData>
  <hyperlinks>
    <hyperlink ref="A8" location="TOC!A8" display="One-way Analysis of Variance (ANOVA)"/>
    <hyperlink ref="A9" location="TOC!A89" display="Factorial ANOVA"/>
    <hyperlink ref="A10" location="TOC!A137" display="Linear Regression"/>
    <hyperlink ref="A11" location="TOC!A176" display="Multiple Regression"/>
    <hyperlink ref="A12" location="TOC!A273" display="Logistic Regression"/>
    <hyperlink ref="A14" location="TOC!A338" display="Log-Linear Regression"/>
    <hyperlink ref="A17" location="TOC!A412" display="ANOVA with Repeated Measures"/>
    <hyperlink ref="A19" location="TOC!A489" display="Reliability"/>
    <hyperlink ref="A18" location="TOC!A461" display="Analysis of Covariance (ANCOVA)"/>
    <hyperlink ref="A25" location="TOC!A585" display="Tables"/>
    <hyperlink ref="A13" location="TOC!A314" display="Multinomial and Ordinal Logistic Regression"/>
    <hyperlink ref="A20" location="TOC!A546" display="Missing Data and Multiple Imputation"/>
    <hyperlink ref="A16" location="TOC!A398" display="ANOVA with Random or Nested Factors"/>
    <hyperlink ref="A24" location="TOC!A578" display="IPFP"/>
    <hyperlink ref="A15" location="TOC!A373" display="Survival Analysis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590"/>
  <sheetViews>
    <sheetView workbookViewId="0"/>
  </sheetViews>
  <sheetFormatPr defaultRowHeight="15" customHeight="1" x14ac:dyDescent="0.25"/>
  <cols>
    <col min="1" max="1" width="4" customWidth="1"/>
    <col min="2" max="2" width="85.5703125" customWidth="1"/>
  </cols>
  <sheetData>
    <row r="1" spans="1:2" ht="15" customHeight="1" x14ac:dyDescent="0.25">
      <c r="A1" s="1" t="s">
        <v>2507</v>
      </c>
      <c r="B1" s="1"/>
    </row>
    <row r="2" spans="1:2" ht="15" customHeight="1" x14ac:dyDescent="0.25">
      <c r="A2" s="1" t="s">
        <v>2708</v>
      </c>
      <c r="B2" s="1"/>
    </row>
    <row r="3" spans="1:2" ht="15" customHeight="1" x14ac:dyDescent="0.25">
      <c r="A3" s="1"/>
      <c r="B3" s="1"/>
    </row>
    <row r="4" spans="1:2" ht="15" customHeight="1" x14ac:dyDescent="0.25">
      <c r="A4" s="667" t="s">
        <v>2705</v>
      </c>
    </row>
    <row r="6" spans="1:2" ht="15" customHeight="1" x14ac:dyDescent="0.25">
      <c r="A6" s="1" t="s">
        <v>0</v>
      </c>
    </row>
    <row r="7" spans="1:2" ht="15" customHeight="1" x14ac:dyDescent="0.25">
      <c r="A7" s="1"/>
    </row>
    <row r="8" spans="1:2" ht="15" customHeight="1" x14ac:dyDescent="0.25">
      <c r="A8" s="1" t="s">
        <v>1334</v>
      </c>
      <c r="B8" s="2"/>
    </row>
    <row r="10" spans="1:2" ht="15" customHeight="1" x14ac:dyDescent="0.25">
      <c r="A10" t="s">
        <v>1343</v>
      </c>
      <c r="B10" s="2"/>
    </row>
    <row r="11" spans="1:2" ht="15" customHeight="1" x14ac:dyDescent="0.25">
      <c r="B11" s="2" t="s">
        <v>1426</v>
      </c>
    </row>
    <row r="12" spans="1:2" ht="15" customHeight="1" x14ac:dyDescent="0.25">
      <c r="B12" s="2" t="s">
        <v>1427</v>
      </c>
    </row>
    <row r="13" spans="1:2" ht="15" customHeight="1" x14ac:dyDescent="0.25">
      <c r="B13" s="2" t="s">
        <v>1479</v>
      </c>
    </row>
    <row r="14" spans="1:2" ht="15" customHeight="1" x14ac:dyDescent="0.25">
      <c r="B14" s="2" t="s">
        <v>1428</v>
      </c>
    </row>
    <row r="15" spans="1:2" ht="15" customHeight="1" x14ac:dyDescent="0.25">
      <c r="B15" s="2" t="s">
        <v>2306</v>
      </c>
    </row>
    <row r="16" spans="1:2" ht="15" customHeight="1" x14ac:dyDescent="0.25">
      <c r="B16" s="2"/>
    </row>
    <row r="17" spans="1:2" ht="15" customHeight="1" x14ac:dyDescent="0.25">
      <c r="A17" t="s">
        <v>268</v>
      </c>
      <c r="B17" s="2"/>
    </row>
    <row r="18" spans="1:2" ht="15" customHeight="1" x14ac:dyDescent="0.25">
      <c r="B18" s="2" t="s">
        <v>2307</v>
      </c>
    </row>
    <row r="19" spans="1:2" ht="15" customHeight="1" x14ac:dyDescent="0.25">
      <c r="B19" s="2" t="s">
        <v>2308</v>
      </c>
    </row>
    <row r="20" spans="1:2" ht="15" customHeight="1" x14ac:dyDescent="0.25">
      <c r="B20" s="2" t="s">
        <v>1676</v>
      </c>
    </row>
    <row r="21" spans="1:2" ht="15" customHeight="1" x14ac:dyDescent="0.25">
      <c r="B21" s="2"/>
    </row>
    <row r="22" spans="1:2" ht="15" customHeight="1" x14ac:dyDescent="0.25">
      <c r="A22" t="s">
        <v>507</v>
      </c>
      <c r="B22" s="2"/>
    </row>
    <row r="23" spans="1:2" ht="15" customHeight="1" x14ac:dyDescent="0.25">
      <c r="B23" s="2" t="s">
        <v>1429</v>
      </c>
    </row>
    <row r="24" spans="1:2" ht="15" customHeight="1" x14ac:dyDescent="0.25">
      <c r="B24" s="2" t="s">
        <v>1437</v>
      </c>
    </row>
    <row r="25" spans="1:2" ht="15" customHeight="1" x14ac:dyDescent="0.25">
      <c r="B25" s="2" t="s">
        <v>1438</v>
      </c>
    </row>
    <row r="26" spans="1:2" ht="15" customHeight="1" x14ac:dyDescent="0.25">
      <c r="B26" s="2" t="s">
        <v>1439</v>
      </c>
    </row>
    <row r="27" spans="1:2" ht="15" customHeight="1" x14ac:dyDescent="0.25">
      <c r="B27" s="2" t="s">
        <v>2309</v>
      </c>
    </row>
    <row r="28" spans="1:2" ht="15" customHeight="1" x14ac:dyDescent="0.25">
      <c r="B28" s="2"/>
    </row>
    <row r="29" spans="1:2" ht="15" customHeight="1" x14ac:dyDescent="0.25">
      <c r="A29" t="s">
        <v>1430</v>
      </c>
      <c r="B29" s="2"/>
    </row>
    <row r="30" spans="1:2" ht="15" customHeight="1" x14ac:dyDescent="0.25">
      <c r="B30" s="2" t="s">
        <v>1431</v>
      </c>
    </row>
    <row r="31" spans="1:2" ht="15" customHeight="1" x14ac:dyDescent="0.25">
      <c r="B31" s="2" t="s">
        <v>2310</v>
      </c>
    </row>
    <row r="32" spans="1:2" ht="15" customHeight="1" x14ac:dyDescent="0.25">
      <c r="B32" s="2" t="s">
        <v>1582</v>
      </c>
    </row>
    <row r="33" spans="1:2" ht="15" customHeight="1" x14ac:dyDescent="0.25">
      <c r="B33" s="2" t="s">
        <v>1583</v>
      </c>
    </row>
    <row r="34" spans="1:2" ht="15" customHeight="1" x14ac:dyDescent="0.25">
      <c r="B34" s="2" t="s">
        <v>1584</v>
      </c>
    </row>
    <row r="35" spans="1:2" ht="15" customHeight="1" x14ac:dyDescent="0.25">
      <c r="B35" s="2" t="s">
        <v>2706</v>
      </c>
    </row>
    <row r="36" spans="1:2" ht="15" customHeight="1" x14ac:dyDescent="0.25">
      <c r="B36" s="2" t="s">
        <v>2707</v>
      </c>
    </row>
    <row r="37" spans="1:2" ht="15" customHeight="1" x14ac:dyDescent="0.25">
      <c r="B37" s="2"/>
    </row>
    <row r="38" spans="1:2" ht="15" customHeight="1" x14ac:dyDescent="0.25">
      <c r="A38" t="s">
        <v>730</v>
      </c>
      <c r="B38" s="2"/>
    </row>
    <row r="39" spans="1:2" ht="15" customHeight="1" x14ac:dyDescent="0.25">
      <c r="B39" s="2" t="s">
        <v>1432</v>
      </c>
    </row>
    <row r="40" spans="1:2" ht="15" customHeight="1" x14ac:dyDescent="0.25">
      <c r="B40" s="2" t="s">
        <v>2311</v>
      </c>
    </row>
    <row r="41" spans="1:2" ht="15" customHeight="1" x14ac:dyDescent="0.25">
      <c r="B41" s="2" t="s">
        <v>1618</v>
      </c>
    </row>
    <row r="42" spans="1:2" ht="15" customHeight="1" x14ac:dyDescent="0.25">
      <c r="B42" s="2" t="s">
        <v>586</v>
      </c>
    </row>
    <row r="43" spans="1:2" ht="15" customHeight="1" x14ac:dyDescent="0.25">
      <c r="B43" s="2" t="s">
        <v>2424</v>
      </c>
    </row>
    <row r="44" spans="1:2" ht="15" customHeight="1" x14ac:dyDescent="0.25">
      <c r="B44" s="2" t="s">
        <v>2430</v>
      </c>
    </row>
    <row r="45" spans="1:2" ht="15" customHeight="1" x14ac:dyDescent="0.25">
      <c r="B45" s="2" t="s">
        <v>2425</v>
      </c>
    </row>
    <row r="46" spans="1:2" ht="15" customHeight="1" x14ac:dyDescent="0.25">
      <c r="B46" s="2"/>
    </row>
    <row r="47" spans="1:2" ht="15" customHeight="1" x14ac:dyDescent="0.25">
      <c r="A47" t="s">
        <v>503</v>
      </c>
      <c r="B47" s="2"/>
    </row>
    <row r="48" spans="1:2" ht="15" customHeight="1" x14ac:dyDescent="0.25">
      <c r="B48" s="2" t="s">
        <v>1433</v>
      </c>
    </row>
    <row r="49" spans="1:2" ht="15" customHeight="1" x14ac:dyDescent="0.25">
      <c r="B49" s="2"/>
    </row>
    <row r="50" spans="1:2" ht="15" customHeight="1" x14ac:dyDescent="0.25">
      <c r="A50" t="s">
        <v>128</v>
      </c>
      <c r="B50" s="2"/>
    </row>
    <row r="51" spans="1:2" ht="15" customHeight="1" x14ac:dyDescent="0.25">
      <c r="B51" s="2" t="s">
        <v>1436</v>
      </c>
    </row>
    <row r="52" spans="1:2" ht="15" customHeight="1" x14ac:dyDescent="0.25">
      <c r="B52" s="2" t="s">
        <v>2312</v>
      </c>
    </row>
    <row r="53" spans="1:2" ht="15" customHeight="1" x14ac:dyDescent="0.25">
      <c r="B53" s="2" t="s">
        <v>1440</v>
      </c>
    </row>
    <row r="54" spans="1:2" ht="15" customHeight="1" x14ac:dyDescent="0.25">
      <c r="B54" s="2"/>
    </row>
    <row r="55" spans="1:2" ht="15" customHeight="1" x14ac:dyDescent="0.25">
      <c r="A55" t="s">
        <v>33</v>
      </c>
      <c r="B55" s="2"/>
    </row>
    <row r="56" spans="1:2" ht="15" customHeight="1" x14ac:dyDescent="0.25">
      <c r="B56" s="2" t="s">
        <v>2119</v>
      </c>
    </row>
    <row r="57" spans="1:2" ht="15" customHeight="1" x14ac:dyDescent="0.25">
      <c r="B57" s="2" t="s">
        <v>2118</v>
      </c>
    </row>
    <row r="58" spans="1:2" ht="15" customHeight="1" x14ac:dyDescent="0.25">
      <c r="B58" s="2" t="s">
        <v>2299</v>
      </c>
    </row>
    <row r="59" spans="1:2" ht="15" customHeight="1" x14ac:dyDescent="0.25">
      <c r="B59" s="2"/>
    </row>
    <row r="60" spans="1:2" ht="15" customHeight="1" x14ac:dyDescent="0.25">
      <c r="A60" t="s">
        <v>1434</v>
      </c>
      <c r="B60" s="2"/>
    </row>
    <row r="61" spans="1:2" ht="15" customHeight="1" x14ac:dyDescent="0.25">
      <c r="B61" s="2" t="s">
        <v>1435</v>
      </c>
    </row>
    <row r="62" spans="1:2" ht="15" customHeight="1" x14ac:dyDescent="0.25">
      <c r="B62" s="2" t="s">
        <v>1587</v>
      </c>
    </row>
    <row r="63" spans="1:2" ht="15" customHeight="1" x14ac:dyDescent="0.25">
      <c r="B63" s="2" t="s">
        <v>2313</v>
      </c>
    </row>
    <row r="64" spans="1:2" ht="15" customHeight="1" x14ac:dyDescent="0.25">
      <c r="B64" s="2" t="s">
        <v>1588</v>
      </c>
    </row>
    <row r="65" spans="1:2" ht="15" customHeight="1" x14ac:dyDescent="0.25">
      <c r="B65" s="2"/>
    </row>
    <row r="66" spans="1:2" ht="15" customHeight="1" x14ac:dyDescent="0.25">
      <c r="A66" t="s">
        <v>2485</v>
      </c>
      <c r="B66" s="2"/>
    </row>
    <row r="67" spans="1:2" ht="15" customHeight="1" x14ac:dyDescent="0.25">
      <c r="B67" s="2" t="s">
        <v>2486</v>
      </c>
    </row>
    <row r="68" spans="1:2" ht="15" customHeight="1" x14ac:dyDescent="0.25">
      <c r="B68" s="2" t="s">
        <v>2487</v>
      </c>
    </row>
    <row r="69" spans="1:2" ht="15" customHeight="1" x14ac:dyDescent="0.25">
      <c r="B69" s="2" t="s">
        <v>2488</v>
      </c>
    </row>
    <row r="70" spans="1:2" ht="15" customHeight="1" x14ac:dyDescent="0.25">
      <c r="B70" s="2" t="s">
        <v>2489</v>
      </c>
    </row>
    <row r="71" spans="1:2" ht="15" customHeight="1" x14ac:dyDescent="0.25">
      <c r="B71" s="2" t="s">
        <v>2490</v>
      </c>
    </row>
    <row r="72" spans="1:2" ht="15" customHeight="1" x14ac:dyDescent="0.25">
      <c r="B72" s="2"/>
    </row>
    <row r="73" spans="1:2" ht="15" customHeight="1" x14ac:dyDescent="0.25">
      <c r="A73" t="s">
        <v>2166</v>
      </c>
      <c r="B73" s="93"/>
    </row>
    <row r="74" spans="1:2" ht="15" customHeight="1" x14ac:dyDescent="0.25">
      <c r="B74" s="93" t="s">
        <v>2167</v>
      </c>
    </row>
    <row r="75" spans="1:2" ht="15" customHeight="1" x14ac:dyDescent="0.25">
      <c r="B75" s="93" t="s">
        <v>2175</v>
      </c>
    </row>
    <row r="76" spans="1:2" ht="15" customHeight="1" x14ac:dyDescent="0.25">
      <c r="B76" s="93" t="s">
        <v>2172</v>
      </c>
    </row>
    <row r="77" spans="1:2" ht="15" customHeight="1" x14ac:dyDescent="0.25">
      <c r="B77" s="93"/>
    </row>
    <row r="78" spans="1:2" ht="15" customHeight="1" x14ac:dyDescent="0.25">
      <c r="A78" t="s">
        <v>1441</v>
      </c>
      <c r="B78" s="2"/>
    </row>
    <row r="79" spans="1:2" ht="15" customHeight="1" x14ac:dyDescent="0.25">
      <c r="B79" s="93" t="s">
        <v>1442</v>
      </c>
    </row>
    <row r="80" spans="1:2" ht="15" customHeight="1" x14ac:dyDescent="0.25">
      <c r="B80" s="93" t="s">
        <v>1443</v>
      </c>
    </row>
    <row r="81" spans="1:2" ht="15" customHeight="1" x14ac:dyDescent="0.25">
      <c r="B81" s="93"/>
    </row>
    <row r="82" spans="1:2" ht="15" customHeight="1" x14ac:dyDescent="0.25">
      <c r="A82" t="s">
        <v>2131</v>
      </c>
      <c r="B82" s="93"/>
    </row>
    <row r="83" spans="1:2" ht="15" customHeight="1" x14ac:dyDescent="0.25">
      <c r="B83" s="93" t="s">
        <v>2134</v>
      </c>
    </row>
    <row r="84" spans="1:2" ht="15" customHeight="1" x14ac:dyDescent="0.25">
      <c r="B84" s="93"/>
    </row>
    <row r="85" spans="1:2" ht="15" customHeight="1" x14ac:dyDescent="0.25">
      <c r="A85" t="s">
        <v>1347</v>
      </c>
      <c r="B85" s="93"/>
    </row>
    <row r="86" spans="1:2" ht="15" customHeight="1" x14ac:dyDescent="0.25">
      <c r="B86" s="93" t="s">
        <v>2338</v>
      </c>
    </row>
    <row r="87" spans="1:2" ht="15" customHeight="1" x14ac:dyDescent="0.25">
      <c r="B87" s="93" t="s">
        <v>2337</v>
      </c>
    </row>
    <row r="88" spans="1:2" ht="15" customHeight="1" x14ac:dyDescent="0.25">
      <c r="B88" s="93"/>
    </row>
    <row r="89" spans="1:2" ht="15" customHeight="1" x14ac:dyDescent="0.25">
      <c r="A89" s="1" t="s">
        <v>1688</v>
      </c>
      <c r="B89" s="2"/>
    </row>
    <row r="90" spans="1:2" ht="15" customHeight="1" x14ac:dyDescent="0.25">
      <c r="B90" s="2"/>
    </row>
    <row r="91" spans="1:2" ht="15" customHeight="1" x14ac:dyDescent="0.25">
      <c r="A91" t="s">
        <v>1349</v>
      </c>
      <c r="B91" s="2"/>
    </row>
    <row r="92" spans="1:2" ht="15" customHeight="1" x14ac:dyDescent="0.25">
      <c r="B92" s="2" t="s">
        <v>1444</v>
      </c>
    </row>
    <row r="93" spans="1:2" ht="15" customHeight="1" x14ac:dyDescent="0.25">
      <c r="B93" s="2" t="s">
        <v>2130</v>
      </c>
    </row>
    <row r="94" spans="1:2" ht="15" customHeight="1" x14ac:dyDescent="0.25">
      <c r="B94" s="2" t="s">
        <v>1706</v>
      </c>
    </row>
    <row r="95" spans="1:2" ht="15" customHeight="1" x14ac:dyDescent="0.25">
      <c r="B95" s="2"/>
    </row>
    <row r="96" spans="1:2" ht="15" customHeight="1" x14ac:dyDescent="0.25">
      <c r="A96" t="s">
        <v>1350</v>
      </c>
      <c r="B96" s="2"/>
    </row>
    <row r="97" spans="1:2" ht="15" customHeight="1" x14ac:dyDescent="0.25">
      <c r="B97" s="2" t="s">
        <v>1445</v>
      </c>
    </row>
    <row r="98" spans="1:2" ht="15" customHeight="1" x14ac:dyDescent="0.25">
      <c r="B98" s="2" t="s">
        <v>1452</v>
      </c>
    </row>
    <row r="99" spans="1:2" ht="15" customHeight="1" x14ac:dyDescent="0.25">
      <c r="B99" s="2" t="s">
        <v>1677</v>
      </c>
    </row>
    <row r="100" spans="1:2" ht="15" customHeight="1" x14ac:dyDescent="0.25">
      <c r="B100" s="2"/>
    </row>
    <row r="101" spans="1:2" ht="15" customHeight="1" x14ac:dyDescent="0.25">
      <c r="A101" t="s">
        <v>1689</v>
      </c>
      <c r="B101" s="2"/>
    </row>
    <row r="102" spans="1:2" ht="15" customHeight="1" x14ac:dyDescent="0.25">
      <c r="B102" s="2" t="s">
        <v>2129</v>
      </c>
    </row>
    <row r="103" spans="1:2" ht="15" customHeight="1" x14ac:dyDescent="0.25">
      <c r="B103" s="2" t="s">
        <v>2128</v>
      </c>
    </row>
    <row r="104" spans="1:2" ht="15" customHeight="1" x14ac:dyDescent="0.25">
      <c r="B104" s="2" t="s">
        <v>2474</v>
      </c>
    </row>
    <row r="105" spans="1:2" ht="15" customHeight="1" x14ac:dyDescent="0.25">
      <c r="B105" s="2" t="s">
        <v>1678</v>
      </c>
    </row>
    <row r="106" spans="1:2" ht="15" customHeight="1" x14ac:dyDescent="0.25">
      <c r="B106" s="2"/>
    </row>
    <row r="107" spans="1:2" ht="15" customHeight="1" x14ac:dyDescent="0.25">
      <c r="A107" t="s">
        <v>2608</v>
      </c>
      <c r="B107" s="2"/>
    </row>
    <row r="108" spans="1:2" ht="15" customHeight="1" x14ac:dyDescent="0.25">
      <c r="B108" s="2" t="s">
        <v>2505</v>
      </c>
    </row>
    <row r="109" spans="1:2" ht="15" customHeight="1" x14ac:dyDescent="0.25">
      <c r="B109" s="2" t="s">
        <v>2506</v>
      </c>
    </row>
    <row r="110" spans="1:2" ht="15" customHeight="1" x14ac:dyDescent="0.25">
      <c r="B110" s="2"/>
    </row>
    <row r="111" spans="1:2" ht="15" customHeight="1" x14ac:dyDescent="0.25">
      <c r="A111" t="s">
        <v>1447</v>
      </c>
      <c r="B111" s="2"/>
    </row>
    <row r="112" spans="1:2" ht="15" customHeight="1" x14ac:dyDescent="0.25">
      <c r="B112" s="2" t="s">
        <v>1445</v>
      </c>
    </row>
    <row r="113" spans="1:2" ht="15" customHeight="1" x14ac:dyDescent="0.25">
      <c r="B113" s="2" t="s">
        <v>1448</v>
      </c>
    </row>
    <row r="114" spans="1:2" ht="15" customHeight="1" x14ac:dyDescent="0.25">
      <c r="B114" s="2" t="s">
        <v>1449</v>
      </c>
    </row>
    <row r="115" spans="1:2" ht="15" customHeight="1" x14ac:dyDescent="0.25">
      <c r="B115" s="2" t="s">
        <v>1451</v>
      </c>
    </row>
    <row r="116" spans="1:2" ht="15" customHeight="1" x14ac:dyDescent="0.25">
      <c r="B116" s="2" t="s">
        <v>1450</v>
      </c>
    </row>
    <row r="117" spans="1:2" ht="15" customHeight="1" x14ac:dyDescent="0.25">
      <c r="B117" s="2" t="s">
        <v>2467</v>
      </c>
    </row>
    <row r="118" spans="1:2" ht="15" customHeight="1" x14ac:dyDescent="0.25">
      <c r="B118" s="2"/>
    </row>
    <row r="119" spans="1:2" ht="15" customHeight="1" x14ac:dyDescent="0.25">
      <c r="A119" t="s">
        <v>2460</v>
      </c>
      <c r="B119" s="2"/>
    </row>
    <row r="120" spans="1:2" ht="15" customHeight="1" x14ac:dyDescent="0.25">
      <c r="B120" s="2" t="s">
        <v>2468</v>
      </c>
    </row>
    <row r="121" spans="1:2" ht="15" customHeight="1" x14ac:dyDescent="0.25">
      <c r="B121" s="2"/>
    </row>
    <row r="122" spans="1:2" ht="15" customHeight="1" x14ac:dyDescent="0.25">
      <c r="A122" t="s">
        <v>1679</v>
      </c>
      <c r="B122" s="2"/>
    </row>
    <row r="123" spans="1:2" ht="15" customHeight="1" x14ac:dyDescent="0.25">
      <c r="B123" s="2" t="s">
        <v>1446</v>
      </c>
    </row>
    <row r="124" spans="1:2" ht="15" customHeight="1" x14ac:dyDescent="0.25">
      <c r="B124" s="2"/>
    </row>
    <row r="125" spans="1:2" ht="15" customHeight="1" x14ac:dyDescent="0.25">
      <c r="A125" t="s">
        <v>1690</v>
      </c>
      <c r="B125" s="2"/>
    </row>
    <row r="126" spans="1:2" ht="15" customHeight="1" x14ac:dyDescent="0.25">
      <c r="B126" s="2" t="s">
        <v>1691</v>
      </c>
    </row>
    <row r="127" spans="1:2" ht="15" customHeight="1" x14ac:dyDescent="0.25">
      <c r="B127" s="2" t="s">
        <v>1700</v>
      </c>
    </row>
    <row r="128" spans="1:2" ht="15" customHeight="1" x14ac:dyDescent="0.25">
      <c r="B128" s="2" t="s">
        <v>1699</v>
      </c>
    </row>
    <row r="129" spans="1:2" ht="15" customHeight="1" x14ac:dyDescent="0.25">
      <c r="B129" s="2"/>
    </row>
    <row r="130" spans="1:2" ht="15" customHeight="1" x14ac:dyDescent="0.25">
      <c r="A130" t="s">
        <v>2621</v>
      </c>
      <c r="B130" s="2"/>
    </row>
    <row r="131" spans="1:2" ht="15" customHeight="1" x14ac:dyDescent="0.25">
      <c r="B131" s="2" t="s">
        <v>2622</v>
      </c>
    </row>
    <row r="132" spans="1:2" ht="15" customHeight="1" x14ac:dyDescent="0.25">
      <c r="B132" s="2" t="s">
        <v>2646</v>
      </c>
    </row>
    <row r="133" spans="1:2" ht="15" customHeight="1" x14ac:dyDescent="0.25">
      <c r="B133" s="2"/>
    </row>
    <row r="134" spans="1:2" ht="15" customHeight="1" x14ac:dyDescent="0.25">
      <c r="A134" t="s">
        <v>2616</v>
      </c>
      <c r="B134" s="2"/>
    </row>
    <row r="135" spans="1:2" ht="15" customHeight="1" x14ac:dyDescent="0.25">
      <c r="B135" s="2" t="s">
        <v>2617</v>
      </c>
    </row>
    <row r="136" spans="1:2" ht="15" customHeight="1" x14ac:dyDescent="0.25">
      <c r="B136" s="2"/>
    </row>
    <row r="137" spans="1:2" ht="15" customHeight="1" x14ac:dyDescent="0.25">
      <c r="A137" s="1" t="s">
        <v>1594</v>
      </c>
      <c r="B137" s="2"/>
    </row>
    <row r="138" spans="1:2" ht="15" customHeight="1" x14ac:dyDescent="0.25">
      <c r="B138" s="2"/>
    </row>
    <row r="139" spans="1:2" ht="15" customHeight="1" x14ac:dyDescent="0.25">
      <c r="A139" t="s">
        <v>1348</v>
      </c>
    </row>
    <row r="140" spans="1:2" ht="15" customHeight="1" x14ac:dyDescent="0.25">
      <c r="B140" s="2" t="s">
        <v>1371</v>
      </c>
    </row>
    <row r="141" spans="1:2" ht="15" customHeight="1" x14ac:dyDescent="0.25">
      <c r="B141" s="2"/>
    </row>
    <row r="142" spans="1:2" ht="15" customHeight="1" x14ac:dyDescent="0.25">
      <c r="A142" t="s">
        <v>1372</v>
      </c>
      <c r="B142" s="2"/>
    </row>
    <row r="143" spans="1:2" ht="15" customHeight="1" x14ac:dyDescent="0.25">
      <c r="B143" s="2" t="s">
        <v>1373</v>
      </c>
    </row>
    <row r="144" spans="1:2" ht="15" customHeight="1" x14ac:dyDescent="0.25">
      <c r="B144" s="2" t="s">
        <v>1238</v>
      </c>
    </row>
    <row r="145" spans="1:2" ht="15" customHeight="1" x14ac:dyDescent="0.25">
      <c r="B145" s="2"/>
    </row>
    <row r="146" spans="1:2" ht="15" customHeight="1" x14ac:dyDescent="0.25">
      <c r="A146" t="s">
        <v>1376</v>
      </c>
    </row>
    <row r="147" spans="1:2" ht="15" customHeight="1" x14ac:dyDescent="0.25">
      <c r="B147" s="2" t="s">
        <v>1374</v>
      </c>
    </row>
    <row r="148" spans="1:2" ht="15" customHeight="1" x14ac:dyDescent="0.25">
      <c r="B148" s="2"/>
    </row>
    <row r="149" spans="1:2" ht="15" customHeight="1" x14ac:dyDescent="0.25">
      <c r="A149" t="s">
        <v>1377</v>
      </c>
      <c r="B149" s="2"/>
    </row>
    <row r="150" spans="1:2" ht="15" customHeight="1" x14ac:dyDescent="0.25">
      <c r="B150" s="2" t="s">
        <v>1375</v>
      </c>
    </row>
    <row r="151" spans="1:2" ht="15" customHeight="1" x14ac:dyDescent="0.25">
      <c r="B151" s="2" t="s">
        <v>1380</v>
      </c>
    </row>
    <row r="152" spans="1:2" ht="15" customHeight="1" x14ac:dyDescent="0.25">
      <c r="B152" s="2" t="s">
        <v>1381</v>
      </c>
    </row>
    <row r="153" spans="1:2" ht="15" customHeight="1" x14ac:dyDescent="0.25">
      <c r="B153" s="2" t="s">
        <v>1508</v>
      </c>
    </row>
    <row r="154" spans="1:2" ht="15" customHeight="1" x14ac:dyDescent="0.25">
      <c r="B154" s="2"/>
    </row>
    <row r="155" spans="1:2" ht="15" customHeight="1" x14ac:dyDescent="0.25">
      <c r="A155" t="s">
        <v>1378</v>
      </c>
    </row>
    <row r="156" spans="1:2" ht="15" customHeight="1" x14ac:dyDescent="0.25">
      <c r="B156" s="2" t="s">
        <v>1382</v>
      </c>
    </row>
    <row r="157" spans="1:2" ht="15" customHeight="1" x14ac:dyDescent="0.25">
      <c r="B157" s="2" t="s">
        <v>1383</v>
      </c>
    </row>
    <row r="158" spans="1:2" ht="15" customHeight="1" x14ac:dyDescent="0.25">
      <c r="B158" s="2"/>
    </row>
    <row r="159" spans="1:2" ht="15" customHeight="1" x14ac:dyDescent="0.25">
      <c r="A159" t="s">
        <v>1379</v>
      </c>
    </row>
    <row r="160" spans="1:2" ht="15" customHeight="1" x14ac:dyDescent="0.25">
      <c r="B160" s="2" t="s">
        <v>2406</v>
      </c>
    </row>
    <row r="161" spans="1:2" ht="15" customHeight="1" x14ac:dyDescent="0.25">
      <c r="B161" s="2" t="s">
        <v>1384</v>
      </c>
    </row>
    <row r="162" spans="1:2" ht="15" customHeight="1" x14ac:dyDescent="0.25">
      <c r="B162" s="2" t="s">
        <v>2407</v>
      </c>
    </row>
    <row r="163" spans="1:2" ht="15" customHeight="1" x14ac:dyDescent="0.25">
      <c r="B163" s="2" t="s">
        <v>2408</v>
      </c>
    </row>
    <row r="164" spans="1:2" ht="15" customHeight="1" x14ac:dyDescent="0.25">
      <c r="B164" s="2" t="s">
        <v>2409</v>
      </c>
    </row>
    <row r="165" spans="1:2" ht="15" customHeight="1" x14ac:dyDescent="0.25">
      <c r="B165" s="2" t="s">
        <v>2412</v>
      </c>
    </row>
    <row r="166" spans="1:2" ht="15" customHeight="1" x14ac:dyDescent="0.25">
      <c r="B166" s="2"/>
    </row>
    <row r="167" spans="1:2" ht="15" customHeight="1" x14ac:dyDescent="0.25">
      <c r="A167" t="s">
        <v>1595</v>
      </c>
      <c r="B167" s="2"/>
    </row>
    <row r="168" spans="1:2" ht="15" customHeight="1" x14ac:dyDescent="0.25">
      <c r="B168" s="2" t="s">
        <v>1596</v>
      </c>
    </row>
    <row r="170" spans="1:2" ht="15" customHeight="1" x14ac:dyDescent="0.25">
      <c r="A170" t="s">
        <v>1507</v>
      </c>
    </row>
    <row r="171" spans="1:2" ht="15" customHeight="1" x14ac:dyDescent="0.25">
      <c r="B171" s="2" t="s">
        <v>1385</v>
      </c>
    </row>
    <row r="172" spans="1:2" ht="15" customHeight="1" x14ac:dyDescent="0.25">
      <c r="B172" s="2" t="s">
        <v>1386</v>
      </c>
    </row>
    <row r="173" spans="1:2" ht="15" customHeight="1" x14ac:dyDescent="0.25">
      <c r="B173" s="2" t="s">
        <v>1387</v>
      </c>
    </row>
    <row r="174" spans="1:2" ht="15" customHeight="1" x14ac:dyDescent="0.25">
      <c r="B174" s="2" t="s">
        <v>1388</v>
      </c>
    </row>
    <row r="175" spans="1:2" ht="15" customHeight="1" x14ac:dyDescent="0.25">
      <c r="B175" s="2"/>
    </row>
    <row r="176" spans="1:2" ht="15" customHeight="1" x14ac:dyDescent="0.25">
      <c r="A176" s="1" t="s">
        <v>398</v>
      </c>
      <c r="B176" s="2"/>
    </row>
    <row r="178" spans="1:2" ht="15" customHeight="1" x14ac:dyDescent="0.25">
      <c r="A178" t="s">
        <v>1348</v>
      </c>
    </row>
    <row r="179" spans="1:2" ht="15" customHeight="1" x14ac:dyDescent="0.25">
      <c r="B179" s="2" t="s">
        <v>1389</v>
      </c>
    </row>
    <row r="180" spans="1:2" ht="15" customHeight="1" x14ac:dyDescent="0.25">
      <c r="B180" s="2" t="s">
        <v>1390</v>
      </c>
    </row>
    <row r="181" spans="1:2" ht="15" customHeight="1" x14ac:dyDescent="0.25">
      <c r="B181" s="2" t="s">
        <v>1391</v>
      </c>
    </row>
    <row r="182" spans="1:2" ht="15" customHeight="1" x14ac:dyDescent="0.25">
      <c r="B182" s="2" t="s">
        <v>2303</v>
      </c>
    </row>
    <row r="183" spans="1:2" ht="15" customHeight="1" x14ac:dyDescent="0.25">
      <c r="B183" s="2"/>
    </row>
    <row r="184" spans="1:2" ht="15" customHeight="1" x14ac:dyDescent="0.25">
      <c r="A184" t="s">
        <v>1392</v>
      </c>
    </row>
    <row r="185" spans="1:2" ht="15" customHeight="1" x14ac:dyDescent="0.25">
      <c r="B185" s="2" t="s">
        <v>1453</v>
      </c>
    </row>
    <row r="186" spans="1:2" ht="15" customHeight="1" x14ac:dyDescent="0.25">
      <c r="B186" s="2" t="s">
        <v>1393</v>
      </c>
    </row>
    <row r="187" spans="1:2" ht="15" customHeight="1" x14ac:dyDescent="0.25">
      <c r="B187" s="2" t="s">
        <v>1395</v>
      </c>
    </row>
    <row r="188" spans="1:2" ht="15" customHeight="1" x14ac:dyDescent="0.25">
      <c r="B188" s="2" t="s">
        <v>1394</v>
      </c>
    </row>
    <row r="189" spans="1:2" ht="15" customHeight="1" x14ac:dyDescent="0.25">
      <c r="B189" s="2" t="s">
        <v>1597</v>
      </c>
    </row>
    <row r="190" spans="1:2" ht="15" customHeight="1" x14ac:dyDescent="0.25">
      <c r="B190" s="2" t="s">
        <v>1454</v>
      </c>
    </row>
    <row r="191" spans="1:2" ht="15" customHeight="1" x14ac:dyDescent="0.25">
      <c r="B191" s="2" t="s">
        <v>2304</v>
      </c>
    </row>
    <row r="192" spans="1:2" ht="15" customHeight="1" x14ac:dyDescent="0.25">
      <c r="B192" s="2" t="s">
        <v>1510</v>
      </c>
    </row>
    <row r="193" spans="1:2" ht="15" customHeight="1" x14ac:dyDescent="0.25">
      <c r="B193" s="2" t="s">
        <v>2381</v>
      </c>
    </row>
    <row r="194" spans="1:2" ht="15" customHeight="1" x14ac:dyDescent="0.25">
      <c r="B194" s="2"/>
    </row>
    <row r="195" spans="1:2" ht="15" customHeight="1" x14ac:dyDescent="0.25">
      <c r="A195" t="s">
        <v>2247</v>
      </c>
      <c r="B195" s="2"/>
    </row>
    <row r="196" spans="1:2" ht="15" customHeight="1" x14ac:dyDescent="0.25">
      <c r="B196" s="2" t="s">
        <v>2248</v>
      </c>
    </row>
    <row r="198" spans="1:2" ht="15" customHeight="1" x14ac:dyDescent="0.25">
      <c r="A198" t="s">
        <v>1455</v>
      </c>
    </row>
    <row r="199" spans="1:2" ht="15" customHeight="1" x14ac:dyDescent="0.25">
      <c r="B199" s="2" t="s">
        <v>1456</v>
      </c>
    </row>
    <row r="200" spans="1:2" ht="15" customHeight="1" x14ac:dyDescent="0.25">
      <c r="B200" s="2" t="s">
        <v>1457</v>
      </c>
    </row>
    <row r="201" spans="1:2" ht="15" customHeight="1" x14ac:dyDescent="0.25">
      <c r="B201" s="2" t="s">
        <v>1458</v>
      </c>
    </row>
    <row r="202" spans="1:2" ht="15" customHeight="1" x14ac:dyDescent="0.25">
      <c r="B202" s="2"/>
    </row>
    <row r="203" spans="1:2" ht="15" customHeight="1" x14ac:dyDescent="0.25">
      <c r="A203" t="s">
        <v>1605</v>
      </c>
      <c r="B203" s="2"/>
    </row>
    <row r="204" spans="1:2" ht="15" customHeight="1" x14ac:dyDescent="0.25">
      <c r="B204" s="2" t="s">
        <v>1608</v>
      </c>
    </row>
    <row r="205" spans="1:2" ht="15" customHeight="1" x14ac:dyDescent="0.25">
      <c r="B205" s="2" t="s">
        <v>1607</v>
      </c>
    </row>
    <row r="206" spans="1:2" ht="15" customHeight="1" x14ac:dyDescent="0.25">
      <c r="B206" s="2"/>
    </row>
    <row r="207" spans="1:2" ht="15" customHeight="1" x14ac:dyDescent="0.25">
      <c r="A207" t="s">
        <v>437</v>
      </c>
    </row>
    <row r="208" spans="1:2" ht="15" customHeight="1" x14ac:dyDescent="0.25">
      <c r="B208" s="2" t="s">
        <v>1459</v>
      </c>
    </row>
    <row r="209" spans="1:2" ht="15" customHeight="1" x14ac:dyDescent="0.25">
      <c r="B209" s="2"/>
    </row>
    <row r="210" spans="1:2" ht="15" customHeight="1" x14ac:dyDescent="0.25">
      <c r="A210" t="s">
        <v>1465</v>
      </c>
      <c r="B210" s="2"/>
    </row>
    <row r="211" spans="1:2" ht="15" customHeight="1" x14ac:dyDescent="0.25">
      <c r="B211" s="2" t="s">
        <v>1460</v>
      </c>
    </row>
    <row r="212" spans="1:2" ht="15" customHeight="1" x14ac:dyDescent="0.25">
      <c r="B212" s="2" t="s">
        <v>1461</v>
      </c>
    </row>
    <row r="213" spans="1:2" ht="15" customHeight="1" x14ac:dyDescent="0.25">
      <c r="B213" s="2" t="s">
        <v>1480</v>
      </c>
    </row>
    <row r="214" spans="1:2" ht="15" customHeight="1" x14ac:dyDescent="0.25">
      <c r="B214" s="2" t="s">
        <v>1462</v>
      </c>
    </row>
    <row r="215" spans="1:2" ht="15" customHeight="1" x14ac:dyDescent="0.25">
      <c r="B215" s="2"/>
    </row>
    <row r="216" spans="1:2" ht="15" customHeight="1" x14ac:dyDescent="0.25">
      <c r="A216" t="s">
        <v>1464</v>
      </c>
      <c r="B216" s="2"/>
    </row>
    <row r="217" spans="1:2" ht="15" customHeight="1" x14ac:dyDescent="0.25">
      <c r="B217" s="2" t="s">
        <v>1463</v>
      </c>
    </row>
    <row r="218" spans="1:2" ht="15" customHeight="1" x14ac:dyDescent="0.25">
      <c r="B218" s="2" t="s">
        <v>2305</v>
      </c>
    </row>
    <row r="219" spans="1:2" ht="15" customHeight="1" x14ac:dyDescent="0.25">
      <c r="B219" s="2"/>
    </row>
    <row r="220" spans="1:2" ht="15" customHeight="1" x14ac:dyDescent="0.25">
      <c r="A220" t="s">
        <v>1701</v>
      </c>
      <c r="B220" s="2"/>
    </row>
    <row r="221" spans="1:2" ht="15" customHeight="1" x14ac:dyDescent="0.25">
      <c r="B221" s="2" t="s">
        <v>1703</v>
      </c>
    </row>
    <row r="222" spans="1:2" ht="15" customHeight="1" x14ac:dyDescent="0.25">
      <c r="B222" s="2" t="s">
        <v>1702</v>
      </c>
    </row>
    <row r="223" spans="1:2" ht="15" customHeight="1" x14ac:dyDescent="0.25">
      <c r="B223" s="2"/>
    </row>
    <row r="224" spans="1:2" ht="15" customHeight="1" x14ac:dyDescent="0.25">
      <c r="A224" t="s">
        <v>1476</v>
      </c>
      <c r="B224" s="2"/>
    </row>
    <row r="225" spans="1:2" ht="15" customHeight="1" x14ac:dyDescent="0.25">
      <c r="B225" s="2" t="s">
        <v>1477</v>
      </c>
    </row>
    <row r="226" spans="1:2" ht="15" customHeight="1" x14ac:dyDescent="0.25">
      <c r="B226" s="2" t="s">
        <v>1478</v>
      </c>
    </row>
    <row r="227" spans="1:2" ht="15" customHeight="1" x14ac:dyDescent="0.25">
      <c r="B227" s="2"/>
    </row>
    <row r="228" spans="1:2" ht="15" customHeight="1" x14ac:dyDescent="0.25">
      <c r="A228" t="s">
        <v>303</v>
      </c>
      <c r="B228" s="2"/>
    </row>
    <row r="229" spans="1:2" ht="15" customHeight="1" x14ac:dyDescent="0.25">
      <c r="B229" s="2" t="s">
        <v>1473</v>
      </c>
    </row>
    <row r="230" spans="1:2" ht="15" customHeight="1" x14ac:dyDescent="0.25">
      <c r="B230" s="2" t="s">
        <v>1475</v>
      </c>
    </row>
    <row r="231" spans="1:2" ht="15" customHeight="1" x14ac:dyDescent="0.25">
      <c r="B231" s="2"/>
    </row>
    <row r="232" spans="1:2" ht="15" customHeight="1" x14ac:dyDescent="0.25">
      <c r="A232" t="s">
        <v>1466</v>
      </c>
      <c r="B232" s="2"/>
    </row>
    <row r="233" spans="1:2" ht="15" customHeight="1" x14ac:dyDescent="0.25">
      <c r="B233" s="2" t="s">
        <v>1471</v>
      </c>
    </row>
    <row r="234" spans="1:2" ht="15" customHeight="1" x14ac:dyDescent="0.25">
      <c r="B234" s="2" t="s">
        <v>1472</v>
      </c>
    </row>
    <row r="235" spans="1:2" ht="15" customHeight="1" x14ac:dyDescent="0.25">
      <c r="B235" s="2" t="s">
        <v>2610</v>
      </c>
    </row>
    <row r="236" spans="1:2" ht="15" customHeight="1" x14ac:dyDescent="0.25">
      <c r="B236" s="2"/>
    </row>
    <row r="237" spans="1:2" ht="15" customHeight="1" x14ac:dyDescent="0.25">
      <c r="A237" t="s">
        <v>2613</v>
      </c>
      <c r="B237" s="2"/>
    </row>
    <row r="238" spans="1:2" ht="15" customHeight="1" x14ac:dyDescent="0.25">
      <c r="B238" s="2" t="s">
        <v>2615</v>
      </c>
    </row>
    <row r="239" spans="1:2" ht="15" customHeight="1" x14ac:dyDescent="0.25">
      <c r="B239" s="2" t="s">
        <v>280</v>
      </c>
    </row>
    <row r="240" spans="1:2" ht="15" customHeight="1" x14ac:dyDescent="0.25">
      <c r="B240" s="2" t="s">
        <v>2666</v>
      </c>
    </row>
    <row r="241" spans="1:2" ht="15" customHeight="1" x14ac:dyDescent="0.25">
      <c r="B241" s="2" t="s">
        <v>1738</v>
      </c>
    </row>
    <row r="242" spans="1:2" ht="15" customHeight="1" x14ac:dyDescent="0.25">
      <c r="B242" s="2"/>
    </row>
    <row r="243" spans="1:2" ht="15" customHeight="1" x14ac:dyDescent="0.25">
      <c r="A243" t="s">
        <v>2668</v>
      </c>
      <c r="B243" s="2"/>
    </row>
    <row r="244" spans="1:2" ht="15" customHeight="1" x14ac:dyDescent="0.25">
      <c r="B244" s="2" t="s">
        <v>2614</v>
      </c>
    </row>
    <row r="245" spans="1:2" ht="15" customHeight="1" x14ac:dyDescent="0.25">
      <c r="B245" s="2"/>
    </row>
    <row r="246" spans="1:2" ht="15" customHeight="1" x14ac:dyDescent="0.25">
      <c r="A246" t="s">
        <v>2667</v>
      </c>
      <c r="B246" s="2"/>
    </row>
    <row r="247" spans="1:2" ht="15" customHeight="1" x14ac:dyDescent="0.25">
      <c r="B247" s="2" t="s">
        <v>2669</v>
      </c>
    </row>
    <row r="248" spans="1:2" ht="15" customHeight="1" x14ac:dyDescent="0.25">
      <c r="B248" s="2"/>
    </row>
    <row r="249" spans="1:2" ht="15" customHeight="1" x14ac:dyDescent="0.25">
      <c r="A249" t="s">
        <v>1805</v>
      </c>
      <c r="B249" s="2"/>
    </row>
    <row r="250" spans="1:2" ht="15" customHeight="1" x14ac:dyDescent="0.25">
      <c r="B250" s="2" t="s">
        <v>1806</v>
      </c>
    </row>
    <row r="251" spans="1:2" ht="15" customHeight="1" x14ac:dyDescent="0.25">
      <c r="B251" s="2"/>
    </row>
    <row r="252" spans="1:2" ht="15" customHeight="1" x14ac:dyDescent="0.25">
      <c r="A252" t="s">
        <v>1467</v>
      </c>
    </row>
    <row r="253" spans="1:2" ht="15" customHeight="1" x14ac:dyDescent="0.25">
      <c r="B253" s="2" t="s">
        <v>1474</v>
      </c>
    </row>
    <row r="254" spans="1:2" ht="15" customHeight="1" x14ac:dyDescent="0.25">
      <c r="B254" s="2" t="s">
        <v>1469</v>
      </c>
    </row>
    <row r="255" spans="1:2" ht="15" customHeight="1" x14ac:dyDescent="0.25">
      <c r="B255" s="2"/>
    </row>
    <row r="256" spans="1:2" ht="15" customHeight="1" x14ac:dyDescent="0.25">
      <c r="A256" t="s">
        <v>1468</v>
      </c>
      <c r="B256" s="2"/>
    </row>
    <row r="257" spans="1:2" ht="15" customHeight="1" x14ac:dyDescent="0.25">
      <c r="B257" s="2" t="s">
        <v>2612</v>
      </c>
    </row>
    <row r="258" spans="1:2" ht="15" customHeight="1" x14ac:dyDescent="0.25">
      <c r="B258" s="2" t="s">
        <v>2611</v>
      </c>
    </row>
    <row r="259" spans="1:2" ht="15" customHeight="1" x14ac:dyDescent="0.25">
      <c r="B259" s="2" t="s">
        <v>1470</v>
      </c>
    </row>
    <row r="260" spans="1:2" ht="15" customHeight="1" x14ac:dyDescent="0.25">
      <c r="B260" s="2"/>
    </row>
    <row r="261" spans="1:2" ht="15" customHeight="1" x14ac:dyDescent="0.25">
      <c r="A261" t="s">
        <v>1934</v>
      </c>
      <c r="B261" s="2"/>
    </row>
    <row r="262" spans="1:2" ht="15" customHeight="1" x14ac:dyDescent="0.25">
      <c r="B262" s="2" t="s">
        <v>1935</v>
      </c>
    </row>
    <row r="263" spans="1:2" ht="15" customHeight="1" x14ac:dyDescent="0.25">
      <c r="B263" s="2" t="s">
        <v>1936</v>
      </c>
    </row>
    <row r="264" spans="1:2" ht="15" customHeight="1" x14ac:dyDescent="0.25">
      <c r="B264" s="2" t="s">
        <v>1937</v>
      </c>
    </row>
    <row r="265" spans="1:2" ht="15" customHeight="1" x14ac:dyDescent="0.25">
      <c r="B265" s="2"/>
    </row>
    <row r="266" spans="1:2" ht="15" customHeight="1" x14ac:dyDescent="0.25">
      <c r="A266" t="s">
        <v>2265</v>
      </c>
      <c r="B266" s="2"/>
    </row>
    <row r="267" spans="1:2" ht="15" customHeight="1" x14ac:dyDescent="0.25">
      <c r="B267" s="2" t="s">
        <v>2266</v>
      </c>
    </row>
    <row r="268" spans="1:2" ht="15" customHeight="1" x14ac:dyDescent="0.25">
      <c r="B268" s="2" t="s">
        <v>2289</v>
      </c>
    </row>
    <row r="269" spans="1:2" ht="15" customHeight="1" x14ac:dyDescent="0.25">
      <c r="B269" s="2" t="s">
        <v>2289</v>
      </c>
    </row>
    <row r="270" spans="1:2" ht="15" customHeight="1" x14ac:dyDescent="0.25">
      <c r="B270" s="2" t="s">
        <v>2267</v>
      </c>
    </row>
    <row r="271" spans="1:2" ht="15" customHeight="1" x14ac:dyDescent="0.25">
      <c r="B271" s="2" t="s">
        <v>2299</v>
      </c>
    </row>
    <row r="272" spans="1:2" ht="15" customHeight="1" x14ac:dyDescent="0.25">
      <c r="B272" s="2"/>
    </row>
    <row r="273" spans="1:2" s="1" customFormat="1" ht="15" customHeight="1" x14ac:dyDescent="0.25">
      <c r="A273" s="1" t="s">
        <v>1243</v>
      </c>
      <c r="B273" s="684"/>
    </row>
    <row r="274" spans="1:2" ht="15" customHeight="1" x14ac:dyDescent="0.25">
      <c r="B274" s="2"/>
    </row>
    <row r="275" spans="1:2" ht="15" customHeight="1" x14ac:dyDescent="0.25">
      <c r="A275" t="s">
        <v>1343</v>
      </c>
      <c r="B275" s="2"/>
    </row>
    <row r="276" spans="1:2" ht="15" customHeight="1" x14ac:dyDescent="0.25">
      <c r="B276" s="2" t="s">
        <v>1354</v>
      </c>
    </row>
    <row r="277" spans="1:2" ht="15" customHeight="1" x14ac:dyDescent="0.25">
      <c r="B277" s="2" t="s">
        <v>1353</v>
      </c>
    </row>
    <row r="278" spans="1:2" ht="15" customHeight="1" x14ac:dyDescent="0.25">
      <c r="B278" s="2"/>
    </row>
    <row r="279" spans="1:2" ht="15" customHeight="1" x14ac:dyDescent="0.25">
      <c r="A279" t="s">
        <v>1351</v>
      </c>
      <c r="B279" s="2"/>
    </row>
    <row r="280" spans="1:2" ht="15" customHeight="1" x14ac:dyDescent="0.25">
      <c r="B280" s="2" t="s">
        <v>1355</v>
      </c>
    </row>
    <row r="281" spans="1:2" ht="15" customHeight="1" x14ac:dyDescent="0.25">
      <c r="B281" s="2" t="s">
        <v>1657</v>
      </c>
    </row>
    <row r="282" spans="1:2" ht="15" customHeight="1" x14ac:dyDescent="0.25">
      <c r="B282" s="2"/>
    </row>
    <row r="283" spans="1:2" ht="15" customHeight="1" x14ac:dyDescent="0.25">
      <c r="A283" t="s">
        <v>1552</v>
      </c>
      <c r="B283" s="2"/>
    </row>
    <row r="284" spans="1:2" ht="15" customHeight="1" x14ac:dyDescent="0.25">
      <c r="B284" s="2" t="s">
        <v>1551</v>
      </c>
    </row>
    <row r="285" spans="1:2" ht="15" customHeight="1" x14ac:dyDescent="0.25">
      <c r="B285" s="2"/>
    </row>
    <row r="286" spans="1:2" ht="15" customHeight="1" x14ac:dyDescent="0.25">
      <c r="A286" t="s">
        <v>1553</v>
      </c>
      <c r="B286" s="2"/>
    </row>
    <row r="287" spans="1:2" ht="15" customHeight="1" x14ac:dyDescent="0.25">
      <c r="B287" s="2" t="s">
        <v>1557</v>
      </c>
    </row>
    <row r="288" spans="1:2" ht="15" customHeight="1" x14ac:dyDescent="0.25">
      <c r="B288" s="2"/>
    </row>
    <row r="289" spans="1:2" ht="15" customHeight="1" x14ac:dyDescent="0.25">
      <c r="A289" t="s">
        <v>1352</v>
      </c>
      <c r="B289" s="2"/>
    </row>
    <row r="290" spans="1:2" ht="15" customHeight="1" x14ac:dyDescent="0.25">
      <c r="B290" s="2" t="s">
        <v>1356</v>
      </c>
    </row>
    <row r="291" spans="1:2" ht="15" customHeight="1" x14ac:dyDescent="0.25">
      <c r="B291" s="2" t="s">
        <v>1554</v>
      </c>
    </row>
    <row r="292" spans="1:2" ht="15" customHeight="1" x14ac:dyDescent="0.25">
      <c r="B292" s="2" t="s">
        <v>1556</v>
      </c>
    </row>
    <row r="293" spans="1:2" ht="15" customHeight="1" x14ac:dyDescent="0.25">
      <c r="B293" s="2" t="s">
        <v>2077</v>
      </c>
    </row>
    <row r="294" spans="1:2" ht="15" customHeight="1" x14ac:dyDescent="0.25">
      <c r="B294" s="2" t="s">
        <v>2379</v>
      </c>
    </row>
    <row r="295" spans="1:2" ht="15" customHeight="1" x14ac:dyDescent="0.25">
      <c r="B295" s="2" t="s">
        <v>2380</v>
      </c>
    </row>
    <row r="296" spans="1:2" ht="15" customHeight="1" x14ac:dyDescent="0.25">
      <c r="B296" s="2"/>
    </row>
    <row r="297" spans="1:2" ht="15" customHeight="1" x14ac:dyDescent="0.25">
      <c r="A297" t="s">
        <v>1555</v>
      </c>
      <c r="B297" s="2"/>
    </row>
    <row r="298" spans="1:2" ht="15" customHeight="1" x14ac:dyDescent="0.25">
      <c r="B298" s="2" t="s">
        <v>1558</v>
      </c>
    </row>
    <row r="299" spans="1:2" ht="15" customHeight="1" x14ac:dyDescent="0.25">
      <c r="B299" s="2" t="s">
        <v>1559</v>
      </c>
    </row>
    <row r="300" spans="1:2" ht="15" customHeight="1" x14ac:dyDescent="0.25">
      <c r="B300" s="2" t="s">
        <v>1560</v>
      </c>
    </row>
    <row r="301" spans="1:2" ht="15" customHeight="1" x14ac:dyDescent="0.25">
      <c r="B301" s="2"/>
    </row>
    <row r="302" spans="1:2" ht="15" customHeight="1" x14ac:dyDescent="0.25">
      <c r="A302" t="s">
        <v>1639</v>
      </c>
      <c r="B302" s="2"/>
    </row>
    <row r="303" spans="1:2" ht="15" customHeight="1" x14ac:dyDescent="0.25">
      <c r="B303" s="2" t="s">
        <v>1640</v>
      </c>
    </row>
    <row r="304" spans="1:2" ht="15" customHeight="1" x14ac:dyDescent="0.25">
      <c r="B304" s="2" t="s">
        <v>1838</v>
      </c>
    </row>
    <row r="305" spans="1:2" ht="15" customHeight="1" x14ac:dyDescent="0.25">
      <c r="B305" s="2"/>
    </row>
    <row r="306" spans="1:2" ht="15" customHeight="1" x14ac:dyDescent="0.25">
      <c r="A306" t="s">
        <v>1723</v>
      </c>
      <c r="B306" s="2"/>
    </row>
    <row r="307" spans="1:2" ht="15" customHeight="1" x14ac:dyDescent="0.25">
      <c r="B307" s="2" t="s">
        <v>1724</v>
      </c>
    </row>
    <row r="308" spans="1:2" ht="15" customHeight="1" x14ac:dyDescent="0.25">
      <c r="B308" s="2" t="s">
        <v>1725</v>
      </c>
    </row>
    <row r="309" spans="1:2" ht="15" customHeight="1" x14ac:dyDescent="0.25">
      <c r="B309" s="2"/>
    </row>
    <row r="310" spans="1:2" ht="15" customHeight="1" x14ac:dyDescent="0.25">
      <c r="A310" t="s">
        <v>2125</v>
      </c>
      <c r="B310" s="2"/>
    </row>
    <row r="311" spans="1:2" ht="15" customHeight="1" x14ac:dyDescent="0.25">
      <c r="B311" s="2" t="s">
        <v>2314</v>
      </c>
    </row>
    <row r="312" spans="1:2" ht="15" customHeight="1" x14ac:dyDescent="0.25">
      <c r="B312" s="2" t="s">
        <v>2315</v>
      </c>
    </row>
    <row r="313" spans="1:2" ht="15" customHeight="1" x14ac:dyDescent="0.25">
      <c r="B313" s="2"/>
    </row>
    <row r="314" spans="1:2" ht="15" customHeight="1" x14ac:dyDescent="0.25">
      <c r="A314" s="1" t="s">
        <v>1807</v>
      </c>
      <c r="B314" s="2"/>
    </row>
    <row r="315" spans="1:2" ht="15" customHeight="1" x14ac:dyDescent="0.25">
      <c r="B315" s="2"/>
    </row>
    <row r="316" spans="1:2" ht="15" customHeight="1" x14ac:dyDescent="0.25">
      <c r="A316" t="s">
        <v>2418</v>
      </c>
      <c r="B316" s="2"/>
    </row>
    <row r="317" spans="1:2" ht="15" customHeight="1" x14ac:dyDescent="0.25">
      <c r="B317" s="2" t="s">
        <v>1754</v>
      </c>
    </row>
    <row r="318" spans="1:2" ht="15" customHeight="1" x14ac:dyDescent="0.25">
      <c r="B318" s="2"/>
    </row>
    <row r="319" spans="1:2" ht="15" customHeight="1" x14ac:dyDescent="0.25">
      <c r="A319" t="s">
        <v>1801</v>
      </c>
      <c r="B319" s="2"/>
    </row>
    <row r="320" spans="1:2" ht="15" customHeight="1" x14ac:dyDescent="0.25">
      <c r="B320" s="2" t="s">
        <v>1755</v>
      </c>
    </row>
    <row r="321" spans="1:2" ht="15" customHeight="1" x14ac:dyDescent="0.25">
      <c r="B321" s="2"/>
    </row>
    <row r="322" spans="1:2" ht="15" customHeight="1" x14ac:dyDescent="0.25">
      <c r="A322" t="s">
        <v>1352</v>
      </c>
      <c r="B322" s="2"/>
    </row>
    <row r="323" spans="1:2" ht="15" customHeight="1" x14ac:dyDescent="0.25">
      <c r="B323" s="2" t="s">
        <v>1759</v>
      </c>
    </row>
    <row r="324" spans="1:2" ht="15" customHeight="1" x14ac:dyDescent="0.25">
      <c r="B324" s="2" t="s">
        <v>1756</v>
      </c>
    </row>
    <row r="325" spans="1:2" ht="15" customHeight="1" x14ac:dyDescent="0.25">
      <c r="B325" s="2"/>
    </row>
    <row r="326" spans="1:2" ht="15" customHeight="1" x14ac:dyDescent="0.25">
      <c r="A326" t="s">
        <v>2416</v>
      </c>
      <c r="B326" s="2"/>
    </row>
    <row r="327" spans="1:2" ht="15" customHeight="1" x14ac:dyDescent="0.25">
      <c r="B327" s="2" t="s">
        <v>1845</v>
      </c>
    </row>
    <row r="328" spans="1:2" ht="15" customHeight="1" x14ac:dyDescent="0.25">
      <c r="B328" s="2" t="s">
        <v>2320</v>
      </c>
    </row>
    <row r="329" spans="1:2" ht="15" customHeight="1" x14ac:dyDescent="0.25">
      <c r="B329" s="2" t="s">
        <v>1846</v>
      </c>
    </row>
    <row r="330" spans="1:2" ht="15" customHeight="1" x14ac:dyDescent="0.25">
      <c r="B330" s="2" t="s">
        <v>2417</v>
      </c>
    </row>
    <row r="331" spans="1:2" ht="15" customHeight="1" x14ac:dyDescent="0.25">
      <c r="B331" s="2"/>
    </row>
    <row r="332" spans="1:2" ht="15" customHeight="1" x14ac:dyDescent="0.25">
      <c r="A332" t="s">
        <v>1835</v>
      </c>
      <c r="B332" s="2"/>
    </row>
    <row r="333" spans="1:2" ht="15" customHeight="1" x14ac:dyDescent="0.25">
      <c r="B333" s="2" t="s">
        <v>1754</v>
      </c>
    </row>
    <row r="334" spans="1:2" ht="15" customHeight="1" x14ac:dyDescent="0.25">
      <c r="B334" s="2" t="s">
        <v>1755</v>
      </c>
    </row>
    <row r="335" spans="1:2" ht="15" customHeight="1" x14ac:dyDescent="0.25">
      <c r="B335" s="2" t="s">
        <v>1847</v>
      </c>
    </row>
    <row r="336" spans="1:2" ht="15" customHeight="1" x14ac:dyDescent="0.25">
      <c r="B336" s="2" t="s">
        <v>1848</v>
      </c>
    </row>
    <row r="337" spans="1:2" ht="15" customHeight="1" x14ac:dyDescent="0.25">
      <c r="B337" s="2"/>
    </row>
    <row r="338" spans="1:2" s="1" customFormat="1" ht="15" customHeight="1" x14ac:dyDescent="0.25">
      <c r="A338" s="1" t="s">
        <v>1335</v>
      </c>
      <c r="B338" s="684"/>
    </row>
    <row r="339" spans="1:2" ht="15" customHeight="1" x14ac:dyDescent="0.25">
      <c r="B339" s="17"/>
    </row>
    <row r="340" spans="1:2" ht="15" customHeight="1" x14ac:dyDescent="0.25">
      <c r="A340" t="s">
        <v>1357</v>
      </c>
      <c r="B340" s="2"/>
    </row>
    <row r="341" spans="1:2" ht="15" customHeight="1" x14ac:dyDescent="0.25">
      <c r="B341" s="2" t="s">
        <v>1359</v>
      </c>
    </row>
    <row r="342" spans="1:2" ht="15" customHeight="1" x14ac:dyDescent="0.25">
      <c r="B342" s="2"/>
    </row>
    <row r="343" spans="1:2" ht="15" customHeight="1" x14ac:dyDescent="0.25">
      <c r="A343" t="s">
        <v>1366</v>
      </c>
      <c r="B343" s="2"/>
    </row>
    <row r="344" spans="1:2" ht="15" customHeight="1" x14ac:dyDescent="0.25">
      <c r="B344" s="2" t="s">
        <v>1361</v>
      </c>
    </row>
    <row r="345" spans="1:2" ht="15" customHeight="1" x14ac:dyDescent="0.25">
      <c r="B345" s="2" t="s">
        <v>905</v>
      </c>
    </row>
    <row r="346" spans="1:2" ht="15" customHeight="1" x14ac:dyDescent="0.25">
      <c r="B346" s="2"/>
    </row>
    <row r="347" spans="1:2" ht="15" customHeight="1" x14ac:dyDescent="0.25">
      <c r="A347" t="s">
        <v>1367</v>
      </c>
      <c r="B347" s="2"/>
    </row>
    <row r="348" spans="1:2" ht="15" customHeight="1" x14ac:dyDescent="0.25">
      <c r="B348" s="2" t="s">
        <v>1360</v>
      </c>
    </row>
    <row r="349" spans="1:2" ht="15" customHeight="1" x14ac:dyDescent="0.25">
      <c r="B349" s="2" t="s">
        <v>1506</v>
      </c>
    </row>
    <row r="350" spans="1:2" ht="15" customHeight="1" x14ac:dyDescent="0.25">
      <c r="B350" s="2" t="s">
        <v>1365</v>
      </c>
    </row>
    <row r="351" spans="1:2" ht="15" customHeight="1" x14ac:dyDescent="0.25">
      <c r="B351" s="2"/>
    </row>
    <row r="352" spans="1:2" ht="15" customHeight="1" x14ac:dyDescent="0.25">
      <c r="A352" t="s">
        <v>1368</v>
      </c>
      <c r="B352" s="2"/>
    </row>
    <row r="353" spans="1:2" ht="15" customHeight="1" x14ac:dyDescent="0.25">
      <c r="B353" s="2" t="s">
        <v>1364</v>
      </c>
    </row>
    <row r="354" spans="1:2" ht="15" customHeight="1" x14ac:dyDescent="0.25">
      <c r="B354" s="2"/>
    </row>
    <row r="355" spans="1:2" ht="15" customHeight="1" x14ac:dyDescent="0.25">
      <c r="A355" t="s">
        <v>1369</v>
      </c>
      <c r="B355" s="2"/>
    </row>
    <row r="356" spans="1:2" ht="15" customHeight="1" x14ac:dyDescent="0.25">
      <c r="B356" s="2" t="s">
        <v>1363</v>
      </c>
    </row>
    <row r="357" spans="1:2" ht="15" customHeight="1" x14ac:dyDescent="0.25">
      <c r="B357" s="2"/>
    </row>
    <row r="358" spans="1:2" ht="15" customHeight="1" x14ac:dyDescent="0.25">
      <c r="A358" t="s">
        <v>1358</v>
      </c>
      <c r="B358" s="2"/>
    </row>
    <row r="359" spans="1:2" ht="15" customHeight="1" x14ac:dyDescent="0.25">
      <c r="B359" s="2" t="s">
        <v>1370</v>
      </c>
    </row>
    <row r="360" spans="1:2" ht="15" customHeight="1" x14ac:dyDescent="0.25">
      <c r="B360" s="2"/>
    </row>
    <row r="361" spans="1:2" ht="15" customHeight="1" x14ac:dyDescent="0.25">
      <c r="A361" t="s">
        <v>1518</v>
      </c>
      <c r="B361" s="2"/>
    </row>
    <row r="362" spans="1:2" ht="15" customHeight="1" x14ac:dyDescent="0.25">
      <c r="B362" s="2" t="s">
        <v>1516</v>
      </c>
    </row>
    <row r="363" spans="1:2" ht="15" customHeight="1" x14ac:dyDescent="0.25">
      <c r="B363" s="2" t="s">
        <v>1517</v>
      </c>
    </row>
    <row r="364" spans="1:2" ht="15" customHeight="1" x14ac:dyDescent="0.25">
      <c r="B364" s="2"/>
    </row>
    <row r="365" spans="1:2" ht="15" customHeight="1" x14ac:dyDescent="0.25">
      <c r="A365" t="s">
        <v>1515</v>
      </c>
      <c r="B365" s="2"/>
    </row>
    <row r="366" spans="1:2" ht="15" customHeight="1" x14ac:dyDescent="0.25">
      <c r="B366" s="2" t="s">
        <v>1514</v>
      </c>
    </row>
    <row r="367" spans="1:2" ht="15" customHeight="1" x14ac:dyDescent="0.25">
      <c r="B367" s="2"/>
    </row>
    <row r="368" spans="1:2" ht="15" customHeight="1" x14ac:dyDescent="0.25">
      <c r="A368" t="s">
        <v>1362</v>
      </c>
      <c r="B368" s="2"/>
    </row>
    <row r="369" spans="1:2" ht="15" customHeight="1" x14ac:dyDescent="0.25">
      <c r="B369" s="2" t="s">
        <v>1511</v>
      </c>
    </row>
    <row r="370" spans="1:2" ht="15" customHeight="1" x14ac:dyDescent="0.25">
      <c r="B370" s="2" t="s">
        <v>1512</v>
      </c>
    </row>
    <row r="371" spans="1:2" ht="15" customHeight="1" x14ac:dyDescent="0.25">
      <c r="B371" s="2" t="s">
        <v>1513</v>
      </c>
    </row>
    <row r="372" spans="1:2" ht="15" customHeight="1" x14ac:dyDescent="0.25">
      <c r="B372" s="2"/>
    </row>
    <row r="373" spans="1:2" ht="15" customHeight="1" x14ac:dyDescent="0.25">
      <c r="A373" s="1" t="s">
        <v>2509</v>
      </c>
      <c r="B373" s="2"/>
    </row>
    <row r="374" spans="1:2" ht="15" customHeight="1" x14ac:dyDescent="0.25">
      <c r="B374" s="2"/>
    </row>
    <row r="375" spans="1:2" ht="15" customHeight="1" x14ac:dyDescent="0.25">
      <c r="A375" t="s">
        <v>2510</v>
      </c>
      <c r="B375" s="2"/>
    </row>
    <row r="376" spans="1:2" ht="15" customHeight="1" x14ac:dyDescent="0.25">
      <c r="B376" s="2" t="s">
        <v>2528</v>
      </c>
    </row>
    <row r="377" spans="1:2" ht="15" customHeight="1" x14ac:dyDescent="0.25">
      <c r="B377" s="2" t="s">
        <v>2527</v>
      </c>
    </row>
    <row r="378" spans="1:2" ht="15" customHeight="1" x14ac:dyDescent="0.25">
      <c r="B378" s="2" t="s">
        <v>2586</v>
      </c>
    </row>
    <row r="379" spans="1:2" ht="15" customHeight="1" x14ac:dyDescent="0.25">
      <c r="B379" s="2" t="s">
        <v>2596</v>
      </c>
    </row>
    <row r="380" spans="1:2" ht="15" customHeight="1" x14ac:dyDescent="0.25">
      <c r="B380" s="2" t="s">
        <v>2585</v>
      </c>
    </row>
    <row r="381" spans="1:2" ht="15" customHeight="1" x14ac:dyDescent="0.25">
      <c r="B381" s="2" t="s">
        <v>2582</v>
      </c>
    </row>
    <row r="382" spans="1:2" ht="15" customHeight="1" x14ac:dyDescent="0.25">
      <c r="B382" s="2" t="s">
        <v>2583</v>
      </c>
    </row>
    <row r="383" spans="1:2" ht="15" customHeight="1" x14ac:dyDescent="0.25">
      <c r="B383" s="2" t="s">
        <v>2584</v>
      </c>
    </row>
    <row r="384" spans="1:2" ht="15" customHeight="1" x14ac:dyDescent="0.25">
      <c r="B384" s="2"/>
    </row>
    <row r="385" spans="1:2" ht="15" customHeight="1" x14ac:dyDescent="0.25">
      <c r="A385" t="s">
        <v>2567</v>
      </c>
      <c r="B385" s="2"/>
    </row>
    <row r="386" spans="1:2" ht="15" customHeight="1" x14ac:dyDescent="0.25">
      <c r="B386" s="2" t="s">
        <v>2589</v>
      </c>
    </row>
    <row r="387" spans="1:2" ht="15" customHeight="1" x14ac:dyDescent="0.25">
      <c r="B387" s="2" t="s">
        <v>2587</v>
      </c>
    </row>
    <row r="388" spans="1:2" ht="15" customHeight="1" x14ac:dyDescent="0.25">
      <c r="B388" s="2" t="s">
        <v>2588</v>
      </c>
    </row>
    <row r="389" spans="1:2" ht="15" customHeight="1" x14ac:dyDescent="0.25">
      <c r="B389" s="2" t="s">
        <v>2594</v>
      </c>
    </row>
    <row r="390" spans="1:2" ht="15" customHeight="1" x14ac:dyDescent="0.25">
      <c r="B390" s="2" t="s">
        <v>2595</v>
      </c>
    </row>
    <row r="391" spans="1:2" ht="15" customHeight="1" x14ac:dyDescent="0.25">
      <c r="B391" s="2" t="s">
        <v>2593</v>
      </c>
    </row>
    <row r="392" spans="1:2" ht="15" customHeight="1" x14ac:dyDescent="0.25">
      <c r="B392" s="2" t="s">
        <v>2590</v>
      </c>
    </row>
    <row r="393" spans="1:2" ht="15" customHeight="1" x14ac:dyDescent="0.25">
      <c r="B393" s="2" t="s">
        <v>2591</v>
      </c>
    </row>
    <row r="394" spans="1:2" ht="15" customHeight="1" x14ac:dyDescent="0.25">
      <c r="B394" s="2" t="s">
        <v>2592</v>
      </c>
    </row>
    <row r="395" spans="1:2" ht="15" customHeight="1" x14ac:dyDescent="0.25">
      <c r="B395" s="2" t="s">
        <v>2607</v>
      </c>
    </row>
    <row r="396" spans="1:2" ht="15" customHeight="1" x14ac:dyDescent="0.25">
      <c r="B396" s="2" t="s">
        <v>2606</v>
      </c>
    </row>
    <row r="397" spans="1:2" ht="15" customHeight="1" x14ac:dyDescent="0.25">
      <c r="B397" s="2"/>
    </row>
    <row r="398" spans="1:2" ht="15" customHeight="1" x14ac:dyDescent="0.25">
      <c r="A398" s="1" t="s">
        <v>2238</v>
      </c>
      <c r="B398" s="2"/>
    </row>
    <row r="399" spans="1:2" ht="15" customHeight="1" x14ac:dyDescent="0.25">
      <c r="B399" s="2"/>
    </row>
    <row r="400" spans="1:2" ht="15" customHeight="1" x14ac:dyDescent="0.25">
      <c r="A400" t="s">
        <v>2231</v>
      </c>
      <c r="B400" s="2"/>
    </row>
    <row r="401" spans="1:2" ht="15" customHeight="1" x14ac:dyDescent="0.25">
      <c r="B401" s="2" t="s">
        <v>2186</v>
      </c>
    </row>
    <row r="402" spans="1:2" ht="15" customHeight="1" x14ac:dyDescent="0.25">
      <c r="B402" s="2"/>
    </row>
    <row r="403" spans="1:2" ht="15" customHeight="1" x14ac:dyDescent="0.25">
      <c r="A403" t="s">
        <v>2230</v>
      </c>
      <c r="B403" s="2"/>
    </row>
    <row r="404" spans="1:2" ht="15" customHeight="1" x14ac:dyDescent="0.25">
      <c r="B404" s="2" t="s">
        <v>2232</v>
      </c>
    </row>
    <row r="405" spans="1:2" ht="15" customHeight="1" x14ac:dyDescent="0.25">
      <c r="B405" s="2" t="s">
        <v>2243</v>
      </c>
    </row>
    <row r="406" spans="1:2" ht="15" customHeight="1" x14ac:dyDescent="0.25">
      <c r="B406" s="2"/>
    </row>
    <row r="407" spans="1:2" ht="15" customHeight="1" x14ac:dyDescent="0.25">
      <c r="A407" t="s">
        <v>2187</v>
      </c>
      <c r="B407" s="2"/>
    </row>
    <row r="408" spans="1:2" ht="15" customHeight="1" x14ac:dyDescent="0.25">
      <c r="B408" s="2" t="s">
        <v>2188</v>
      </c>
    </row>
    <row r="409" spans="1:2" ht="15" customHeight="1" x14ac:dyDescent="0.25">
      <c r="B409" s="2" t="s">
        <v>2234</v>
      </c>
    </row>
    <row r="410" spans="1:2" ht="15" customHeight="1" x14ac:dyDescent="0.25">
      <c r="B410" s="2" t="s">
        <v>2235</v>
      </c>
    </row>
    <row r="411" spans="1:2" ht="15" customHeight="1" x14ac:dyDescent="0.25">
      <c r="B411" s="2"/>
    </row>
    <row r="412" spans="1:2" s="1" customFormat="1" ht="15" customHeight="1" x14ac:dyDescent="0.25">
      <c r="A412" s="1" t="s">
        <v>1336</v>
      </c>
      <c r="B412" s="684"/>
    </row>
    <row r="413" spans="1:2" ht="15" customHeight="1" x14ac:dyDescent="0.25">
      <c r="B413" s="2"/>
    </row>
    <row r="414" spans="1:2" ht="15" customHeight="1" x14ac:dyDescent="0.25">
      <c r="A414" t="s">
        <v>1396</v>
      </c>
      <c r="B414" s="2"/>
    </row>
    <row r="415" spans="1:2" ht="15" customHeight="1" x14ac:dyDescent="0.25">
      <c r="B415" s="2" t="s">
        <v>1397</v>
      </c>
    </row>
    <row r="416" spans="1:2" ht="15" customHeight="1" x14ac:dyDescent="0.25">
      <c r="B416" s="2" t="s">
        <v>1398</v>
      </c>
    </row>
    <row r="417" spans="1:2" ht="15" customHeight="1" x14ac:dyDescent="0.25">
      <c r="B417" s="2"/>
    </row>
    <row r="418" spans="1:2" ht="15" customHeight="1" x14ac:dyDescent="0.25">
      <c r="A418" t="s">
        <v>1058</v>
      </c>
      <c r="B418" s="2"/>
    </row>
    <row r="419" spans="1:2" ht="15" customHeight="1" x14ac:dyDescent="0.25">
      <c r="B419" s="2" t="s">
        <v>1399</v>
      </c>
    </row>
    <row r="420" spans="1:2" ht="15" customHeight="1" x14ac:dyDescent="0.25">
      <c r="B420" s="2" t="s">
        <v>1482</v>
      </c>
    </row>
    <row r="421" spans="1:2" ht="15" customHeight="1" x14ac:dyDescent="0.25">
      <c r="B421" s="2" t="s">
        <v>1400</v>
      </c>
    </row>
    <row r="422" spans="1:2" ht="15" customHeight="1" x14ac:dyDescent="0.25">
      <c r="B422" s="2" t="s">
        <v>1072</v>
      </c>
    </row>
    <row r="423" spans="1:2" ht="15" customHeight="1" x14ac:dyDescent="0.25">
      <c r="B423" s="2"/>
    </row>
    <row r="424" spans="1:2" ht="15" customHeight="1" x14ac:dyDescent="0.25">
      <c r="A424" t="s">
        <v>1481</v>
      </c>
      <c r="B424" s="2"/>
    </row>
    <row r="425" spans="1:2" ht="15" customHeight="1" x14ac:dyDescent="0.25">
      <c r="B425" s="2" t="s">
        <v>1483</v>
      </c>
    </row>
    <row r="426" spans="1:2" ht="15" customHeight="1" x14ac:dyDescent="0.25">
      <c r="B426" s="2" t="s">
        <v>1484</v>
      </c>
    </row>
    <row r="427" spans="1:2" ht="15" customHeight="1" x14ac:dyDescent="0.25">
      <c r="B427" s="2" t="s">
        <v>1485</v>
      </c>
    </row>
    <row r="428" spans="1:2" ht="15" customHeight="1" x14ac:dyDescent="0.25">
      <c r="B428" s="2" t="s">
        <v>1664</v>
      </c>
    </row>
    <row r="429" spans="1:2" ht="15" customHeight="1" x14ac:dyDescent="0.25">
      <c r="B429" s="2"/>
    </row>
    <row r="430" spans="1:2" ht="15" customHeight="1" x14ac:dyDescent="0.25">
      <c r="A430" t="s">
        <v>2237</v>
      </c>
      <c r="B430" s="2"/>
    </row>
    <row r="431" spans="1:2" ht="15" customHeight="1" x14ac:dyDescent="0.25">
      <c r="B431" s="2" t="s">
        <v>1402</v>
      </c>
    </row>
    <row r="432" spans="1:2" ht="15" customHeight="1" x14ac:dyDescent="0.25">
      <c r="B432" s="2" t="s">
        <v>2475</v>
      </c>
    </row>
    <row r="433" spans="1:2" ht="15" customHeight="1" x14ac:dyDescent="0.25">
      <c r="B433" s="2" t="s">
        <v>2476</v>
      </c>
    </row>
    <row r="434" spans="1:2" ht="15" customHeight="1" x14ac:dyDescent="0.25">
      <c r="B434" s="2" t="s">
        <v>2477</v>
      </c>
    </row>
    <row r="435" spans="1:2" ht="15" customHeight="1" x14ac:dyDescent="0.25">
      <c r="B435" s="2"/>
    </row>
    <row r="436" spans="1:2" ht="15" customHeight="1" x14ac:dyDescent="0.25">
      <c r="A436" t="s">
        <v>1401</v>
      </c>
      <c r="B436" s="2"/>
    </row>
    <row r="437" spans="1:2" ht="15" customHeight="1" x14ac:dyDescent="0.25">
      <c r="B437" s="2" t="s">
        <v>1486</v>
      </c>
    </row>
    <row r="438" spans="1:2" ht="15" customHeight="1" x14ac:dyDescent="0.25">
      <c r="B438" s="2" t="s">
        <v>1303</v>
      </c>
    </row>
    <row r="439" spans="1:2" ht="15" customHeight="1" x14ac:dyDescent="0.25">
      <c r="B439" s="2" t="s">
        <v>1487</v>
      </c>
    </row>
    <row r="440" spans="1:2" ht="15" customHeight="1" x14ac:dyDescent="0.25">
      <c r="B440" s="2" t="s">
        <v>1488</v>
      </c>
    </row>
    <row r="441" spans="1:2" ht="15" customHeight="1" x14ac:dyDescent="0.25">
      <c r="B441" s="2" t="s">
        <v>1489</v>
      </c>
    </row>
    <row r="442" spans="1:2" ht="15" customHeight="1" x14ac:dyDescent="0.25">
      <c r="B442" s="2" t="s">
        <v>1490</v>
      </c>
    </row>
    <row r="443" spans="1:2" ht="15" customHeight="1" x14ac:dyDescent="0.25">
      <c r="B443" s="2" t="s">
        <v>1491</v>
      </c>
    </row>
    <row r="444" spans="1:2" ht="15" customHeight="1" x14ac:dyDescent="0.25">
      <c r="B444" s="2" t="s">
        <v>1492</v>
      </c>
    </row>
    <row r="445" spans="1:2" ht="15" customHeight="1" x14ac:dyDescent="0.25">
      <c r="B445" s="2" t="s">
        <v>1493</v>
      </c>
    </row>
    <row r="446" spans="1:2" ht="15" customHeight="1" x14ac:dyDescent="0.25">
      <c r="B446" s="2" t="s">
        <v>1494</v>
      </c>
    </row>
    <row r="447" spans="1:2" ht="15" customHeight="1" x14ac:dyDescent="0.25">
      <c r="B447" s="2" t="s">
        <v>1495</v>
      </c>
    </row>
    <row r="448" spans="1:2" ht="15" customHeight="1" x14ac:dyDescent="0.25">
      <c r="B448" s="2" t="s">
        <v>1496</v>
      </c>
    </row>
    <row r="449" spans="1:2" ht="15" customHeight="1" x14ac:dyDescent="0.25">
      <c r="B449" s="2" t="s">
        <v>1497</v>
      </c>
    </row>
    <row r="450" spans="1:2" ht="15" customHeight="1" x14ac:dyDescent="0.25">
      <c r="B450" s="2" t="s">
        <v>1498</v>
      </c>
    </row>
    <row r="451" spans="1:2" ht="15" customHeight="1" x14ac:dyDescent="0.25">
      <c r="B451" s="2" t="s">
        <v>1499</v>
      </c>
    </row>
    <row r="452" spans="1:2" ht="15" customHeight="1" x14ac:dyDescent="0.25">
      <c r="B452" s="2" t="s">
        <v>1509</v>
      </c>
    </row>
    <row r="453" spans="1:2" ht="15" customHeight="1" x14ac:dyDescent="0.25">
      <c r="B453" s="2"/>
    </row>
    <row r="454" spans="1:2" ht="15" customHeight="1" x14ac:dyDescent="0.25">
      <c r="A454" t="s">
        <v>1404</v>
      </c>
      <c r="B454" s="2"/>
    </row>
    <row r="455" spans="1:2" ht="15" customHeight="1" x14ac:dyDescent="0.25">
      <c r="B455" s="2" t="s">
        <v>1403</v>
      </c>
    </row>
    <row r="456" spans="1:2" ht="15" customHeight="1" x14ac:dyDescent="0.25">
      <c r="B456" s="2"/>
    </row>
    <row r="457" spans="1:2" ht="15" customHeight="1" x14ac:dyDescent="0.25">
      <c r="A457" t="s">
        <v>2274</v>
      </c>
      <c r="B457" s="2"/>
    </row>
    <row r="458" spans="1:2" ht="15" customHeight="1" x14ac:dyDescent="0.25">
      <c r="B458" s="2" t="s">
        <v>2276</v>
      </c>
    </row>
    <row r="459" spans="1:2" ht="15" customHeight="1" x14ac:dyDescent="0.25">
      <c r="B459" s="2" t="s">
        <v>2275</v>
      </c>
    </row>
    <row r="461" spans="1:2" s="1" customFormat="1" ht="15" customHeight="1" x14ac:dyDescent="0.25">
      <c r="A461" s="1" t="s">
        <v>1338</v>
      </c>
      <c r="B461" s="684"/>
    </row>
    <row r="462" spans="1:2" ht="15" customHeight="1" x14ac:dyDescent="0.25">
      <c r="B462" s="2"/>
    </row>
    <row r="463" spans="1:2" ht="15" customHeight="1" x14ac:dyDescent="0.25">
      <c r="A463" t="s">
        <v>1343</v>
      </c>
      <c r="B463" s="2"/>
    </row>
    <row r="464" spans="1:2" ht="15" customHeight="1" x14ac:dyDescent="0.25">
      <c r="B464" s="2" t="s">
        <v>1418</v>
      </c>
    </row>
    <row r="465" spans="1:2" ht="15" customHeight="1" x14ac:dyDescent="0.25">
      <c r="B465" s="2"/>
    </row>
    <row r="466" spans="1:2" ht="15" customHeight="1" x14ac:dyDescent="0.25">
      <c r="A466" t="s">
        <v>1417</v>
      </c>
      <c r="B466" s="2"/>
    </row>
    <row r="467" spans="1:2" ht="15" customHeight="1" x14ac:dyDescent="0.25">
      <c r="B467" s="2" t="s">
        <v>1503</v>
      </c>
    </row>
    <row r="468" spans="1:2" ht="15" customHeight="1" x14ac:dyDescent="0.25">
      <c r="B468" s="2" t="s">
        <v>1419</v>
      </c>
    </row>
    <row r="469" spans="1:2" ht="15" customHeight="1" x14ac:dyDescent="0.25">
      <c r="B469" s="2" t="s">
        <v>1420</v>
      </c>
    </row>
    <row r="470" spans="1:2" ht="15" customHeight="1" x14ac:dyDescent="0.25">
      <c r="B470" s="2" t="s">
        <v>1422</v>
      </c>
    </row>
    <row r="471" spans="1:2" ht="15" customHeight="1" x14ac:dyDescent="0.25">
      <c r="B471" s="2" t="s">
        <v>1421</v>
      </c>
    </row>
    <row r="472" spans="1:2" ht="15" customHeight="1" x14ac:dyDescent="0.25">
      <c r="B472" s="2"/>
    </row>
    <row r="473" spans="1:2" ht="15" customHeight="1" x14ac:dyDescent="0.25">
      <c r="A473" t="s">
        <v>1423</v>
      </c>
      <c r="B473" s="2"/>
    </row>
    <row r="474" spans="1:2" ht="15" customHeight="1" x14ac:dyDescent="0.25">
      <c r="B474" s="2" t="s">
        <v>1500</v>
      </c>
    </row>
    <row r="475" spans="1:2" ht="15" customHeight="1" x14ac:dyDescent="0.25">
      <c r="B475" s="2" t="s">
        <v>1502</v>
      </c>
    </row>
    <row r="476" spans="1:2" ht="15" customHeight="1" x14ac:dyDescent="0.25">
      <c r="B476" s="2" t="s">
        <v>1501</v>
      </c>
    </row>
    <row r="477" spans="1:2" ht="15" customHeight="1" x14ac:dyDescent="0.25">
      <c r="B477" s="2"/>
    </row>
    <row r="478" spans="1:2" ht="15" customHeight="1" x14ac:dyDescent="0.25">
      <c r="A478" t="s">
        <v>1424</v>
      </c>
      <c r="B478" s="2"/>
    </row>
    <row r="479" spans="1:2" ht="15" customHeight="1" x14ac:dyDescent="0.25">
      <c r="B479" s="2" t="s">
        <v>1504</v>
      </c>
    </row>
    <row r="480" spans="1:2" ht="15" customHeight="1" x14ac:dyDescent="0.25">
      <c r="B480" s="2" t="s">
        <v>2236</v>
      </c>
    </row>
    <row r="481" spans="1:2" ht="15" customHeight="1" x14ac:dyDescent="0.25">
      <c r="B481" s="2"/>
    </row>
    <row r="482" spans="1:2" ht="15" customHeight="1" x14ac:dyDescent="0.25">
      <c r="A482" t="s">
        <v>1425</v>
      </c>
      <c r="B482" s="2"/>
    </row>
    <row r="483" spans="1:2" ht="15" customHeight="1" x14ac:dyDescent="0.25">
      <c r="B483" s="2" t="s">
        <v>1505</v>
      </c>
    </row>
    <row r="484" spans="1:2" ht="15" customHeight="1" x14ac:dyDescent="0.25">
      <c r="B484" s="2"/>
    </row>
    <row r="485" spans="1:2" ht="15" customHeight="1" x14ac:dyDescent="0.25">
      <c r="A485" t="s">
        <v>128</v>
      </c>
      <c r="B485" s="2"/>
    </row>
    <row r="486" spans="1:2" ht="15" customHeight="1" x14ac:dyDescent="0.25">
      <c r="B486" s="2" t="s">
        <v>1223</v>
      </c>
    </row>
    <row r="487" spans="1:2" ht="15" customHeight="1" x14ac:dyDescent="0.25">
      <c r="B487" s="2" t="s">
        <v>1224</v>
      </c>
    </row>
    <row r="488" spans="1:2" ht="15" customHeight="1" x14ac:dyDescent="0.25">
      <c r="B488" s="2"/>
    </row>
    <row r="489" spans="1:2" s="1" customFormat="1" ht="15" customHeight="1" x14ac:dyDescent="0.25">
      <c r="A489" s="1" t="s">
        <v>1337</v>
      </c>
      <c r="B489" s="684"/>
    </row>
    <row r="490" spans="1:2" ht="15" customHeight="1" x14ac:dyDescent="0.25">
      <c r="B490" s="2"/>
    </row>
    <row r="491" spans="1:2" ht="15" customHeight="1" x14ac:dyDescent="0.25">
      <c r="A491" t="s">
        <v>1405</v>
      </c>
    </row>
    <row r="492" spans="1:2" ht="15" customHeight="1" x14ac:dyDescent="0.25">
      <c r="B492" s="2" t="s">
        <v>1410</v>
      </c>
    </row>
    <row r="493" spans="1:2" ht="15" customHeight="1" x14ac:dyDescent="0.25">
      <c r="B493" s="2" t="s">
        <v>2138</v>
      </c>
    </row>
    <row r="495" spans="1:2" ht="15" customHeight="1" x14ac:dyDescent="0.25">
      <c r="A495" t="s">
        <v>1406</v>
      </c>
    </row>
    <row r="496" spans="1:2" ht="15" customHeight="1" x14ac:dyDescent="0.25">
      <c r="B496" s="2" t="s">
        <v>1411</v>
      </c>
    </row>
    <row r="498" spans="1:2" ht="15" customHeight="1" x14ac:dyDescent="0.25">
      <c r="A498" t="s">
        <v>1407</v>
      </c>
    </row>
    <row r="499" spans="1:2" ht="15" customHeight="1" x14ac:dyDescent="0.25">
      <c r="B499" s="2" t="s">
        <v>1412</v>
      </c>
    </row>
    <row r="500" spans="1:2" ht="15" customHeight="1" x14ac:dyDescent="0.25">
      <c r="B500" s="2" t="s">
        <v>1413</v>
      </c>
    </row>
    <row r="501" spans="1:2" ht="15" customHeight="1" x14ac:dyDescent="0.25">
      <c r="B501" s="2" t="s">
        <v>1414</v>
      </c>
    </row>
    <row r="502" spans="1:2" ht="15" customHeight="1" x14ac:dyDescent="0.25">
      <c r="B502" s="2" t="s">
        <v>1563</v>
      </c>
    </row>
    <row r="503" spans="1:2" ht="15" customHeight="1" x14ac:dyDescent="0.25">
      <c r="B503" s="2" t="s">
        <v>2347</v>
      </c>
    </row>
    <row r="504" spans="1:2" ht="15" customHeight="1" x14ac:dyDescent="0.25">
      <c r="B504" s="2" t="s">
        <v>2357</v>
      </c>
    </row>
    <row r="505" spans="1:2" ht="15" customHeight="1" x14ac:dyDescent="0.25">
      <c r="B505" s="2" t="s">
        <v>2358</v>
      </c>
    </row>
    <row r="506" spans="1:2" ht="15" customHeight="1" x14ac:dyDescent="0.25">
      <c r="B506" s="2" t="s">
        <v>2359</v>
      </c>
    </row>
    <row r="507" spans="1:2" ht="15" customHeight="1" x14ac:dyDescent="0.25">
      <c r="B507" s="2" t="s">
        <v>2364</v>
      </c>
    </row>
    <row r="508" spans="1:2" ht="15" customHeight="1" x14ac:dyDescent="0.25">
      <c r="B508" s="2"/>
    </row>
    <row r="509" spans="1:2" ht="15" customHeight="1" x14ac:dyDescent="0.25">
      <c r="A509" t="s">
        <v>1408</v>
      </c>
    </row>
    <row r="510" spans="1:2" ht="15" customHeight="1" x14ac:dyDescent="0.25">
      <c r="B510" s="2" t="s">
        <v>1415</v>
      </c>
    </row>
    <row r="511" spans="1:2" ht="15" customHeight="1" x14ac:dyDescent="0.25">
      <c r="B511" s="2" t="s">
        <v>2404</v>
      </c>
    </row>
    <row r="512" spans="1:2" ht="15" customHeight="1" x14ac:dyDescent="0.25">
      <c r="B512" s="2" t="s">
        <v>2405</v>
      </c>
    </row>
    <row r="513" spans="1:2" ht="15" customHeight="1" x14ac:dyDescent="0.25">
      <c r="B513" s="2"/>
    </row>
    <row r="514" spans="1:2" ht="15" customHeight="1" x14ac:dyDescent="0.25">
      <c r="A514" t="s">
        <v>1684</v>
      </c>
      <c r="B514" s="2"/>
    </row>
    <row r="515" spans="1:2" ht="15" customHeight="1" x14ac:dyDescent="0.25">
      <c r="B515" s="2" t="s">
        <v>1685</v>
      </c>
    </row>
    <row r="516" spans="1:2" ht="15" customHeight="1" x14ac:dyDescent="0.25">
      <c r="B516" s="2" t="s">
        <v>1687</v>
      </c>
    </row>
    <row r="517" spans="1:2" ht="15" customHeight="1" x14ac:dyDescent="0.25">
      <c r="B517" s="2" t="s">
        <v>2391</v>
      </c>
    </row>
    <row r="518" spans="1:2" ht="15" customHeight="1" x14ac:dyDescent="0.25">
      <c r="B518" s="2"/>
    </row>
    <row r="519" spans="1:2" ht="15" customHeight="1" x14ac:dyDescent="0.25">
      <c r="A519" t="s">
        <v>1641</v>
      </c>
      <c r="B519" s="2"/>
    </row>
    <row r="520" spans="1:2" ht="15" customHeight="1" x14ac:dyDescent="0.25">
      <c r="B520" s="2" t="s">
        <v>1642</v>
      </c>
    </row>
    <row r="521" spans="1:2" ht="15" customHeight="1" x14ac:dyDescent="0.25">
      <c r="B521" s="2" t="s">
        <v>1643</v>
      </c>
    </row>
    <row r="522" spans="1:2" ht="15" customHeight="1" x14ac:dyDescent="0.25">
      <c r="B522" s="2" t="s">
        <v>1644</v>
      </c>
    </row>
    <row r="523" spans="1:2" ht="15" customHeight="1" x14ac:dyDescent="0.25">
      <c r="B523" s="2"/>
    </row>
    <row r="524" spans="1:2" ht="15" customHeight="1" x14ac:dyDescent="0.25">
      <c r="A524" t="s">
        <v>1409</v>
      </c>
    </row>
    <row r="525" spans="1:2" ht="15" customHeight="1" x14ac:dyDescent="0.25">
      <c r="B525" s="2" t="s">
        <v>1920</v>
      </c>
    </row>
    <row r="526" spans="1:2" ht="15" customHeight="1" x14ac:dyDescent="0.25">
      <c r="B526" s="2" t="s">
        <v>2434</v>
      </c>
    </row>
    <row r="527" spans="1:2" ht="15" customHeight="1" x14ac:dyDescent="0.25">
      <c r="B527" s="2" t="s">
        <v>1919</v>
      </c>
    </row>
    <row r="528" spans="1:2" ht="15" customHeight="1" x14ac:dyDescent="0.25">
      <c r="B528" s="2" t="s">
        <v>1921</v>
      </c>
    </row>
    <row r="529" spans="1:2" ht="15" customHeight="1" x14ac:dyDescent="0.25">
      <c r="B529" s="2" t="s">
        <v>1585</v>
      </c>
    </row>
    <row r="530" spans="1:2" ht="15" customHeight="1" x14ac:dyDescent="0.25">
      <c r="B530" s="2"/>
    </row>
    <row r="531" spans="1:2" ht="15" customHeight="1" x14ac:dyDescent="0.25">
      <c r="A531" t="s">
        <v>1943</v>
      </c>
      <c r="B531" s="2"/>
    </row>
    <row r="532" spans="1:2" ht="15" customHeight="1" x14ac:dyDescent="0.25">
      <c r="B532" s="2" t="s">
        <v>2215</v>
      </c>
    </row>
    <row r="533" spans="1:2" ht="15" customHeight="1" x14ac:dyDescent="0.25">
      <c r="B533" s="2" t="s">
        <v>1944</v>
      </c>
    </row>
    <row r="534" spans="1:2" ht="15" customHeight="1" x14ac:dyDescent="0.25">
      <c r="B534" s="2" t="s">
        <v>1958</v>
      </c>
    </row>
    <row r="535" spans="1:2" ht="15" customHeight="1" x14ac:dyDescent="0.25">
      <c r="B535" s="2"/>
    </row>
    <row r="536" spans="1:2" ht="15" customHeight="1" x14ac:dyDescent="0.25">
      <c r="A536" t="s">
        <v>2694</v>
      </c>
      <c r="B536" s="2"/>
    </row>
    <row r="537" spans="1:2" ht="15" customHeight="1" x14ac:dyDescent="0.25">
      <c r="B537" s="2" t="s">
        <v>2704</v>
      </c>
    </row>
    <row r="538" spans="1:2" ht="15" customHeight="1" x14ac:dyDescent="0.25">
      <c r="B538" s="2"/>
    </row>
    <row r="539" spans="1:2" ht="15" customHeight="1" x14ac:dyDescent="0.25">
      <c r="A539" t="s">
        <v>1658</v>
      </c>
      <c r="B539" s="2"/>
    </row>
    <row r="540" spans="1:2" ht="15" customHeight="1" x14ac:dyDescent="0.25">
      <c r="B540" s="2" t="s">
        <v>2165</v>
      </c>
    </row>
    <row r="541" spans="1:2" ht="15" customHeight="1" x14ac:dyDescent="0.25">
      <c r="B541" s="2" t="s">
        <v>1662</v>
      </c>
    </row>
    <row r="542" spans="1:2" ht="15" customHeight="1" x14ac:dyDescent="0.25">
      <c r="B542" s="2" t="s">
        <v>2163</v>
      </c>
    </row>
    <row r="543" spans="1:2" ht="15" customHeight="1" x14ac:dyDescent="0.25">
      <c r="B543" s="2" t="s">
        <v>2162</v>
      </c>
    </row>
    <row r="544" spans="1:2" ht="15" customHeight="1" x14ac:dyDescent="0.25">
      <c r="B544" s="2" t="s">
        <v>2164</v>
      </c>
    </row>
    <row r="545" spans="1:2" ht="15" customHeight="1" x14ac:dyDescent="0.25">
      <c r="B545" s="2"/>
    </row>
    <row r="546" spans="1:2" ht="15" customHeight="1" x14ac:dyDescent="0.25">
      <c r="A546" s="1" t="s">
        <v>1982</v>
      </c>
      <c r="B546" s="2"/>
    </row>
    <row r="547" spans="1:2" ht="15" customHeight="1" x14ac:dyDescent="0.25">
      <c r="A547" s="1"/>
      <c r="B547" s="2"/>
    </row>
    <row r="548" spans="1:2" ht="15" customHeight="1" x14ac:dyDescent="0.25">
      <c r="A548" s="17" t="s">
        <v>2050</v>
      </c>
      <c r="B548" s="2"/>
    </row>
    <row r="549" spans="1:2" ht="15" customHeight="1" x14ac:dyDescent="0.25">
      <c r="B549" s="2" t="s">
        <v>2051</v>
      </c>
    </row>
    <row r="550" spans="1:2" ht="15" customHeight="1" x14ac:dyDescent="0.25">
      <c r="B550" s="2" t="s">
        <v>2052</v>
      </c>
    </row>
    <row r="551" spans="1:2" ht="15" customHeight="1" x14ac:dyDescent="0.25">
      <c r="B551" s="2" t="s">
        <v>2053</v>
      </c>
    </row>
    <row r="552" spans="1:2" ht="15" customHeight="1" x14ac:dyDescent="0.25">
      <c r="B552" s="2" t="s">
        <v>2054</v>
      </c>
    </row>
    <row r="553" spans="1:2" ht="15" customHeight="1" x14ac:dyDescent="0.25">
      <c r="B553" s="2"/>
    </row>
    <row r="554" spans="1:2" ht="15" customHeight="1" x14ac:dyDescent="0.25">
      <c r="A554" t="s">
        <v>1979</v>
      </c>
      <c r="B554" s="2"/>
    </row>
    <row r="555" spans="1:2" ht="15" customHeight="1" x14ac:dyDescent="0.25">
      <c r="B555" s="2" t="s">
        <v>2055</v>
      </c>
    </row>
    <row r="556" spans="1:2" ht="15" customHeight="1" x14ac:dyDescent="0.25">
      <c r="B556" s="2" t="s">
        <v>2057</v>
      </c>
    </row>
    <row r="557" spans="1:2" ht="15" customHeight="1" x14ac:dyDescent="0.25">
      <c r="B557" s="2" t="s">
        <v>2059</v>
      </c>
    </row>
    <row r="558" spans="1:2" ht="15" customHeight="1" x14ac:dyDescent="0.25">
      <c r="B558" s="2" t="s">
        <v>2066</v>
      </c>
    </row>
    <row r="559" spans="1:2" ht="15" customHeight="1" x14ac:dyDescent="0.25">
      <c r="B559" s="2" t="s">
        <v>2056</v>
      </c>
    </row>
    <row r="560" spans="1:2" ht="15" customHeight="1" x14ac:dyDescent="0.25">
      <c r="B560" s="2" t="s">
        <v>2058</v>
      </c>
    </row>
    <row r="561" spans="1:2" ht="15" customHeight="1" x14ac:dyDescent="0.25">
      <c r="B561" s="2" t="s">
        <v>2061</v>
      </c>
    </row>
    <row r="562" spans="1:2" ht="15" customHeight="1" x14ac:dyDescent="0.25">
      <c r="B562" s="2" t="s">
        <v>2060</v>
      </c>
    </row>
    <row r="563" spans="1:2" ht="15" customHeight="1" x14ac:dyDescent="0.25">
      <c r="B563" s="2" t="s">
        <v>2062</v>
      </c>
    </row>
    <row r="564" spans="1:2" ht="15" customHeight="1" x14ac:dyDescent="0.25">
      <c r="B564" s="2" t="s">
        <v>2063</v>
      </c>
    </row>
    <row r="565" spans="1:2" ht="15" customHeight="1" x14ac:dyDescent="0.25">
      <c r="B565" s="2" t="s">
        <v>2064</v>
      </c>
    </row>
    <row r="566" spans="1:2" ht="15" customHeight="1" x14ac:dyDescent="0.25">
      <c r="B566" s="2" t="s">
        <v>2065</v>
      </c>
    </row>
    <row r="567" spans="1:2" ht="15" customHeight="1" x14ac:dyDescent="0.25">
      <c r="B567" s="2"/>
    </row>
    <row r="568" spans="1:2" ht="15" customHeight="1" x14ac:dyDescent="0.25">
      <c r="A568" t="s">
        <v>2067</v>
      </c>
      <c r="B568" s="2"/>
    </row>
    <row r="569" spans="1:2" ht="15" customHeight="1" x14ac:dyDescent="0.25">
      <c r="B569" s="2" t="s">
        <v>2068</v>
      </c>
    </row>
    <row r="570" spans="1:2" ht="15" customHeight="1" x14ac:dyDescent="0.25">
      <c r="B570" s="2" t="s">
        <v>2069</v>
      </c>
    </row>
    <row r="571" spans="1:2" ht="15" customHeight="1" x14ac:dyDescent="0.25">
      <c r="B571" s="2" t="s">
        <v>2070</v>
      </c>
    </row>
    <row r="572" spans="1:2" ht="15" customHeight="1" x14ac:dyDescent="0.25">
      <c r="B572" s="2" t="s">
        <v>2071</v>
      </c>
    </row>
    <row r="573" spans="1:2" ht="15" customHeight="1" x14ac:dyDescent="0.25">
      <c r="B573" s="2" t="s">
        <v>2072</v>
      </c>
    </row>
    <row r="574" spans="1:2" ht="15" customHeight="1" x14ac:dyDescent="0.25">
      <c r="B574" s="2" t="s">
        <v>2073</v>
      </c>
    </row>
    <row r="575" spans="1:2" ht="15" customHeight="1" x14ac:dyDescent="0.25">
      <c r="B575" s="2" t="s">
        <v>2074</v>
      </c>
    </row>
    <row r="576" spans="1:2" ht="15" customHeight="1" x14ac:dyDescent="0.25">
      <c r="B576" s="2" t="s">
        <v>2075</v>
      </c>
    </row>
    <row r="577" spans="1:2" ht="15" customHeight="1" x14ac:dyDescent="0.25">
      <c r="B577" s="2"/>
    </row>
    <row r="578" spans="1:2" ht="15" customHeight="1" x14ac:dyDescent="0.25">
      <c r="A578" s="1" t="s">
        <v>1344</v>
      </c>
      <c r="B578" s="2"/>
    </row>
    <row r="579" spans="1:2" ht="15" customHeight="1" x14ac:dyDescent="0.25">
      <c r="B579" s="2" t="s">
        <v>1346</v>
      </c>
    </row>
    <row r="580" spans="1:2" ht="15" customHeight="1" x14ac:dyDescent="0.25">
      <c r="B580" s="2" t="s">
        <v>2419</v>
      </c>
    </row>
    <row r="581" spans="1:2" ht="15" customHeight="1" x14ac:dyDescent="0.25">
      <c r="B581" s="2" t="s">
        <v>1416</v>
      </c>
    </row>
    <row r="582" spans="1:2" ht="15" customHeight="1" x14ac:dyDescent="0.25">
      <c r="B582" s="2" t="s">
        <v>1345</v>
      </c>
    </row>
    <row r="583" spans="1:2" ht="15" customHeight="1" x14ac:dyDescent="0.25">
      <c r="B583" s="2" t="s">
        <v>2422</v>
      </c>
    </row>
    <row r="584" spans="1:2" ht="15" customHeight="1" x14ac:dyDescent="0.25">
      <c r="B584" s="2"/>
    </row>
    <row r="585" spans="1:2" ht="15" customHeight="1" x14ac:dyDescent="0.25">
      <c r="A585" s="1" t="s">
        <v>1340</v>
      </c>
    </row>
    <row r="586" spans="1:2" ht="15" customHeight="1" x14ac:dyDescent="0.25">
      <c r="B586" s="2" t="s">
        <v>1341</v>
      </c>
    </row>
    <row r="587" spans="1:2" ht="15" customHeight="1" x14ac:dyDescent="0.25">
      <c r="B587" s="2" t="s">
        <v>1342</v>
      </c>
    </row>
    <row r="588" spans="1:2" ht="15" customHeight="1" x14ac:dyDescent="0.25">
      <c r="B588" s="2" t="s">
        <v>2454</v>
      </c>
    </row>
    <row r="589" spans="1:2" ht="15" customHeight="1" x14ac:dyDescent="0.25">
      <c r="B589" s="2" t="s">
        <v>2258</v>
      </c>
    </row>
    <row r="590" spans="1:2" ht="15" customHeight="1" x14ac:dyDescent="0.25">
      <c r="B590" s="2" t="s">
        <v>2259</v>
      </c>
    </row>
  </sheetData>
  <hyperlinks>
    <hyperlink ref="B586" location="'Stud. Q Table'!A1" display="'Stud. Q Table'!A1"/>
    <hyperlink ref="B140" location="'Reg 1'!A1" display="Linear Regression Line (Example 18.1)"/>
    <hyperlink ref="B143" location="'Reg 1'!I1" display="Using regression ine for prediction (Example 18.2)"/>
    <hyperlink ref="B147" location="'Reg 2'!A1" display="Testing fit of regression line (Example 18.3)"/>
    <hyperlink ref="B150" location="'Reg 3'!A1" display="Testing slope of regression line (Example 18.4)"/>
    <hyperlink ref="B151" location="'Reg 2'!AM1" display="LINEST Function"/>
    <hyperlink ref="B152" location="'Reg 4'!A1" display="Regression data analysis tool (Figures 18.6 and 18.7)"/>
    <hyperlink ref="B179" location="'Mult Reg 1'!A1" display="Method of least squares (Example 19.1)"/>
    <hyperlink ref="B180" location="'Mult Reg 1'!A1" display="Method of least squares using covariance matrix (Example 19.2)"/>
    <hyperlink ref="B181" location="'Mult Reg 2'!A1" display="Method of least squares using hat matrix (Example 19.3)"/>
    <hyperlink ref="B185" location="'Mult Reg 3'!A1" display="Sample size requirements for multiple regression (Figure 19.4)"/>
    <hyperlink ref="B186" location="'Mult Reg 4'!A1" display="TREND and LINEST function (Example 19.4)"/>
    <hyperlink ref="B188" location="'Mult Reg 5'!A1" display="Regression data analysis tool (Example 19.5)"/>
    <hyperlink ref="B190" location="'Mult Reg 6'!A1" display="Formulas for regression analysis (Figure 19.8 and 19.9)"/>
    <hyperlink ref="B156" location="'Reg 6'!A1" display="Confidence/prediction Intervals (Example 18.5)"/>
    <hyperlink ref="B160" location="'Exp Reg'!A1" display="Exponential Regression (Example 18.7)"/>
    <hyperlink ref="B161" location="'Exp Reg'!O3" display="LOGEST and GROWTH functions (Figure)"/>
    <hyperlink ref="B171" location="'Reg T 1'!A1" display="Regression to Compare Means (Example 18.9)"/>
    <hyperlink ref="B173" location="'Reg T 2'!A1" display="Regression to Compare Means (Example 18.10)"/>
    <hyperlink ref="B199" location="'Poly Reg'!A1" display="Quadratic regression (Example 19.6)"/>
    <hyperlink ref="B208" location="'Interaction Reg'!A1" display="Regression with interaction (Example 19.7)"/>
    <hyperlink ref="B253" location="Collinearity!A1" display="Collinearity (Figure 19.15)"/>
    <hyperlink ref="B11" location="'ANOVA 1'!A1" display="One factor ANOVA (Example 15.1)"/>
    <hyperlink ref="B12" location="'ANOVA 2'!A1" display="One factor ANOVA (Example 15.2)"/>
    <hyperlink ref="B13" location="'ANOVA 3'!A1" display="Error terms for Example 15.2 (Figure 15.4)"/>
    <hyperlink ref="B14" location="'ANOVA 4'!A1" display="One factor ANOVA with unequal sample sizes (Example 15.3)"/>
    <hyperlink ref="B18" location="'ANOVA 5'!A1" display="Confidence interval (Example 15.4)"/>
    <hyperlink ref="B23" location="'Contrast 1'!M5" display="Simple approach to contrasts (Example 15.5)"/>
    <hyperlink ref="B24" location="'Contrast 2'!N3" display="Contrasts (Example 15.5)"/>
    <hyperlink ref="B25" location="'Contrast 2'!N17" display="Contrasts (Example 15.6)"/>
    <hyperlink ref="B26" location="'Contrast 3'!A1" display="Contrasts using Bonferroni or Dunn/Sidák corrections (Example 15.7)"/>
    <hyperlink ref="B30" location="'Tukey 1'!A1" display="Tukey HSD test (Example 15.8)"/>
    <hyperlink ref="B34" location="REGWQ!A1" display="REGWQ test (Example 15.9)"/>
    <hyperlink ref="B36" location="Scheffe!A1" display="Scheffe test (Example 15.10)"/>
    <hyperlink ref="B39" location="'Levene 1'!A1" display="Levene's test on means (Example 1)"/>
    <hyperlink ref="B41" location="'Levene 1'!A30" display="Levene's test on medians (Example 1, extra)"/>
    <hyperlink ref="B42" location="'Levene 2'!A1" display="Levene's test on means (extra example)"/>
    <hyperlink ref="B43" location="Bartlett!A1" display="Bartlett's test (Example 2)"/>
    <hyperlink ref="B45" location="'Log Transform'!A1" display="Log transform (Example 15.13)"/>
    <hyperlink ref="B48" location="Outliers!A1" display="Identifiying outliers (Example 15.14)"/>
    <hyperlink ref="B51" location="'ANOVA 2'!N13" display="Effect size (Example 15.17)"/>
    <hyperlink ref="B587" location="'Stud. Q Table 2'!A1" display="F9 - Studentized Q Table (table 2)"/>
    <hyperlink ref="B92" location="'ANOVA 2.1'!A1" display="Two factor ANOVA without replication (Example 16.1)"/>
    <hyperlink ref="B102" location="'ANOVA 2.2'!P26" display="Two factor ANOVA with replication using supplemental functions"/>
    <hyperlink ref="B105" location="'ANOVA 2.4'!A1" display="Two factor ANOVA with replication - standard data format (Example 4)"/>
    <hyperlink ref="B123" location="'ANOVA 3.1'!A1" display="Three factor ANOVA (Example 16.6)"/>
    <hyperlink ref="B211" location="'Reg Anova 1'!A1" display="Categorical variable models (Example 19.8)"/>
    <hyperlink ref="B212" location="'Reg Anova 2'!A1" display="Categorical variable models (Example 19.8 alternative approach)"/>
    <hyperlink ref="B341" location="'Log Lin 1.1'!A1" display="Two-way log-linear saturated model (Example 21.1)"/>
    <hyperlink ref="B348" location="'Log Lin 1.1'!A17" display="Two-way log-linear independence model (Example 21.2)"/>
    <hyperlink ref="B349" location="'Log Lin 1.1'!F26" display="Residuals and chi-square for two-way model (Figure 21.3)"/>
    <hyperlink ref="B350" location="'Log Lin 1.3'!A1" display="Coefficients via Excel regression data analysis tool (Figure 21.4)"/>
    <hyperlink ref="B344" location="'Log Lin 1.1'!R3" display="Marginal averages for two-way models (Figure 21.2)"/>
    <hyperlink ref="B353" location="'Log Lin 1.4'!A1" display="Other two-way log-linear models (Figure 21.6)"/>
    <hyperlink ref="B356" location="'Log Lin 1.4'!A89" display="Summary of all two-way log-linear models (Figure 21.7)"/>
    <hyperlink ref="B345" location="'Log Lin 1.2'!A1" display="Alternative coding for coefficients of two-way models"/>
    <hyperlink ref="B359" location="'Log Lin 2.1'!A1" display="Three-way contingency tables (Example 21.3)"/>
    <hyperlink ref="B362" location="'Log Lin 2.3'!A1" display="Expectation for 3-way models (Figures 21.11, 21.13, 21.16)"/>
    <hyperlink ref="B363" location="'Log Lin 2.2'!A1" display="Residuals and chi-square for three-way model (Figure 21.12)"/>
    <hyperlink ref="B366" location="'Log Lin 2.4'!A1" display="Iterative Proportional Fitting for Homogeneous case (Figure 21.15)"/>
    <hyperlink ref="B369" location="'Log Lin 2.4'!A87" display="Summary of all three-way log-linear models (Figure 21.17)"/>
    <hyperlink ref="B370" location="'Log Lin 2.1'!A18" display="Odds ratio for three-way log-linear models (Figure 21.18)"/>
    <hyperlink ref="B371" location="'Log Lin 2.5'!A1" display="Coefficients for three-way log-linear model (Figure 21.19)"/>
    <hyperlink ref="B415" location="'ANOVA Match 1.1'!A1" display="ANOVA with repeated measures, 1 treatment variable (Example 22.1)"/>
    <hyperlink ref="B416" location="'ANOVA Match 1.2'!A1" display="Contrasts for ANOVA with repeated measures (Example 22.2)"/>
    <hyperlink ref="B419" location="'ANOVA Match 1.3'!W3" display="Tests for sphericity (Figure 22.5 and 22.6)"/>
    <hyperlink ref="B421" location="'ANOVA Match 1.3'!N1" display="ANOVA with repeated measures corrected for sphericity (Example 22.3)"/>
    <hyperlink ref="B499" location="Cronbach!A1" display="Cronbach's Alpha (Example 24.3)"/>
    <hyperlink ref="B500" location="Cronbach!A24" display="Cronbach's alpha with one question removed (Example 24.4)"/>
    <hyperlink ref="B501" location="Cronbach!O32" display="Cronbach's alpha using ANOVA (Example 24.5)"/>
    <hyperlink ref="B510" location="Kappa!A1" display="Cohen's kappa (Example 24.6)"/>
    <hyperlink ref="B525" location="'ICC1'!A1" display="Intraclass Correlation - case 1"/>
    <hyperlink ref="B431" location="'ANOVA Match 2.1'!A1" display="ANOVA with repeated measures, 2 treatment variables (Example 22.5)"/>
    <hyperlink ref="B420" location="'ANOVA Match 1.3'!AK1" display="Calculation of GG and HF epsilon and lower bound correction (Figure 22.7)"/>
    <hyperlink ref="B422" location="'ANOVA Match 1.3'!N21" display="Effect size for ANOVA"/>
    <hyperlink ref="B464" location="'ANCOVA 1'!A1" display="ANCOVA (Example 23.1)"/>
    <hyperlink ref="B467" location="'ANCOVA 2'!A1" display="ANCOVA Regression Approach (Figure 23.2)"/>
    <hyperlink ref="B468" location="'ANCOVA 2'!J3" display="ANCOVA regression models (Figure 23.3)"/>
    <hyperlink ref="B469" location="'ANCOVA 2'!J30" display="ANCOVA results (Figure 23.4 and 23.5)"/>
    <hyperlink ref="B470" location="'ANCOVA 2'!R3" display="ANCOVA full model (Figure 23.6)"/>
    <hyperlink ref="B471" location="'ANCOVA 2'!A45" display="ANCOVA adjusted means (Figure 23.7 and 23.8)"/>
    <hyperlink ref="B474" location="'ANCOVA 1'!M3" display="ANCOVA assumptions (Example 23.2, Figure 23.9 and 23.10)"/>
    <hyperlink ref="B476" location="'ANCOVA 2'!Y3" display="ANCOVA assumptions - homogeneous regression slopes (Figure 23.12)"/>
    <hyperlink ref="B479" location="'ANCOVA 3'!A1" display="ANCOVA - ANOVA approach (Example 23.3, Figure 23.13)"/>
    <hyperlink ref="B483" location="'ANCOVA Contrasts'!A1" display="ANCOVA Contrasts (Example 23.4, Figure 23.18)"/>
    <hyperlink ref="B487" location="'ANCOVA Contrasts'!D17" display="ANCOVA effect sizes - contrasts"/>
    <hyperlink ref="B486" location="'ANCOVA 2'!J52" display="ANCOVA effect sizes - omnibus test"/>
    <hyperlink ref="B191" location="'Mult Reg 6A'!A1" display="Supplementary functions (Figure 19.8)"/>
    <hyperlink ref="B15" location="'ANOVA 4'!F21" display="Supplemental functions MSW and ANOVA1 "/>
    <hyperlink ref="B40" location="'Levene 1'!O1" display="Supplemental function LEVENE and data analysis tool"/>
    <hyperlink ref="B52" location="'ANOVA 5'!M13" display="Effect size (Example 15.17)"/>
    <hyperlink ref="B53" location="'Contrast 2'!N28" display="Effect size for contrasts via Contrast data analysis tool (Example 15.18)"/>
    <hyperlink ref="B213" location="'Reg Anova 2'!Q2" display=" Group means and group effect sizes (Figure 19.25)"/>
    <hyperlink ref="B214" location="'Reg Anova 3'!A1" display="Two factor ANOVA via Regression model (Example 19.9)"/>
    <hyperlink ref="B217" location="'Reg Anova 4'!A1" display="Unbalanced ANOVA via Regression model (Example 19.10)"/>
    <hyperlink ref="B225" location="'ANOVA 5'!N14" display="Omega square effect size for ANOVA (Example 15.1)"/>
    <hyperlink ref="B226" location="'Reg Anova 3'!O42" display="Omega square effect size for 2 factor ANOVA (Example 19.9)"/>
    <hyperlink ref="B229" location="'Mult Reg 2'!Q3" display="Studentized residuals and hat matrix (Example 19.10)"/>
    <hyperlink ref="B230" location="'Mult Reg 2'!F45" display="Studentized residuals and hat matrix (Example 19.10)"/>
    <hyperlink ref="B233" location="'Cooks 1'!A1" display="Outliers and influencers: Cook's distance (Example 19.12)"/>
    <hyperlink ref="B234" location="'Cooks 2'!A1" display="Outliers and influencers: Cook's distance (Example 19.13)"/>
    <hyperlink ref="B187" location="'Mult Reg 4A'!A1" display="Data for Example 1 is normal via QQ plot (extra worksheet)"/>
    <hyperlink ref="B257" location="'Mult Reg 4'!AC1" display="Testing significance of extra varaiables (Example 19.14)"/>
    <hyperlink ref="B258" location="'Mult Reg 4'!AC13" display="Testing significance of extra varaiables using R Square (Figure 19.48)"/>
    <hyperlink ref="B259" location="'Mult Reg 4'!AJ1" display="Akaike’s Information Criterion (Example 19.15) "/>
    <hyperlink ref="B276" location="'Logit 1'!A1" display="Sigmoid curve (Figure 20.1)"/>
    <hyperlink ref="B61" location="Kruskal!A1" display="Kruskal-Wallis test"/>
    <hyperlink ref="B69" location="Kruskal!A26" display="Pairwise comparison tests"/>
    <hyperlink ref="B455" location="Friedman!A1" display="Friedman's test (Example 22.9)"/>
    <hyperlink ref="B437" location="'ANOVA Match 2.3'!A1" display="ANOVA with repeated measures, 1 within and 1 between subjects (Example 22.8)"/>
    <hyperlink ref="B433" location="'ANOVA Match 2.2'!A1" display="Comparisons of means for intersection (Figure 22.16)"/>
    <hyperlink ref="B434" location="'ANOVA Match 2.2'!Y3" display="Comparisons of means for intersection (Example 22.7)"/>
    <hyperlink ref="B440" location="'ANOVA Match 2.3'!BU90" display="Assumptions between subjects: Levene's test (Figure 22.24)"/>
    <hyperlink ref="B439" location="'ANOVA Match 2.3'!BD3" display="Assumptions between subjects: Boxplot (Figure 22.23)"/>
    <hyperlink ref="B441" location="'ANOVA Match 2.3'!BD14" display="Assumptions within subjects: Boxplot (Figure 22.25)"/>
    <hyperlink ref="B443" location="'ANOVA Match 2.3'!AQ3" display="Assumptions within subjects: Covariance matrices(Figure 22.27)"/>
    <hyperlink ref="B442" location="'ANOVA Match 2.3'!BU3" display="Assumptions between subjects: Levene's test (Figure 22.24)"/>
    <hyperlink ref="B444:B445" location="'ANOVA Match 2.3'!AQ3" display="Assumptions within subjects: Covariance matrices(Figure 22.27)"/>
    <hyperlink ref="B444" location="'ANOVA Match 2.3'!AQ41" display="Assumptions within subjects: Covariance matrices(Figure 22.27)"/>
    <hyperlink ref="B445" location="'ANOVA Match 2.3'!W17" display="Within subjects ANOVA corrected for sphercity (Figure 22.29)"/>
    <hyperlink ref="B446" location="'ANOVA Match 2.3'!AI3" display="Within subjects ANOVA simple effects (Figure 22.30)"/>
    <hyperlink ref="B447" location="'ANOVA Match 2.3'!AQ14" display="Within subjects GG and HF epsilon factors (Figure 22.28)"/>
    <hyperlink ref="B448" location="'ANOVA Match 2.3'!AX51" display="Summary of within subjects GG and HF epsilon factors (Figure 22.32)"/>
    <hyperlink ref="B449" location="'ANOVA Match 2.3'!AI33" display="Corrected within subjects simple effects ANOVA (Figure 22.33)"/>
    <hyperlink ref="B450" location="'ANOVA Match 2.3'!Q33" display="Between subjects simple effects ANOVA (Figure 22.34)"/>
    <hyperlink ref="B451" location="'ANOVA Match 2.3'!Q52" display="Corrected between subjects simple effects ANOVA (Figure 22.36)"/>
    <hyperlink ref="B172" location="'Reg T 1A'!A1" display="Full results from data analysis tool for Example 18.9"/>
    <hyperlink ref="B174" location="'Reg T 2A'!A1" display="Full results from data analysis tool for Example 18.10"/>
    <hyperlink ref="B200:B201" location="'Poly Reg'!A1" display="Quadratic regression (Example 19.6)"/>
    <hyperlink ref="B200" location="'Poly Reg 1'!A1" display="Full data analysis for quadratic model (Example 19.6)"/>
    <hyperlink ref="B201" location="'Poly Reg 2'!A1" display="Full data analysis for linear model (Example 19.6)"/>
    <hyperlink ref="B579" location="'IPFP 2.1'!A1" display="Iterative Proportional Fitting Procedure (Example C6.1)"/>
    <hyperlink ref="B581" location="'IPFP 3.1'!A1" display="Representation of a 3-way contingency table (Figure C6.5)"/>
    <hyperlink ref="B113" location="'Contrasts 2.1'!A59" display="Main effect for data in Example 16.4"/>
    <hyperlink ref="B114" location="'Contrasts 2.1'!A42" display="Simple effect for data in Example 16.4"/>
    <hyperlink ref="B116" location="'Contrasts 2.1'!N10" display="Contrasts for data in Example 16.4 (Example 16.5)"/>
    <hyperlink ref="B98" location="'ANOVA 2.2'!O1" display="Two factor ANOVA with replication - Interaction plots for Example 16.2 (Figure 16.7)"/>
    <hyperlink ref="B112" location="'Contrasts 2.1'!A1" display="Two factor ANOVA with replication (Example 16.4)"/>
    <hyperlink ref="B115" location="'Contrasts 2.1'!N1" display="Interaction Table for data in Example 16.4 (Figure 16.14)"/>
    <hyperlink ref="B438" location="'ANOVA Match 2.3A'!A1" display="ANOVA with repeated measures, use of data analysis tools"/>
    <hyperlink ref="B254" location="VIF!A1" display="Tolerance and VIF (Example 19.14)"/>
    <hyperlink ref="B277" location="'Logit 2'!A1" display="Logit (Example 20.1)"/>
    <hyperlink ref="B280" location="'Logit 3'!A1" display="Solution using Excel's Solver"/>
    <hyperlink ref="B290" location="'Logit 4'!A1" display="Solution using Newton's Method "/>
    <hyperlink ref="B298" location="'Logit 6'!A1" display="Basic model (Example 3)"/>
    <hyperlink ref="B97" location="'ANOVA 2.2'!A1" display="Two factor ANOVA with replication (Example 16.2)"/>
    <hyperlink ref="B281" location="'Logit 3a'!A1" display="Logistic Regression data analysis tool (Example 2)"/>
    <hyperlink ref="B31" location="'Tukey 2'!A1" display="Tukey HSD supplementary data analysis tool(Example 15.8)"/>
    <hyperlink ref="B27" location="'ANOVA 5'!M13" display="Effect size (Example 15.17)"/>
    <hyperlink ref="B79" location="'Brown F 1'!A1" display="Brown-Forsythe F* Test (Example E4.1)"/>
    <hyperlink ref="B80" location="'Brown F 2'!A1" display="Brown-Forsythe F* Test (extra example)"/>
    <hyperlink ref="B425" location="'ANOVA Match 1.4'!A1" display="GG epsilon calculation (Example E4.2)"/>
    <hyperlink ref="B426" location="'ANOVA Match 1.4'!A20" display="GG epsilon calculation using eigenvalues (Example E4.3)"/>
    <hyperlink ref="B427" location="'ANOVA Match 1.5'!A1" display="Mauchly's test for sphericity (Example E4.4)"/>
    <hyperlink ref="B428" location="'ANOVA Match 1.5'!A15" display="More powerful test for sphericity (Example E4.5)"/>
    <hyperlink ref="B475" location="'ANCOVA 2'!R3" display="ANCOVA complete model (Figure3)"/>
    <hyperlink ref="B452" location="'ANOVA Match 2.4'!A1" display="Box's test for equivalence of covariance matrices (Example E5.8)"/>
    <hyperlink ref="B284" location="'Logit 3a'!E45" display="Logistic Regression data analysis tool - coefficient table (Example 1)"/>
    <hyperlink ref="B287" location="'Logit 3a'!T41" display="Log-linear ratio (Example 2)"/>
    <hyperlink ref="B291" location="'Logit 4a'!A1" display="Logistic Regression data analysis tool using Newton's method (Example 1)"/>
    <hyperlink ref="B292" location="'Logit 5'!A1" display="Logistic Regression data analysis tool using raw data (Example 2)"/>
    <hyperlink ref="B299" location="'Logit 6'!B26" display="Reduced models (Example 4)"/>
    <hyperlink ref="B300" location="'Logit 6'!B68" display="Interaction model (Example 4)"/>
    <hyperlink ref="B502" location="'Cronbach 1'!A1" display="Cronbach's alpha using ANOVA (Example 4)"/>
    <hyperlink ref="B32" location="'Tuk-Kra'!A1" display="Tukey-Kramer data analysis tool (Example 2)"/>
    <hyperlink ref="B33" location="'Gam-How'!A1" display="Games-Howell data analysis tool (Example 3)"/>
    <hyperlink ref="B62" location="Kruskal!L1" display="Kruskal-Wallis test using Anova on ranks"/>
    <hyperlink ref="B64" location="Kruskal!T1" display="Kruskal-Wallis data analysis tool"/>
    <hyperlink ref="B63" location="Kruskal!L23" display="Kruskal-Wallis test using supplemental functions"/>
    <hyperlink ref="B189" location="'Mult Reg 6B'!A1" display="Real Statistics regression data analysis tool (Example 2)"/>
    <hyperlink ref="B204" location="'Log Reg'!A1" display="Log-level transformation (Example 1)"/>
    <hyperlink ref="B205" location="'Log Reg'!A33" display="Log-log transformation (Example 2)"/>
    <hyperlink ref="B303" location="Hosmer!A1" display="Example 1"/>
    <hyperlink ref="B520" location="FKappa!A1" display="Fleiss' kappa (Example 1)"/>
    <hyperlink ref="B521" location="FKappa!K1" display="Extra example (Fleiss' kappa for Example 1 of Cohen's kappa)"/>
    <hyperlink ref="B540" location="Item!A1" display="Item analysis (Example 1)"/>
    <hyperlink ref="B541" location="Item!F1" display="Item analysis for multiple choice tests (Example 2)"/>
    <hyperlink ref="B218" location="'Reg Anova 5'!A1" display="Unbalanced ANOVA via Regression model using supplemental analysis tool (Example 1)"/>
    <hyperlink ref="B99" location="'ANOVA 2.3'!A1" display="Two factor ANOVA with replication, alternative format of data (Example 16.4)"/>
    <hyperlink ref="B103" location="'ANOVA 2.2A'!A1" display="Two factor ANOVA supplemental data analysis tool (Example 2)"/>
    <hyperlink ref="B19" location="'ANOVA 6'!A1" display="Supplemental data analysis tool with data in standard format (Example 2)"/>
    <hyperlink ref="B20" location="'ANOVA 6'!S1" display="Converting from Anova Excel format to standard format (Example 3)"/>
    <hyperlink ref="B515" location="'Kappa 0'!A1" display="Weighted kappa (Example 1)"/>
    <hyperlink ref="B516" location="'Kappa 0'!L1" display="Unweighted kappa using a weighted approach (Figure "/>
    <hyperlink ref="B126" location="'ANOVA 3.2'!A1" display="Standard format by rows"/>
    <hyperlink ref="B127" location="'ANOVA 3.2a'!A1" display="Standard format by columns (equivalent to the above input)"/>
    <hyperlink ref="B128" location="'ANOVA 3.3'!A1" display="Standard format by columns, including conversion (Example 1)"/>
    <hyperlink ref="B93:B94" location="'ANOVA 2.1'!A1" display="Two factor ANOVA without replication (Example 16.1)"/>
    <hyperlink ref="B93" location="'ANOVA 2.1'!O14" display="Using supplemental functions (Example 1)"/>
    <hyperlink ref="B94" location="'ANOVA 2.1'!V1" display="Using Real Statistics data analysis tool (Example 1)"/>
    <hyperlink ref="B307" location="'Logit 6'!AD1" display="Classification Table (Example 1)"/>
    <hyperlink ref="B308" location="'Logit 6'!AI1" display="ROC Table and ROC Curve (Example 1)"/>
    <hyperlink ref="B311" location="'Logit 4a'!A24" display="Logistic Regression supplemental functions (summary data)"/>
    <hyperlink ref="B312" location="'Logit 5'!E32" display="Logistic Regression supplemental functions (rawdata)"/>
    <hyperlink ref="B317" location="'MLogit 1'!A1" display="Using binary logistic regression"/>
    <hyperlink ref="B320" location="'MLogit 2'!A1" display="Using Solver"/>
    <hyperlink ref="B323" location="'MLogit 3'!A1" display="Using Newton's method"/>
    <hyperlink ref="B327" location="'MLogit 4'!A1" display="Using supplemental formulas"/>
    <hyperlink ref="B329" location="'MLogit 5'!A1" display="Using raw data"/>
    <hyperlink ref="B324" location="'MLogit 3a'!A1" display="Using Newton's method"/>
    <hyperlink ref="B250" location="Durbin!A1" display="Durbin-Watson test (Example 1)"/>
    <hyperlink ref="B333" location="'OLogit 1'!A1" display="Using binary logistic regression"/>
    <hyperlink ref="B334" location="'OLogit 2'!A1" display="Using Solver"/>
    <hyperlink ref="B335" location="'OLogit 3'!A1" display="Proportional odss model"/>
    <hyperlink ref="B304" location="Hosmer!A38" display="Real Statistics Functions (Example 1)"/>
    <hyperlink ref="B221" location="'Reg An3.1'!A1" display="Balanced model, including data format conversion (Example 1)"/>
    <hyperlink ref="B222" location="'Reg An3.2'!A1" display="Unbalanced model (Example 2)"/>
    <hyperlink ref="B527:B528" location="ICC!A1" display="Intraclass Correlation Coefficient (Example 24.8)"/>
    <hyperlink ref="B527" location="'ICC2'!A1" display="Intraclass Correlation - case 2"/>
    <hyperlink ref="B528" location="'ICC3'!A1" display="Intraclass Correlation - case 3"/>
    <hyperlink ref="B262" location="MCorr!A1" display="Partial correlation coefficient (Example 1)"/>
    <hyperlink ref="B263" location="MCorr!G1" display="Partial correlation matrix (Example 2)"/>
    <hyperlink ref="B264" location="MCorr!Q1" display="Coefficient of determination"/>
    <hyperlink ref="B532" location="'Kendall W'!A1" display="Kendall's W (Example 1)"/>
    <hyperlink ref="B534" location="'Kendall W 1'!A1" display="Kendall's W with ties (Example 2)"/>
    <hyperlink ref="B168" location="'Pow Reg'!A1" display="Log-log Regression (Example 1)"/>
    <hyperlink ref="B157" location="'Reg 6'!L9" display="Testing intercept of regression line (Example 18.6)"/>
    <hyperlink ref="B144" location="'Corr 4'!A1" display="Significance vs effect size (re correlation coefficient)"/>
    <hyperlink ref="B153" location="'Reg 5'!A1" display="Comparing the slopes of two independent samples (Example 1 of Detail)"/>
    <hyperlink ref="B182" location="'Mult Reg 2A'!A1" display="Method of least squares using supplementary functions (Example 19.3)"/>
    <hyperlink ref="B192" location="'Mult Reg 7'!A1" display="Alternative approach to regression (Example E4.6)"/>
    <hyperlink ref="B492" location="'Split-half'!A1" display="Split-half methodology for reliability (Example 24.1)"/>
    <hyperlink ref="B496" location="'KRF20'!A1" display="Kuder and Richardson Formula 20 (Example 24.2)"/>
    <hyperlink ref="B522" location="FKappa!S1" display="Extra example (Fleiss' kappa for Example 1 of Intraclass correlation)"/>
    <hyperlink ref="B582" location="'IPFP 3.2'!A1" display="Iterative Proportional Fitting Procedure, 3-way (Example C6.3)"/>
    <hyperlink ref="B549" location="'Miss 1'!A1" display="Listwise Deletion"/>
    <hyperlink ref="B550" location="'Miss 2'!A1" display="Mean Imputation"/>
    <hyperlink ref="B551" location="'Miss 3'!A1" display="Regression Imputation"/>
    <hyperlink ref="B552" location="'Miss 4'!A1" display="Stochastic Regression Imputation"/>
    <hyperlink ref="B555" location="'MI 1'!A1" display="Frequency and patterns of missing data"/>
    <hyperlink ref="B556" location="'MI 2'!A1" display="Simple imputation (with and w/o constraints)"/>
    <hyperlink ref="B557" location="'MI 3'!A1" display="One step of the FCS algorithm"/>
    <hyperlink ref="B559" location="'MI 4'!A1" display="Fully conditional specification (FCS)"/>
    <hyperlink ref="B558" location="'MI 3a'!A1" display="One step of the FCS algorithm details"/>
    <hyperlink ref="B563" location="'MI 8'!A1" display="MI data analysis tool"/>
    <hyperlink ref="B564" location="'MI 8a'!A1" display="Multiple imputations from MI data analysis tool"/>
    <hyperlink ref="B565" location="'MI 9'!A1" display="MI data analysis tool with constraints"/>
    <hyperlink ref="B566" location="'MI 9a'!A1" display="Multiple imputations from MI data analysis tool with constraints"/>
    <hyperlink ref="B562" location="'MI 7'!A1" display="Combining multiple imputations"/>
    <hyperlink ref="B561" location="'MI 6'!A1" display="Multiple FCS imputations"/>
    <hyperlink ref="B560" location="'MI 5'!A1" display="Summary of FCS results"/>
    <hyperlink ref="B569" location="'FIML 1'!A1" display="FIML statistics"/>
    <hyperlink ref="B570" location="'FIML 2'!A1" display="FIML initial conditions"/>
    <hyperlink ref="B571" location="'FIML 2a'!A1" display="FIML after using Solver"/>
    <hyperlink ref="B572" location="'FIML 2b'!A1" display="FIML with modified degrees of freedom"/>
    <hyperlink ref="B573" location="'FIML 2c'!A1" display="FIML data analysis tool"/>
    <hyperlink ref="B574" location="'FIML 3'!A1" display="FIML complete data: initial conditions"/>
    <hyperlink ref="B575" location="'FIML 3a'!A1" display="FIML complete data: after using Solver"/>
    <hyperlink ref="B576" location="'FIML 3b'!A1" display="FIML complete data: data analysis tool"/>
    <hyperlink ref="B293" location="'Logit 5a'!A1" display="Logistic Regression with raw data, alternative approach"/>
    <hyperlink ref="B56" location="'NF 2'!A1" display="Power of ANOVA (Example 1)"/>
    <hyperlink ref="B57" location="'NF 2'!U1" display="Sample size required (Example 2)"/>
    <hyperlink ref="B493" location="'Spli-half 1'!A1" display="Split-half methodology for reliability (Example 2)"/>
    <hyperlink ref="B503" location="'Cronbach 2'!A1" display="Real Statistics function (Example 4)"/>
    <hyperlink ref="B83" location="'Moods 2'!A1" display="Mood's Median Test (Example 1)"/>
    <hyperlink ref="B543" location="Item!Y1" display="Partial credit (Example 4)"/>
    <hyperlink ref="B544" location="Item!AF1" display="Real Statistics data analysis tool (Example 5)"/>
    <hyperlink ref="B542" location="Item!T1" display="Real Statistics function (Example 3)"/>
    <hyperlink ref="B529" location="'ICC2'!AF1" display="Real Statistics data analysis tool"/>
    <hyperlink ref="B533" location="'Kendall W'!M14" display="Kendall's W (Example 1)"/>
    <hyperlink ref="B76" location="'Welch 2'!A1" display="Extra examples of Welch's test"/>
    <hyperlink ref="B74" location="'Welch 1'!A1" display="Welch's Test (Example 1)"/>
    <hyperlink ref="B75" location="'Welch 1a'!A1" display="Welch's Test standard format (Example 1)"/>
    <hyperlink ref="B401" location="'Rand Anova'!A1" display="One-way ANOVA with random factor (Example 1)"/>
    <hyperlink ref="B408" location="Nested!A1" display="Nested model (Example 1)"/>
    <hyperlink ref="B409" location="'Nested 1'!A1" display="Nested Anova data analysis tool (Example 1)"/>
    <hyperlink ref="B410" location="'Nested 2'!A1" display="Nested Anova using data in standard form (Example 2)"/>
    <hyperlink ref="B404" location="Mixed!A1" display="Two factor mixed model (Example 1)"/>
    <hyperlink ref="B480" location="'ANCOVA 4'!A1" display="ANCOVA data analysis tool (Example 1)"/>
    <hyperlink ref="B405" location="'Mixed 2'!A1" display="Two factor mixed Anova data analysis tool (Example 1)"/>
    <hyperlink ref="B196" location="'Mult Reg 8'!A1" display="Confidence and prediction intervals (Example 1)"/>
    <hyperlink ref="B589" location="'DW Table 1'!A1" display="Durbin-Watson Table (alpha .01)"/>
    <hyperlink ref="B590" location="'DW Table 2'!A1" display="Durbin-Watson Table (alpha .05)"/>
    <hyperlink ref="B458" location="'Cochran 1'!A1" display="Cochran's Q test, raw data (Example 1)"/>
    <hyperlink ref="B459" location="'Cochran 2'!A1" display="Cochran's Q test, summarized data (Example 2)"/>
    <hyperlink ref="B268" location="'Mult Reg Pow'!A1" display="Statistical Power (other example)"/>
    <hyperlink ref="B269" location="'Mult Reg Pow 1'!A1" display="Statistical Power (other example)"/>
    <hyperlink ref="B267" location="'Mult Reg Pow 2'!A1" display="Statistical Power (Example 1)"/>
    <hyperlink ref="B270" location="'Mult Reg Pow 2'!G1" display="Sample Size Requirement (Example 2)"/>
    <hyperlink ref="B58" location="'NF 2'!Z1" display="Confidence interval for effect size and power (Example 3)"/>
    <hyperlink ref="B86" location="'Anova Resamp'!A1" display="ANOVA Resampling (Example 1)"/>
    <hyperlink ref="B87" location="'Anova Resamp 1'!A1" display="ANOVA Resampling of Error Terms (Example 2)"/>
    <hyperlink ref="B504" location="'Cronbach 3'!A1" display="Hypothesis testing (Example 5)"/>
    <hyperlink ref="B505" location="'Cronbach 3'!R1" display="Sample size to achieve confidence width (Example 6)"/>
    <hyperlink ref="B506" location="'Cronbach 4'!A1" display="Statistical power (Example 7)"/>
    <hyperlink ref="B507" location="'Cronbach 5'!A1" display="Sample size (Example 8)"/>
    <hyperlink ref="B294" location="'Logit 7a'!A1" display="Categorical coding (before)"/>
    <hyperlink ref="B295" location="'Logit 7b'!A1" display="Categorical coding (after)"/>
    <hyperlink ref="B193" location="'Mult Reg 6C'!A1" display="Categorical data"/>
    <hyperlink ref="B517" location="'Kappa 1'!A1" display="Standard error and confidence interval (Example 2)"/>
    <hyperlink ref="B511" location="Kappa!L1" display="Standard error and confidence interval (Figure 5)"/>
    <hyperlink ref="B512" location="Kappa!W1" display="Real Statistics function and data analysis tool (Figure 7)"/>
    <hyperlink ref="B162" location="'Exp Reg1'!A1" display="Nonlinear regression via Solver, before (Example 1)"/>
    <hyperlink ref="B163" location="'Exp Reg2'!A1" display="Nonlinear regression via Solver, after (Example 1)"/>
    <hyperlink ref="B164" location="'Exp Reg3'!A1" display="Nonlinear regression via Newton's method (Example 1)"/>
    <hyperlink ref="B165" location="'Exp Reg5'!A1" display="Data analysis tool (Example 1)"/>
    <hyperlink ref="B328" location="'MLogit 4a'!A1" display="Using Real Statistics data analysis tool"/>
    <hyperlink ref="B330" location="'MLogit 5a'!A1" display="Using Real Statistics data analysis tool for input with raw data"/>
    <hyperlink ref="B580" location="'IPFP 2.1a'!A1" display="Real Statistics function, 2-way"/>
    <hyperlink ref="B583" location="'IPFP 3.2a'!A1" display="Real Statistics function, 3-way"/>
    <hyperlink ref="B44" location="Fligner!A1" display="Fligner Killeen Test (Example 1)"/>
    <hyperlink ref="B526" location="ICC1a!A1" display="ICC(1,1) Power and Sample Size"/>
    <hyperlink ref="B588" location="' Dunnett Table'!A1" display="Dunnett's Table"/>
    <hyperlink ref="B120" location="'Tukey 2.1'!A1" display="Tukey HSD (Example 1)"/>
    <hyperlink ref="B117" location="'Contrasts 2.2'!A1" display="Real Statistics data analysis tools"/>
    <hyperlink ref="B104" location="'Simple Effect'!A1" display="Two factor ANOVA simple effects"/>
    <hyperlink ref="B432" location="'ANOVA Match 2.2'!A26" display="Chart comparing means for interaction (Figure 9)"/>
    <hyperlink ref="B67" location="Nemenyi!A1" display="Nemenyi test (Example 1)"/>
    <hyperlink ref="B68" location="Dunn!A1" display="Dunn's test (Example 2)"/>
    <hyperlink ref="B70" location="'Dunnett KW'!A1" display="Dunnett's test (Example 4)"/>
    <hyperlink ref="B71" location="'Contrast KW'!A1" display="Contrast (Example 5)"/>
    <hyperlink ref="B108" location="'ANOVA 2.5'!A1" display="Assumptions"/>
    <hyperlink ref="B109" location="'ANOVA 2.6'!A1" display="Assumptions (stacked format)"/>
    <hyperlink ref="B376" location="Kaplan!A1" display="Example 1"/>
    <hyperlink ref="B379" location="'Log-Rank'!A1" display="Log-Rank Test"/>
    <hyperlink ref="B377" location="Kaplan!K1" display="Survival curve"/>
    <hyperlink ref="B378" location="'Kaplan 1'!A1" display="Standard error and confidence intervals"/>
    <hyperlink ref="B381" location="'Kaplan 2'!A1" display="Real Statistics data analysis tool for one sample"/>
    <hyperlink ref="B382" location="'Kaplan 3'!A1" display="Real Statistics data analysis tool for two samples"/>
    <hyperlink ref="B383" location="'Kaplan 4'!A1" display="Real Statistics data analysis tool for two samples (stacked format)"/>
    <hyperlink ref="B380" location="'Log-Rank 1'!A1" display="Alternatives to Log-Rank Test"/>
    <hyperlink ref="B386" location="'Cox Reg 1'!A1" display="Finding regression coefficients using Solver (Example 1)"/>
    <hyperlink ref="B387" location="'Cox Reg 2'!A1" display="Finding regression coefficients using Solver (Example 1)"/>
    <hyperlink ref="B388" location="'Cox Reg 2'!Q1" display="Finding standard errors of the regression coefficients (Example 2)"/>
    <hyperlink ref="B391" location="'Cox Reg 3'!A1" display="Goodness of Fit"/>
    <hyperlink ref="B392" location="'Cox Reg 4'!A1" display="Reduced Model 1"/>
    <hyperlink ref="B393" location="'Cox Reg 5'!A1" display="Reduced Model 2"/>
    <hyperlink ref="B394" location="'Cox Reg 6'!A1" display="Goodness of Fit vs. reduced models"/>
    <hyperlink ref="B389" location="'Cox Reg 2'!AF1" display="Hazard ratio (Example 3)"/>
    <hyperlink ref="B390" location="'Cox Reg 3'!AJ1" display="Hazard ratio (Example 4)"/>
    <hyperlink ref="B395" location="'Cox Reg 7'!A1" display="Real Statistics data analysis tool (comparing two treatments)"/>
    <hyperlink ref="B396" location="'Cox Reg 8'!A1" display="Real Statistics data analysis tool (multiple covariates)"/>
    <hyperlink ref="B235" location="'Cooks 3'!A1" display="Outliers and influencers: Cook's distance via Real Statistics data analysis tool"/>
    <hyperlink ref="B135" location="Scheirer!A1" display="Scheirer-Ray-Hare test (Example 1)"/>
    <hyperlink ref="B131" location="Gage!A1" display="Gage R&amp;R (Example 1)"/>
    <hyperlink ref="B132" location="'Gage 1'!A1" display="Gage R&amp;R (Example 2)"/>
    <hyperlink ref="B238" location="'Reg No Const'!A1" display="Linear Regression without Intercept (Example 1)"/>
    <hyperlink ref="B244" location="WReg!A1" display="Weighted Linear Regression (Example 1)"/>
    <hyperlink ref="B247" location="Robust!A1" display="Huber-White robust standard errors (Example 2)"/>
    <hyperlink ref="B239" location="'Reg No Const 1'!Y1" display="Use of LINEST"/>
    <hyperlink ref="B240" location="'Reg No Const 1'!N1" display="Matrix solution (Example 2)"/>
    <hyperlink ref="B241" location="'Reg No Const 1'!AD1" display="Forecast"/>
    <hyperlink ref="B537" location="Bland!A1" display="Bland-Altman (Example 1)"/>
    <hyperlink ref="B35" location="Dunnett!A1" display="Dunnett's test (Example)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:P32"/>
  <sheetViews>
    <sheetView workbookViewId="0">
      <selection sqref="A1:C1048576"/>
    </sheetView>
  </sheetViews>
  <sheetFormatPr defaultRowHeight="15" x14ac:dyDescent="0.25"/>
  <cols>
    <col min="5" max="5" width="15.28515625" customWidth="1"/>
  </cols>
  <sheetData>
    <row r="1" spans="1:16" x14ac:dyDescent="0.25">
      <c r="A1" s="1" t="s">
        <v>456</v>
      </c>
    </row>
    <row r="3" spans="1:16" x14ac:dyDescent="0.25">
      <c r="A3" s="131" t="s">
        <v>453</v>
      </c>
      <c r="B3" s="131" t="s">
        <v>454</v>
      </c>
      <c r="C3" s="131" t="s">
        <v>455</v>
      </c>
      <c r="E3" t="s">
        <v>457</v>
      </c>
    </row>
    <row r="4" spans="1:16" x14ac:dyDescent="0.25">
      <c r="A4" s="129">
        <v>13</v>
      </c>
      <c r="B4" s="129">
        <v>12</v>
      </c>
      <c r="C4" s="95">
        <v>7</v>
      </c>
      <c r="M4" t="s">
        <v>468</v>
      </c>
    </row>
    <row r="5" spans="1:16" ht="15.75" thickBot="1" x14ac:dyDescent="0.3">
      <c r="A5" s="50">
        <v>17</v>
      </c>
      <c r="B5" s="50">
        <v>8</v>
      </c>
      <c r="C5" s="95">
        <v>19</v>
      </c>
      <c r="E5" t="s">
        <v>458</v>
      </c>
    </row>
    <row r="6" spans="1:16" ht="15.75" thickTop="1" x14ac:dyDescent="0.25">
      <c r="A6" s="50">
        <v>19</v>
      </c>
      <c r="B6" s="50">
        <v>6</v>
      </c>
      <c r="C6" s="95">
        <v>15</v>
      </c>
      <c r="E6" s="32" t="s">
        <v>79</v>
      </c>
      <c r="F6" s="32" t="s">
        <v>22</v>
      </c>
      <c r="G6" s="32" t="s">
        <v>21</v>
      </c>
      <c r="H6" s="32" t="s">
        <v>10</v>
      </c>
      <c r="I6" s="32" t="s">
        <v>80</v>
      </c>
      <c r="J6" s="32" t="s">
        <v>219</v>
      </c>
      <c r="M6" s="32" t="s">
        <v>79</v>
      </c>
      <c r="N6" s="32" t="s">
        <v>22</v>
      </c>
      <c r="O6" s="32" t="s">
        <v>10</v>
      </c>
      <c r="P6" s="32" t="s">
        <v>219</v>
      </c>
    </row>
    <row r="7" spans="1:16" x14ac:dyDescent="0.25">
      <c r="A7" s="50">
        <v>11</v>
      </c>
      <c r="B7" s="50">
        <v>16</v>
      </c>
      <c r="C7" s="95">
        <v>14</v>
      </c>
      <c r="E7" t="s">
        <v>453</v>
      </c>
      <c r="F7">
        <f>COUNT(A4:A13)</f>
        <v>10</v>
      </c>
      <c r="G7">
        <f>SUM(A4:A13)</f>
        <v>150</v>
      </c>
      <c r="H7">
        <f>AVERAGE(A4:A13)</f>
        <v>15</v>
      </c>
      <c r="I7">
        <f>VAR(A4:A13)</f>
        <v>13.333333333333334</v>
      </c>
      <c r="J7">
        <f>DEVSQ(A4:A13)</f>
        <v>120</v>
      </c>
      <c r="M7" t="s">
        <v>453</v>
      </c>
      <c r="N7">
        <f>F7</f>
        <v>10</v>
      </c>
      <c r="O7">
        <f>H7</f>
        <v>15</v>
      </c>
      <c r="P7">
        <f>(O7-$O$10)^2</f>
        <v>3.2400000000000024</v>
      </c>
    </row>
    <row r="8" spans="1:16" x14ac:dyDescent="0.25">
      <c r="A8" s="50">
        <v>20</v>
      </c>
      <c r="B8" s="50">
        <v>12</v>
      </c>
      <c r="C8" s="95">
        <v>10</v>
      </c>
      <c r="E8" t="s">
        <v>454</v>
      </c>
      <c r="F8">
        <f>COUNT(B4:B13)</f>
        <v>10</v>
      </c>
      <c r="G8">
        <f>SUM(B4:B13)</f>
        <v>111</v>
      </c>
      <c r="H8">
        <f>AVERAGE(B4:B13)</f>
        <v>11.1</v>
      </c>
      <c r="I8">
        <f>VAR(B4:B13)</f>
        <v>18.766666666666676</v>
      </c>
      <c r="J8">
        <f>DEVSQ(B4:B13)</f>
        <v>168.89999999999998</v>
      </c>
      <c r="M8" t="s">
        <v>454</v>
      </c>
      <c r="N8">
        <f>F8</f>
        <v>10</v>
      </c>
      <c r="O8">
        <f>H8</f>
        <v>11.1</v>
      </c>
      <c r="P8">
        <f>(O8-$O$10)^2</f>
        <v>4.4099999999999984</v>
      </c>
    </row>
    <row r="9" spans="1:16" x14ac:dyDescent="0.25">
      <c r="A9" s="50">
        <v>15</v>
      </c>
      <c r="B9" s="50">
        <v>14</v>
      </c>
      <c r="C9" s="95">
        <v>16</v>
      </c>
      <c r="E9" t="s">
        <v>455</v>
      </c>
      <c r="F9">
        <f>COUNT(C4:C13)</f>
        <v>10</v>
      </c>
      <c r="G9">
        <f>SUM(C4:C13)</f>
        <v>135</v>
      </c>
      <c r="H9">
        <f>AVERAGE(C4:C13)</f>
        <v>13.5</v>
      </c>
      <c r="I9">
        <f>VAR(C4:C13)</f>
        <v>14.055555555555555</v>
      </c>
      <c r="J9">
        <f>DEVSQ(C4:C13)</f>
        <v>126.5</v>
      </c>
      <c r="M9" s="135" t="s">
        <v>455</v>
      </c>
      <c r="N9" s="135">
        <f>F9</f>
        <v>10</v>
      </c>
      <c r="O9" s="135">
        <f>H9</f>
        <v>13.5</v>
      </c>
      <c r="P9" s="135">
        <f>(O9-$O$10)^2</f>
        <v>9.0000000000000427E-2</v>
      </c>
    </row>
    <row r="10" spans="1:16" x14ac:dyDescent="0.25">
      <c r="A10" s="50">
        <v>18</v>
      </c>
      <c r="B10" s="50">
        <v>10</v>
      </c>
      <c r="C10" s="95">
        <v>18</v>
      </c>
      <c r="E10" s="170"/>
      <c r="F10" s="170"/>
      <c r="G10" s="170"/>
      <c r="H10" s="170"/>
      <c r="I10" s="170"/>
      <c r="J10" s="170"/>
      <c r="O10">
        <f>AVERAGE(A4:C13)</f>
        <v>13.2</v>
      </c>
      <c r="P10">
        <f>SUMPRODUCT(N7:N9,P7:P9)</f>
        <v>77.400000000000006</v>
      </c>
    </row>
    <row r="11" spans="1:16" ht="15.75" thickBot="1" x14ac:dyDescent="0.3">
      <c r="A11" s="50">
        <v>9</v>
      </c>
      <c r="B11" s="50">
        <v>18</v>
      </c>
      <c r="C11" s="95">
        <v>11</v>
      </c>
      <c r="E11" t="s">
        <v>294</v>
      </c>
      <c r="H11" t="s">
        <v>34</v>
      </c>
      <c r="I11">
        <v>0.05</v>
      </c>
    </row>
    <row r="12" spans="1:16" ht="15.75" thickTop="1" x14ac:dyDescent="0.25">
      <c r="A12" s="50">
        <v>12</v>
      </c>
      <c r="B12" s="50">
        <v>4</v>
      </c>
      <c r="C12" s="95">
        <v>14</v>
      </c>
      <c r="E12" s="32" t="s">
        <v>459</v>
      </c>
      <c r="F12" s="32" t="s">
        <v>219</v>
      </c>
      <c r="G12" s="32" t="s">
        <v>60</v>
      </c>
      <c r="H12" s="32" t="s">
        <v>240</v>
      </c>
      <c r="I12" s="32" t="s">
        <v>135</v>
      </c>
      <c r="J12" s="32" t="s">
        <v>460</v>
      </c>
      <c r="K12" s="32" t="s">
        <v>461</v>
      </c>
    </row>
    <row r="13" spans="1:16" x14ac:dyDescent="0.25">
      <c r="A13" s="130">
        <v>16</v>
      </c>
      <c r="B13" s="130">
        <v>11</v>
      </c>
      <c r="C13" s="130">
        <v>11</v>
      </c>
      <c r="E13" t="s">
        <v>462</v>
      </c>
      <c r="F13">
        <f>F15-F14</f>
        <v>77.400000000000091</v>
      </c>
      <c r="G13">
        <f>COUNTA(E7:E9)-1</f>
        <v>2</v>
      </c>
      <c r="H13">
        <f>F13/G13</f>
        <v>38.700000000000045</v>
      </c>
      <c r="I13">
        <f>H13/H14</f>
        <v>2.5154068367838258</v>
      </c>
      <c r="J13">
        <f>FDIST(I13,G13,G14)</f>
        <v>9.9596300316961456E-2</v>
      </c>
      <c r="K13">
        <f>FINV(I11,G13,G14)</f>
        <v>3.3541308285291991</v>
      </c>
    </row>
    <row r="14" spans="1:16" x14ac:dyDescent="0.25">
      <c r="E14" t="s">
        <v>463</v>
      </c>
      <c r="F14">
        <f>SUM(J7:J9)</f>
        <v>415.4</v>
      </c>
      <c r="G14">
        <f>G15-G13</f>
        <v>27</v>
      </c>
      <c r="H14">
        <f>F14/G14</f>
        <v>15.385185185185184</v>
      </c>
    </row>
    <row r="15" spans="1:16" x14ac:dyDescent="0.25">
      <c r="E15" s="135" t="s">
        <v>1</v>
      </c>
      <c r="F15" s="135">
        <f>DEVSQ(A4:C13)</f>
        <v>492.80000000000007</v>
      </c>
      <c r="G15" s="135">
        <f>COUNT(A4:C13)-1</f>
        <v>29</v>
      </c>
      <c r="H15" s="135">
        <f>F15/G15</f>
        <v>16.993103448275864</v>
      </c>
      <c r="I15" s="135"/>
      <c r="J15" s="135"/>
      <c r="K15" s="135"/>
      <c r="M15" t="s">
        <v>2316</v>
      </c>
    </row>
    <row r="17" spans="5:14" x14ac:dyDescent="0.25">
      <c r="M17" t="s">
        <v>486</v>
      </c>
      <c r="N17" s="664">
        <f>[1]!MSW(A4:C13)</f>
        <v>15.385185185185184</v>
      </c>
    </row>
    <row r="18" spans="5:14" x14ac:dyDescent="0.25">
      <c r="E18" t="s">
        <v>464</v>
      </c>
      <c r="M18" t="s">
        <v>67</v>
      </c>
      <c r="N18" s="420">
        <f>[1]!Atest(A4:C13)</f>
        <v>9.9596300316961456E-2</v>
      </c>
    </row>
    <row r="20" spans="5:14" ht="15.75" thickBot="1" x14ac:dyDescent="0.3">
      <c r="E20" t="s">
        <v>62</v>
      </c>
    </row>
    <row r="21" spans="5:14" x14ac:dyDescent="0.25">
      <c r="E21" s="18" t="s">
        <v>79</v>
      </c>
      <c r="F21" s="18" t="s">
        <v>22</v>
      </c>
      <c r="G21" s="18" t="s">
        <v>21</v>
      </c>
      <c r="H21" s="18" t="s">
        <v>465</v>
      </c>
      <c r="I21" s="18" t="s">
        <v>80</v>
      </c>
    </row>
    <row r="22" spans="5:14" x14ac:dyDescent="0.25">
      <c r="E22" s="19" t="s">
        <v>453</v>
      </c>
      <c r="F22" s="19">
        <v>10</v>
      </c>
      <c r="G22" s="19">
        <v>150</v>
      </c>
      <c r="H22" s="19">
        <v>15</v>
      </c>
      <c r="I22" s="19">
        <v>13.333333333333334</v>
      </c>
    </row>
    <row r="23" spans="5:14" x14ac:dyDescent="0.25">
      <c r="E23" s="19" t="s">
        <v>454</v>
      </c>
      <c r="F23" s="19">
        <v>10</v>
      </c>
      <c r="G23" s="19">
        <v>111</v>
      </c>
      <c r="H23" s="19">
        <v>11.1</v>
      </c>
      <c r="I23" s="19">
        <v>18.766666666666676</v>
      </c>
    </row>
    <row r="24" spans="5:14" ht="15.75" thickBot="1" x14ac:dyDescent="0.3">
      <c r="E24" s="20" t="s">
        <v>455</v>
      </c>
      <c r="F24" s="20">
        <v>10</v>
      </c>
      <c r="G24" s="20">
        <v>135</v>
      </c>
      <c r="H24" s="20">
        <v>13.5</v>
      </c>
      <c r="I24" s="20">
        <v>14.055555555555555</v>
      </c>
    </row>
    <row r="27" spans="5:14" ht="15.75" thickBot="1" x14ac:dyDescent="0.3">
      <c r="E27" t="s">
        <v>294</v>
      </c>
    </row>
    <row r="28" spans="5:14" x14ac:dyDescent="0.25">
      <c r="E28" s="18" t="s">
        <v>466</v>
      </c>
      <c r="F28" s="18" t="s">
        <v>219</v>
      </c>
      <c r="G28" s="18" t="s">
        <v>60</v>
      </c>
      <c r="H28" s="18" t="s">
        <v>240</v>
      </c>
      <c r="I28" s="18" t="s">
        <v>135</v>
      </c>
      <c r="J28" s="18" t="s">
        <v>119</v>
      </c>
      <c r="K28" s="18" t="s">
        <v>467</v>
      </c>
    </row>
    <row r="29" spans="5:14" x14ac:dyDescent="0.25">
      <c r="E29" s="19" t="s">
        <v>462</v>
      </c>
      <c r="F29" s="19">
        <v>77.400000000000091</v>
      </c>
      <c r="G29" s="19">
        <v>2</v>
      </c>
      <c r="H29" s="19">
        <v>38.700000000000045</v>
      </c>
      <c r="I29" s="19">
        <v>2.5154068367838258</v>
      </c>
      <c r="J29" s="19">
        <v>9.9596300316961456E-2</v>
      </c>
      <c r="K29" s="19">
        <v>3.3541308285291991</v>
      </c>
    </row>
    <row r="30" spans="5:14" x14ac:dyDescent="0.25">
      <c r="E30" s="19" t="s">
        <v>463</v>
      </c>
      <c r="F30" s="19">
        <v>415.4</v>
      </c>
      <c r="G30" s="19">
        <v>27</v>
      </c>
      <c r="H30" s="19">
        <v>15.385185185185184</v>
      </c>
      <c r="I30" s="19"/>
      <c r="J30" s="19"/>
      <c r="K30" s="19"/>
    </row>
    <row r="31" spans="5:14" x14ac:dyDescent="0.25">
      <c r="E31" s="19"/>
      <c r="F31" s="19"/>
      <c r="G31" s="19"/>
      <c r="H31" s="19"/>
      <c r="I31" s="19"/>
      <c r="J31" s="19"/>
      <c r="K31" s="19"/>
    </row>
    <row r="32" spans="5:14" ht="15.75" thickBot="1" x14ac:dyDescent="0.3">
      <c r="E32" s="20" t="s">
        <v>1</v>
      </c>
      <c r="F32" s="20">
        <v>492.80000000000007</v>
      </c>
      <c r="G32" s="20">
        <v>29</v>
      </c>
      <c r="H32" s="20"/>
      <c r="I32" s="20"/>
      <c r="J32" s="20"/>
      <c r="K32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:T35"/>
  <sheetViews>
    <sheetView workbookViewId="0"/>
  </sheetViews>
  <sheetFormatPr defaultRowHeight="15" x14ac:dyDescent="0.25"/>
  <cols>
    <col min="5" max="5" width="4.5703125" customWidth="1"/>
    <col min="6" max="6" width="16.85546875" customWidth="1"/>
    <col min="7" max="7" width="8" customWidth="1"/>
    <col min="8" max="8" width="7.42578125" customWidth="1"/>
    <col min="9" max="9" width="8.28515625" customWidth="1"/>
    <col min="11" max="12" width="8.28515625" customWidth="1"/>
    <col min="19" max="19" width="5.140625" customWidth="1"/>
  </cols>
  <sheetData>
    <row r="1" spans="1:20" x14ac:dyDescent="0.25">
      <c r="A1" s="1" t="s">
        <v>456</v>
      </c>
    </row>
    <row r="3" spans="1:20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464</v>
      </c>
      <c r="N3" t="s">
        <v>484</v>
      </c>
    </row>
    <row r="4" spans="1:20" ht="15.75" thickBot="1" x14ac:dyDescent="0.3">
      <c r="A4" s="179">
        <v>51</v>
      </c>
      <c r="B4" s="179">
        <v>82</v>
      </c>
      <c r="C4" s="179">
        <v>79</v>
      </c>
      <c r="D4" s="179">
        <v>85</v>
      </c>
    </row>
    <row r="5" spans="1:20" ht="15.75" thickBot="1" x14ac:dyDescent="0.3">
      <c r="A5" s="50">
        <v>87</v>
      </c>
      <c r="B5" s="50">
        <v>91</v>
      </c>
      <c r="C5" s="50">
        <v>84</v>
      </c>
      <c r="D5" s="50">
        <v>80</v>
      </c>
      <c r="F5" t="s">
        <v>62</v>
      </c>
      <c r="N5" s="18" t="s">
        <v>79</v>
      </c>
      <c r="O5" s="18" t="s">
        <v>22</v>
      </c>
      <c r="P5" s="18" t="s">
        <v>60</v>
      </c>
      <c r="Q5" s="18" t="s">
        <v>80</v>
      </c>
      <c r="R5" s="18" t="s">
        <v>485</v>
      </c>
    </row>
    <row r="6" spans="1:20" x14ac:dyDescent="0.25">
      <c r="A6" s="50">
        <v>50</v>
      </c>
      <c r="B6" s="50">
        <v>92</v>
      </c>
      <c r="C6" s="50">
        <v>74</v>
      </c>
      <c r="D6" s="50">
        <v>65</v>
      </c>
      <c r="F6" s="18" t="s">
        <v>79</v>
      </c>
      <c r="G6" s="18" t="s">
        <v>22</v>
      </c>
      <c r="H6" s="18" t="s">
        <v>21</v>
      </c>
      <c r="I6" s="18" t="s">
        <v>465</v>
      </c>
      <c r="J6" s="18" t="s">
        <v>80</v>
      </c>
      <c r="N6" s="19" t="s">
        <v>39</v>
      </c>
      <c r="O6" s="19">
        <v>8</v>
      </c>
      <c r="P6" s="19">
        <f>O6-1</f>
        <v>7</v>
      </c>
      <c r="Q6" s="19">
        <f>J7</f>
        <v>214.26785714285714</v>
      </c>
      <c r="R6">
        <f>P6*Q6</f>
        <v>1499.875</v>
      </c>
    </row>
    <row r="7" spans="1:20" x14ac:dyDescent="0.25">
      <c r="A7" s="50">
        <v>48</v>
      </c>
      <c r="B7" s="50">
        <v>80</v>
      </c>
      <c r="C7" s="50">
        <v>98</v>
      </c>
      <c r="D7" s="50">
        <v>71</v>
      </c>
      <c r="F7" s="19" t="s">
        <v>39</v>
      </c>
      <c r="G7" s="19">
        <v>8</v>
      </c>
      <c r="H7" s="19">
        <v>483</v>
      </c>
      <c r="I7" s="19">
        <v>60.375</v>
      </c>
      <c r="J7" s="19">
        <v>214.26785714285714</v>
      </c>
      <c r="N7" s="19" t="s">
        <v>40</v>
      </c>
      <c r="O7" s="19">
        <v>8</v>
      </c>
      <c r="P7" s="19">
        <f>O7-1</f>
        <v>7</v>
      </c>
      <c r="Q7" s="19">
        <f>J8</f>
        <v>157.55357142857142</v>
      </c>
      <c r="R7">
        <f>P7*Q7</f>
        <v>1102.875</v>
      </c>
    </row>
    <row r="8" spans="1:20" x14ac:dyDescent="0.25">
      <c r="A8" s="50">
        <v>79</v>
      </c>
      <c r="B8" s="50">
        <v>52</v>
      </c>
      <c r="C8" s="50">
        <v>63</v>
      </c>
      <c r="D8" s="50">
        <v>67</v>
      </c>
      <c r="F8" s="19" t="s">
        <v>40</v>
      </c>
      <c r="G8" s="19">
        <v>8</v>
      </c>
      <c r="H8" s="19">
        <v>623</v>
      </c>
      <c r="I8" s="19">
        <v>77.875</v>
      </c>
      <c r="J8" s="19">
        <v>157.55357142857142</v>
      </c>
      <c r="N8" s="19" t="s">
        <v>46</v>
      </c>
      <c r="O8" s="19">
        <v>8</v>
      </c>
      <c r="P8" s="19">
        <f>O8-1</f>
        <v>7</v>
      </c>
      <c r="Q8" s="19">
        <f>J9</f>
        <v>164.57142857142858</v>
      </c>
      <c r="R8">
        <f>P8*Q8</f>
        <v>1152</v>
      </c>
    </row>
    <row r="9" spans="1:20" ht="15.75" thickBot="1" x14ac:dyDescent="0.3">
      <c r="A9" s="50">
        <v>61</v>
      </c>
      <c r="B9" s="50">
        <v>79</v>
      </c>
      <c r="C9" s="50">
        <v>83</v>
      </c>
      <c r="D9" s="50">
        <v>51</v>
      </c>
      <c r="F9" s="19" t="s">
        <v>46</v>
      </c>
      <c r="G9" s="19">
        <v>8</v>
      </c>
      <c r="H9" s="19">
        <v>624</v>
      </c>
      <c r="I9" s="19">
        <v>78</v>
      </c>
      <c r="J9" s="19">
        <v>164.57142857142858</v>
      </c>
      <c r="N9" s="20" t="s">
        <v>47</v>
      </c>
      <c r="O9" s="20">
        <v>8</v>
      </c>
      <c r="P9" s="20">
        <f>O9-1</f>
        <v>7</v>
      </c>
      <c r="Q9" s="20">
        <f>J10</f>
        <v>181.55357142857142</v>
      </c>
      <c r="R9" s="20">
        <f>P9*Q9</f>
        <v>1270.875</v>
      </c>
      <c r="T9" s="95" t="s">
        <v>486</v>
      </c>
    </row>
    <row r="10" spans="1:20" ht="15.75" thickBot="1" x14ac:dyDescent="0.3">
      <c r="A10" s="50">
        <v>53</v>
      </c>
      <c r="B10" s="50">
        <v>73</v>
      </c>
      <c r="C10" s="50">
        <v>85</v>
      </c>
      <c r="D10" s="50">
        <v>63</v>
      </c>
      <c r="F10" s="20" t="s">
        <v>47</v>
      </c>
      <c r="G10" s="20">
        <v>8</v>
      </c>
      <c r="H10" s="20">
        <v>575</v>
      </c>
      <c r="I10" s="20">
        <v>71.875</v>
      </c>
      <c r="J10" s="20">
        <v>181.55357142857142</v>
      </c>
      <c r="P10" s="19">
        <f>SUM(P6:P9)</f>
        <v>28</v>
      </c>
      <c r="R10">
        <f>SUM(R5:R9)</f>
        <v>5025.625</v>
      </c>
      <c r="T10" s="209">
        <f>R10/P10</f>
        <v>179.48660714285714</v>
      </c>
    </row>
    <row r="11" spans="1:20" x14ac:dyDescent="0.25">
      <c r="A11" s="162">
        <v>54</v>
      </c>
      <c r="B11" s="162">
        <v>74</v>
      </c>
      <c r="C11" s="162">
        <v>58</v>
      </c>
      <c r="D11" s="162">
        <v>93</v>
      </c>
    </row>
    <row r="12" spans="1:20" x14ac:dyDescent="0.25">
      <c r="A12" s="50"/>
      <c r="B12" s="50"/>
      <c r="C12" s="95"/>
      <c r="D12" s="95"/>
    </row>
    <row r="13" spans="1:20" ht="15.75" thickBot="1" x14ac:dyDescent="0.3">
      <c r="A13" s="50"/>
      <c r="B13" s="50"/>
      <c r="F13" t="s">
        <v>294</v>
      </c>
      <c r="N13" t="s">
        <v>1294</v>
      </c>
      <c r="Q13" s="580">
        <f>DEVSQ(H7:H10)/G7</f>
        <v>1645.34375</v>
      </c>
    </row>
    <row r="14" spans="1:20" x14ac:dyDescent="0.25">
      <c r="A14" s="50"/>
      <c r="B14" s="50"/>
      <c r="F14" s="18" t="s">
        <v>466</v>
      </c>
      <c r="G14" s="18" t="s">
        <v>219</v>
      </c>
      <c r="H14" s="18" t="s">
        <v>60</v>
      </c>
      <c r="I14" s="18" t="s">
        <v>240</v>
      </c>
      <c r="J14" s="18" t="s">
        <v>135</v>
      </c>
      <c r="K14" s="18" t="s">
        <v>119</v>
      </c>
      <c r="L14" s="18" t="s">
        <v>467</v>
      </c>
    </row>
    <row r="15" spans="1:20" x14ac:dyDescent="0.25">
      <c r="A15" s="50"/>
      <c r="B15" s="50"/>
      <c r="F15" s="19" t="s">
        <v>462</v>
      </c>
      <c r="G15" s="19">
        <v>1645.34375</v>
      </c>
      <c r="H15" s="19">
        <v>3</v>
      </c>
      <c r="I15" s="19">
        <v>548.44791666666663</v>
      </c>
      <c r="J15" s="19">
        <v>3.0556481366330885</v>
      </c>
      <c r="K15" s="19">
        <v>4.4662597948147184E-2</v>
      </c>
      <c r="L15" s="19">
        <v>2.9466852660172647</v>
      </c>
      <c r="N15" t="s">
        <v>128</v>
      </c>
    </row>
    <row r="16" spans="1:20" x14ac:dyDescent="0.25">
      <c r="A16" s="50"/>
      <c r="B16" s="50"/>
      <c r="F16" s="19" t="s">
        <v>463</v>
      </c>
      <c r="G16" s="19">
        <v>5025.625</v>
      </c>
      <c r="H16" s="19">
        <v>28</v>
      </c>
      <c r="I16" s="19">
        <v>179.48660714285714</v>
      </c>
      <c r="J16" s="19"/>
      <c r="K16" s="19"/>
      <c r="L16" s="19"/>
    </row>
    <row r="17" spans="1:15" x14ac:dyDescent="0.25">
      <c r="A17" s="50"/>
      <c r="B17" s="50"/>
      <c r="F17" s="19"/>
      <c r="G17" s="19"/>
      <c r="H17" s="19"/>
      <c r="I17" s="19"/>
      <c r="J17" s="19"/>
      <c r="K17" s="19"/>
      <c r="L17" s="19"/>
      <c r="N17" t="s">
        <v>44</v>
      </c>
      <c r="O17" s="577">
        <f>SQRT(DEVSQ(I7:I10)/(H15*I16))</f>
        <v>0.61802590324284634</v>
      </c>
    </row>
    <row r="18" spans="1:15" ht="18" thickBot="1" x14ac:dyDescent="0.3">
      <c r="A18" s="50"/>
      <c r="B18" s="50"/>
      <c r="F18" s="20" t="s">
        <v>1</v>
      </c>
      <c r="G18" s="20">
        <v>6670.96875</v>
      </c>
      <c r="H18" s="20">
        <v>31</v>
      </c>
      <c r="I18" s="20"/>
      <c r="J18" s="20"/>
      <c r="K18" s="20"/>
      <c r="L18" s="20"/>
      <c r="N18" s="30" t="s">
        <v>578</v>
      </c>
      <c r="O18" s="420">
        <f>(G18-H18*I16)/(G18+I16)</f>
        <v>0.16157815369416265</v>
      </c>
    </row>
    <row r="19" spans="1:15" x14ac:dyDescent="0.25">
      <c r="A19" s="50"/>
      <c r="B19" s="50"/>
    </row>
    <row r="20" spans="1:15" x14ac:dyDescent="0.25">
      <c r="A20" s="50"/>
      <c r="B20" s="50"/>
    </row>
    <row r="21" spans="1:15" x14ac:dyDescent="0.25">
      <c r="A21" s="50"/>
      <c r="B21" s="50"/>
    </row>
    <row r="22" spans="1:15" x14ac:dyDescent="0.25">
      <c r="A22" s="50"/>
      <c r="B22" s="50"/>
    </row>
    <row r="23" spans="1:15" x14ac:dyDescent="0.25">
      <c r="A23" s="50"/>
      <c r="B23" s="50"/>
    </row>
    <row r="24" spans="1:15" x14ac:dyDescent="0.25">
      <c r="A24" s="50"/>
      <c r="B24" s="50"/>
    </row>
    <row r="25" spans="1:15" x14ac:dyDescent="0.25">
      <c r="A25" s="50"/>
      <c r="B25" s="50"/>
    </row>
    <row r="26" spans="1:15" x14ac:dyDescent="0.25">
      <c r="A26" s="50"/>
      <c r="B26" s="50"/>
    </row>
    <row r="27" spans="1:15" x14ac:dyDescent="0.25">
      <c r="A27" s="50"/>
      <c r="B27" s="50"/>
    </row>
    <row r="28" spans="1:15" x14ac:dyDescent="0.25">
      <c r="A28" s="50"/>
      <c r="B28" s="50"/>
    </row>
    <row r="29" spans="1:15" x14ac:dyDescent="0.25">
      <c r="A29" s="50"/>
      <c r="B29" s="50"/>
    </row>
    <row r="30" spans="1:15" x14ac:dyDescent="0.25">
      <c r="A30" s="50"/>
      <c r="B30" s="50"/>
    </row>
    <row r="31" spans="1:15" x14ac:dyDescent="0.25">
      <c r="A31" s="50"/>
      <c r="B31" s="50"/>
    </row>
    <row r="32" spans="1:15" x14ac:dyDescent="0.25">
      <c r="A32" s="50"/>
      <c r="B32" s="50"/>
    </row>
    <row r="33" spans="1:2" x14ac:dyDescent="0.25">
      <c r="A33" s="50"/>
      <c r="B33" s="50"/>
    </row>
    <row r="34" spans="1:2" x14ac:dyDescent="0.25">
      <c r="A34" s="50"/>
      <c r="B34" s="50"/>
    </row>
    <row r="35" spans="1:2" x14ac:dyDescent="0.25">
      <c r="A35" s="50"/>
      <c r="B35" s="5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:O26"/>
  <sheetViews>
    <sheetView workbookViewId="0"/>
  </sheetViews>
  <sheetFormatPr defaultRowHeight="15" x14ac:dyDescent="0.25"/>
  <cols>
    <col min="1" max="1" width="6.28515625" customWidth="1"/>
    <col min="7" max="7" width="7.5703125" customWidth="1"/>
    <col min="13" max="13" width="15" customWidth="1"/>
    <col min="16" max="16" width="15.28515625" customWidth="1"/>
  </cols>
  <sheetData>
    <row r="1" spans="1:14" x14ac:dyDescent="0.25">
      <c r="A1" s="1" t="s">
        <v>479</v>
      </c>
    </row>
    <row r="3" spans="1:14" ht="18" x14ac:dyDescent="0.35">
      <c r="B3" s="179" t="s">
        <v>471</v>
      </c>
      <c r="C3" s="179" t="s">
        <v>472</v>
      </c>
      <c r="D3" s="179" t="s">
        <v>473</v>
      </c>
      <c r="E3" s="179" t="s">
        <v>474</v>
      </c>
      <c r="H3" s="179" t="s">
        <v>475</v>
      </c>
      <c r="I3" s="179" t="s">
        <v>476</v>
      </c>
      <c r="J3" s="179" t="s">
        <v>477</v>
      </c>
      <c r="K3" s="179" t="s">
        <v>478</v>
      </c>
      <c r="M3" t="s">
        <v>480</v>
      </c>
      <c r="N3" s="577">
        <f>VAR(H4:K11)</f>
        <v>162.11693548387098</v>
      </c>
    </row>
    <row r="4" spans="1:14" ht="18" x14ac:dyDescent="0.35">
      <c r="B4" s="179">
        <v>51</v>
      </c>
      <c r="C4" s="179">
        <v>82</v>
      </c>
      <c r="D4" s="179">
        <v>79</v>
      </c>
      <c r="E4" s="179">
        <v>85</v>
      </c>
      <c r="H4" s="208">
        <f>B4-$F$12-B$13</f>
        <v>-9.375</v>
      </c>
      <c r="I4" s="208">
        <f>C4-$F$12-C$13</f>
        <v>4.125</v>
      </c>
      <c r="J4" s="208">
        <f>D4-$F$12-D$13</f>
        <v>1</v>
      </c>
      <c r="K4" s="208">
        <f>E4-$F$12-E$13</f>
        <v>13.125</v>
      </c>
      <c r="M4" t="s">
        <v>481</v>
      </c>
      <c r="N4" s="503">
        <f>'ANOVA 2'!I16</f>
        <v>179.48660714285714</v>
      </c>
    </row>
    <row r="5" spans="1:14" x14ac:dyDescent="0.25">
      <c r="B5" s="50">
        <v>87</v>
      </c>
      <c r="C5" s="50">
        <v>91</v>
      </c>
      <c r="D5" s="50">
        <v>84</v>
      </c>
      <c r="E5" s="50">
        <v>80</v>
      </c>
      <c r="H5" s="25">
        <f t="shared" ref="H5:H11" si="0">B5-$F$12-B$13</f>
        <v>26.625</v>
      </c>
      <c r="I5" s="25">
        <f t="shared" ref="I5:I11" si="1">C5-$F$12-C$13</f>
        <v>13.125</v>
      </c>
      <c r="J5" s="25">
        <f t="shared" ref="J5:J11" si="2">D5-$F$12-D$13</f>
        <v>6</v>
      </c>
      <c r="K5" s="25">
        <f t="shared" ref="K5:K11" si="3">E5-$F$12-E$13</f>
        <v>8.125</v>
      </c>
      <c r="M5" t="s">
        <v>31</v>
      </c>
      <c r="N5" s="503">
        <f>COUNT(B4:E11)</f>
        <v>32</v>
      </c>
    </row>
    <row r="6" spans="1:14" x14ac:dyDescent="0.25">
      <c r="B6" s="50">
        <v>50</v>
      </c>
      <c r="C6" s="50">
        <v>92</v>
      </c>
      <c r="D6" s="50">
        <v>74</v>
      </c>
      <c r="E6" s="50">
        <v>65</v>
      </c>
      <c r="H6" s="25">
        <f t="shared" si="0"/>
        <v>-10.375</v>
      </c>
      <c r="I6" s="25">
        <f t="shared" si="1"/>
        <v>14.125</v>
      </c>
      <c r="J6" s="25">
        <f t="shared" si="2"/>
        <v>-4</v>
      </c>
      <c r="K6" s="25">
        <f t="shared" si="3"/>
        <v>-6.875</v>
      </c>
      <c r="M6" t="s">
        <v>482</v>
      </c>
      <c r="N6" s="503">
        <f>COUNT(B4:E4)</f>
        <v>4</v>
      </c>
    </row>
    <row r="7" spans="1:14" ht="18" x14ac:dyDescent="0.35">
      <c r="B7" s="50">
        <v>48</v>
      </c>
      <c r="C7" s="50">
        <v>80</v>
      </c>
      <c r="D7" s="50">
        <v>98</v>
      </c>
      <c r="E7" s="50">
        <v>71</v>
      </c>
      <c r="H7" s="25">
        <f t="shared" si="0"/>
        <v>-12.375</v>
      </c>
      <c r="I7" s="25">
        <f t="shared" si="1"/>
        <v>2.125</v>
      </c>
      <c r="J7" s="25">
        <f t="shared" si="2"/>
        <v>20</v>
      </c>
      <c r="K7" s="25">
        <f t="shared" si="3"/>
        <v>-0.875</v>
      </c>
      <c r="M7" t="s">
        <v>483</v>
      </c>
      <c r="N7" s="420">
        <f>(N5-N6)/(N5-1)*N4</f>
        <v>162.11693548387095</v>
      </c>
    </row>
    <row r="8" spans="1:14" x14ac:dyDescent="0.25">
      <c r="B8" s="50">
        <v>79</v>
      </c>
      <c r="C8" s="50">
        <v>52</v>
      </c>
      <c r="D8" s="50">
        <v>63</v>
      </c>
      <c r="E8" s="50">
        <v>67</v>
      </c>
      <c r="H8" s="25">
        <f t="shared" si="0"/>
        <v>18.625</v>
      </c>
      <c r="I8" s="25">
        <f t="shared" si="1"/>
        <v>-25.875</v>
      </c>
      <c r="J8" s="25">
        <f t="shared" si="2"/>
        <v>-15</v>
      </c>
      <c r="K8" s="25">
        <f t="shared" si="3"/>
        <v>-4.875</v>
      </c>
    </row>
    <row r="9" spans="1:14" x14ac:dyDescent="0.25">
      <c r="B9" s="50">
        <v>61</v>
      </c>
      <c r="C9" s="50">
        <v>79</v>
      </c>
      <c r="D9" s="50">
        <v>83</v>
      </c>
      <c r="E9" s="50">
        <v>51</v>
      </c>
      <c r="H9" s="25">
        <f t="shared" si="0"/>
        <v>0.625</v>
      </c>
      <c r="I9" s="25">
        <f t="shared" si="1"/>
        <v>1.125</v>
      </c>
      <c r="J9" s="25">
        <f t="shared" si="2"/>
        <v>5</v>
      </c>
      <c r="K9" s="25">
        <f t="shared" si="3"/>
        <v>-20.875</v>
      </c>
    </row>
    <row r="10" spans="1:14" x14ac:dyDescent="0.25">
      <c r="B10" s="50">
        <v>53</v>
      </c>
      <c r="C10" s="50">
        <v>73</v>
      </c>
      <c r="D10" s="50">
        <v>85</v>
      </c>
      <c r="E10" s="50">
        <v>63</v>
      </c>
      <c r="H10" s="25">
        <f t="shared" si="0"/>
        <v>-7.375</v>
      </c>
      <c r="I10" s="25">
        <f t="shared" si="1"/>
        <v>-4.875</v>
      </c>
      <c r="J10" s="25">
        <f t="shared" si="2"/>
        <v>7</v>
      </c>
      <c r="K10" s="25">
        <f t="shared" si="3"/>
        <v>-8.875</v>
      </c>
    </row>
    <row r="11" spans="1:14" x14ac:dyDescent="0.25">
      <c r="B11" s="162">
        <v>54</v>
      </c>
      <c r="C11" s="162">
        <v>74</v>
      </c>
      <c r="D11" s="162">
        <v>58</v>
      </c>
      <c r="E11" s="162">
        <v>93</v>
      </c>
      <c r="F11" s="205" t="s">
        <v>452</v>
      </c>
      <c r="H11" s="206">
        <f t="shared" si="0"/>
        <v>-6.375</v>
      </c>
      <c r="I11" s="206">
        <f t="shared" si="1"/>
        <v>-3.875</v>
      </c>
      <c r="J11" s="206">
        <f t="shared" si="2"/>
        <v>-20</v>
      </c>
      <c r="K11" s="206">
        <f t="shared" si="3"/>
        <v>21.125</v>
      </c>
    </row>
    <row r="12" spans="1:14" ht="18" x14ac:dyDescent="0.35">
      <c r="A12" s="207" t="s">
        <v>470</v>
      </c>
      <c r="B12" s="95">
        <f>AVERAGE(B4:B11)</f>
        <v>60.375</v>
      </c>
      <c r="C12" s="95">
        <f>AVERAGE(C4:C11)</f>
        <v>77.875</v>
      </c>
      <c r="D12" s="95">
        <f>AVERAGE(D4:D11)</f>
        <v>78</v>
      </c>
      <c r="E12" s="95">
        <f>AVERAGE(E4:E11)</f>
        <v>71.875</v>
      </c>
      <c r="F12" s="170">
        <f>AVERAGE(B4:E11)</f>
        <v>72.03125</v>
      </c>
      <c r="H12" s="25">
        <f>SUM(H4:H11)</f>
        <v>0</v>
      </c>
      <c r="I12" s="25">
        <f>SUM(I4:I11)</f>
        <v>0</v>
      </c>
      <c r="J12" s="25">
        <f>SUM(J4:J11)</f>
        <v>0</v>
      </c>
      <c r="K12" s="25">
        <f>SUM(K4:K11)</f>
        <v>0</v>
      </c>
    </row>
    <row r="13" spans="1:14" ht="18" x14ac:dyDescent="0.35">
      <c r="A13" s="207" t="s">
        <v>469</v>
      </c>
      <c r="B13" s="162">
        <f>B12-$F$12</f>
        <v>-11.65625</v>
      </c>
      <c r="C13" s="162">
        <f>C12-$F$12</f>
        <v>5.84375</v>
      </c>
      <c r="D13" s="162">
        <f>D12-$F$12</f>
        <v>5.96875</v>
      </c>
      <c r="E13" s="162">
        <f>E12-$F$12</f>
        <v>-0.15625</v>
      </c>
      <c r="F13" s="135">
        <f>SUM(B13:E13)</f>
        <v>0</v>
      </c>
    </row>
    <row r="14" spans="1:14" x14ac:dyDescent="0.25">
      <c r="A14" s="207"/>
    </row>
    <row r="15" spans="1:14" x14ac:dyDescent="0.25">
      <c r="A15" s="207"/>
    </row>
    <row r="21" spans="7:15" x14ac:dyDescent="0.25">
      <c r="G21" s="50"/>
      <c r="H21" s="50"/>
      <c r="I21" s="50"/>
      <c r="J21" s="50"/>
      <c r="K21" s="50"/>
      <c r="L21" s="50"/>
      <c r="M21" s="50"/>
      <c r="N21" s="50"/>
      <c r="O21" s="50"/>
    </row>
    <row r="26" spans="7:15" x14ac:dyDescent="0.25">
      <c r="G26" s="50"/>
      <c r="H26" s="50"/>
      <c r="I26" s="50"/>
      <c r="J26" s="50"/>
      <c r="K26" s="50"/>
      <c r="L26" s="50"/>
      <c r="M26" s="50"/>
      <c r="N26" s="50"/>
      <c r="O26" s="5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:T27"/>
  <sheetViews>
    <sheetView workbookViewId="0"/>
  </sheetViews>
  <sheetFormatPr defaultRowHeight="15" x14ac:dyDescent="0.25"/>
  <cols>
    <col min="5" max="5" width="4.5703125" customWidth="1"/>
    <col min="6" max="6" width="16.85546875" customWidth="1"/>
    <col min="7" max="7" width="8" customWidth="1"/>
    <col min="8" max="8" width="7.42578125" customWidth="1"/>
    <col min="9" max="9" width="8.28515625" customWidth="1"/>
    <col min="11" max="12" width="8.28515625" customWidth="1"/>
    <col min="15" max="15" width="8.5703125" customWidth="1"/>
    <col min="16" max="16" width="6.5703125" customWidth="1"/>
    <col min="17" max="17" width="9.7109375" customWidth="1"/>
    <col min="18" max="18" width="9.140625" customWidth="1"/>
    <col min="19" max="19" width="5.140625" customWidth="1"/>
  </cols>
  <sheetData>
    <row r="1" spans="1:18" x14ac:dyDescent="0.25">
      <c r="A1" s="1" t="s">
        <v>456</v>
      </c>
    </row>
    <row r="2" spans="1:18" x14ac:dyDescent="0.25">
      <c r="A2" s="50"/>
      <c r="B2" s="50"/>
    </row>
    <row r="3" spans="1:18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464</v>
      </c>
      <c r="N3" t="s">
        <v>487</v>
      </c>
    </row>
    <row r="4" spans="1:18" ht="15.75" thickBot="1" x14ac:dyDescent="0.3">
      <c r="A4" s="179">
        <v>51</v>
      </c>
      <c r="B4" s="179">
        <v>82</v>
      </c>
      <c r="C4" s="179">
        <v>79</v>
      </c>
      <c r="D4" s="179">
        <v>85</v>
      </c>
    </row>
    <row r="5" spans="1:18" ht="16.5" thickTop="1" thickBot="1" x14ac:dyDescent="0.3">
      <c r="A5" s="50">
        <v>87</v>
      </c>
      <c r="B5" s="50">
        <v>91</v>
      </c>
      <c r="C5" s="50">
        <v>84</v>
      </c>
      <c r="D5" s="50">
        <v>80</v>
      </c>
      <c r="F5" t="s">
        <v>62</v>
      </c>
      <c r="N5" s="32" t="s">
        <v>79</v>
      </c>
      <c r="O5" s="32" t="s">
        <v>22</v>
      </c>
      <c r="P5" s="32" t="s">
        <v>10</v>
      </c>
      <c r="Q5" s="32" t="s">
        <v>219</v>
      </c>
    </row>
    <row r="6" spans="1:18" x14ac:dyDescent="0.25">
      <c r="A6" s="50">
        <v>50</v>
      </c>
      <c r="B6" s="50">
        <v>92</v>
      </c>
      <c r="C6" s="50">
        <v>74</v>
      </c>
      <c r="D6" s="50">
        <v>65</v>
      </c>
      <c r="F6" s="18" t="s">
        <v>79</v>
      </c>
      <c r="G6" s="18" t="s">
        <v>22</v>
      </c>
      <c r="H6" s="18" t="s">
        <v>21</v>
      </c>
      <c r="I6" s="18" t="s">
        <v>465</v>
      </c>
      <c r="J6" s="18" t="s">
        <v>80</v>
      </c>
      <c r="N6" t="s">
        <v>39</v>
      </c>
      <c r="O6">
        <f>G7</f>
        <v>7</v>
      </c>
      <c r="P6">
        <f>I7</f>
        <v>61.285714285714285</v>
      </c>
      <c r="Q6">
        <f>(P6-$P$10)^2</f>
        <v>120.02659613191291</v>
      </c>
    </row>
    <row r="7" spans="1:18" x14ac:dyDescent="0.25">
      <c r="A7" s="50">
        <v>48</v>
      </c>
      <c r="B7" s="50">
        <v>80</v>
      </c>
      <c r="C7" s="50">
        <v>98</v>
      </c>
      <c r="D7" s="50">
        <v>71</v>
      </c>
      <c r="F7" s="19" t="s">
        <v>39</v>
      </c>
      <c r="G7" s="19">
        <v>7</v>
      </c>
      <c r="H7" s="19">
        <v>429</v>
      </c>
      <c r="I7" s="19">
        <v>61.285714285714285</v>
      </c>
      <c r="J7" s="19">
        <v>242.23809523809541</v>
      </c>
      <c r="N7" t="s">
        <v>40</v>
      </c>
      <c r="O7">
        <f>G8</f>
        <v>8</v>
      </c>
      <c r="P7">
        <f>I8</f>
        <v>77.875</v>
      </c>
      <c r="Q7">
        <f>(P7-$P$10)^2</f>
        <v>31.737682074910843</v>
      </c>
    </row>
    <row r="8" spans="1:18" x14ac:dyDescent="0.25">
      <c r="A8" s="50">
        <v>79</v>
      </c>
      <c r="B8" s="50">
        <v>52</v>
      </c>
      <c r="C8" s="50">
        <v>63</v>
      </c>
      <c r="D8" s="50">
        <v>67</v>
      </c>
      <c r="F8" s="19" t="s">
        <v>40</v>
      </c>
      <c r="G8" s="19">
        <v>8</v>
      </c>
      <c r="H8" s="19">
        <v>623</v>
      </c>
      <c r="I8" s="19">
        <v>77.875</v>
      </c>
      <c r="J8" s="19">
        <v>157.55357142857142</v>
      </c>
      <c r="N8" t="s">
        <v>46</v>
      </c>
      <c r="O8">
        <f>G9</f>
        <v>8</v>
      </c>
      <c r="P8">
        <f>I9</f>
        <v>78</v>
      </c>
      <c r="Q8">
        <f>(P8-$P$10)^2</f>
        <v>33.161712247324637</v>
      </c>
    </row>
    <row r="9" spans="1:18" x14ac:dyDescent="0.25">
      <c r="A9" s="50">
        <v>61</v>
      </c>
      <c r="B9" s="50">
        <v>79</v>
      </c>
      <c r="C9" s="50">
        <v>83</v>
      </c>
      <c r="D9" s="50">
        <v>51</v>
      </c>
      <c r="F9" s="19" t="s">
        <v>46</v>
      </c>
      <c r="G9" s="19">
        <v>8</v>
      </c>
      <c r="H9" s="19">
        <v>624</v>
      </c>
      <c r="I9" s="19">
        <v>78</v>
      </c>
      <c r="J9" s="19">
        <v>164.57142857142858</v>
      </c>
      <c r="N9" s="135" t="s">
        <v>47</v>
      </c>
      <c r="O9" s="135">
        <f>G10</f>
        <v>6</v>
      </c>
      <c r="P9" s="135">
        <f>I10</f>
        <v>69.833333333333329</v>
      </c>
      <c r="Q9" s="135">
        <f>(P9-$P$10)^2</f>
        <v>5.7986854274012556</v>
      </c>
    </row>
    <row r="10" spans="1:18" ht="15.75" thickBot="1" x14ac:dyDescent="0.3">
      <c r="A10" s="50">
        <v>53</v>
      </c>
      <c r="B10" s="50">
        <v>73</v>
      </c>
      <c r="C10" s="50">
        <v>85</v>
      </c>
      <c r="D10" s="50"/>
      <c r="F10" s="20" t="s">
        <v>47</v>
      </c>
      <c r="G10" s="20">
        <v>6</v>
      </c>
      <c r="H10" s="20">
        <v>419</v>
      </c>
      <c r="I10" s="20">
        <v>69.833333333333329</v>
      </c>
      <c r="J10" s="20">
        <v>144.16666666666643</v>
      </c>
      <c r="O10" s="31">
        <f>SUM(O6:O9)</f>
        <v>29</v>
      </c>
      <c r="P10">
        <f>SUMPRODUCT(O6:O9,P6:P9)/O10</f>
        <v>72.241379310344826</v>
      </c>
      <c r="Q10">
        <f>SUMPRODUCT(O6:O9,Q6:Q9)</f>
        <v>1394.1734400656817</v>
      </c>
    </row>
    <row r="11" spans="1:18" x14ac:dyDescent="0.25">
      <c r="A11" s="162"/>
      <c r="B11" s="162">
        <v>74</v>
      </c>
      <c r="C11" s="162">
        <v>58</v>
      </c>
      <c r="D11" s="162"/>
    </row>
    <row r="12" spans="1:18" x14ac:dyDescent="0.25">
      <c r="A12" s="50"/>
      <c r="B12" s="50"/>
      <c r="N12" t="s">
        <v>488</v>
      </c>
    </row>
    <row r="13" spans="1:18" ht="15.75" thickBot="1" x14ac:dyDescent="0.3">
      <c r="A13" s="50"/>
      <c r="B13" s="50"/>
      <c r="F13" t="s">
        <v>294</v>
      </c>
    </row>
    <row r="14" spans="1:18" ht="15.75" thickTop="1" x14ac:dyDescent="0.25">
      <c r="A14" s="585"/>
      <c r="B14" s="50"/>
      <c r="F14" s="18" t="s">
        <v>466</v>
      </c>
      <c r="G14" s="18" t="s">
        <v>219</v>
      </c>
      <c r="H14" s="18" t="s">
        <v>60</v>
      </c>
      <c r="I14" s="18" t="s">
        <v>240</v>
      </c>
      <c r="J14" s="18" t="s">
        <v>135</v>
      </c>
      <c r="K14" s="18" t="s">
        <v>119</v>
      </c>
      <c r="L14" s="18" t="s">
        <v>467</v>
      </c>
      <c r="N14" s="32" t="s">
        <v>79</v>
      </c>
      <c r="O14" s="32" t="s">
        <v>22</v>
      </c>
      <c r="P14" s="32" t="s">
        <v>60</v>
      </c>
      <c r="Q14" s="32" t="s">
        <v>80</v>
      </c>
      <c r="R14" s="32" t="s">
        <v>219</v>
      </c>
    </row>
    <row r="15" spans="1:18" x14ac:dyDescent="0.25">
      <c r="A15" s="585"/>
      <c r="B15" s="50"/>
      <c r="F15" s="19" t="s">
        <v>462</v>
      </c>
      <c r="G15" s="19">
        <v>1394.1734400656824</v>
      </c>
      <c r="H15" s="19">
        <v>3</v>
      </c>
      <c r="I15" s="19">
        <v>464.72448002189412</v>
      </c>
      <c r="J15" s="19">
        <v>2.6231097052015611</v>
      </c>
      <c r="K15" s="19">
        <v>7.2760576413978123E-2</v>
      </c>
      <c r="L15" s="19">
        <v>2.9912409095499513</v>
      </c>
      <c r="N15" s="19" t="s">
        <v>39</v>
      </c>
      <c r="O15" s="19">
        <f>G7</f>
        <v>7</v>
      </c>
      <c r="P15" s="19">
        <f>O15-1</f>
        <v>6</v>
      </c>
      <c r="Q15" s="19">
        <f>J7</f>
        <v>242.23809523809541</v>
      </c>
      <c r="R15">
        <f>P15*Q15</f>
        <v>1453.4285714285725</v>
      </c>
    </row>
    <row r="16" spans="1:18" x14ac:dyDescent="0.25">
      <c r="A16" s="50"/>
      <c r="B16" s="50"/>
      <c r="F16" s="19" t="s">
        <v>463</v>
      </c>
      <c r="G16" s="19">
        <v>4429.1369047619046</v>
      </c>
      <c r="H16" s="19">
        <v>25</v>
      </c>
      <c r="I16" s="19">
        <v>177.16547619047617</v>
      </c>
      <c r="J16" s="19"/>
      <c r="K16" s="19"/>
      <c r="L16" s="19"/>
      <c r="N16" s="19" t="s">
        <v>40</v>
      </c>
      <c r="O16" s="19">
        <f>G8</f>
        <v>8</v>
      </c>
      <c r="P16" s="19">
        <f>O16-1</f>
        <v>7</v>
      </c>
      <c r="Q16" s="19">
        <f>J8</f>
        <v>157.55357142857142</v>
      </c>
      <c r="R16">
        <f>P16*Q16</f>
        <v>1102.875</v>
      </c>
    </row>
    <row r="17" spans="1:20" x14ac:dyDescent="0.25">
      <c r="A17" s="50"/>
      <c r="B17" s="50"/>
      <c r="F17" s="19"/>
      <c r="G17" s="19"/>
      <c r="H17" s="19"/>
      <c r="I17" s="19"/>
      <c r="J17" s="19"/>
      <c r="K17" s="19"/>
      <c r="L17" s="19"/>
      <c r="N17" s="19" t="s">
        <v>46</v>
      </c>
      <c r="O17" s="19">
        <f>G9</f>
        <v>8</v>
      </c>
      <c r="P17" s="19">
        <f>O17-1</f>
        <v>7</v>
      </c>
      <c r="Q17" s="19">
        <f>J9</f>
        <v>164.57142857142858</v>
      </c>
      <c r="R17">
        <f>P17*Q17</f>
        <v>1152</v>
      </c>
    </row>
    <row r="18" spans="1:20" ht="15.75" thickBot="1" x14ac:dyDescent="0.3">
      <c r="F18" s="20" t="s">
        <v>1</v>
      </c>
      <c r="G18" s="20">
        <v>5823.310344827587</v>
      </c>
      <c r="H18" s="20">
        <v>28</v>
      </c>
      <c r="I18" s="20"/>
      <c r="J18" s="20"/>
      <c r="K18" s="20"/>
      <c r="L18" s="20"/>
      <c r="N18" s="135" t="s">
        <v>47</v>
      </c>
      <c r="O18" s="135">
        <f>G10</f>
        <v>6</v>
      </c>
      <c r="P18" s="135">
        <f>O18-1</f>
        <v>5</v>
      </c>
      <c r="Q18" s="135">
        <f>J10</f>
        <v>144.16666666666643</v>
      </c>
      <c r="R18" s="135">
        <f>P18*Q18</f>
        <v>720.83333333333212</v>
      </c>
      <c r="T18" s="50" t="s">
        <v>486</v>
      </c>
    </row>
    <row r="19" spans="1:20" x14ac:dyDescent="0.25">
      <c r="P19" s="19">
        <f>SUM(P15:P18)</f>
        <v>25</v>
      </c>
      <c r="R19">
        <f>SUM(R14:R18)</f>
        <v>4429.1369047619046</v>
      </c>
      <c r="T19" s="203">
        <f>R19/P19</f>
        <v>177.16547619047617</v>
      </c>
    </row>
    <row r="21" spans="1:20" x14ac:dyDescent="0.25">
      <c r="F21" t="s">
        <v>2316</v>
      </c>
    </row>
    <row r="23" spans="1:20" ht="15.75" thickBot="1" x14ac:dyDescent="0.3">
      <c r="F23" t="s">
        <v>294</v>
      </c>
    </row>
    <row r="24" spans="1:20" x14ac:dyDescent="0.25">
      <c r="F24" s="668" t="s">
        <v>466</v>
      </c>
      <c r="G24" s="668" t="s">
        <v>219</v>
      </c>
      <c r="H24" s="668" t="s">
        <v>60</v>
      </c>
      <c r="I24" s="668" t="s">
        <v>240</v>
      </c>
      <c r="J24" s="668" t="s">
        <v>135</v>
      </c>
      <c r="K24" s="668" t="s">
        <v>119</v>
      </c>
    </row>
    <row r="25" spans="1:20" x14ac:dyDescent="0.25">
      <c r="F25" s="19" t="s">
        <v>462</v>
      </c>
      <c r="G25" s="19">
        <f>[1]!SSBet(A4:D11)</f>
        <v>1394.1734400656824</v>
      </c>
      <c r="H25" s="19">
        <f>[1]!dfBet(A4:D11)</f>
        <v>3</v>
      </c>
      <c r="I25" s="19">
        <f>[1]!MSBet(A4:D11)</f>
        <v>464.72448002189412</v>
      </c>
      <c r="J25" s="19">
        <f>[1]!ANOVA1(A4:D11)</f>
        <v>2.6231097052015611</v>
      </c>
      <c r="K25" s="19">
        <f>[1]!Atest(A4:D11)</f>
        <v>7.2760576413978123E-2</v>
      </c>
    </row>
    <row r="26" spans="1:20" x14ac:dyDescent="0.25">
      <c r="F26" s="19" t="s">
        <v>463</v>
      </c>
      <c r="G26" s="19">
        <f>[1]!SSW(A4:D11)</f>
        <v>4429.1369047619046</v>
      </c>
      <c r="H26" s="19">
        <f>[1]!dfw(A4:D11)</f>
        <v>25</v>
      </c>
      <c r="I26" s="7">
        <f>[1]!MSW(A4:D11)</f>
        <v>177.16547619047617</v>
      </c>
      <c r="J26" s="19"/>
      <c r="K26" s="19"/>
    </row>
    <row r="27" spans="1:20" ht="15.75" thickBot="1" x14ac:dyDescent="0.3">
      <c r="F27" s="20" t="s">
        <v>1</v>
      </c>
      <c r="G27" s="20">
        <f>[1]!sstot(A4:D11)</f>
        <v>5823.310344827587</v>
      </c>
      <c r="H27" s="20">
        <f>[1]!dftot(A4:D11)</f>
        <v>28</v>
      </c>
      <c r="I27" s="20"/>
      <c r="J27" s="20"/>
      <c r="K27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:S17"/>
  <sheetViews>
    <sheetView workbookViewId="0"/>
  </sheetViews>
  <sheetFormatPr defaultRowHeight="15" x14ac:dyDescent="0.25"/>
  <cols>
    <col min="5" max="5" width="4.5703125" customWidth="1"/>
    <col min="6" max="6" width="16.28515625" customWidth="1"/>
    <col min="7" max="7" width="8" customWidth="1"/>
    <col min="8" max="8" width="7.42578125" customWidth="1"/>
    <col min="9" max="9" width="8.28515625" customWidth="1"/>
    <col min="11" max="12" width="8.28515625" customWidth="1"/>
    <col min="15" max="15" width="8.5703125" customWidth="1"/>
    <col min="16" max="16" width="10.85546875" customWidth="1"/>
    <col min="17" max="17" width="9.140625" customWidth="1"/>
    <col min="19" max="19" width="6.7109375" hidden="1" customWidth="1"/>
  </cols>
  <sheetData>
    <row r="1" spans="1:14" x14ac:dyDescent="0.25">
      <c r="A1" s="1" t="s">
        <v>489</v>
      </c>
    </row>
    <row r="2" spans="1:14" x14ac:dyDescent="0.25">
      <c r="A2" s="50"/>
      <c r="B2" s="50"/>
    </row>
    <row r="3" spans="1:14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457</v>
      </c>
    </row>
    <row r="4" spans="1:14" x14ac:dyDescent="0.25">
      <c r="A4" s="179">
        <v>51</v>
      </c>
      <c r="B4" s="179">
        <v>82</v>
      </c>
      <c r="C4" s="179">
        <v>79</v>
      </c>
      <c r="D4" s="179">
        <v>85</v>
      </c>
    </row>
    <row r="5" spans="1:14" ht="15.75" thickBot="1" x14ac:dyDescent="0.3">
      <c r="A5" s="50">
        <v>87</v>
      </c>
      <c r="B5" s="50">
        <v>91</v>
      </c>
      <c r="C5" s="50">
        <v>84</v>
      </c>
      <c r="D5" s="50">
        <v>80</v>
      </c>
      <c r="F5" t="s">
        <v>458</v>
      </c>
      <c r="K5" t="s">
        <v>34</v>
      </c>
      <c r="L5">
        <v>0.05</v>
      </c>
    </row>
    <row r="6" spans="1:14" ht="15.75" thickTop="1" x14ac:dyDescent="0.25">
      <c r="A6" s="50">
        <v>50</v>
      </c>
      <c r="B6" s="50">
        <v>92</v>
      </c>
      <c r="C6" s="50">
        <v>74</v>
      </c>
      <c r="D6" s="50">
        <v>65</v>
      </c>
      <c r="F6" s="32" t="s">
        <v>79</v>
      </c>
      <c r="G6" s="32" t="s">
        <v>22</v>
      </c>
      <c r="H6" s="32" t="s">
        <v>21</v>
      </c>
      <c r="I6" s="32" t="s">
        <v>10</v>
      </c>
      <c r="J6" s="32" t="s">
        <v>80</v>
      </c>
      <c r="K6" s="32" t="s">
        <v>219</v>
      </c>
      <c r="L6" s="32" t="s">
        <v>59</v>
      </c>
      <c r="M6" s="32" t="s">
        <v>343</v>
      </c>
      <c r="N6" s="32" t="s">
        <v>344</v>
      </c>
    </row>
    <row r="7" spans="1:14" x14ac:dyDescent="0.25">
      <c r="A7" s="50">
        <v>48</v>
      </c>
      <c r="B7" s="50">
        <v>80</v>
      </c>
      <c r="C7" s="50">
        <v>98</v>
      </c>
      <c r="D7" s="50">
        <v>71</v>
      </c>
      <c r="F7" t="s">
        <v>39</v>
      </c>
      <c r="G7">
        <f>COUNT(A4:A11)</f>
        <v>7</v>
      </c>
      <c r="H7">
        <f>SUM(A4:A11)</f>
        <v>429</v>
      </c>
      <c r="I7">
        <f>AVERAGE(A4:A11)</f>
        <v>61.285714285714285</v>
      </c>
      <c r="J7">
        <f>VAR(A4:A11)</f>
        <v>242.23809523809541</v>
      </c>
      <c r="K7">
        <f>DEVSQ(A4:A11)</f>
        <v>1453.4285714285713</v>
      </c>
      <c r="L7">
        <f>SQRT(I15/G7)</f>
        <v>5.0308402619737986</v>
      </c>
      <c r="M7">
        <f>I7-L7*TINV(L5,G7-1)</f>
        <v>48.975691627473331</v>
      </c>
      <c r="N7">
        <f>I7+L7*TINV(L5,G7-1)</f>
        <v>73.595736943955231</v>
      </c>
    </row>
    <row r="8" spans="1:14" x14ac:dyDescent="0.25">
      <c r="A8" s="50">
        <v>79</v>
      </c>
      <c r="B8" s="50">
        <v>52</v>
      </c>
      <c r="C8" s="50">
        <v>63</v>
      </c>
      <c r="D8" s="50">
        <v>67</v>
      </c>
      <c r="F8" t="s">
        <v>40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L8">
        <f>SQRT(I15/G8)</f>
        <v>4.7059201569735034</v>
      </c>
      <c r="M8">
        <f>I8-L8*TINV(L5,G8-1)</f>
        <v>66.747267070761126</v>
      </c>
      <c r="N8">
        <f>I8+L8*TINV(L5,G8-1)</f>
        <v>89.002732929238874</v>
      </c>
    </row>
    <row r="9" spans="1:14" x14ac:dyDescent="0.25">
      <c r="A9" s="50">
        <v>61</v>
      </c>
      <c r="B9" s="50">
        <v>79</v>
      </c>
      <c r="C9" s="50">
        <v>83</v>
      </c>
      <c r="D9" s="50">
        <v>51</v>
      </c>
      <c r="F9" t="s">
        <v>46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L9">
        <f>SQRT(I15/G9)</f>
        <v>4.7059201569735034</v>
      </c>
      <c r="M9">
        <f>I9-L9*TINV(L5,G9-1)</f>
        <v>66.872267070761126</v>
      </c>
      <c r="N9">
        <f>I9+L9*TINV(L5,G9-1)</f>
        <v>89.127732929238874</v>
      </c>
    </row>
    <row r="10" spans="1:14" x14ac:dyDescent="0.25">
      <c r="A10" s="50">
        <v>53</v>
      </c>
      <c r="B10" s="50">
        <v>73</v>
      </c>
      <c r="C10" s="50">
        <v>85</v>
      </c>
      <c r="D10" s="50"/>
      <c r="F10" t="s">
        <v>47</v>
      </c>
      <c r="G10">
        <f>COUNT(D4:D11)</f>
        <v>6</v>
      </c>
      <c r="H10">
        <f>SUM(D4:D11)</f>
        <v>419</v>
      </c>
      <c r="I10">
        <f>AVERAGE(D4:D11)</f>
        <v>69.833333333333329</v>
      </c>
      <c r="J10">
        <f>VAR(D4:D11)</f>
        <v>144.16666666666643</v>
      </c>
      <c r="K10">
        <f>DEVSQ(D4:D11)</f>
        <v>720.83333333333348</v>
      </c>
      <c r="L10">
        <f>SQRT(I15/G10)</f>
        <v>5.4339285388270762</v>
      </c>
      <c r="M10">
        <f>I10-L10*TINV(L5,G10-1)</f>
        <v>55.864975335278665</v>
      </c>
      <c r="N10">
        <f>I10+L10*TINV(L5,G10-1)</f>
        <v>83.801691331387985</v>
      </c>
    </row>
    <row r="11" spans="1:14" x14ac:dyDescent="0.25">
      <c r="A11" s="162"/>
      <c r="B11" s="162">
        <v>74</v>
      </c>
      <c r="C11" s="162">
        <v>58</v>
      </c>
      <c r="D11" s="162"/>
      <c r="F11" s="542"/>
      <c r="G11" s="542"/>
      <c r="H11" s="542"/>
      <c r="I11" s="542"/>
      <c r="J11" s="542"/>
      <c r="K11" s="542"/>
      <c r="L11" s="542"/>
      <c r="M11" s="542"/>
      <c r="N11" s="542"/>
    </row>
    <row r="12" spans="1:14" ht="15.75" thickBot="1" x14ac:dyDescent="0.3">
      <c r="A12" s="50"/>
      <c r="B12" s="50"/>
      <c r="F12" t="s">
        <v>294</v>
      </c>
    </row>
    <row r="13" spans="1:14" ht="15.75" thickTop="1" x14ac:dyDescent="0.25">
      <c r="A13" s="50"/>
      <c r="B13" s="50"/>
      <c r="F13" s="32" t="s">
        <v>459</v>
      </c>
      <c r="G13" s="32" t="s">
        <v>219</v>
      </c>
      <c r="H13" s="32" t="s">
        <v>60</v>
      </c>
      <c r="I13" s="32" t="s">
        <v>240</v>
      </c>
      <c r="J13" s="32" t="s">
        <v>135</v>
      </c>
      <c r="K13" s="32" t="s">
        <v>460</v>
      </c>
      <c r="L13" s="32" t="s">
        <v>467</v>
      </c>
      <c r="M13" s="32" t="s">
        <v>1231</v>
      </c>
      <c r="N13" s="32" t="s">
        <v>1232</v>
      </c>
    </row>
    <row r="14" spans="1:14" x14ac:dyDescent="0.25">
      <c r="A14" s="50"/>
      <c r="B14" s="50"/>
      <c r="F14" t="s">
        <v>462</v>
      </c>
      <c r="G14">
        <f>G16-G15</f>
        <v>1394.1734400656824</v>
      </c>
      <c r="H14">
        <f>COUNTA(F7:F10)-1</f>
        <v>3</v>
      </c>
      <c r="I14">
        <f>G14/H14</f>
        <v>464.72448002189412</v>
      </c>
      <c r="J14">
        <f>I14/I15</f>
        <v>2.6231097052015611</v>
      </c>
      <c r="K14">
        <f>FDIST(J14,H14,H15)</f>
        <v>7.2760576413978123E-2</v>
      </c>
      <c r="L14">
        <f>FINV(L5,H14,H15)</f>
        <v>2.9912409095499513</v>
      </c>
      <c r="M14">
        <f>SQRT(DEVSQ(I7:I10)/(I15*H14))</f>
        <v>0.59750859005399493</v>
      </c>
      <c r="N14">
        <f>(G16-H16*I15)/(G16+I15)</f>
        <v>0.14376810060171005</v>
      </c>
    </row>
    <row r="15" spans="1:14" x14ac:dyDescent="0.25">
      <c r="A15" s="50"/>
      <c r="B15" s="50"/>
      <c r="F15" t="s">
        <v>463</v>
      </c>
      <c r="G15">
        <f>SUM(K7:K10)</f>
        <v>4429.1369047619046</v>
      </c>
      <c r="H15">
        <f>H16-H14</f>
        <v>25</v>
      </c>
      <c r="I15">
        <f>G15/H15</f>
        <v>177.16547619047617</v>
      </c>
    </row>
    <row r="16" spans="1:14" x14ac:dyDescent="0.25">
      <c r="A16" s="50"/>
      <c r="B16" s="50"/>
      <c r="F16" s="10" t="s">
        <v>1</v>
      </c>
      <c r="G16" s="10">
        <f>DEVSQ(A4:D11)</f>
        <v>5823.310344827587</v>
      </c>
      <c r="H16" s="10">
        <f>COUNT(A4:D11)-1</f>
        <v>28</v>
      </c>
      <c r="I16" s="10">
        <f>G16/H16</f>
        <v>207.97536945812811</v>
      </c>
      <c r="J16" s="10"/>
      <c r="K16" s="10"/>
      <c r="L16" s="10"/>
      <c r="M16" s="410"/>
      <c r="N16" s="410"/>
    </row>
    <row r="17" spans="1:2" x14ac:dyDescent="0.25">
      <c r="A17" s="50"/>
      <c r="B17" s="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/>
  <dimension ref="A1:T35"/>
  <sheetViews>
    <sheetView topLeftCell="A2" zoomScaleNormal="100" workbookViewId="0">
      <selection activeCell="K21" sqref="K21"/>
    </sheetView>
  </sheetViews>
  <sheetFormatPr defaultRowHeight="15" x14ac:dyDescent="0.25"/>
  <cols>
    <col min="1" max="1" width="9.85546875" customWidth="1"/>
    <col min="2" max="2" width="5.7109375" customWidth="1"/>
    <col min="3" max="3" width="4.7109375" customWidth="1"/>
    <col min="8" max="8" width="5.140625" customWidth="1"/>
    <col min="9" max="9" width="16.28515625" customWidth="1"/>
    <col min="19" max="19" width="10.42578125" customWidth="1"/>
  </cols>
  <sheetData>
    <row r="1" spans="1:20" x14ac:dyDescent="0.25">
      <c r="A1" s="1" t="s">
        <v>1674</v>
      </c>
    </row>
    <row r="3" spans="1:20" x14ac:dyDescent="0.25">
      <c r="A3" s="751" t="s">
        <v>39</v>
      </c>
      <c r="B3" s="755">
        <v>48</v>
      </c>
      <c r="D3" t="s">
        <v>1673</v>
      </c>
      <c r="S3" t="s">
        <v>1675</v>
      </c>
    </row>
    <row r="4" spans="1:20" x14ac:dyDescent="0.25">
      <c r="A4" s="532" t="s">
        <v>39</v>
      </c>
      <c r="B4" s="533">
        <v>50</v>
      </c>
    </row>
    <row r="5" spans="1:20" x14ac:dyDescent="0.25">
      <c r="A5" s="532" t="s">
        <v>39</v>
      </c>
      <c r="B5" s="533">
        <v>51</v>
      </c>
      <c r="D5" t="str">
        <f t="array" ref="D5:G13">[1]!StdAnova1(A3:B31)</f>
        <v>Method 1</v>
      </c>
      <c r="E5" t="str">
        <v>Method 2</v>
      </c>
      <c r="F5" t="str">
        <v>Method 3</v>
      </c>
      <c r="G5" t="str">
        <v>Method 4</v>
      </c>
      <c r="I5" t="s">
        <v>457</v>
      </c>
      <c r="S5" s="751" t="str">
        <f t="array" ref="S5:T35">[1]!Anova1Std(D5:G13)</f>
        <v>Method 1</v>
      </c>
      <c r="T5" s="755">
        <v>48</v>
      </c>
    </row>
    <row r="6" spans="1:20" x14ac:dyDescent="0.25">
      <c r="A6" s="532" t="s">
        <v>47</v>
      </c>
      <c r="B6" s="533">
        <v>51</v>
      </c>
      <c r="D6" s="781">
        <v>48</v>
      </c>
      <c r="E6" s="782">
        <v>52</v>
      </c>
      <c r="F6" s="782">
        <v>58</v>
      </c>
      <c r="G6" s="783">
        <v>51</v>
      </c>
      <c r="S6" s="532" t="str">
        <v>Method 1</v>
      </c>
      <c r="T6" s="533">
        <v>50</v>
      </c>
    </row>
    <row r="7" spans="1:20" ht="15.75" thickBot="1" x14ac:dyDescent="0.3">
      <c r="A7" s="532" t="s">
        <v>40</v>
      </c>
      <c r="B7" s="533">
        <v>52</v>
      </c>
      <c r="D7" s="501">
        <v>50</v>
      </c>
      <c r="E7" s="7">
        <v>73</v>
      </c>
      <c r="F7" s="7">
        <v>63</v>
      </c>
      <c r="G7" s="57">
        <v>65</v>
      </c>
      <c r="I7" t="s">
        <v>458</v>
      </c>
      <c r="N7" t="s">
        <v>34</v>
      </c>
      <c r="O7">
        <v>0.05</v>
      </c>
      <c r="S7" s="532" t="str">
        <v>Method 1</v>
      </c>
      <c r="T7" s="533">
        <v>51</v>
      </c>
    </row>
    <row r="8" spans="1:20" ht="15.75" thickTop="1" x14ac:dyDescent="0.25">
      <c r="A8" s="532" t="s">
        <v>39</v>
      </c>
      <c r="B8" s="533">
        <v>53</v>
      </c>
      <c r="D8" s="501">
        <v>51</v>
      </c>
      <c r="E8" s="7">
        <v>74</v>
      </c>
      <c r="F8" s="7">
        <v>74</v>
      </c>
      <c r="G8" s="57">
        <v>67</v>
      </c>
      <c r="I8" s="754" t="s">
        <v>79</v>
      </c>
      <c r="J8" s="754" t="s">
        <v>22</v>
      </c>
      <c r="K8" s="754" t="s">
        <v>21</v>
      </c>
      <c r="L8" s="754" t="s">
        <v>10</v>
      </c>
      <c r="M8" s="754" t="s">
        <v>80</v>
      </c>
      <c r="N8" s="754" t="s">
        <v>219</v>
      </c>
      <c r="O8" s="754" t="s">
        <v>59</v>
      </c>
      <c r="P8" s="754" t="s">
        <v>343</v>
      </c>
      <c r="Q8" s="754" t="s">
        <v>344</v>
      </c>
      <c r="S8" s="532" t="str">
        <v>Method 1</v>
      </c>
      <c r="T8" s="533">
        <v>53</v>
      </c>
    </row>
    <row r="9" spans="1:20" x14ac:dyDescent="0.25">
      <c r="A9" s="532" t="s">
        <v>46</v>
      </c>
      <c r="B9" s="533">
        <v>58</v>
      </c>
      <c r="D9" s="501">
        <v>53</v>
      </c>
      <c r="E9" s="7">
        <v>79</v>
      </c>
      <c r="F9" s="7">
        <v>79</v>
      </c>
      <c r="G9" s="57">
        <v>71</v>
      </c>
      <c r="I9" t="str">
        <f>D5</f>
        <v>Method 1</v>
      </c>
      <c r="J9">
        <f>COUNT(D6:D13)</f>
        <v>7</v>
      </c>
      <c r="K9">
        <f>SUM(D6:D13)</f>
        <v>429</v>
      </c>
      <c r="L9">
        <f>AVERAGE(D6:D13)</f>
        <v>61.285714285714285</v>
      </c>
      <c r="M9">
        <f>VAR(D6:D13)</f>
        <v>242.23809523809541</v>
      </c>
      <c r="N9">
        <f>DEVSQ(D6:D13)</f>
        <v>1453.4285714285716</v>
      </c>
      <c r="O9">
        <f>SQRT(L17/J9)</f>
        <v>5.0308402619737986</v>
      </c>
      <c r="P9">
        <f>L9-O9*TINV(O7,J9-1)</f>
        <v>48.975691627473331</v>
      </c>
      <c r="Q9">
        <f>L9+O9*TINV(O7,J9-1)</f>
        <v>73.595736943955231</v>
      </c>
      <c r="S9" s="532" t="str">
        <v>Method 1</v>
      </c>
      <c r="T9" s="533">
        <v>61</v>
      </c>
    </row>
    <row r="10" spans="1:20" x14ac:dyDescent="0.25">
      <c r="A10" s="532" t="s">
        <v>39</v>
      </c>
      <c r="B10" s="533">
        <v>61</v>
      </c>
      <c r="D10" s="501">
        <v>61</v>
      </c>
      <c r="E10" s="7">
        <v>80</v>
      </c>
      <c r="F10" s="7">
        <v>83</v>
      </c>
      <c r="G10" s="57">
        <v>80</v>
      </c>
      <c r="I10" t="str">
        <f>E5</f>
        <v>Method 2</v>
      </c>
      <c r="J10">
        <f>COUNT(E6:E13)</f>
        <v>8</v>
      </c>
      <c r="K10">
        <f>SUM(E6:E13)</f>
        <v>623</v>
      </c>
      <c r="L10">
        <f>AVERAGE(E6:E13)</f>
        <v>77.875</v>
      </c>
      <c r="M10">
        <f>VAR(E6:E13)</f>
        <v>157.55357142857142</v>
      </c>
      <c r="N10">
        <f>DEVSQ(E6:E13)</f>
        <v>1102.875</v>
      </c>
      <c r="O10">
        <f>SQRT(L17/J10)</f>
        <v>4.7059201569735034</v>
      </c>
      <c r="P10">
        <f>L10-O10*TINV(O7,J10-1)</f>
        <v>66.747267070761126</v>
      </c>
      <c r="Q10">
        <f>L10+O10*TINV(O7,J10-1)</f>
        <v>89.002732929238874</v>
      </c>
      <c r="S10" s="532" t="str">
        <v>Method 1</v>
      </c>
      <c r="T10" s="533">
        <v>79</v>
      </c>
    </row>
    <row r="11" spans="1:20" x14ac:dyDescent="0.25">
      <c r="A11" s="532" t="s">
        <v>46</v>
      </c>
      <c r="B11" s="533">
        <v>63</v>
      </c>
      <c r="D11" s="501">
        <v>79</v>
      </c>
      <c r="E11" s="7">
        <v>82</v>
      </c>
      <c r="F11" s="7">
        <v>84</v>
      </c>
      <c r="G11" s="57">
        <v>85</v>
      </c>
      <c r="I11" t="str">
        <f>F5</f>
        <v>Method 3</v>
      </c>
      <c r="J11">
        <f>COUNT(F6:F13)</f>
        <v>8</v>
      </c>
      <c r="K11">
        <f>SUM(F6:F13)</f>
        <v>624</v>
      </c>
      <c r="L11">
        <f>AVERAGE(F6:F13)</f>
        <v>78</v>
      </c>
      <c r="M11">
        <f>VAR(F6:F13)</f>
        <v>164.57142857142858</v>
      </c>
      <c r="N11">
        <f>DEVSQ(F6:F13)</f>
        <v>1152</v>
      </c>
      <c r="O11">
        <f>SQRT(L17/J11)</f>
        <v>4.7059201569735034</v>
      </c>
      <c r="P11">
        <f>L11-O11*TINV(O7,J11-1)</f>
        <v>66.872267070761126</v>
      </c>
      <c r="Q11">
        <f>L11+O11*TINV(O7,J11-1)</f>
        <v>89.127732929238874</v>
      </c>
      <c r="S11" s="532" t="str">
        <v>Method 1</v>
      </c>
      <c r="T11" s="533">
        <v>87</v>
      </c>
    </row>
    <row r="12" spans="1:20" x14ac:dyDescent="0.25">
      <c r="A12" s="532" t="s">
        <v>47</v>
      </c>
      <c r="B12" s="533">
        <v>65</v>
      </c>
      <c r="D12" s="501">
        <v>87</v>
      </c>
      <c r="E12" s="7">
        <v>91</v>
      </c>
      <c r="F12" s="7">
        <v>85</v>
      </c>
      <c r="G12" s="57" t="str">
        <v/>
      </c>
      <c r="I12" t="str">
        <f>G5</f>
        <v>Method 4</v>
      </c>
      <c r="J12">
        <f>COUNT(G6:G13)</f>
        <v>6</v>
      </c>
      <c r="K12">
        <f>SUM(G6:G13)</f>
        <v>419</v>
      </c>
      <c r="L12">
        <f>AVERAGE(G6:G13)</f>
        <v>69.833333333333329</v>
      </c>
      <c r="M12">
        <f>VAR(G6:G13)</f>
        <v>144.16666666666643</v>
      </c>
      <c r="N12">
        <f>DEVSQ(G6:G13)</f>
        <v>720.83333333333337</v>
      </c>
      <c r="O12">
        <f>SQRT(L17/J12)</f>
        <v>5.4339285388270762</v>
      </c>
      <c r="P12">
        <f>L12-O12*TINV(O7,J12-1)</f>
        <v>55.864975335278665</v>
      </c>
      <c r="Q12">
        <f>L12+O12*TINV(O7,J12-1)</f>
        <v>83.801691331387985</v>
      </c>
      <c r="S12" s="532" t="str">
        <v>Method 2</v>
      </c>
      <c r="T12" s="533">
        <v>52</v>
      </c>
    </row>
    <row r="13" spans="1:20" x14ac:dyDescent="0.25">
      <c r="A13" s="532" t="s">
        <v>47</v>
      </c>
      <c r="B13" s="533">
        <v>67</v>
      </c>
      <c r="D13" s="759" t="str">
        <v/>
      </c>
      <c r="E13" s="760">
        <v>92</v>
      </c>
      <c r="F13" s="760">
        <v>98</v>
      </c>
      <c r="G13" s="761" t="str">
        <v/>
      </c>
      <c r="I13" s="4"/>
      <c r="J13" s="4"/>
      <c r="K13" s="4"/>
      <c r="L13" s="4"/>
      <c r="M13" s="4"/>
      <c r="N13" s="4"/>
      <c r="O13" s="4"/>
      <c r="P13" s="4"/>
      <c r="Q13" s="4"/>
      <c r="S13" s="532" t="str">
        <v>Method 2</v>
      </c>
      <c r="T13" s="533">
        <v>73</v>
      </c>
    </row>
    <row r="14" spans="1:20" ht="15.75" thickBot="1" x14ac:dyDescent="0.3">
      <c r="A14" s="532" t="s">
        <v>47</v>
      </c>
      <c r="B14" s="533">
        <v>71</v>
      </c>
      <c r="I14" t="s">
        <v>294</v>
      </c>
      <c r="S14" s="532" t="str">
        <v>Method 2</v>
      </c>
      <c r="T14" s="533">
        <v>74</v>
      </c>
    </row>
    <row r="15" spans="1:20" ht="15.75" thickTop="1" x14ac:dyDescent="0.25">
      <c r="A15" s="532" t="s">
        <v>40</v>
      </c>
      <c r="B15" s="533">
        <v>73</v>
      </c>
      <c r="I15" s="754" t="s">
        <v>459</v>
      </c>
      <c r="J15" s="754" t="s">
        <v>219</v>
      </c>
      <c r="K15" s="754" t="s">
        <v>60</v>
      </c>
      <c r="L15" s="754" t="s">
        <v>240</v>
      </c>
      <c r="M15" s="754" t="s">
        <v>135</v>
      </c>
      <c r="N15" s="754" t="s">
        <v>460</v>
      </c>
      <c r="O15" s="754" t="s">
        <v>467</v>
      </c>
      <c r="P15" s="754" t="s">
        <v>1231</v>
      </c>
      <c r="Q15" s="754" t="s">
        <v>1232</v>
      </c>
      <c r="S15" s="532" t="str">
        <v>Method 2</v>
      </c>
      <c r="T15" s="533">
        <v>79</v>
      </c>
    </row>
    <row r="16" spans="1:20" x14ac:dyDescent="0.25">
      <c r="A16" s="532" t="s">
        <v>40</v>
      </c>
      <c r="B16" s="533">
        <v>74</v>
      </c>
      <c r="I16" t="s">
        <v>462</v>
      </c>
      <c r="J16">
        <f>J18-J17</f>
        <v>1394.1734400656815</v>
      </c>
      <c r="K16">
        <f>COUNTA(I9:I12)-1</f>
        <v>3</v>
      </c>
      <c r="L16">
        <f>J16/K16</f>
        <v>464.72448002189384</v>
      </c>
      <c r="M16">
        <f>L16/L17</f>
        <v>2.6231097052015593</v>
      </c>
      <c r="N16">
        <f>FDIST(M16,K16,K17)</f>
        <v>7.276057641397829E-2</v>
      </c>
      <c r="O16">
        <f>FINV(O7,K16,K17)</f>
        <v>2.9912409095499513</v>
      </c>
      <c r="P16">
        <f>SQRT(DEVSQ(L9:L12)/(L17*K16))</f>
        <v>0.59750859005399493</v>
      </c>
      <c r="Q16">
        <f>(J18-K18*L17)/(J18+L17)</f>
        <v>0.14376810060170994</v>
      </c>
      <c r="S16" s="532" t="str">
        <v>Method 2</v>
      </c>
      <c r="T16" s="533">
        <v>80</v>
      </c>
    </row>
    <row r="17" spans="1:20" x14ac:dyDescent="0.25">
      <c r="A17" s="532" t="s">
        <v>46</v>
      </c>
      <c r="B17" s="533">
        <v>74</v>
      </c>
      <c r="I17" t="s">
        <v>463</v>
      </c>
      <c r="J17">
        <f>SUM(N9:N12)</f>
        <v>4429.1369047619046</v>
      </c>
      <c r="K17">
        <f>K18-K16</f>
        <v>25</v>
      </c>
      <c r="L17">
        <f>J17/K17</f>
        <v>177.16547619047617</v>
      </c>
      <c r="S17" s="532" t="str">
        <v>Method 2</v>
      </c>
      <c r="T17" s="533">
        <v>82</v>
      </c>
    </row>
    <row r="18" spans="1:20" x14ac:dyDescent="0.25">
      <c r="A18" s="532" t="s">
        <v>39</v>
      </c>
      <c r="B18" s="533">
        <v>79</v>
      </c>
      <c r="I18" s="762" t="s">
        <v>1</v>
      </c>
      <c r="J18" s="762">
        <f>DEVSQ(D6:G13)</f>
        <v>5823.3103448275861</v>
      </c>
      <c r="K18" s="762">
        <f>COUNT(D6:G13)-1</f>
        <v>28</v>
      </c>
      <c r="L18" s="762">
        <f>J18/K18</f>
        <v>207.97536945812809</v>
      </c>
      <c r="M18" s="762"/>
      <c r="N18" s="762"/>
      <c r="O18" s="762"/>
      <c r="P18" s="762"/>
      <c r="Q18" s="762"/>
      <c r="S18" s="532" t="str">
        <v>Method 2</v>
      </c>
      <c r="T18" s="533">
        <v>91</v>
      </c>
    </row>
    <row r="19" spans="1:20" x14ac:dyDescent="0.25">
      <c r="A19" s="532" t="s">
        <v>40</v>
      </c>
      <c r="B19" s="533">
        <v>79</v>
      </c>
      <c r="S19" s="532" t="str">
        <v>Method 2</v>
      </c>
      <c r="T19" s="533">
        <v>92</v>
      </c>
    </row>
    <row r="20" spans="1:20" x14ac:dyDescent="0.25">
      <c r="A20" s="532" t="s">
        <v>46</v>
      </c>
      <c r="B20" s="533">
        <v>79</v>
      </c>
      <c r="S20" s="532" t="str">
        <v>Method 3</v>
      </c>
      <c r="T20" s="533">
        <v>58</v>
      </c>
    </row>
    <row r="21" spans="1:20" x14ac:dyDescent="0.25">
      <c r="A21" s="532" t="s">
        <v>40</v>
      </c>
      <c r="B21" s="533">
        <v>80</v>
      </c>
      <c r="S21" s="532" t="str">
        <v>Method 3</v>
      </c>
      <c r="T21" s="533">
        <v>63</v>
      </c>
    </row>
    <row r="22" spans="1:20" x14ac:dyDescent="0.25">
      <c r="A22" s="532" t="s">
        <v>47</v>
      </c>
      <c r="B22" s="533">
        <v>80</v>
      </c>
      <c r="S22" s="532" t="str">
        <v>Method 3</v>
      </c>
      <c r="T22" s="533">
        <v>74</v>
      </c>
    </row>
    <row r="23" spans="1:20" x14ac:dyDescent="0.25">
      <c r="A23" s="532" t="s">
        <v>40</v>
      </c>
      <c r="B23" s="533">
        <v>82</v>
      </c>
      <c r="S23" s="532" t="str">
        <v>Method 3</v>
      </c>
      <c r="T23" s="533">
        <v>79</v>
      </c>
    </row>
    <row r="24" spans="1:20" x14ac:dyDescent="0.25">
      <c r="A24" s="532" t="s">
        <v>46</v>
      </c>
      <c r="B24" s="533">
        <v>83</v>
      </c>
      <c r="S24" s="532" t="str">
        <v>Method 3</v>
      </c>
      <c r="T24" s="533">
        <v>83</v>
      </c>
    </row>
    <row r="25" spans="1:20" x14ac:dyDescent="0.25">
      <c r="A25" s="532" t="s">
        <v>46</v>
      </c>
      <c r="B25" s="533">
        <v>84</v>
      </c>
      <c r="S25" s="532" t="str">
        <v>Method 3</v>
      </c>
      <c r="T25" s="533">
        <v>84</v>
      </c>
    </row>
    <row r="26" spans="1:20" x14ac:dyDescent="0.25">
      <c r="A26" s="532" t="s">
        <v>46</v>
      </c>
      <c r="B26" s="533">
        <v>85</v>
      </c>
      <c r="S26" s="532" t="str">
        <v>Method 3</v>
      </c>
      <c r="T26" s="533">
        <v>85</v>
      </c>
    </row>
    <row r="27" spans="1:20" x14ac:dyDescent="0.25">
      <c r="A27" s="532" t="s">
        <v>47</v>
      </c>
      <c r="B27" s="533">
        <v>85</v>
      </c>
      <c r="S27" s="532" t="str">
        <v>Method 3</v>
      </c>
      <c r="T27" s="533">
        <v>98</v>
      </c>
    </row>
    <row r="28" spans="1:20" x14ac:dyDescent="0.25">
      <c r="A28" s="532" t="s">
        <v>39</v>
      </c>
      <c r="B28" s="533">
        <v>87</v>
      </c>
      <c r="S28" s="532" t="str">
        <v>Method 4</v>
      </c>
      <c r="T28" s="533">
        <v>51</v>
      </c>
    </row>
    <row r="29" spans="1:20" x14ac:dyDescent="0.25">
      <c r="A29" s="532" t="s">
        <v>40</v>
      </c>
      <c r="B29" s="533">
        <v>91</v>
      </c>
      <c r="S29" s="532" t="str">
        <v>Method 4</v>
      </c>
      <c r="T29" s="533">
        <v>65</v>
      </c>
    </row>
    <row r="30" spans="1:20" x14ac:dyDescent="0.25">
      <c r="A30" s="532" t="s">
        <v>40</v>
      </c>
      <c r="B30" s="533">
        <v>92</v>
      </c>
      <c r="S30" s="532" t="str">
        <v>Method 4</v>
      </c>
      <c r="T30" s="533">
        <v>67</v>
      </c>
    </row>
    <row r="31" spans="1:20" x14ac:dyDescent="0.25">
      <c r="A31" s="409" t="s">
        <v>46</v>
      </c>
      <c r="B31" s="417">
        <v>98</v>
      </c>
      <c r="S31" s="532" t="str">
        <v>Method 4</v>
      </c>
      <c r="T31" s="533">
        <v>71</v>
      </c>
    </row>
    <row r="32" spans="1:20" x14ac:dyDescent="0.25">
      <c r="S32" s="532" t="str">
        <v>Method 4</v>
      </c>
      <c r="T32" s="533">
        <v>80</v>
      </c>
    </row>
    <row r="33" spans="19:20" x14ac:dyDescent="0.25">
      <c r="S33" s="532" t="str">
        <v>Method 4</v>
      </c>
      <c r="T33" s="533">
        <v>85</v>
      </c>
    </row>
    <row r="34" spans="19:20" x14ac:dyDescent="0.25">
      <c r="S34" s="532" t="e">
        <v>#N/A</v>
      </c>
      <c r="T34" s="533" t="e">
        <v>#N/A</v>
      </c>
    </row>
    <row r="35" spans="19:20" x14ac:dyDescent="0.25">
      <c r="S35" s="409" t="e">
        <v>#N/A</v>
      </c>
      <c r="T35" s="417" t="e">
        <v>#N/A</v>
      </c>
    </row>
  </sheetData>
  <sortState ref="A3:B31">
    <sortCondition ref="B3:B3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P18"/>
  <sheetViews>
    <sheetView workbookViewId="0">
      <selection activeCell="M5" sqref="M5"/>
    </sheetView>
  </sheetViews>
  <sheetFormatPr defaultRowHeight="15" x14ac:dyDescent="0.25"/>
  <cols>
    <col min="5" max="5" width="4.5703125" customWidth="1"/>
    <col min="6" max="6" width="16.85546875" customWidth="1"/>
    <col min="7" max="7" width="8" customWidth="1"/>
    <col min="8" max="8" width="7.42578125" customWidth="1"/>
    <col min="9" max="9" width="8.28515625" customWidth="1"/>
    <col min="11" max="12" width="8.28515625" customWidth="1"/>
    <col min="14" max="14" width="8.5703125" customWidth="1"/>
    <col min="15" max="15" width="4.85546875" customWidth="1"/>
    <col min="16" max="16" width="22" customWidth="1"/>
    <col min="17" max="17" width="9.7109375" customWidth="1"/>
    <col min="18" max="18" width="0" hidden="1" customWidth="1"/>
    <col min="19" max="19" width="5.140625" customWidth="1"/>
  </cols>
  <sheetData>
    <row r="1" spans="1:16" x14ac:dyDescent="0.25">
      <c r="A1" s="1" t="s">
        <v>585</v>
      </c>
    </row>
    <row r="2" spans="1:16" x14ac:dyDescent="0.25">
      <c r="A2" s="50"/>
      <c r="B2" s="50"/>
    </row>
    <row r="3" spans="1:16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464</v>
      </c>
    </row>
    <row r="4" spans="1:16" x14ac:dyDescent="0.25">
      <c r="A4" s="179">
        <v>51</v>
      </c>
      <c r="B4" s="179">
        <v>82</v>
      </c>
      <c r="C4" s="179">
        <v>79</v>
      </c>
      <c r="D4" s="179">
        <v>85</v>
      </c>
    </row>
    <row r="5" spans="1:16" ht="18.75" thickBot="1" x14ac:dyDescent="0.4">
      <c r="A5" s="50">
        <v>87</v>
      </c>
      <c r="B5" s="50">
        <v>91</v>
      </c>
      <c r="C5" s="50">
        <v>84</v>
      </c>
      <c r="D5" s="50">
        <v>80</v>
      </c>
      <c r="F5" t="s">
        <v>62</v>
      </c>
      <c r="M5" s="53" t="s">
        <v>513</v>
      </c>
      <c r="N5" s="214">
        <f>I7-I8</f>
        <v>-16.589285714285715</v>
      </c>
      <c r="O5" s="7"/>
      <c r="P5" s="16" t="s">
        <v>514</v>
      </c>
    </row>
    <row r="6" spans="1:16" ht="18" x14ac:dyDescent="0.35">
      <c r="A6" s="50">
        <v>50</v>
      </c>
      <c r="B6" s="50">
        <v>92</v>
      </c>
      <c r="C6" s="50">
        <v>74</v>
      </c>
      <c r="D6" s="50">
        <v>65</v>
      </c>
      <c r="F6" s="161" t="s">
        <v>79</v>
      </c>
      <c r="G6" s="161" t="s">
        <v>22</v>
      </c>
      <c r="H6" s="161" t="s">
        <v>21</v>
      </c>
      <c r="I6" s="161" t="s">
        <v>465</v>
      </c>
      <c r="J6" s="161" t="s">
        <v>80</v>
      </c>
      <c r="M6" s="53" t="s">
        <v>481</v>
      </c>
      <c r="N6" s="23">
        <f>I16</f>
        <v>177.16547619047617</v>
      </c>
      <c r="O6" s="7"/>
      <c r="P6" s="16" t="s">
        <v>515</v>
      </c>
    </row>
    <row r="7" spans="1:16" x14ac:dyDescent="0.25">
      <c r="A7" s="50">
        <v>48</v>
      </c>
      <c r="B7" s="50">
        <v>80</v>
      </c>
      <c r="C7" s="50">
        <v>98</v>
      </c>
      <c r="D7" s="50">
        <v>71</v>
      </c>
      <c r="F7" s="19" t="s">
        <v>39</v>
      </c>
      <c r="G7" s="19">
        <v>7</v>
      </c>
      <c r="H7" s="19">
        <v>429</v>
      </c>
      <c r="I7" s="19">
        <v>61.285714285714285</v>
      </c>
      <c r="J7" s="19">
        <v>242.23809523809541</v>
      </c>
      <c r="M7" s="53" t="s">
        <v>425</v>
      </c>
      <c r="N7" s="23">
        <f>SQRT(N6*(1/G7+1/G8))</f>
        <v>6.888761736720622</v>
      </c>
      <c r="O7" s="7"/>
      <c r="P7" s="16" t="s">
        <v>516</v>
      </c>
    </row>
    <row r="8" spans="1:16" x14ac:dyDescent="0.25">
      <c r="A8" s="50">
        <v>79</v>
      </c>
      <c r="B8" s="50">
        <v>52</v>
      </c>
      <c r="C8" s="50">
        <v>63</v>
      </c>
      <c r="D8" s="50">
        <v>67</v>
      </c>
      <c r="F8" s="19" t="s">
        <v>40</v>
      </c>
      <c r="G8" s="19">
        <v>8</v>
      </c>
      <c r="H8" s="19">
        <v>623</v>
      </c>
      <c r="I8" s="19">
        <v>77.875</v>
      </c>
      <c r="J8" s="19">
        <v>157.55357142857142</v>
      </c>
      <c r="M8" s="53" t="s">
        <v>63</v>
      </c>
      <c r="N8" s="23">
        <f>N5/N7</f>
        <v>-2.4081665687254561</v>
      </c>
      <c r="O8" s="7"/>
      <c r="P8" s="16" t="s">
        <v>517</v>
      </c>
    </row>
    <row r="9" spans="1:16" ht="18" x14ac:dyDescent="0.35">
      <c r="A9" s="50">
        <v>61</v>
      </c>
      <c r="B9" s="50">
        <v>79</v>
      </c>
      <c r="C9" s="50">
        <v>83</v>
      </c>
      <c r="D9" s="50">
        <v>51</v>
      </c>
      <c r="F9" s="19" t="s">
        <v>46</v>
      </c>
      <c r="G9" s="19">
        <v>8</v>
      </c>
      <c r="H9" s="19">
        <v>624</v>
      </c>
      <c r="I9" s="19">
        <v>78</v>
      </c>
      <c r="J9" s="19">
        <v>164.57142857142858</v>
      </c>
      <c r="M9" s="53" t="s">
        <v>520</v>
      </c>
      <c r="N9" s="23">
        <f>H16</f>
        <v>25</v>
      </c>
      <c r="O9" s="7"/>
      <c r="P9" s="16" t="s">
        <v>518</v>
      </c>
    </row>
    <row r="10" spans="1:16" ht="15.75" thickBot="1" x14ac:dyDescent="0.3">
      <c r="A10" s="50">
        <v>53</v>
      </c>
      <c r="B10" s="50">
        <v>73</v>
      </c>
      <c r="C10" s="50">
        <v>85</v>
      </c>
      <c r="D10" s="50"/>
      <c r="F10" s="20" t="s">
        <v>47</v>
      </c>
      <c r="G10" s="20">
        <v>6</v>
      </c>
      <c r="H10" s="20">
        <v>419</v>
      </c>
      <c r="I10" s="20">
        <v>69.833333333333329</v>
      </c>
      <c r="J10" s="20">
        <v>144.16666666666643</v>
      </c>
      <c r="M10" s="53" t="s">
        <v>67</v>
      </c>
      <c r="N10" s="168">
        <f>TDIST(ABS(N8),N9,2)</f>
        <v>2.3734329328748829E-2</v>
      </c>
      <c r="O10" s="7"/>
      <c r="P10" s="16" t="s">
        <v>519</v>
      </c>
    </row>
    <row r="11" spans="1:16" x14ac:dyDescent="0.25">
      <c r="A11" s="188"/>
      <c r="B11" s="188">
        <v>74</v>
      </c>
      <c r="C11" s="188">
        <v>58</v>
      </c>
      <c r="D11" s="188"/>
    </row>
    <row r="12" spans="1:16" x14ac:dyDescent="0.25">
      <c r="A12" s="50"/>
      <c r="B12" s="50"/>
    </row>
    <row r="13" spans="1:16" ht="15.75" thickBot="1" x14ac:dyDescent="0.3">
      <c r="A13" s="50"/>
      <c r="B13" s="50"/>
      <c r="F13" t="s">
        <v>294</v>
      </c>
    </row>
    <row r="14" spans="1:16" x14ac:dyDescent="0.25">
      <c r="A14" s="50"/>
      <c r="B14" s="50"/>
      <c r="F14" s="161" t="s">
        <v>466</v>
      </c>
      <c r="G14" s="161" t="s">
        <v>219</v>
      </c>
      <c r="H14" s="161" t="s">
        <v>60</v>
      </c>
      <c r="I14" s="161" t="s">
        <v>240</v>
      </c>
      <c r="J14" s="161" t="s">
        <v>135</v>
      </c>
      <c r="K14" s="161" t="s">
        <v>119</v>
      </c>
      <c r="L14" s="161" t="s">
        <v>467</v>
      </c>
    </row>
    <row r="15" spans="1:16" x14ac:dyDescent="0.25">
      <c r="A15" s="50"/>
      <c r="B15" s="50"/>
      <c r="F15" s="19" t="s">
        <v>462</v>
      </c>
      <c r="G15" s="19">
        <v>1394.1734400656824</v>
      </c>
      <c r="H15" s="19">
        <v>3</v>
      </c>
      <c r="I15" s="19">
        <v>464.72448002189412</v>
      </c>
      <c r="J15" s="19">
        <v>2.6231097052015611</v>
      </c>
      <c r="K15" s="19">
        <v>7.2760576413978123E-2</v>
      </c>
      <c r="L15" s="19">
        <v>2.9912409095499513</v>
      </c>
    </row>
    <row r="16" spans="1:16" x14ac:dyDescent="0.25">
      <c r="A16" s="50"/>
      <c r="B16" s="50"/>
      <c r="F16" s="19" t="s">
        <v>463</v>
      </c>
      <c r="G16" s="19">
        <v>4429.1369047619046</v>
      </c>
      <c r="H16" s="19">
        <v>25</v>
      </c>
      <c r="I16" s="19">
        <v>177.16547619047617</v>
      </c>
      <c r="J16" s="19"/>
      <c r="K16" s="19"/>
      <c r="L16" s="19"/>
    </row>
    <row r="17" spans="1:12" x14ac:dyDescent="0.25">
      <c r="A17" s="50"/>
      <c r="B17" s="50"/>
      <c r="F17" s="19"/>
      <c r="G17" s="19"/>
      <c r="H17" s="19"/>
      <c r="I17" s="19"/>
      <c r="J17" s="19"/>
      <c r="K17" s="19"/>
      <c r="L17" s="19"/>
    </row>
    <row r="18" spans="1:12" ht="15.75" thickBot="1" x14ac:dyDescent="0.3">
      <c r="F18" s="20" t="s">
        <v>1</v>
      </c>
      <c r="G18" s="20">
        <v>5823.310344827587</v>
      </c>
      <c r="H18" s="20">
        <v>28</v>
      </c>
      <c r="I18" s="20"/>
      <c r="J18" s="20"/>
      <c r="K18" s="20"/>
      <c r="L18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X39"/>
  <sheetViews>
    <sheetView workbookViewId="0"/>
  </sheetViews>
  <sheetFormatPr defaultRowHeight="15" x14ac:dyDescent="0.25"/>
  <cols>
    <col min="5" max="5" width="4.5703125" customWidth="1"/>
    <col min="6" max="6" width="16.28515625" customWidth="1"/>
    <col min="7" max="7" width="8" customWidth="1"/>
    <col min="8" max="8" width="7.42578125" customWidth="1"/>
    <col min="9" max="9" width="8.28515625" customWidth="1"/>
    <col min="11" max="12" width="8.28515625" customWidth="1"/>
    <col min="13" max="13" width="6.7109375" customWidth="1"/>
    <col min="14" max="14" width="9.42578125" customWidth="1"/>
    <col min="15" max="15" width="7.7109375" customWidth="1"/>
    <col min="17" max="17" width="7.5703125" customWidth="1"/>
  </cols>
  <sheetData>
    <row r="1" spans="1:19" x14ac:dyDescent="0.25">
      <c r="A1" s="1" t="s">
        <v>584</v>
      </c>
    </row>
    <row r="2" spans="1:19" x14ac:dyDescent="0.25">
      <c r="A2" s="50"/>
      <c r="B2" s="50"/>
    </row>
    <row r="3" spans="1:19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457</v>
      </c>
      <c r="N3" t="s">
        <v>507</v>
      </c>
    </row>
    <row r="4" spans="1:19" x14ac:dyDescent="0.25">
      <c r="A4" s="179">
        <v>51</v>
      </c>
      <c r="B4" s="179">
        <v>82</v>
      </c>
      <c r="C4" s="179">
        <v>79</v>
      </c>
      <c r="D4" s="179">
        <v>85</v>
      </c>
    </row>
    <row r="5" spans="1:19" ht="15.75" thickBot="1" x14ac:dyDescent="0.3">
      <c r="A5" s="50">
        <v>87</v>
      </c>
      <c r="B5" s="50">
        <v>91</v>
      </c>
      <c r="C5" s="50">
        <v>84</v>
      </c>
      <c r="D5" s="50">
        <v>80</v>
      </c>
      <c r="F5" t="s">
        <v>458</v>
      </c>
      <c r="N5" t="s">
        <v>512</v>
      </c>
      <c r="R5" s="152" t="s">
        <v>34</v>
      </c>
      <c r="S5" s="152">
        <v>0.05</v>
      </c>
    </row>
    <row r="6" spans="1:19" ht="15.75" thickTop="1" x14ac:dyDescent="0.25">
      <c r="A6" s="50">
        <v>50</v>
      </c>
      <c r="B6" s="50">
        <v>92</v>
      </c>
      <c r="C6" s="50">
        <v>74</v>
      </c>
      <c r="D6" s="50">
        <v>65</v>
      </c>
      <c r="F6" s="32" t="s">
        <v>79</v>
      </c>
      <c r="G6" s="32" t="s">
        <v>22</v>
      </c>
      <c r="H6" s="32" t="s">
        <v>21</v>
      </c>
      <c r="I6" s="32" t="s">
        <v>10</v>
      </c>
      <c r="J6" s="32" t="s">
        <v>80</v>
      </c>
      <c r="K6" s="32" t="s">
        <v>219</v>
      </c>
      <c r="N6" s="32" t="s">
        <v>79</v>
      </c>
      <c r="O6" s="32" t="s">
        <v>43</v>
      </c>
      <c r="P6" s="32" t="s">
        <v>7</v>
      </c>
      <c r="Q6" s="32" t="s">
        <v>31</v>
      </c>
      <c r="R6" s="32" t="s">
        <v>508</v>
      </c>
      <c r="S6" s="32" t="s">
        <v>510</v>
      </c>
    </row>
    <row r="7" spans="1:19" x14ac:dyDescent="0.25">
      <c r="A7" s="50">
        <v>48</v>
      </c>
      <c r="B7" s="50">
        <v>80</v>
      </c>
      <c r="C7" s="50">
        <v>98</v>
      </c>
      <c r="D7" s="50">
        <v>71</v>
      </c>
      <c r="F7" t="s">
        <v>39</v>
      </c>
      <c r="G7">
        <f>COUNT(A4:A11)</f>
        <v>7</v>
      </c>
      <c r="H7">
        <f>SUM(A4:A11)</f>
        <v>429</v>
      </c>
      <c r="I7">
        <f>AVERAGE(A4:A11)</f>
        <v>61.285714285714285</v>
      </c>
      <c r="J7">
        <f>VAR(A4:A11)</f>
        <v>242.23809523809541</v>
      </c>
      <c r="K7">
        <f>DEVSQ(A4:A11)</f>
        <v>1453.4285714285713</v>
      </c>
      <c r="N7" t="s">
        <v>39</v>
      </c>
      <c r="O7">
        <v>-0.5</v>
      </c>
      <c r="P7">
        <f>I7</f>
        <v>61.285714285714285</v>
      </c>
      <c r="Q7">
        <f>G7</f>
        <v>7</v>
      </c>
      <c r="R7">
        <f>O7^2/Q7</f>
        <v>3.5714285714285712E-2</v>
      </c>
      <c r="S7">
        <f>O7*P7</f>
        <v>-30.642857142857142</v>
      </c>
    </row>
    <row r="8" spans="1:19" x14ac:dyDescent="0.25">
      <c r="A8" s="50">
        <v>79</v>
      </c>
      <c r="B8" s="50">
        <v>52</v>
      </c>
      <c r="C8" s="50">
        <v>63</v>
      </c>
      <c r="D8" s="50">
        <v>67</v>
      </c>
      <c r="F8" t="s">
        <v>40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N8" t="s">
        <v>40</v>
      </c>
      <c r="O8">
        <v>0.5</v>
      </c>
      <c r="P8">
        <f>I8</f>
        <v>77.875</v>
      </c>
      <c r="Q8">
        <f>G8</f>
        <v>8</v>
      </c>
      <c r="R8">
        <f>O8^2/Q8</f>
        <v>3.125E-2</v>
      </c>
      <c r="S8">
        <f>O8*P8</f>
        <v>38.9375</v>
      </c>
    </row>
    <row r="9" spans="1:19" x14ac:dyDescent="0.25">
      <c r="A9" s="50">
        <v>61</v>
      </c>
      <c r="B9" s="50">
        <v>79</v>
      </c>
      <c r="C9" s="50">
        <v>83</v>
      </c>
      <c r="D9" s="50">
        <v>51</v>
      </c>
      <c r="F9" t="s">
        <v>46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N9" t="s">
        <v>46</v>
      </c>
    </row>
    <row r="10" spans="1:19" x14ac:dyDescent="0.25">
      <c r="A10" s="50">
        <v>53</v>
      </c>
      <c r="B10" s="50">
        <v>73</v>
      </c>
      <c r="C10" s="50">
        <v>85</v>
      </c>
      <c r="D10" s="50"/>
      <c r="F10" t="s">
        <v>47</v>
      </c>
      <c r="G10">
        <f>COUNT(D4:D11)</f>
        <v>6</v>
      </c>
      <c r="H10">
        <f>SUM(D4:D11)</f>
        <v>419</v>
      </c>
      <c r="I10">
        <f>AVERAGE(D4:D11)</f>
        <v>69.833333333333329</v>
      </c>
      <c r="J10">
        <f>VAR(D4:D11)</f>
        <v>144.16666666666643</v>
      </c>
      <c r="K10">
        <f>DEVSQ(D4:D11)</f>
        <v>720.83333333333348</v>
      </c>
      <c r="N10" t="s">
        <v>47</v>
      </c>
      <c r="O10" s="135"/>
      <c r="P10" s="135"/>
      <c r="Q10" s="135"/>
      <c r="R10" s="135"/>
      <c r="S10" s="135"/>
    </row>
    <row r="11" spans="1:19" x14ac:dyDescent="0.25">
      <c r="A11" s="188"/>
      <c r="B11" s="188">
        <v>74</v>
      </c>
      <c r="C11" s="188">
        <v>58</v>
      </c>
      <c r="D11" s="188"/>
      <c r="F11" s="170"/>
      <c r="G11" s="170"/>
      <c r="H11" s="170"/>
      <c r="I11" s="170"/>
      <c r="J11" s="170"/>
      <c r="K11" s="170"/>
      <c r="N11" s="170"/>
      <c r="O11" s="7"/>
      <c r="P11" s="7"/>
      <c r="R11">
        <f>SUM(R7:R10)</f>
        <v>6.6964285714285712E-2</v>
      </c>
      <c r="S11">
        <f>SUM(S7:S10)</f>
        <v>8.2946428571428577</v>
      </c>
    </row>
    <row r="12" spans="1:19" ht="15.75" thickBot="1" x14ac:dyDescent="0.3">
      <c r="A12" s="50"/>
      <c r="B12" s="50"/>
      <c r="F12" t="s">
        <v>294</v>
      </c>
      <c r="I12" t="s">
        <v>34</v>
      </c>
      <c r="J12">
        <v>0.05</v>
      </c>
      <c r="N12" t="s">
        <v>509</v>
      </c>
    </row>
    <row r="13" spans="1:19" ht="15.75" thickTop="1" x14ac:dyDescent="0.25">
      <c r="A13" s="50"/>
      <c r="B13" s="50"/>
      <c r="F13" s="32" t="s">
        <v>459</v>
      </c>
      <c r="G13" s="32" t="s">
        <v>219</v>
      </c>
      <c r="H13" s="32" t="s">
        <v>60</v>
      </c>
      <c r="I13" s="32" t="s">
        <v>240</v>
      </c>
      <c r="J13" s="32" t="s">
        <v>135</v>
      </c>
      <c r="K13" s="32" t="s">
        <v>460</v>
      </c>
      <c r="L13" s="32" t="s">
        <v>461</v>
      </c>
      <c r="N13" s="32" t="s">
        <v>212</v>
      </c>
      <c r="O13" s="32" t="s">
        <v>95</v>
      </c>
      <c r="P13" s="32" t="s">
        <v>60</v>
      </c>
      <c r="Q13" s="32" t="s">
        <v>67</v>
      </c>
      <c r="R13" s="32" t="s">
        <v>527</v>
      </c>
    </row>
    <row r="14" spans="1:19" x14ac:dyDescent="0.25">
      <c r="A14" s="50"/>
      <c r="B14" s="50"/>
      <c r="F14" t="s">
        <v>462</v>
      </c>
      <c r="G14">
        <f>G16-G15</f>
        <v>1394.1734400656824</v>
      </c>
      <c r="H14">
        <f>COUNTA(F7:F10)-1</f>
        <v>3</v>
      </c>
      <c r="I14">
        <f>G14/H14</f>
        <v>464.72448002189412</v>
      </c>
      <c r="J14">
        <f>I14/I15</f>
        <v>2.6231097052015611</v>
      </c>
      <c r="K14">
        <f>FDIST(J14,H14,H15)</f>
        <v>7.2760576413978123E-2</v>
      </c>
      <c r="L14">
        <f>FINV(J12,H14,H15)</f>
        <v>2.9912409095499513</v>
      </c>
      <c r="N14" s="218">
        <f>SQRT($I$15*R11)</f>
        <v>3.444380868360311</v>
      </c>
      <c r="O14" s="218">
        <f>S11/N14</f>
        <v>2.4081665687254561</v>
      </c>
      <c r="P14" s="218">
        <f>$H$15</f>
        <v>25</v>
      </c>
      <c r="Q14" s="218">
        <f>TDIST(ABS(O14),P14,2)</f>
        <v>2.3734329328748829E-2</v>
      </c>
      <c r="R14" s="219" t="str">
        <f>IF(Q14&lt;S5,"yes","no")</f>
        <v>yes</v>
      </c>
    </row>
    <row r="15" spans="1:19" x14ac:dyDescent="0.25">
      <c r="A15" s="50"/>
      <c r="B15" s="50"/>
      <c r="F15" t="s">
        <v>463</v>
      </c>
      <c r="G15">
        <f>SUM(K7:K10)</f>
        <v>4429.1369047619046</v>
      </c>
      <c r="H15">
        <f>H16-H14</f>
        <v>25</v>
      </c>
      <c r="I15">
        <f>G15/H15</f>
        <v>177.16547619047617</v>
      </c>
    </row>
    <row r="16" spans="1:19" x14ac:dyDescent="0.25">
      <c r="A16" s="50"/>
      <c r="B16" s="50"/>
      <c r="F16" s="135" t="s">
        <v>1</v>
      </c>
      <c r="G16" s="135">
        <f>DEVSQ(A4:D11)</f>
        <v>5823.310344827587</v>
      </c>
      <c r="H16" s="135">
        <f>COUNT(A4:D11)-1</f>
        <v>28</v>
      </c>
      <c r="I16" s="135">
        <f>G16/H16</f>
        <v>207.97536945812811</v>
      </c>
      <c r="J16" s="135"/>
      <c r="K16" s="135"/>
      <c r="L16" s="135"/>
    </row>
    <row r="17" spans="1:21" ht="15.75" thickBot="1" x14ac:dyDescent="0.3">
      <c r="A17" s="50"/>
      <c r="B17" s="50"/>
      <c r="N17" t="s">
        <v>511</v>
      </c>
      <c r="R17" s="152" t="s">
        <v>34</v>
      </c>
      <c r="S17" s="152">
        <v>0.05</v>
      </c>
    </row>
    <row r="18" spans="1:21" ht="15.75" thickTop="1" x14ac:dyDescent="0.25">
      <c r="N18" s="32" t="s">
        <v>79</v>
      </c>
      <c r="O18" s="32" t="s">
        <v>43</v>
      </c>
      <c r="P18" s="32" t="s">
        <v>7</v>
      </c>
      <c r="Q18" s="32" t="s">
        <v>31</v>
      </c>
      <c r="R18" s="32" t="s">
        <v>508</v>
      </c>
      <c r="S18" s="32" t="s">
        <v>510</v>
      </c>
    </row>
    <row r="19" spans="1:21" x14ac:dyDescent="0.25">
      <c r="N19" t="s">
        <v>39</v>
      </c>
      <c r="O19">
        <v>-0.5</v>
      </c>
      <c r="P19">
        <f>I7</f>
        <v>61.285714285714285</v>
      </c>
      <c r="Q19">
        <f>G7</f>
        <v>7</v>
      </c>
      <c r="R19">
        <f>O19^2/Q19</f>
        <v>3.5714285714285712E-2</v>
      </c>
      <c r="S19">
        <f>O19*P19</f>
        <v>-30.642857142857142</v>
      </c>
    </row>
    <row r="20" spans="1:21" x14ac:dyDescent="0.25">
      <c r="N20" t="s">
        <v>40</v>
      </c>
      <c r="O20">
        <v>-0.5</v>
      </c>
      <c r="P20">
        <f>I8</f>
        <v>77.875</v>
      </c>
      <c r="Q20">
        <f>G8</f>
        <v>8</v>
      </c>
      <c r="R20">
        <f>O20^2/Q20</f>
        <v>3.125E-2</v>
      </c>
      <c r="S20">
        <f>O20*P20</f>
        <v>-38.9375</v>
      </c>
    </row>
    <row r="21" spans="1:21" x14ac:dyDescent="0.25">
      <c r="N21" t="s">
        <v>46</v>
      </c>
    </row>
    <row r="22" spans="1:21" x14ac:dyDescent="0.25">
      <c r="N22" t="s">
        <v>47</v>
      </c>
      <c r="O22" s="135">
        <v>1</v>
      </c>
      <c r="P22" s="135">
        <f>I10</f>
        <v>69.833333333333329</v>
      </c>
      <c r="Q22" s="135">
        <f>G10</f>
        <v>6</v>
      </c>
      <c r="R22" s="135">
        <f>O22^2/Q22</f>
        <v>0.16666666666666666</v>
      </c>
      <c r="S22" s="135">
        <f>O22*P22</f>
        <v>69.833333333333329</v>
      </c>
    </row>
    <row r="23" spans="1:21" x14ac:dyDescent="0.25">
      <c r="N23" s="170"/>
      <c r="O23" s="7"/>
      <c r="P23" s="7"/>
      <c r="R23">
        <f>SUM(R19:R22)</f>
        <v>0.23363095238095238</v>
      </c>
      <c r="S23">
        <f>SUM(S19:S22)</f>
        <v>0.2529761904761898</v>
      </c>
    </row>
    <row r="24" spans="1:21" ht="15.75" thickBot="1" x14ac:dyDescent="0.3">
      <c r="N24" t="s">
        <v>509</v>
      </c>
    </row>
    <row r="25" spans="1:21" ht="15.75" thickTop="1" x14ac:dyDescent="0.25">
      <c r="N25" s="32" t="s">
        <v>212</v>
      </c>
      <c r="O25" s="32" t="s">
        <v>95</v>
      </c>
      <c r="P25" s="32" t="s">
        <v>60</v>
      </c>
      <c r="Q25" s="32" t="s">
        <v>67</v>
      </c>
      <c r="R25" s="32" t="s">
        <v>527</v>
      </c>
      <c r="S25" s="32" t="s">
        <v>68</v>
      </c>
      <c r="T25" s="32" t="s">
        <v>29</v>
      </c>
      <c r="U25" s="32" t="s">
        <v>30</v>
      </c>
    </row>
    <row r="26" spans="1:21" x14ac:dyDescent="0.25">
      <c r="N26" s="218">
        <f>SQRT($I$15*R23)</f>
        <v>6.4336101009779796</v>
      </c>
      <c r="O26" s="218">
        <f>S23/N26</f>
        <v>3.9321032282906704E-2</v>
      </c>
      <c r="P26" s="218">
        <f>$H$15</f>
        <v>25</v>
      </c>
      <c r="Q26" s="218">
        <f>TDIST(ABS(O26),P26,2)</f>
        <v>0.96894676801306101</v>
      </c>
      <c r="R26" s="219" t="str">
        <f>IF(Q26&lt;S17,"yes","no")</f>
        <v>no</v>
      </c>
      <c r="S26" s="219">
        <f>TINV(S17,P26)</f>
        <v>2.0595385527532977</v>
      </c>
      <c r="T26" s="219">
        <f>S23-N26*S26</f>
        <v>-12.997291845870995</v>
      </c>
      <c r="U26" s="219">
        <f>S23+N26*S26</f>
        <v>13.503244226823375</v>
      </c>
    </row>
    <row r="28" spans="1:21" x14ac:dyDescent="0.25">
      <c r="N28" t="s">
        <v>1585</v>
      </c>
    </row>
    <row r="30" spans="1:21" ht="15.75" thickBot="1" x14ac:dyDescent="0.3">
      <c r="N30" t="s">
        <v>511</v>
      </c>
      <c r="S30" t="s">
        <v>34</v>
      </c>
      <c r="T30">
        <v>0.05</v>
      </c>
    </row>
    <row r="31" spans="1:21" ht="15.75" thickTop="1" x14ac:dyDescent="0.25">
      <c r="N31" s="32" t="s">
        <v>79</v>
      </c>
      <c r="O31" s="32" t="s">
        <v>43</v>
      </c>
      <c r="P31" s="32" t="s">
        <v>7</v>
      </c>
      <c r="Q31" s="32" t="s">
        <v>31</v>
      </c>
      <c r="R31" s="32" t="s">
        <v>1233</v>
      </c>
      <c r="S31" s="32" t="s">
        <v>508</v>
      </c>
      <c r="T31" s="32" t="s">
        <v>1234</v>
      </c>
    </row>
    <row r="32" spans="1:21" x14ac:dyDescent="0.25">
      <c r="N32" t="s">
        <v>39</v>
      </c>
      <c r="O32">
        <v>-0.5</v>
      </c>
      <c r="P32">
        <f>AVERAGE(A4:A11)</f>
        <v>61.285714285714285</v>
      </c>
      <c r="Q32">
        <f>COUNT(A4:A11)</f>
        <v>7</v>
      </c>
      <c r="R32">
        <f>DEVSQ(A4:A11)</f>
        <v>1453.4285714285713</v>
      </c>
      <c r="S32">
        <f>O32^2/Q32</f>
        <v>3.5714285714285712E-2</v>
      </c>
      <c r="T32">
        <f>O32*P32</f>
        <v>-30.642857142857142</v>
      </c>
    </row>
    <row r="33" spans="14:24" x14ac:dyDescent="0.25">
      <c r="N33" t="s">
        <v>40</v>
      </c>
      <c r="O33">
        <v>-0.5</v>
      </c>
      <c r="P33">
        <f>AVERAGE(B4:B11)</f>
        <v>77.875</v>
      </c>
      <c r="Q33">
        <f>COUNT(B4:B11)</f>
        <v>8</v>
      </c>
      <c r="R33">
        <f>DEVSQ(B4:B11)</f>
        <v>1102.875</v>
      </c>
      <c r="S33">
        <f>O33^2/Q33</f>
        <v>3.125E-2</v>
      </c>
      <c r="T33">
        <f>O33*P33</f>
        <v>-38.9375</v>
      </c>
    </row>
    <row r="34" spans="14:24" x14ac:dyDescent="0.25">
      <c r="N34" t="s">
        <v>46</v>
      </c>
      <c r="P34">
        <f>AVERAGE(C4:C11)</f>
        <v>78</v>
      </c>
      <c r="Q34">
        <f>COUNT(C4:C11)</f>
        <v>8</v>
      </c>
      <c r="R34">
        <f>DEVSQ(C4:C11)</f>
        <v>1152</v>
      </c>
      <c r="S34">
        <f>O34^2/Q34</f>
        <v>0</v>
      </c>
      <c r="T34">
        <f>O34*P34</f>
        <v>0</v>
      </c>
    </row>
    <row r="35" spans="14:24" x14ac:dyDescent="0.25">
      <c r="N35" t="s">
        <v>47</v>
      </c>
      <c r="O35" s="135">
        <v>1</v>
      </c>
      <c r="P35">
        <f>AVERAGE(D4:D11)</f>
        <v>69.833333333333329</v>
      </c>
      <c r="Q35">
        <f>COUNT(D4:D11)</f>
        <v>6</v>
      </c>
      <c r="R35">
        <f>DEVSQ(D4:D11)</f>
        <v>720.83333333333348</v>
      </c>
      <c r="S35">
        <f>O35^2/Q35</f>
        <v>0.16666666666666666</v>
      </c>
      <c r="T35">
        <f>O35*P35</f>
        <v>69.833333333333329</v>
      </c>
    </row>
    <row r="36" spans="14:24" x14ac:dyDescent="0.25">
      <c r="N36" s="542"/>
      <c r="O36" s="542"/>
      <c r="P36" s="542"/>
      <c r="Q36" s="542">
        <f>SUM(Q32:Q35)</f>
        <v>29</v>
      </c>
      <c r="R36" s="542">
        <f>SUM(R32:R35)</f>
        <v>4429.1369047619046</v>
      </c>
      <c r="S36" s="542">
        <f>SUM(S32:S35)</f>
        <v>0.23363095238095238</v>
      </c>
      <c r="T36" s="542">
        <f>SUM(T32:T35)</f>
        <v>0.2529761904761898</v>
      </c>
    </row>
    <row r="37" spans="14:24" ht="15.75" thickBot="1" x14ac:dyDescent="0.3">
      <c r="N37" t="s">
        <v>65</v>
      </c>
    </row>
    <row r="38" spans="14:24" ht="15.75" thickTop="1" x14ac:dyDescent="0.25">
      <c r="N38" s="589" t="s">
        <v>1000</v>
      </c>
      <c r="O38" s="589" t="s">
        <v>95</v>
      </c>
      <c r="P38" s="589" t="s">
        <v>60</v>
      </c>
      <c r="Q38" s="589" t="s">
        <v>67</v>
      </c>
      <c r="R38" s="589" t="s">
        <v>68</v>
      </c>
      <c r="S38" s="589" t="s">
        <v>29</v>
      </c>
      <c r="T38" s="589" t="s">
        <v>30</v>
      </c>
      <c r="U38" s="589" t="s">
        <v>527</v>
      </c>
      <c r="V38" s="589" t="s">
        <v>1235</v>
      </c>
      <c r="W38" s="589" t="s">
        <v>1009</v>
      </c>
    </row>
    <row r="39" spans="14:24" x14ac:dyDescent="0.25">
      <c r="N39" s="590">
        <f>SQRT(S36*R36/P39)</f>
        <v>6.4336101009779805</v>
      </c>
      <c r="O39" s="590">
        <f>T36/N39</f>
        <v>3.9321032282906697E-2</v>
      </c>
      <c r="P39" s="590">
        <f>Q36-COUNT(Q32:Q35)</f>
        <v>25</v>
      </c>
      <c r="Q39" s="590">
        <f>TDIST(ABS(O39),P39,2)</f>
        <v>0.96894676801306101</v>
      </c>
      <c r="R39" s="590">
        <f>TINV(T30,P39)</f>
        <v>2.0595385527532977</v>
      </c>
      <c r="S39" s="590">
        <f>T36-N39*R39</f>
        <v>-12.997291845870997</v>
      </c>
      <c r="T39" s="590">
        <f>T36+N39*R39</f>
        <v>13.503244226823377</v>
      </c>
      <c r="U39" s="591" t="str">
        <f>IF(Q39&lt;T30,"yes","no")</f>
        <v>no</v>
      </c>
      <c r="V39" s="591">
        <f>ABS(T36)/N39</f>
        <v>3.9321032282906697E-2</v>
      </c>
      <c r="W39" s="590">
        <f>SQRT(O39^2/(O39^2+P39))</f>
        <v>7.8639632840142113E-3</v>
      </c>
      <c r="X39" s="58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U107"/>
  <sheetViews>
    <sheetView workbookViewId="0"/>
  </sheetViews>
  <sheetFormatPr defaultRowHeight="15" x14ac:dyDescent="0.25"/>
  <cols>
    <col min="1" max="4" width="8" customWidth="1"/>
    <col min="5" max="5" width="4.5703125" customWidth="1"/>
    <col min="6" max="6" width="17.140625" customWidth="1"/>
    <col min="7" max="7" width="8" customWidth="1"/>
    <col min="8" max="8" width="7.42578125" customWidth="1"/>
    <col min="9" max="9" width="8.28515625" customWidth="1"/>
    <col min="11" max="12" width="8.28515625" customWidth="1"/>
    <col min="13" max="13" width="6.7109375" customWidth="1"/>
    <col min="14" max="14" width="13" customWidth="1"/>
    <col min="15" max="15" width="7.7109375" customWidth="1"/>
    <col min="17" max="17" width="7.5703125" customWidth="1"/>
  </cols>
  <sheetData>
    <row r="1" spans="1:21" x14ac:dyDescent="0.25">
      <c r="A1" s="1" t="s">
        <v>584</v>
      </c>
    </row>
    <row r="2" spans="1:21" x14ac:dyDescent="0.25">
      <c r="A2" s="1"/>
    </row>
    <row r="3" spans="1:21" x14ac:dyDescent="0.25">
      <c r="A3" s="1287" t="s">
        <v>324</v>
      </c>
      <c r="B3" s="1287"/>
      <c r="C3" s="1287" t="s">
        <v>325</v>
      </c>
      <c r="D3" s="1287"/>
      <c r="F3" t="s">
        <v>464</v>
      </c>
      <c r="N3" t="s">
        <v>507</v>
      </c>
    </row>
    <row r="4" spans="1:21" x14ac:dyDescent="0.25">
      <c r="A4" s="220" t="s">
        <v>92</v>
      </c>
      <c r="B4" s="219" t="s">
        <v>91</v>
      </c>
      <c r="C4" s="220" t="s">
        <v>92</v>
      </c>
      <c r="D4" s="223" t="s">
        <v>91</v>
      </c>
    </row>
    <row r="5" spans="1:21" ht="15.75" thickBot="1" x14ac:dyDescent="0.3">
      <c r="A5" s="221">
        <v>3</v>
      </c>
      <c r="B5" s="213">
        <v>2</v>
      </c>
      <c r="C5" s="221">
        <v>5</v>
      </c>
      <c r="D5" s="222">
        <v>4</v>
      </c>
      <c r="F5" t="s">
        <v>62</v>
      </c>
      <c r="N5" t="s">
        <v>512</v>
      </c>
    </row>
    <row r="6" spans="1:21" ht="15.75" thickTop="1" x14ac:dyDescent="0.25">
      <c r="A6" s="35">
        <v>5</v>
      </c>
      <c r="B6" s="50">
        <v>4</v>
      </c>
      <c r="C6" s="35">
        <v>8</v>
      </c>
      <c r="D6" s="36">
        <v>5</v>
      </c>
      <c r="F6" s="161" t="s">
        <v>79</v>
      </c>
      <c r="G6" s="161" t="s">
        <v>22</v>
      </c>
      <c r="H6" s="161" t="s">
        <v>21</v>
      </c>
      <c r="I6" s="161" t="s">
        <v>465</v>
      </c>
      <c r="J6" s="161" t="s">
        <v>80</v>
      </c>
      <c r="K6" s="161" t="s">
        <v>219</v>
      </c>
      <c r="N6" s="32" t="s">
        <v>79</v>
      </c>
      <c r="O6" s="32" t="s">
        <v>43</v>
      </c>
      <c r="P6" s="32" t="s">
        <v>7</v>
      </c>
      <c r="Q6" s="32" t="s">
        <v>31</v>
      </c>
      <c r="R6" s="32" t="s">
        <v>508</v>
      </c>
      <c r="S6" s="32" t="s">
        <v>510</v>
      </c>
    </row>
    <row r="7" spans="1:21" x14ac:dyDescent="0.25">
      <c r="A7" s="35">
        <v>6</v>
      </c>
      <c r="B7" s="50">
        <v>3</v>
      </c>
      <c r="C7" s="35">
        <v>6</v>
      </c>
      <c r="D7" s="36">
        <v>3</v>
      </c>
      <c r="F7" s="19" t="s">
        <v>521</v>
      </c>
      <c r="G7">
        <f>COUNT(A5:A16)</f>
        <v>12</v>
      </c>
      <c r="H7">
        <f>SUM(A5:A16)</f>
        <v>51</v>
      </c>
      <c r="I7">
        <f>AVERAGE(A5:A16)</f>
        <v>4.25</v>
      </c>
      <c r="J7">
        <f>VAR(A5:A16)</f>
        <v>3.1136363636363638</v>
      </c>
      <c r="K7">
        <f>DEVSQ(A5:A16)</f>
        <v>34.25</v>
      </c>
      <c r="N7" s="19" t="s">
        <v>521</v>
      </c>
      <c r="O7">
        <v>0.5</v>
      </c>
      <c r="P7">
        <f>$I$7</f>
        <v>4.25</v>
      </c>
      <c r="Q7">
        <f>$G$7</f>
        <v>12</v>
      </c>
      <c r="R7">
        <f>O7^2/Q7</f>
        <v>2.0833333333333332E-2</v>
      </c>
      <c r="S7">
        <f>O7*P7</f>
        <v>2.125</v>
      </c>
    </row>
    <row r="8" spans="1:21" x14ac:dyDescent="0.25">
      <c r="A8" s="35">
        <v>1</v>
      </c>
      <c r="B8" s="50">
        <v>5</v>
      </c>
      <c r="C8" s="35">
        <v>4</v>
      </c>
      <c r="D8" s="36">
        <v>7</v>
      </c>
      <c r="F8" s="19" t="s">
        <v>522</v>
      </c>
      <c r="G8">
        <f>COUNT(B5:B16)</f>
        <v>12</v>
      </c>
      <c r="H8">
        <f>SUM(B5:B16)</f>
        <v>38</v>
      </c>
      <c r="I8">
        <f>AVERAGE(B5:B16)</f>
        <v>3.1666666666666665</v>
      </c>
      <c r="J8">
        <f>VAR(B5:B16)</f>
        <v>2.6969696969696972</v>
      </c>
      <c r="K8">
        <f>DEVSQ(B5:B16)</f>
        <v>29.666666666666664</v>
      </c>
      <c r="N8" s="19" t="s">
        <v>522</v>
      </c>
      <c r="O8">
        <v>-0.5</v>
      </c>
      <c r="P8">
        <f>$I$8</f>
        <v>3.1666666666666665</v>
      </c>
      <c r="Q8">
        <f>$G$8</f>
        <v>12</v>
      </c>
      <c r="R8">
        <f>O8^2/Q8</f>
        <v>2.0833333333333332E-2</v>
      </c>
      <c r="S8">
        <f>O8*P8</f>
        <v>-1.5833333333333333</v>
      </c>
    </row>
    <row r="9" spans="1:21" x14ac:dyDescent="0.25">
      <c r="A9" s="35">
        <v>5</v>
      </c>
      <c r="B9" s="50">
        <v>1</v>
      </c>
      <c r="C9" s="35">
        <v>7</v>
      </c>
      <c r="D9" s="36">
        <v>6</v>
      </c>
      <c r="F9" s="19" t="s">
        <v>523</v>
      </c>
      <c r="G9">
        <f>COUNT(C5:C16)</f>
        <v>12</v>
      </c>
      <c r="H9">
        <f>SUM(C5:C16)</f>
        <v>67</v>
      </c>
      <c r="I9">
        <f>AVERAGE(C5:C16)</f>
        <v>5.583333333333333</v>
      </c>
      <c r="J9">
        <f>VAR(C5:C16)</f>
        <v>2.4469696969696986</v>
      </c>
      <c r="K9">
        <f>DEVSQ(C5:C16)</f>
        <v>26.916666666666668</v>
      </c>
      <c r="N9" s="19" t="s">
        <v>525</v>
      </c>
      <c r="O9">
        <v>0.5</v>
      </c>
      <c r="P9">
        <f>$I$9</f>
        <v>5.583333333333333</v>
      </c>
      <c r="Q9">
        <f>$G$9</f>
        <v>12</v>
      </c>
      <c r="R9">
        <f>O9^2/Q9</f>
        <v>2.0833333333333332E-2</v>
      </c>
      <c r="S9">
        <f>O9*P9</f>
        <v>2.7916666666666665</v>
      </c>
    </row>
    <row r="10" spans="1:21" ht="15.75" thickBot="1" x14ac:dyDescent="0.3">
      <c r="A10" s="35">
        <v>6</v>
      </c>
      <c r="B10" s="50">
        <v>5</v>
      </c>
      <c r="C10" s="35">
        <v>8</v>
      </c>
      <c r="D10" s="36">
        <v>3</v>
      </c>
      <c r="F10" s="20" t="s">
        <v>524</v>
      </c>
      <c r="G10" s="20">
        <f>COUNT(D5:D16)</f>
        <v>12</v>
      </c>
      <c r="H10" s="20">
        <f>SUM(D5:D16)</f>
        <v>46</v>
      </c>
      <c r="I10" s="20">
        <f>AVERAGE(D5:D16)</f>
        <v>3.8333333333333335</v>
      </c>
      <c r="J10" s="20">
        <f>VAR(D5:D16)</f>
        <v>2.6969696969696959</v>
      </c>
      <c r="K10" s="20">
        <f>DEVSQ(D5:D16)</f>
        <v>29.666666666666664</v>
      </c>
      <c r="N10" s="163" t="s">
        <v>526</v>
      </c>
      <c r="O10" s="135">
        <v>-0.5</v>
      </c>
      <c r="P10" s="135">
        <f>$I$10</f>
        <v>3.8333333333333335</v>
      </c>
      <c r="Q10" s="135">
        <f>$G$10</f>
        <v>12</v>
      </c>
      <c r="R10" s="135">
        <f>O10^2/Q10</f>
        <v>2.0833333333333332E-2</v>
      </c>
      <c r="S10" s="135">
        <f>O10*P10</f>
        <v>-1.9166666666666667</v>
      </c>
    </row>
    <row r="11" spans="1:21" x14ac:dyDescent="0.25">
      <c r="A11" s="35">
        <v>4</v>
      </c>
      <c r="B11" s="50">
        <v>2</v>
      </c>
      <c r="C11" s="35">
        <v>5</v>
      </c>
      <c r="D11" s="36">
        <v>2</v>
      </c>
      <c r="N11" s="7"/>
      <c r="O11" s="7"/>
      <c r="P11" s="7"/>
      <c r="R11">
        <f>SUM(R7:R10)</f>
        <v>8.3333333333333329E-2</v>
      </c>
      <c r="S11">
        <f>SUM(S7:S10)</f>
        <v>1.4166666666666663</v>
      </c>
    </row>
    <row r="12" spans="1:21" x14ac:dyDescent="0.25">
      <c r="A12" s="35">
        <v>3</v>
      </c>
      <c r="B12" s="50">
        <v>3</v>
      </c>
      <c r="C12" s="35">
        <v>6</v>
      </c>
      <c r="D12" s="36">
        <v>2</v>
      </c>
    </row>
    <row r="13" spans="1:21" ht="15.75" thickBot="1" x14ac:dyDescent="0.3">
      <c r="A13" s="35">
        <v>7</v>
      </c>
      <c r="B13" s="50">
        <v>6</v>
      </c>
      <c r="C13" s="35">
        <v>6</v>
      </c>
      <c r="D13" s="36">
        <v>4</v>
      </c>
      <c r="F13" t="s">
        <v>294</v>
      </c>
      <c r="I13" t="s">
        <v>34</v>
      </c>
      <c r="J13">
        <v>0.05</v>
      </c>
      <c r="N13" t="s">
        <v>509</v>
      </c>
      <c r="R13" s="152" t="s">
        <v>34</v>
      </c>
      <c r="S13" s="152">
        <v>0.05</v>
      </c>
    </row>
    <row r="14" spans="1:21" ht="15.75" thickTop="1" x14ac:dyDescent="0.25">
      <c r="A14" s="35">
        <v>4</v>
      </c>
      <c r="B14" s="50">
        <v>2</v>
      </c>
      <c r="C14" s="35">
        <v>3</v>
      </c>
      <c r="D14" s="36">
        <v>5</v>
      </c>
      <c r="F14" s="161" t="s">
        <v>466</v>
      </c>
      <c r="G14" s="161" t="s">
        <v>219</v>
      </c>
      <c r="H14" s="161" t="s">
        <v>60</v>
      </c>
      <c r="I14" s="161" t="s">
        <v>240</v>
      </c>
      <c r="J14" s="161" t="s">
        <v>135</v>
      </c>
      <c r="K14" s="161" t="s">
        <v>119</v>
      </c>
      <c r="L14" s="161" t="s">
        <v>467</v>
      </c>
      <c r="N14" s="32" t="s">
        <v>212</v>
      </c>
      <c r="O14" s="32" t="s">
        <v>95</v>
      </c>
      <c r="P14" s="32" t="s">
        <v>60</v>
      </c>
      <c r="Q14" s="32" t="s">
        <v>67</v>
      </c>
      <c r="R14" s="32" t="s">
        <v>527</v>
      </c>
      <c r="S14" s="32" t="s">
        <v>68</v>
      </c>
      <c r="T14" s="32" t="s">
        <v>29</v>
      </c>
      <c r="U14" s="32" t="s">
        <v>30</v>
      </c>
    </row>
    <row r="15" spans="1:21" x14ac:dyDescent="0.25">
      <c r="A15" s="35">
        <v>5</v>
      </c>
      <c r="B15" s="50">
        <v>4</v>
      </c>
      <c r="C15" s="35">
        <v>4</v>
      </c>
      <c r="D15" s="36">
        <v>2</v>
      </c>
      <c r="F15" s="19" t="s">
        <v>462</v>
      </c>
      <c r="G15">
        <f>G18-G16</f>
        <v>37.416666666666714</v>
      </c>
      <c r="H15">
        <f>COUNTA(A4:D4)-1</f>
        <v>3</v>
      </c>
      <c r="I15">
        <f>G15/H15</f>
        <v>12.472222222222237</v>
      </c>
      <c r="J15">
        <f>I15/I16</f>
        <v>4.554172429691107</v>
      </c>
      <c r="K15">
        <f>FDIST(J15,H15,H16)</f>
        <v>7.2835322244351394E-3</v>
      </c>
      <c r="L15">
        <f>FINV(J13,H15,H16)</f>
        <v>2.8164658165656813</v>
      </c>
      <c r="N15" s="218">
        <f>SQRT($I$16*R11)</f>
        <v>0.47772345239656905</v>
      </c>
      <c r="O15" s="218">
        <f>ABS(S11/N15)</f>
        <v>2.9654534638392827</v>
      </c>
      <c r="P15" s="218">
        <f>$H$16</f>
        <v>44</v>
      </c>
      <c r="Q15" s="218">
        <f>TDIST(ABS(O15),P15,2)</f>
        <v>4.8678818348383687E-3</v>
      </c>
      <c r="R15" s="219" t="str">
        <f>IF(Q15&lt;S13,"yes","no")</f>
        <v>yes</v>
      </c>
      <c r="S15" s="219">
        <f>TINV(S13,P15)</f>
        <v>2.0153675744437649</v>
      </c>
      <c r="T15" s="219">
        <f>S11-N15*S15</f>
        <v>0.45387831115529154</v>
      </c>
      <c r="U15" s="219">
        <f>S11+N15*S15</f>
        <v>2.3794550221780408</v>
      </c>
    </row>
    <row r="16" spans="1:21" x14ac:dyDescent="0.25">
      <c r="A16" s="181">
        <v>2</v>
      </c>
      <c r="B16" s="188">
        <v>1</v>
      </c>
      <c r="C16" s="181">
        <v>5</v>
      </c>
      <c r="D16" s="182">
        <v>3</v>
      </c>
      <c r="F16" s="19" t="s">
        <v>463</v>
      </c>
      <c r="G16">
        <f>SUM(K7:K10)</f>
        <v>120.5</v>
      </c>
      <c r="H16">
        <f>H18-H15</f>
        <v>44</v>
      </c>
      <c r="I16">
        <f>G16/H16</f>
        <v>2.7386363636363638</v>
      </c>
    </row>
    <row r="17" spans="1:21" ht="15.75" thickBot="1" x14ac:dyDescent="0.3">
      <c r="A17" s="50"/>
      <c r="B17" s="50"/>
      <c r="F17" s="19"/>
      <c r="G17" s="19"/>
      <c r="H17" s="19"/>
      <c r="I17" s="19"/>
      <c r="J17" s="19"/>
      <c r="K17" s="19"/>
      <c r="L17" s="19"/>
      <c r="N17" t="s">
        <v>529</v>
      </c>
      <c r="R17" s="152" t="s">
        <v>34</v>
      </c>
      <c r="S17" s="152">
        <f>S13/$H$15</f>
        <v>1.6666666666666666E-2</v>
      </c>
    </row>
    <row r="18" spans="1:21" ht="16.5" thickTop="1" thickBot="1" x14ac:dyDescent="0.3">
      <c r="F18" s="20" t="s">
        <v>1</v>
      </c>
      <c r="G18" s="20">
        <f>DEVSQ(A5:D16)</f>
        <v>157.91666666666671</v>
      </c>
      <c r="H18" s="20">
        <f>COUNT(A5:D16)-1</f>
        <v>47</v>
      </c>
      <c r="I18" s="20">
        <f>G18/H18</f>
        <v>3.3599290780141855</v>
      </c>
      <c r="J18" s="20"/>
      <c r="K18" s="20"/>
      <c r="L18" s="20"/>
      <c r="N18" s="32" t="s">
        <v>212</v>
      </c>
      <c r="O18" s="32" t="s">
        <v>95</v>
      </c>
      <c r="P18" s="32" t="s">
        <v>60</v>
      </c>
      <c r="Q18" s="32" t="s">
        <v>67</v>
      </c>
      <c r="R18" s="32" t="s">
        <v>527</v>
      </c>
      <c r="S18" s="32" t="s">
        <v>68</v>
      </c>
      <c r="T18" s="32" t="s">
        <v>29</v>
      </c>
      <c r="U18" s="32" t="s">
        <v>30</v>
      </c>
    </row>
    <row r="19" spans="1:21" x14ac:dyDescent="0.25">
      <c r="N19" s="218">
        <f>N15</f>
        <v>0.47772345239656905</v>
      </c>
      <c r="O19" s="218">
        <f>O15</f>
        <v>2.9654534638392827</v>
      </c>
      <c r="P19" s="218">
        <f>P15</f>
        <v>44</v>
      </c>
      <c r="Q19" s="218">
        <f>TDIST(ABS(O19),P19,2)</f>
        <v>4.8678818348383687E-3</v>
      </c>
      <c r="R19" s="219" t="str">
        <f>IF(Q19&lt;S17,"yes","no")</f>
        <v>yes</v>
      </c>
      <c r="S19" s="219">
        <f>TINV(S17,P19)</f>
        <v>2.4889679492395662</v>
      </c>
      <c r="T19" s="219">
        <f>S11-N19*S19</f>
        <v>0.2276283050515322</v>
      </c>
      <c r="U19" s="219">
        <f>S11+N19*S19</f>
        <v>2.6057050282818004</v>
      </c>
    </row>
    <row r="21" spans="1:21" ht="15.75" thickBot="1" x14ac:dyDescent="0.3">
      <c r="N21" s="52" t="s">
        <v>528</v>
      </c>
      <c r="R21" s="152" t="s">
        <v>34</v>
      </c>
      <c r="S21" s="152">
        <f>1-(1-S13)^(1/$H$15)</f>
        <v>1.6952427508441503E-2</v>
      </c>
    </row>
    <row r="22" spans="1:21" ht="15.75" thickTop="1" x14ac:dyDescent="0.25">
      <c r="N22" s="32" t="s">
        <v>212</v>
      </c>
      <c r="O22" s="32" t="s">
        <v>95</v>
      </c>
      <c r="P22" s="32" t="s">
        <v>60</v>
      </c>
      <c r="Q22" s="32" t="s">
        <v>67</v>
      </c>
      <c r="R22" s="32" t="s">
        <v>527</v>
      </c>
      <c r="S22" s="32" t="s">
        <v>68</v>
      </c>
      <c r="T22" s="32" t="s">
        <v>29</v>
      </c>
      <c r="U22" s="32" t="s">
        <v>30</v>
      </c>
    </row>
    <row r="23" spans="1:21" x14ac:dyDescent="0.25">
      <c r="N23" s="218">
        <f>N15</f>
        <v>0.47772345239656905</v>
      </c>
      <c r="O23" s="218">
        <f>O15</f>
        <v>2.9654534638392827</v>
      </c>
      <c r="P23" s="218">
        <f>P15</f>
        <v>44</v>
      </c>
      <c r="Q23" s="218">
        <f>TDIST(ABS(O23),P23,2)</f>
        <v>4.8678818348383687E-3</v>
      </c>
      <c r="R23" s="219" t="str">
        <f>IF(Q23&lt;S21,"yes","no")</f>
        <v>yes</v>
      </c>
      <c r="S23" s="219">
        <f>TINV(S21,P23)</f>
        <v>2.4820442076580118</v>
      </c>
      <c r="T23" s="219">
        <f>S11-N23*S23</f>
        <v>0.23093593878337404</v>
      </c>
      <c r="U23" s="219">
        <f>S11+N23*S23</f>
        <v>2.6023973945499588</v>
      </c>
    </row>
    <row r="26" spans="1:21" ht="15.75" thickBot="1" x14ac:dyDescent="0.3">
      <c r="N26" t="s">
        <v>512</v>
      </c>
    </row>
    <row r="27" spans="1:21" ht="15.75" thickTop="1" x14ac:dyDescent="0.25">
      <c r="N27" s="32" t="s">
        <v>79</v>
      </c>
      <c r="O27" s="32" t="s">
        <v>43</v>
      </c>
      <c r="P27" s="32" t="s">
        <v>7</v>
      </c>
      <c r="Q27" s="32" t="s">
        <v>31</v>
      </c>
      <c r="R27" s="32" t="s">
        <v>508</v>
      </c>
      <c r="S27" s="32" t="s">
        <v>510</v>
      </c>
    </row>
    <row r="28" spans="1:21" x14ac:dyDescent="0.25">
      <c r="N28" s="19" t="s">
        <v>521</v>
      </c>
      <c r="O28">
        <v>1</v>
      </c>
      <c r="P28">
        <f>$I$7</f>
        <v>4.25</v>
      </c>
      <c r="Q28">
        <f>$G$7</f>
        <v>12</v>
      </c>
      <c r="R28">
        <f>O28^2/Q28</f>
        <v>8.3333333333333329E-2</v>
      </c>
      <c r="S28">
        <f>O28*P28</f>
        <v>4.25</v>
      </c>
    </row>
    <row r="29" spans="1:21" x14ac:dyDescent="0.25">
      <c r="N29" s="19" t="s">
        <v>522</v>
      </c>
      <c r="O29">
        <v>-1</v>
      </c>
      <c r="P29">
        <f>$I$8</f>
        <v>3.1666666666666665</v>
      </c>
      <c r="Q29">
        <f>$G$8</f>
        <v>12</v>
      </c>
      <c r="R29">
        <f>O29^2/Q29</f>
        <v>8.3333333333333329E-2</v>
      </c>
      <c r="S29">
        <f>O29*P29</f>
        <v>-3.1666666666666665</v>
      </c>
    </row>
    <row r="30" spans="1:21" x14ac:dyDescent="0.25">
      <c r="N30" s="19" t="s">
        <v>525</v>
      </c>
      <c r="O30">
        <v>0</v>
      </c>
      <c r="P30">
        <f>$I$9</f>
        <v>5.583333333333333</v>
      </c>
      <c r="Q30">
        <f>$G$9</f>
        <v>12</v>
      </c>
      <c r="R30">
        <f>O30^2/Q30</f>
        <v>0</v>
      </c>
      <c r="S30">
        <f>O30*P30</f>
        <v>0</v>
      </c>
    </row>
    <row r="31" spans="1:21" x14ac:dyDescent="0.25">
      <c r="N31" s="163" t="s">
        <v>526</v>
      </c>
      <c r="O31" s="135">
        <v>0</v>
      </c>
      <c r="P31" s="135">
        <f>$I$10</f>
        <v>3.8333333333333335</v>
      </c>
      <c r="Q31" s="135">
        <f>$G$10</f>
        <v>12</v>
      </c>
      <c r="R31" s="135">
        <f>O31^2/Q31</f>
        <v>0</v>
      </c>
      <c r="S31" s="135">
        <f>O31*P31</f>
        <v>0</v>
      </c>
    </row>
    <row r="32" spans="1:21" x14ac:dyDescent="0.25">
      <c r="N32" s="7"/>
      <c r="O32" s="7"/>
      <c r="P32" s="7"/>
      <c r="R32">
        <f>SUM(R28:R31)</f>
        <v>0.16666666666666666</v>
      </c>
      <c r="S32">
        <f>SUM(S28:S31)</f>
        <v>1.0833333333333335</v>
      </c>
    </row>
    <row r="34" spans="14:21" ht="15.75" thickBot="1" x14ac:dyDescent="0.3">
      <c r="N34" t="s">
        <v>509</v>
      </c>
      <c r="R34" s="152" t="s">
        <v>34</v>
      </c>
      <c r="S34" s="152">
        <v>0.05</v>
      </c>
    </row>
    <row r="35" spans="14:21" ht="15.75" thickTop="1" x14ac:dyDescent="0.25">
      <c r="N35" s="32" t="s">
        <v>212</v>
      </c>
      <c r="O35" s="32" t="s">
        <v>95</v>
      </c>
      <c r="P35" s="32" t="s">
        <v>60</v>
      </c>
      <c r="Q35" s="32" t="s">
        <v>67</v>
      </c>
      <c r="R35" s="32" t="s">
        <v>527</v>
      </c>
      <c r="S35" s="32" t="s">
        <v>68</v>
      </c>
      <c r="T35" s="32" t="s">
        <v>29</v>
      </c>
      <c r="U35" s="32" t="s">
        <v>30</v>
      </c>
    </row>
    <row r="36" spans="14:21" x14ac:dyDescent="0.25">
      <c r="N36" s="218">
        <f>SQRT($I$16*R32)</f>
        <v>0.67560298544292563</v>
      </c>
      <c r="O36" s="218">
        <f>ABS(S32/N36)</f>
        <v>1.6035058409682716</v>
      </c>
      <c r="P36" s="218">
        <f>$H$16</f>
        <v>44</v>
      </c>
      <c r="Q36" s="218">
        <f>TDIST(O36,P36,2)</f>
        <v>0.1159782554107413</v>
      </c>
      <c r="R36" s="219" t="str">
        <f>IF(Q36&lt;S34,"yes","no")</f>
        <v>no</v>
      </c>
      <c r="S36" s="219">
        <f>TINV(S34,P36)</f>
        <v>2.0153675744437649</v>
      </c>
      <c r="T36" s="219">
        <f>S32-N36*S36</f>
        <v>-0.27825501672574182</v>
      </c>
      <c r="U36" s="219">
        <f>S32+N36*S36</f>
        <v>2.4449216833924088</v>
      </c>
    </row>
    <row r="38" spans="14:21" ht="15.75" thickBot="1" x14ac:dyDescent="0.3">
      <c r="N38" t="s">
        <v>529</v>
      </c>
      <c r="R38" s="152" t="s">
        <v>34</v>
      </c>
      <c r="S38" s="152">
        <f>S34/$H$15</f>
        <v>1.6666666666666666E-2</v>
      </c>
    </row>
    <row r="39" spans="14:21" ht="15.75" thickTop="1" x14ac:dyDescent="0.25">
      <c r="N39" s="32" t="s">
        <v>212</v>
      </c>
      <c r="O39" s="32" t="s">
        <v>95</v>
      </c>
      <c r="P39" s="32" t="s">
        <v>60</v>
      </c>
      <c r="Q39" s="32" t="s">
        <v>67</v>
      </c>
      <c r="R39" s="32" t="s">
        <v>527</v>
      </c>
      <c r="S39" s="32" t="s">
        <v>68</v>
      </c>
      <c r="T39" s="32" t="s">
        <v>29</v>
      </c>
      <c r="U39" s="32" t="s">
        <v>30</v>
      </c>
    </row>
    <row r="40" spans="14:21" x14ac:dyDescent="0.25">
      <c r="N40" s="218">
        <f>N36</f>
        <v>0.67560298544292563</v>
      </c>
      <c r="O40" s="218">
        <f>O36</f>
        <v>1.6035058409682716</v>
      </c>
      <c r="P40" s="218">
        <f>P36</f>
        <v>44</v>
      </c>
      <c r="Q40" s="218">
        <f>TDIST(O40,P40,2)</f>
        <v>0.1159782554107413</v>
      </c>
      <c r="R40" s="219" t="str">
        <f>IF(Q40&lt;S38,"yes","no")</f>
        <v>no</v>
      </c>
      <c r="S40" s="219">
        <f>TINV(S38,P40)</f>
        <v>2.4889679492395662</v>
      </c>
      <c r="T40" s="219">
        <f>S32-N40*S40</f>
        <v>-0.59822084384467367</v>
      </c>
      <c r="U40" s="219">
        <f>S32+N40*S40</f>
        <v>2.7648875105113406</v>
      </c>
    </row>
    <row r="42" spans="14:21" ht="15.75" thickBot="1" x14ac:dyDescent="0.3">
      <c r="N42" s="52" t="s">
        <v>528</v>
      </c>
      <c r="R42" s="152" t="s">
        <v>34</v>
      </c>
      <c r="S42" s="152">
        <f>1-(1-S34)^(1/$H$15)</f>
        <v>1.6952427508441503E-2</v>
      </c>
    </row>
    <row r="43" spans="14:21" ht="15.75" thickTop="1" x14ac:dyDescent="0.25">
      <c r="N43" s="32" t="s">
        <v>212</v>
      </c>
      <c r="O43" s="32" t="s">
        <v>95</v>
      </c>
      <c r="P43" s="32" t="s">
        <v>60</v>
      </c>
      <c r="Q43" s="32" t="s">
        <v>67</v>
      </c>
      <c r="R43" s="32" t="s">
        <v>527</v>
      </c>
      <c r="S43" s="32" t="s">
        <v>68</v>
      </c>
      <c r="T43" s="32" t="s">
        <v>29</v>
      </c>
      <c r="U43" s="32" t="s">
        <v>30</v>
      </c>
    </row>
    <row r="44" spans="14:21" x14ac:dyDescent="0.25">
      <c r="N44" s="218">
        <f>N36</f>
        <v>0.67560298544292563</v>
      </c>
      <c r="O44" s="218">
        <f>O36</f>
        <v>1.6035058409682716</v>
      </c>
      <c r="P44" s="218">
        <f>P36</f>
        <v>44</v>
      </c>
      <c r="Q44" s="218">
        <f>TDIST(O44,P44,2)</f>
        <v>0.1159782554107413</v>
      </c>
      <c r="R44" s="219" t="str">
        <f>IF(Q44&lt;S42,"yes","no")</f>
        <v>no</v>
      </c>
      <c r="S44" s="219">
        <f>TINV(S42,P44)</f>
        <v>2.4820442076580118</v>
      </c>
      <c r="T44" s="219">
        <f>S32-N44*S44</f>
        <v>-0.59354314336174019</v>
      </c>
      <c r="U44" s="219">
        <f>S32+N44*S44</f>
        <v>2.7602098100284072</v>
      </c>
    </row>
    <row r="47" spans="14:21" ht="15.75" thickBot="1" x14ac:dyDescent="0.3">
      <c r="N47" t="s">
        <v>512</v>
      </c>
    </row>
    <row r="48" spans="14:21" ht="15.75" thickTop="1" x14ac:dyDescent="0.25">
      <c r="N48" s="32" t="s">
        <v>79</v>
      </c>
      <c r="O48" s="32" t="s">
        <v>43</v>
      </c>
      <c r="P48" s="32" t="s">
        <v>7</v>
      </c>
      <c r="Q48" s="32" t="s">
        <v>31</v>
      </c>
      <c r="R48" s="32" t="s">
        <v>508</v>
      </c>
      <c r="S48" s="32" t="s">
        <v>510</v>
      </c>
    </row>
    <row r="49" spans="14:21" x14ac:dyDescent="0.25">
      <c r="N49" s="19" t="s">
        <v>521</v>
      </c>
      <c r="O49">
        <v>0</v>
      </c>
      <c r="P49">
        <f>$I$7</f>
        <v>4.25</v>
      </c>
      <c r="Q49">
        <f>$G$7</f>
        <v>12</v>
      </c>
      <c r="R49">
        <f>O49^2/Q49</f>
        <v>0</v>
      </c>
      <c r="S49">
        <f>O49*P49</f>
        <v>0</v>
      </c>
    </row>
    <row r="50" spans="14:21" x14ac:dyDescent="0.25">
      <c r="N50" s="19" t="s">
        <v>522</v>
      </c>
      <c r="O50">
        <v>0</v>
      </c>
      <c r="P50">
        <f>$I$8</f>
        <v>3.1666666666666665</v>
      </c>
      <c r="Q50">
        <f>$G$8</f>
        <v>12</v>
      </c>
      <c r="R50">
        <f>O50^2/Q50</f>
        <v>0</v>
      </c>
      <c r="S50">
        <f>O50*P50</f>
        <v>0</v>
      </c>
    </row>
    <row r="51" spans="14:21" x14ac:dyDescent="0.25">
      <c r="N51" s="19" t="s">
        <v>525</v>
      </c>
      <c r="O51">
        <v>1</v>
      </c>
      <c r="P51">
        <f>$I$9</f>
        <v>5.583333333333333</v>
      </c>
      <c r="Q51">
        <f>$G$9</f>
        <v>12</v>
      </c>
      <c r="R51">
        <f>O51^2/Q51</f>
        <v>8.3333333333333329E-2</v>
      </c>
      <c r="S51">
        <f>O51*P51</f>
        <v>5.583333333333333</v>
      </c>
    </row>
    <row r="52" spans="14:21" x14ac:dyDescent="0.25">
      <c r="N52" s="163" t="s">
        <v>526</v>
      </c>
      <c r="O52" s="135">
        <v>-1</v>
      </c>
      <c r="P52" s="135">
        <f>$I$10</f>
        <v>3.8333333333333335</v>
      </c>
      <c r="Q52" s="135">
        <f>$G$10</f>
        <v>12</v>
      </c>
      <c r="R52" s="135">
        <f>O52^2/Q52</f>
        <v>8.3333333333333329E-2</v>
      </c>
      <c r="S52" s="135">
        <f>O52*P52</f>
        <v>-3.8333333333333335</v>
      </c>
    </row>
    <row r="53" spans="14:21" x14ac:dyDescent="0.25">
      <c r="N53" s="7"/>
      <c r="O53" s="7"/>
      <c r="P53" s="7"/>
      <c r="R53">
        <f>SUM(R49:R52)</f>
        <v>0.16666666666666666</v>
      </c>
      <c r="S53">
        <f>SUM(S49:S52)</f>
        <v>1.7499999999999996</v>
      </c>
    </row>
    <row r="55" spans="14:21" ht="15.75" thickBot="1" x14ac:dyDescent="0.3">
      <c r="N55" t="s">
        <v>509</v>
      </c>
      <c r="R55" s="152" t="s">
        <v>34</v>
      </c>
      <c r="S55" s="152">
        <v>0.05</v>
      </c>
    </row>
    <row r="56" spans="14:21" ht="15.75" thickTop="1" x14ac:dyDescent="0.25">
      <c r="N56" s="32" t="s">
        <v>212</v>
      </c>
      <c r="O56" s="32" t="s">
        <v>95</v>
      </c>
      <c r="P56" s="32" t="s">
        <v>60</v>
      </c>
      <c r="Q56" s="32" t="s">
        <v>67</v>
      </c>
      <c r="R56" s="32" t="s">
        <v>527</v>
      </c>
      <c r="S56" s="32" t="s">
        <v>68</v>
      </c>
      <c r="T56" s="32" t="s">
        <v>29</v>
      </c>
      <c r="U56" s="32" t="s">
        <v>30</v>
      </c>
    </row>
    <row r="57" spans="14:21" x14ac:dyDescent="0.25">
      <c r="N57" s="218">
        <f>SQRT($I$16*R53)</f>
        <v>0.67560298544292563</v>
      </c>
      <c r="O57" s="218">
        <f>ABS(S53/N57)</f>
        <v>2.5902786661795147</v>
      </c>
      <c r="P57" s="218">
        <f>$H$16</f>
        <v>44</v>
      </c>
      <c r="Q57" s="218">
        <f>TDIST(O57,P57,2)</f>
        <v>1.295706923393301E-2</v>
      </c>
      <c r="R57" s="219" t="str">
        <f>IF(Q57&lt;S55,"yes","no")</f>
        <v>yes</v>
      </c>
      <c r="S57" s="219">
        <f>TINV(S55,P57)</f>
        <v>2.0153675744437649</v>
      </c>
      <c r="T57" s="219">
        <f>S53-N57*S57</f>
        <v>0.38841164994092425</v>
      </c>
      <c r="U57" s="219">
        <f>S53+N57*S57</f>
        <v>3.1115883500590749</v>
      </c>
    </row>
    <row r="59" spans="14:21" ht="15.75" thickBot="1" x14ac:dyDescent="0.3">
      <c r="N59" t="s">
        <v>529</v>
      </c>
      <c r="R59" s="152" t="s">
        <v>34</v>
      </c>
      <c r="S59" s="152">
        <f>S55/$H$15</f>
        <v>1.6666666666666666E-2</v>
      </c>
    </row>
    <row r="60" spans="14:21" ht="15.75" thickTop="1" x14ac:dyDescent="0.25">
      <c r="N60" s="32" t="s">
        <v>212</v>
      </c>
      <c r="O60" s="32" t="s">
        <v>95</v>
      </c>
      <c r="P60" s="32" t="s">
        <v>60</v>
      </c>
      <c r="Q60" s="32" t="s">
        <v>67</v>
      </c>
      <c r="R60" s="32" t="s">
        <v>527</v>
      </c>
      <c r="S60" s="32" t="s">
        <v>68</v>
      </c>
      <c r="T60" s="32" t="s">
        <v>29</v>
      </c>
      <c r="U60" s="32" t="s">
        <v>30</v>
      </c>
    </row>
    <row r="61" spans="14:21" x14ac:dyDescent="0.25">
      <c r="N61" s="218">
        <f>N57</f>
        <v>0.67560298544292563</v>
      </c>
      <c r="O61" s="218">
        <f>O57</f>
        <v>2.5902786661795147</v>
      </c>
      <c r="P61" s="218">
        <f>P57</f>
        <v>44</v>
      </c>
      <c r="Q61" s="218">
        <f>TDIST(O61,P61,2)</f>
        <v>1.295706923393301E-2</v>
      </c>
      <c r="R61" s="219" t="str">
        <f>IF(Q61&lt;S59,"yes","no")</f>
        <v>yes</v>
      </c>
      <c r="S61" s="219">
        <f>TINV(S59,P61)</f>
        <v>2.4889679492395662</v>
      </c>
      <c r="T61" s="219">
        <f>S53-N61*S61</f>
        <v>6.8445822821992408E-2</v>
      </c>
      <c r="U61" s="219">
        <f>S53+N61*S61</f>
        <v>3.4315541771780067</v>
      </c>
    </row>
    <row r="63" spans="14:21" ht="15.75" thickBot="1" x14ac:dyDescent="0.3">
      <c r="N63" s="52" t="s">
        <v>528</v>
      </c>
      <c r="R63" s="152" t="s">
        <v>34</v>
      </c>
      <c r="S63" s="152">
        <f>1-(1-S55)^(1/$H$15)</f>
        <v>1.6952427508441503E-2</v>
      </c>
    </row>
    <row r="64" spans="14:21" ht="15.75" thickTop="1" x14ac:dyDescent="0.25">
      <c r="N64" s="32" t="s">
        <v>212</v>
      </c>
      <c r="O64" s="32" t="s">
        <v>95</v>
      </c>
      <c r="P64" s="32" t="s">
        <v>60</v>
      </c>
      <c r="Q64" s="32" t="s">
        <v>67</v>
      </c>
      <c r="R64" s="32" t="s">
        <v>527</v>
      </c>
      <c r="S64" s="32" t="s">
        <v>68</v>
      </c>
      <c r="T64" s="32" t="s">
        <v>29</v>
      </c>
      <c r="U64" s="32" t="s">
        <v>30</v>
      </c>
    </row>
    <row r="65" spans="14:21" x14ac:dyDescent="0.25">
      <c r="N65" s="218">
        <f>N57</f>
        <v>0.67560298544292563</v>
      </c>
      <c r="O65" s="218">
        <f>O57</f>
        <v>2.5902786661795147</v>
      </c>
      <c r="P65" s="218">
        <f>P57</f>
        <v>44</v>
      </c>
      <c r="Q65" s="218">
        <f>TDIST(O65,P65,2)</f>
        <v>1.295706923393301E-2</v>
      </c>
      <c r="R65" s="219" t="str">
        <f>IF(Q65&lt;S63,"yes","no")</f>
        <v>yes</v>
      </c>
      <c r="S65" s="219">
        <f>TINV(S63,P65)</f>
        <v>2.4820442076580118</v>
      </c>
      <c r="T65" s="219">
        <f>S53-N65*S65</f>
        <v>7.3123523304925886E-2</v>
      </c>
      <c r="U65" s="219">
        <f>S53+N65*S65</f>
        <v>3.4268764766950732</v>
      </c>
    </row>
    <row r="68" spans="14:21" ht="15.75" thickBot="1" x14ac:dyDescent="0.3">
      <c r="N68" t="s">
        <v>512</v>
      </c>
    </row>
    <row r="69" spans="14:21" ht="15.75" thickTop="1" x14ac:dyDescent="0.25">
      <c r="N69" s="32" t="s">
        <v>79</v>
      </c>
      <c r="O69" s="32" t="s">
        <v>43</v>
      </c>
      <c r="P69" s="32" t="s">
        <v>7</v>
      </c>
      <c r="Q69" s="32" t="s">
        <v>31</v>
      </c>
      <c r="R69" s="32" t="s">
        <v>508</v>
      </c>
      <c r="S69" s="32" t="s">
        <v>510</v>
      </c>
    </row>
    <row r="70" spans="14:21" x14ac:dyDescent="0.25">
      <c r="N70" s="19" t="s">
        <v>521</v>
      </c>
      <c r="O70">
        <v>-0.5</v>
      </c>
      <c r="P70">
        <f>$I$7</f>
        <v>4.25</v>
      </c>
      <c r="Q70">
        <f>$G$7</f>
        <v>12</v>
      </c>
      <c r="R70">
        <f>O70^2/Q70</f>
        <v>2.0833333333333332E-2</v>
      </c>
      <c r="S70">
        <f>O70*P70</f>
        <v>-2.125</v>
      </c>
    </row>
    <row r="71" spans="14:21" x14ac:dyDescent="0.25">
      <c r="N71" s="19" t="s">
        <v>522</v>
      </c>
      <c r="O71">
        <v>-0.5</v>
      </c>
      <c r="P71">
        <f>$I$8</f>
        <v>3.1666666666666665</v>
      </c>
      <c r="Q71">
        <f>$G$8</f>
        <v>12</v>
      </c>
      <c r="R71">
        <f>O71^2/Q71</f>
        <v>2.0833333333333332E-2</v>
      </c>
      <c r="S71">
        <f>O71*P71</f>
        <v>-1.5833333333333333</v>
      </c>
    </row>
    <row r="72" spans="14:21" x14ac:dyDescent="0.25">
      <c r="N72" s="19" t="s">
        <v>525</v>
      </c>
      <c r="O72">
        <v>0.5</v>
      </c>
      <c r="P72">
        <f>$I$9</f>
        <v>5.583333333333333</v>
      </c>
      <c r="Q72">
        <f>$G$9</f>
        <v>12</v>
      </c>
      <c r="R72">
        <f>O72^2/Q72</f>
        <v>2.0833333333333332E-2</v>
      </c>
      <c r="S72">
        <f>O72*P72</f>
        <v>2.7916666666666665</v>
      </c>
    </row>
    <row r="73" spans="14:21" x14ac:dyDescent="0.25">
      <c r="N73" s="163" t="s">
        <v>526</v>
      </c>
      <c r="O73" s="135">
        <v>0.5</v>
      </c>
      <c r="P73" s="135">
        <f>$I$10</f>
        <v>3.8333333333333335</v>
      </c>
      <c r="Q73" s="135">
        <f>$G$10</f>
        <v>12</v>
      </c>
      <c r="R73" s="135">
        <f>O73^2/Q73</f>
        <v>2.0833333333333332E-2</v>
      </c>
      <c r="S73" s="135">
        <f>O73*P73</f>
        <v>1.9166666666666667</v>
      </c>
    </row>
    <row r="74" spans="14:21" x14ac:dyDescent="0.25">
      <c r="N74" s="7"/>
      <c r="O74" s="7"/>
      <c r="P74" s="7"/>
      <c r="R74">
        <f>SUM(R70:R73)</f>
        <v>8.3333333333333329E-2</v>
      </c>
      <c r="S74">
        <f>SUM(S70:S73)</f>
        <v>1.0000000000000002</v>
      </c>
    </row>
    <row r="76" spans="14:21" ht="15.75" thickBot="1" x14ac:dyDescent="0.3">
      <c r="N76" t="s">
        <v>509</v>
      </c>
      <c r="R76" s="152" t="s">
        <v>34</v>
      </c>
      <c r="S76" s="152">
        <v>0.05</v>
      </c>
    </row>
    <row r="77" spans="14:21" ht="15.75" thickTop="1" x14ac:dyDescent="0.25">
      <c r="N77" s="32" t="s">
        <v>212</v>
      </c>
      <c r="O77" s="32" t="s">
        <v>95</v>
      </c>
      <c r="P77" s="32" t="s">
        <v>60</v>
      </c>
      <c r="Q77" s="32" t="s">
        <v>67</v>
      </c>
      <c r="R77" s="32" t="s">
        <v>527</v>
      </c>
      <c r="S77" s="32" t="s">
        <v>68</v>
      </c>
      <c r="T77" s="32" t="s">
        <v>29</v>
      </c>
      <c r="U77" s="32" t="s">
        <v>30</v>
      </c>
    </row>
    <row r="78" spans="14:21" x14ac:dyDescent="0.25">
      <c r="N78" s="218">
        <f>SQRT($I$16*R74)</f>
        <v>0.47772345239656905</v>
      </c>
      <c r="O78" s="218">
        <f>ABS(S74/N78)</f>
        <v>2.0932612685924359</v>
      </c>
      <c r="P78" s="218">
        <f>$H$16</f>
        <v>44</v>
      </c>
      <c r="Q78" s="218">
        <f>TDIST(O78,P78,2)</f>
        <v>4.2123653011693532E-2</v>
      </c>
      <c r="R78" s="219" t="str">
        <f>IF(Q78&lt;S76,"yes","no")</f>
        <v>yes</v>
      </c>
      <c r="S78" s="219">
        <f>TINV(S76,P78)</f>
        <v>2.0153675744437649</v>
      </c>
      <c r="T78" s="219">
        <f>S74-N78*S78</f>
        <v>3.7211644488625462E-2</v>
      </c>
      <c r="U78" s="219">
        <f>S74+N78*S78</f>
        <v>1.962788355511375</v>
      </c>
    </row>
    <row r="80" spans="14:21" ht="15.75" thickBot="1" x14ac:dyDescent="0.3">
      <c r="N80" t="s">
        <v>529</v>
      </c>
      <c r="R80" s="152" t="s">
        <v>34</v>
      </c>
      <c r="S80" s="152">
        <f>S76/$H$15</f>
        <v>1.6666666666666666E-2</v>
      </c>
    </row>
    <row r="81" spans="14:21" ht="15.75" thickTop="1" x14ac:dyDescent="0.25">
      <c r="N81" s="32" t="s">
        <v>212</v>
      </c>
      <c r="O81" s="32" t="s">
        <v>95</v>
      </c>
      <c r="P81" s="32" t="s">
        <v>60</v>
      </c>
      <c r="Q81" s="32" t="s">
        <v>67</v>
      </c>
      <c r="R81" s="32" t="s">
        <v>527</v>
      </c>
      <c r="S81" s="32" t="s">
        <v>68</v>
      </c>
      <c r="T81" s="32" t="s">
        <v>29</v>
      </c>
      <c r="U81" s="32" t="s">
        <v>30</v>
      </c>
    </row>
    <row r="82" spans="14:21" x14ac:dyDescent="0.25">
      <c r="N82" s="218">
        <f>N78</f>
        <v>0.47772345239656905</v>
      </c>
      <c r="O82" s="218">
        <f>O78</f>
        <v>2.0932612685924359</v>
      </c>
      <c r="P82" s="218">
        <f>P78</f>
        <v>44</v>
      </c>
      <c r="Q82" s="218">
        <f>TDIST(O82,P82,2)</f>
        <v>4.2123653011693532E-2</v>
      </c>
      <c r="R82" s="219" t="str">
        <f>IF(Q82&lt;S80,"yes","no")</f>
        <v>no</v>
      </c>
      <c r="S82" s="219">
        <f>TINV(S80,P82)</f>
        <v>2.4889679492395662</v>
      </c>
      <c r="T82" s="219">
        <f>S74-N82*S82</f>
        <v>-0.18903836161513388</v>
      </c>
      <c r="U82" s="219">
        <f>S74+N82*S82</f>
        <v>2.1890383616151343</v>
      </c>
    </row>
    <row r="84" spans="14:21" ht="15.75" thickBot="1" x14ac:dyDescent="0.3">
      <c r="N84" s="52" t="s">
        <v>528</v>
      </c>
      <c r="R84" s="152" t="s">
        <v>34</v>
      </c>
      <c r="S84" s="152">
        <f>1-(1-S76)^(1/$H$15)</f>
        <v>1.6952427508441503E-2</v>
      </c>
    </row>
    <row r="85" spans="14:21" ht="15.75" thickTop="1" x14ac:dyDescent="0.25">
      <c r="N85" s="32" t="s">
        <v>212</v>
      </c>
      <c r="O85" s="32" t="s">
        <v>95</v>
      </c>
      <c r="P85" s="32" t="s">
        <v>60</v>
      </c>
      <c r="Q85" s="32" t="s">
        <v>67</v>
      </c>
      <c r="R85" s="32" t="s">
        <v>527</v>
      </c>
      <c r="S85" s="32" t="s">
        <v>68</v>
      </c>
      <c r="T85" s="32" t="s">
        <v>29</v>
      </c>
      <c r="U85" s="32" t="s">
        <v>30</v>
      </c>
    </row>
    <row r="86" spans="14:21" x14ac:dyDescent="0.25">
      <c r="N86" s="218">
        <f>N78</f>
        <v>0.47772345239656905</v>
      </c>
      <c r="O86" s="218">
        <f>O78</f>
        <v>2.0932612685924359</v>
      </c>
      <c r="P86" s="218">
        <f>P78</f>
        <v>44</v>
      </c>
      <c r="Q86" s="218">
        <f>TDIST(O86,P86,2)</f>
        <v>4.2123653011693532E-2</v>
      </c>
      <c r="R86" s="219" t="str">
        <f>IF(Q86&lt;S84,"yes","no")</f>
        <v>no</v>
      </c>
      <c r="S86" s="219">
        <f>TINV(S84,P86)</f>
        <v>2.4820442076580118</v>
      </c>
      <c r="T86" s="219">
        <f>S74-N86*S86</f>
        <v>-0.18573072788329203</v>
      </c>
      <c r="U86" s="219">
        <f>S74+N86*S86</f>
        <v>2.1857307278832927</v>
      </c>
    </row>
    <row r="89" spans="14:21" ht="15.75" thickBot="1" x14ac:dyDescent="0.3">
      <c r="N89" t="s">
        <v>512</v>
      </c>
    </row>
    <row r="90" spans="14:21" ht="15.75" thickTop="1" x14ac:dyDescent="0.25">
      <c r="N90" s="32" t="s">
        <v>79</v>
      </c>
      <c r="O90" s="32" t="s">
        <v>43</v>
      </c>
      <c r="P90" s="32" t="s">
        <v>7</v>
      </c>
      <c r="Q90" s="32" t="s">
        <v>31</v>
      </c>
      <c r="R90" s="32" t="s">
        <v>508</v>
      </c>
      <c r="S90" s="32" t="s">
        <v>510</v>
      </c>
    </row>
    <row r="91" spans="14:21" x14ac:dyDescent="0.25">
      <c r="N91" s="19" t="s">
        <v>521</v>
      </c>
      <c r="O91">
        <v>1</v>
      </c>
      <c r="P91">
        <f>$I$7</f>
        <v>4.25</v>
      </c>
      <c r="Q91">
        <f>$G$7</f>
        <v>12</v>
      </c>
      <c r="R91">
        <f>O91^2/Q91</f>
        <v>8.3333333333333329E-2</v>
      </c>
      <c r="S91">
        <f>O91*P91</f>
        <v>4.25</v>
      </c>
    </row>
    <row r="92" spans="14:21" x14ac:dyDescent="0.25">
      <c r="N92" s="19" t="s">
        <v>522</v>
      </c>
      <c r="O92">
        <v>0</v>
      </c>
      <c r="P92">
        <f>$I$8</f>
        <v>3.1666666666666665</v>
      </c>
      <c r="Q92">
        <f>$G$8</f>
        <v>12</v>
      </c>
      <c r="R92">
        <f>O92^2/Q92</f>
        <v>0</v>
      </c>
      <c r="S92">
        <f>O92*P92</f>
        <v>0</v>
      </c>
    </row>
    <row r="93" spans="14:21" x14ac:dyDescent="0.25">
      <c r="N93" s="19" t="s">
        <v>525</v>
      </c>
      <c r="O93">
        <v>-1</v>
      </c>
      <c r="P93">
        <f>$I$9</f>
        <v>5.583333333333333</v>
      </c>
      <c r="Q93">
        <f>$G$9</f>
        <v>12</v>
      </c>
      <c r="R93">
        <f>O93^2/Q93</f>
        <v>8.3333333333333329E-2</v>
      </c>
      <c r="S93">
        <f>O93*P93</f>
        <v>-5.583333333333333</v>
      </c>
    </row>
    <row r="94" spans="14:21" x14ac:dyDescent="0.25">
      <c r="N94" s="163" t="s">
        <v>526</v>
      </c>
      <c r="O94" s="135">
        <v>0</v>
      </c>
      <c r="P94" s="135">
        <f>$I$10</f>
        <v>3.8333333333333335</v>
      </c>
      <c r="Q94" s="135">
        <f>$G$10</f>
        <v>12</v>
      </c>
      <c r="R94" s="135">
        <f>O94^2/Q94</f>
        <v>0</v>
      </c>
      <c r="S94" s="135">
        <f>O94*P94</f>
        <v>0</v>
      </c>
    </row>
    <row r="95" spans="14:21" x14ac:dyDescent="0.25">
      <c r="N95" s="7"/>
      <c r="O95" s="7"/>
      <c r="P95" s="7"/>
      <c r="R95">
        <f>SUM(R91:R94)</f>
        <v>0.16666666666666666</v>
      </c>
      <c r="S95">
        <f>SUM(S91:S94)</f>
        <v>-1.333333333333333</v>
      </c>
    </row>
    <row r="97" spans="14:21" ht="15.75" thickBot="1" x14ac:dyDescent="0.3">
      <c r="N97" t="s">
        <v>509</v>
      </c>
      <c r="R97" s="152" t="s">
        <v>34</v>
      </c>
      <c r="S97" s="152">
        <v>0.05</v>
      </c>
    </row>
    <row r="98" spans="14:21" ht="15.75" thickTop="1" x14ac:dyDescent="0.25">
      <c r="N98" s="32" t="s">
        <v>212</v>
      </c>
      <c r="O98" s="32" t="s">
        <v>95</v>
      </c>
      <c r="P98" s="32" t="s">
        <v>60</v>
      </c>
      <c r="Q98" s="32" t="s">
        <v>67</v>
      </c>
      <c r="R98" s="32" t="s">
        <v>527</v>
      </c>
      <c r="S98" s="32" t="s">
        <v>68</v>
      </c>
      <c r="T98" s="32" t="s">
        <v>29</v>
      </c>
      <c r="U98" s="32" t="s">
        <v>30</v>
      </c>
    </row>
    <row r="99" spans="14:21" x14ac:dyDescent="0.25">
      <c r="N99" s="218">
        <f>SQRT($I$16*R95)</f>
        <v>0.67560298544292563</v>
      </c>
      <c r="O99" s="218">
        <f>ABS(S95/N99)</f>
        <v>1.9735456504224875</v>
      </c>
      <c r="P99" s="218">
        <f>$H$16</f>
        <v>44</v>
      </c>
      <c r="Q99" s="218">
        <f>TDIST(O99,P99,2)</f>
        <v>5.4734006390896719E-2</v>
      </c>
      <c r="R99" s="219" t="str">
        <f>IF(Q99&lt;S97,"yes","no")</f>
        <v>no</v>
      </c>
      <c r="S99" s="219">
        <f>TINV(S97,P99)</f>
        <v>2.0153675744437649</v>
      </c>
      <c r="T99" s="219">
        <f>S95-N99*S99</f>
        <v>-2.6949216833924083</v>
      </c>
      <c r="U99" s="219">
        <f>S95+N99*S99</f>
        <v>2.8255016725742266E-2</v>
      </c>
    </row>
    <row r="101" spans="14:21" ht="15.75" thickBot="1" x14ac:dyDescent="0.3">
      <c r="N101" t="s">
        <v>529</v>
      </c>
      <c r="R101" s="152" t="s">
        <v>34</v>
      </c>
      <c r="S101" s="152">
        <f>S97/$H$15</f>
        <v>1.6666666666666666E-2</v>
      </c>
    </row>
    <row r="102" spans="14:21" ht="15.75" thickTop="1" x14ac:dyDescent="0.25">
      <c r="N102" s="32" t="s">
        <v>212</v>
      </c>
      <c r="O102" s="32" t="s">
        <v>95</v>
      </c>
      <c r="P102" s="32" t="s">
        <v>60</v>
      </c>
      <c r="Q102" s="32" t="s">
        <v>67</v>
      </c>
      <c r="R102" s="32" t="s">
        <v>527</v>
      </c>
      <c r="S102" s="32" t="s">
        <v>68</v>
      </c>
      <c r="T102" s="32" t="s">
        <v>29</v>
      </c>
      <c r="U102" s="32" t="s">
        <v>30</v>
      </c>
    </row>
    <row r="103" spans="14:21" x14ac:dyDescent="0.25">
      <c r="N103" s="218">
        <f>N99</f>
        <v>0.67560298544292563</v>
      </c>
      <c r="O103" s="218">
        <f>O99</f>
        <v>1.9735456504224875</v>
      </c>
      <c r="P103" s="218">
        <f>P99</f>
        <v>44</v>
      </c>
      <c r="Q103" s="218">
        <f>TDIST(O103,P103,2)</f>
        <v>5.4734006390896719E-2</v>
      </c>
      <c r="R103" s="219" t="str">
        <f>IF(Q103&lt;S101,"yes","no")</f>
        <v>no</v>
      </c>
      <c r="S103" s="219">
        <f>TINV(S101,P103)</f>
        <v>2.4889679492395662</v>
      </c>
      <c r="T103" s="219">
        <f>S95-N103*S103</f>
        <v>-3.0148875105113402</v>
      </c>
      <c r="U103" s="219">
        <f>S95+N103*S103</f>
        <v>0.34822084384467411</v>
      </c>
    </row>
    <row r="105" spans="14:21" ht="15.75" thickBot="1" x14ac:dyDescent="0.3">
      <c r="N105" s="52" t="s">
        <v>528</v>
      </c>
      <c r="R105" s="152" t="s">
        <v>34</v>
      </c>
      <c r="S105" s="152">
        <f>1-(1-S97)^(1/$H$15)</f>
        <v>1.6952427508441503E-2</v>
      </c>
    </row>
    <row r="106" spans="14:21" ht="15.75" thickTop="1" x14ac:dyDescent="0.25">
      <c r="N106" s="32" t="s">
        <v>212</v>
      </c>
      <c r="O106" s="32" t="s">
        <v>95</v>
      </c>
      <c r="P106" s="32" t="s">
        <v>60</v>
      </c>
      <c r="Q106" s="32" t="s">
        <v>67</v>
      </c>
      <c r="R106" s="32" t="s">
        <v>527</v>
      </c>
      <c r="S106" s="32" t="s">
        <v>68</v>
      </c>
      <c r="T106" s="32" t="s">
        <v>29</v>
      </c>
      <c r="U106" s="32" t="s">
        <v>30</v>
      </c>
    </row>
    <row r="107" spans="14:21" x14ac:dyDescent="0.25">
      <c r="N107" s="218">
        <f>N99</f>
        <v>0.67560298544292563</v>
      </c>
      <c r="O107" s="218">
        <f>O99</f>
        <v>1.9735456504224875</v>
      </c>
      <c r="P107" s="218">
        <f>P99</f>
        <v>44</v>
      </c>
      <c r="Q107" s="218">
        <f>TDIST(O107,P107,2)</f>
        <v>5.4734006390896719E-2</v>
      </c>
      <c r="R107" s="219" t="str">
        <f>IF(Q107&lt;S105,"yes","no")</f>
        <v>no</v>
      </c>
      <c r="S107" s="219">
        <f>TINV(S105,P107)</f>
        <v>2.4820442076580118</v>
      </c>
      <c r="T107" s="219">
        <f>S95-N107*S107</f>
        <v>-3.0102098100284067</v>
      </c>
      <c r="U107" s="219">
        <f>S95+N107*S107</f>
        <v>0.34354314336174063</v>
      </c>
    </row>
  </sheetData>
  <mergeCells count="2">
    <mergeCell ref="A3:B3"/>
    <mergeCell ref="C3:D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AC22"/>
  <sheetViews>
    <sheetView workbookViewId="0"/>
  </sheetViews>
  <sheetFormatPr defaultRowHeight="15" x14ac:dyDescent="0.25"/>
  <cols>
    <col min="1" max="4" width="7" customWidth="1"/>
    <col min="5" max="5" width="5.28515625" customWidth="1"/>
    <col min="6" max="6" width="17.85546875" customWidth="1"/>
    <col min="7" max="7" width="7.85546875" customWidth="1"/>
    <col min="8" max="8" width="7.140625" customWidth="1"/>
    <col min="13" max="13" width="5.140625" customWidth="1"/>
    <col min="16" max="16" width="8.42578125" customWidth="1"/>
    <col min="17" max="17" width="7.85546875" customWidth="1"/>
    <col min="19" max="19" width="6.140625" customWidth="1"/>
    <col min="20" max="21" width="8.28515625" customWidth="1"/>
    <col min="26" max="26" width="12" customWidth="1"/>
  </cols>
  <sheetData>
    <row r="1" spans="1:29" x14ac:dyDescent="0.25">
      <c r="A1" s="1" t="s">
        <v>530</v>
      </c>
    </row>
    <row r="3" spans="1:29" x14ac:dyDescent="0.25">
      <c r="A3" s="1287" t="s">
        <v>324</v>
      </c>
      <c r="B3" s="1287"/>
      <c r="C3" s="1287" t="s">
        <v>325</v>
      </c>
      <c r="D3" s="1287"/>
      <c r="F3" t="s">
        <v>464</v>
      </c>
      <c r="N3" t="s">
        <v>531</v>
      </c>
      <c r="W3" t="s">
        <v>537</v>
      </c>
    </row>
    <row r="4" spans="1:29" x14ac:dyDescent="0.25">
      <c r="A4" s="227" t="s">
        <v>92</v>
      </c>
      <c r="B4" s="228" t="s">
        <v>91</v>
      </c>
      <c r="C4" s="227" t="s">
        <v>92</v>
      </c>
      <c r="D4" s="229" t="s">
        <v>91</v>
      </c>
    </row>
    <row r="5" spans="1:29" ht="18.75" thickBot="1" x14ac:dyDescent="0.4">
      <c r="A5" s="230">
        <v>3</v>
      </c>
      <c r="B5" s="231">
        <v>2</v>
      </c>
      <c r="C5" s="230">
        <v>5</v>
      </c>
      <c r="D5" s="232">
        <v>4</v>
      </c>
      <c r="F5" t="s">
        <v>62</v>
      </c>
      <c r="N5" t="s">
        <v>532</v>
      </c>
      <c r="P5" s="30" t="s">
        <v>533</v>
      </c>
      <c r="W5" s="233" t="s">
        <v>48</v>
      </c>
      <c r="X5" s="237">
        <v>0.05</v>
      </c>
      <c r="AA5" t="s">
        <v>532</v>
      </c>
      <c r="AC5" s="30"/>
    </row>
    <row r="6" spans="1:29" x14ac:dyDescent="0.25">
      <c r="A6" s="35">
        <v>5</v>
      </c>
      <c r="B6" s="50">
        <v>4</v>
      </c>
      <c r="C6" s="35">
        <v>8</v>
      </c>
      <c r="D6" s="36">
        <v>5</v>
      </c>
      <c r="F6" s="226" t="s">
        <v>79</v>
      </c>
      <c r="G6" s="226" t="s">
        <v>22</v>
      </c>
      <c r="H6" s="226" t="s">
        <v>21</v>
      </c>
      <c r="I6" s="226" t="s">
        <v>465</v>
      </c>
      <c r="J6" s="226" t="s">
        <v>80</v>
      </c>
      <c r="N6" s="226" t="s">
        <v>7</v>
      </c>
      <c r="O6" s="226" t="s">
        <v>212</v>
      </c>
      <c r="P6" s="226" t="s">
        <v>95</v>
      </c>
      <c r="Q6" s="241" t="s">
        <v>534</v>
      </c>
      <c r="R6" s="241" t="s">
        <v>535</v>
      </c>
      <c r="S6" s="241" t="s">
        <v>527</v>
      </c>
      <c r="T6" s="241" t="s">
        <v>29</v>
      </c>
      <c r="U6" s="241" t="s">
        <v>30</v>
      </c>
      <c r="W6" s="234" t="s">
        <v>60</v>
      </c>
      <c r="X6" s="238">
        <f>H16</f>
        <v>44</v>
      </c>
      <c r="AA6" s="226" t="s">
        <v>7</v>
      </c>
      <c r="AB6" s="226" t="s">
        <v>558</v>
      </c>
      <c r="AC6" s="241" t="s">
        <v>527</v>
      </c>
    </row>
    <row r="7" spans="1:29" x14ac:dyDescent="0.25">
      <c r="A7" s="35">
        <v>6</v>
      </c>
      <c r="B7" s="50">
        <v>3</v>
      </c>
      <c r="C7" s="35">
        <v>6</v>
      </c>
      <c r="D7" s="36">
        <v>3</v>
      </c>
      <c r="F7" s="19" t="s">
        <v>521</v>
      </c>
      <c r="G7" s="19">
        <v>12</v>
      </c>
      <c r="H7" s="19">
        <v>51</v>
      </c>
      <c r="I7" s="19">
        <v>4.25</v>
      </c>
      <c r="J7" s="19">
        <v>3.1136363636363638</v>
      </c>
      <c r="N7">
        <f>ABS(I9-I10)</f>
        <v>1.7499999999999996</v>
      </c>
      <c r="O7">
        <f>SQRT(2*$I$16/G7)</f>
        <v>0.67560298544292563</v>
      </c>
      <c r="P7">
        <f>N7/O7</f>
        <v>2.5902786661795147</v>
      </c>
      <c r="Q7">
        <f ca="1">X16</f>
        <v>3.7774999999999999</v>
      </c>
      <c r="R7" s="224">
        <f ca="1">Q7/SQRT(2)</f>
        <v>2.6710958659321831</v>
      </c>
      <c r="S7" s="224" t="str">
        <f ca="1">IF(ABS(P7)&gt;R7,"yes","no")</f>
        <v>no</v>
      </c>
      <c r="T7">
        <f ca="1">N7-O7*R7</f>
        <v>-5.4600341428040045E-2</v>
      </c>
      <c r="U7">
        <f ca="1">N7+O7*R7</f>
        <v>3.5546003414280394</v>
      </c>
      <c r="W7" s="235" t="s">
        <v>56</v>
      </c>
      <c r="X7" s="239">
        <f>COUNTA(A4:D4)</f>
        <v>4</v>
      </c>
      <c r="Z7" s="39" t="s">
        <v>550</v>
      </c>
      <c r="AA7">
        <f>ABS(I7-I8)</f>
        <v>1.0833333333333335</v>
      </c>
      <c r="AB7">
        <f t="shared" ref="AB7:AB12" ca="1" si="0">$X$18</f>
        <v>1.8046003414280396</v>
      </c>
      <c r="AC7" s="224" t="str">
        <f t="shared" ref="AC7:AC12" ca="1" si="1">IF(AA7&gt;AB7,"Yes","No")</f>
        <v>No</v>
      </c>
    </row>
    <row r="8" spans="1:29" x14ac:dyDescent="0.25">
      <c r="A8" s="35">
        <v>1</v>
      </c>
      <c r="B8" s="50">
        <v>5</v>
      </c>
      <c r="C8" s="35">
        <v>4</v>
      </c>
      <c r="D8" s="36">
        <v>7</v>
      </c>
      <c r="F8" s="19" t="s">
        <v>522</v>
      </c>
      <c r="G8" s="19">
        <v>12</v>
      </c>
      <c r="H8" s="19">
        <v>38</v>
      </c>
      <c r="I8" s="19">
        <v>3.1666666666666665</v>
      </c>
      <c r="J8" s="19">
        <v>2.6969696969696972</v>
      </c>
      <c r="W8" s="53"/>
      <c r="Z8" s="245" t="s">
        <v>551</v>
      </c>
      <c r="AA8">
        <f>ABS(I7-I9)</f>
        <v>1.333333333333333</v>
      </c>
      <c r="AB8">
        <f t="shared" ca="1" si="0"/>
        <v>1.8046003414280396</v>
      </c>
      <c r="AC8" s="224" t="str">
        <f t="shared" ca="1" si="1"/>
        <v>No</v>
      </c>
    </row>
    <row r="9" spans="1:29" ht="18.75" thickBot="1" x14ac:dyDescent="0.4">
      <c r="A9" s="35">
        <v>5</v>
      </c>
      <c r="B9" s="50">
        <v>1</v>
      </c>
      <c r="C9" s="35">
        <v>7</v>
      </c>
      <c r="D9" s="36">
        <v>6</v>
      </c>
      <c r="F9" s="19" t="s">
        <v>523</v>
      </c>
      <c r="G9" s="19">
        <v>12</v>
      </c>
      <c r="H9" s="19">
        <v>67</v>
      </c>
      <c r="I9" s="19">
        <v>5.583333333333333</v>
      </c>
      <c r="J9" s="19">
        <v>2.4469696969696986</v>
      </c>
      <c r="N9" t="s">
        <v>532</v>
      </c>
      <c r="P9" s="30" t="s">
        <v>536</v>
      </c>
      <c r="W9" s="53" t="s">
        <v>49</v>
      </c>
      <c r="X9" s="13">
        <f>IF(X5=0.01,50,IF(X5=0.1,-50,0))</f>
        <v>0</v>
      </c>
      <c r="Z9" s="245" t="s">
        <v>552</v>
      </c>
      <c r="AA9">
        <f>ABS(I7-I10)</f>
        <v>0.41666666666666652</v>
      </c>
      <c r="AB9">
        <f t="shared" ca="1" si="0"/>
        <v>1.8046003414280396</v>
      </c>
      <c r="AC9" s="224" t="str">
        <f t="shared" ca="1" si="1"/>
        <v>No</v>
      </c>
    </row>
    <row r="10" spans="1:29" ht="15.75" thickBot="1" x14ac:dyDescent="0.3">
      <c r="A10" s="35">
        <v>6</v>
      </c>
      <c r="B10" s="50">
        <v>5</v>
      </c>
      <c r="C10" s="35">
        <v>8</v>
      </c>
      <c r="D10" s="36">
        <v>3</v>
      </c>
      <c r="F10" s="20" t="s">
        <v>524</v>
      </c>
      <c r="G10" s="20">
        <v>12</v>
      </c>
      <c r="H10" s="20">
        <v>46</v>
      </c>
      <c r="I10" s="20">
        <v>3.8333333333333335</v>
      </c>
      <c r="J10" s="20">
        <v>2.6969696969696959</v>
      </c>
      <c r="N10" s="226" t="s">
        <v>7</v>
      </c>
      <c r="O10" s="226" t="s">
        <v>212</v>
      </c>
      <c r="P10" s="226" t="s">
        <v>95</v>
      </c>
      <c r="Q10" s="241" t="s">
        <v>534</v>
      </c>
      <c r="R10" s="241" t="s">
        <v>535</v>
      </c>
      <c r="S10" s="241" t="s">
        <v>527</v>
      </c>
      <c r="T10" s="241" t="s">
        <v>29</v>
      </c>
      <c r="U10" s="241" t="s">
        <v>30</v>
      </c>
      <c r="W10" s="53" t="s">
        <v>538</v>
      </c>
      <c r="X10">
        <f>MATCH(X6,'Stud. Q Table'!A56:A100)</f>
        <v>40</v>
      </c>
      <c r="Z10" s="245" t="s">
        <v>553</v>
      </c>
      <c r="AA10">
        <f>ABS(I8-I9)</f>
        <v>2.4166666666666665</v>
      </c>
      <c r="AB10">
        <f t="shared" ca="1" si="0"/>
        <v>1.8046003414280396</v>
      </c>
      <c r="AC10" s="224" t="str">
        <f t="shared" ca="1" si="1"/>
        <v>Yes</v>
      </c>
    </row>
    <row r="11" spans="1:29" x14ac:dyDescent="0.25">
      <c r="A11" s="35">
        <v>4</v>
      </c>
      <c r="B11" s="50">
        <v>2</v>
      </c>
      <c r="C11" s="35">
        <v>5</v>
      </c>
      <c r="D11" s="36">
        <v>2</v>
      </c>
      <c r="N11">
        <f>I9-I8</f>
        <v>2.4166666666666665</v>
      </c>
      <c r="O11">
        <f>SQRT($I$16*(1/G9+1/G8))</f>
        <v>0.67560298544292563</v>
      </c>
      <c r="P11">
        <f>N11/O11</f>
        <v>3.5770514913907592</v>
      </c>
      <c r="Q11">
        <f ca="1">Q7</f>
        <v>3.7774999999999999</v>
      </c>
      <c r="R11" s="224">
        <f ca="1">Q11/SQRT(2)</f>
        <v>2.6710958659321831</v>
      </c>
      <c r="S11" s="224" t="str">
        <f ca="1">IF(ABS(P11)&gt;=R11,"yes","no")</f>
        <v>yes</v>
      </c>
      <c r="T11">
        <f ca="1">N11-O11*R11</f>
        <v>0.61206632523862692</v>
      </c>
      <c r="U11">
        <f ca="1">N11+O11*R11</f>
        <v>4.2212670080947063</v>
      </c>
      <c r="W11" s="53" t="s">
        <v>539</v>
      </c>
      <c r="X11">
        <f>INDEX('Stud. Q Table'!A56:A100,X10)</f>
        <v>40</v>
      </c>
      <c r="Z11" s="245" t="s">
        <v>554</v>
      </c>
      <c r="AA11">
        <f>ABS(I8-I10)</f>
        <v>0.66666666666666696</v>
      </c>
      <c r="AB11">
        <f t="shared" ca="1" si="0"/>
        <v>1.8046003414280396</v>
      </c>
      <c r="AC11" s="224" t="str">
        <f t="shared" ca="1" si="1"/>
        <v>No</v>
      </c>
    </row>
    <row r="12" spans="1:29" x14ac:dyDescent="0.25">
      <c r="A12" s="35">
        <v>3</v>
      </c>
      <c r="B12" s="50">
        <v>3</v>
      </c>
      <c r="C12" s="35">
        <v>6</v>
      </c>
      <c r="D12" s="36">
        <v>2</v>
      </c>
      <c r="W12" s="53" t="s">
        <v>540</v>
      </c>
      <c r="X12">
        <f>INDEX('Stud. Q Table'!A56:A100,1+X10)</f>
        <v>48</v>
      </c>
      <c r="Z12" s="245" t="s">
        <v>555</v>
      </c>
      <c r="AA12" s="135">
        <f>ABS(I9-I10)</f>
        <v>1.7499999999999996</v>
      </c>
      <c r="AB12" s="135">
        <f t="shared" ca="1" si="0"/>
        <v>1.8046003414280396</v>
      </c>
      <c r="AC12" s="225" t="str">
        <f t="shared" ca="1" si="1"/>
        <v>No</v>
      </c>
    </row>
    <row r="13" spans="1:29" ht="15.75" thickBot="1" x14ac:dyDescent="0.3">
      <c r="A13" s="35">
        <v>7</v>
      </c>
      <c r="B13" s="50">
        <v>6</v>
      </c>
      <c r="C13" s="35">
        <v>6</v>
      </c>
      <c r="D13" s="36">
        <v>4</v>
      </c>
      <c r="F13" t="s">
        <v>294</v>
      </c>
      <c r="W13" s="53" t="s">
        <v>541</v>
      </c>
      <c r="X13">
        <f ca="1">INDEX(OFFSET('Stud. Q Table'!B56:T100,X9,0),X10,X7-1)</f>
        <v>3.7909999999999999</v>
      </c>
    </row>
    <row r="14" spans="1:29" x14ac:dyDescent="0.25">
      <c r="A14" s="35">
        <v>4</v>
      </c>
      <c r="B14" s="50">
        <v>2</v>
      </c>
      <c r="C14" s="35">
        <v>3</v>
      </c>
      <c r="D14" s="36">
        <v>5</v>
      </c>
      <c r="F14" s="226" t="s">
        <v>466</v>
      </c>
      <c r="G14" s="226" t="s">
        <v>219</v>
      </c>
      <c r="H14" s="226" t="s">
        <v>60</v>
      </c>
      <c r="I14" s="226" t="s">
        <v>240</v>
      </c>
      <c r="J14" s="226" t="s">
        <v>135</v>
      </c>
      <c r="K14" s="226" t="s">
        <v>119</v>
      </c>
      <c r="L14" s="226" t="s">
        <v>467</v>
      </c>
      <c r="W14" s="53" t="s">
        <v>542</v>
      </c>
      <c r="X14">
        <f ca="1">INDEX(OFFSET('Stud. Q Table'!B56:T100,X9,0),1+X10,X7-1)</f>
        <v>3.7639999999999998</v>
      </c>
    </row>
    <row r="15" spans="1:29" x14ac:dyDescent="0.25">
      <c r="A15" s="35">
        <v>5</v>
      </c>
      <c r="B15" s="50">
        <v>4</v>
      </c>
      <c r="C15" s="35">
        <v>4</v>
      </c>
      <c r="D15" s="36">
        <v>2</v>
      </c>
      <c r="F15" s="19" t="s">
        <v>462</v>
      </c>
      <c r="G15" s="19">
        <v>37.416666666666714</v>
      </c>
      <c r="H15" s="19">
        <v>3</v>
      </c>
      <c r="I15" s="19">
        <v>12.472222222222237</v>
      </c>
      <c r="J15" s="19">
        <v>4.554172429691107</v>
      </c>
      <c r="K15" s="19">
        <v>7.2835322244351394E-3</v>
      </c>
      <c r="L15" s="19">
        <v>2.8164658165656813</v>
      </c>
    </row>
    <row r="16" spans="1:29" x14ac:dyDescent="0.25">
      <c r="A16" s="181">
        <v>2</v>
      </c>
      <c r="B16" s="225">
        <v>1</v>
      </c>
      <c r="C16" s="181">
        <v>5</v>
      </c>
      <c r="D16" s="182">
        <v>3</v>
      </c>
      <c r="F16" s="19" t="s">
        <v>463</v>
      </c>
      <c r="G16" s="19">
        <v>120.5</v>
      </c>
      <c r="H16" s="19">
        <v>44</v>
      </c>
      <c r="I16" s="19">
        <v>2.7386363636363638</v>
      </c>
      <c r="J16" s="19"/>
      <c r="K16" s="19"/>
      <c r="L16" s="19"/>
      <c r="W16" s="236" t="s">
        <v>534</v>
      </c>
      <c r="X16" s="240">
        <f ca="1">IF(X6&gt;240,INDEX(OFFSET('Stud. Q Table'!B101:T101,X9,0),1,W20-1),IF(X6=X11,X13,X13+(X14-X13)*(X6-X11)/(X12-X11)))</f>
        <v>3.7774999999999999</v>
      </c>
    </row>
    <row r="17" spans="6:24" x14ac:dyDescent="0.25">
      <c r="F17" s="19"/>
      <c r="G17" s="19"/>
      <c r="H17" s="19"/>
      <c r="I17" s="19"/>
      <c r="J17" s="19"/>
      <c r="K17" s="19"/>
      <c r="L17" s="19"/>
    </row>
    <row r="18" spans="6:24" ht="15.75" thickBot="1" x14ac:dyDescent="0.3">
      <c r="F18" s="20" t="s">
        <v>1</v>
      </c>
      <c r="G18" s="20">
        <v>157.91666666666671</v>
      </c>
      <c r="H18" s="20">
        <v>47</v>
      </c>
      <c r="I18" s="20"/>
      <c r="J18" s="20"/>
      <c r="K18" s="20"/>
      <c r="L18" s="20"/>
      <c r="W18" s="236" t="s">
        <v>558</v>
      </c>
      <c r="X18" s="240">
        <f ca="1">X16*SQRT(I16/G7)</f>
        <v>1.8046003414280396</v>
      </c>
    </row>
    <row r="20" spans="6:24" x14ac:dyDescent="0.25">
      <c r="W20" t="s">
        <v>2317</v>
      </c>
    </row>
    <row r="22" spans="6:24" x14ac:dyDescent="0.25">
      <c r="W22" s="236" t="s">
        <v>534</v>
      </c>
      <c r="X22" s="240">
        <f>[1]!QCRIT(X7,X6,X5,2)</f>
        <v>3.776272727272727</v>
      </c>
    </row>
  </sheetData>
  <mergeCells count="2">
    <mergeCell ref="A3:B3"/>
    <mergeCell ref="C3:D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O15"/>
  <sheetViews>
    <sheetView workbookViewId="0">
      <selection activeCell="M22" sqref="M22"/>
    </sheetView>
  </sheetViews>
  <sheetFormatPr defaultRowHeight="15" x14ac:dyDescent="0.25"/>
  <cols>
    <col min="1" max="4" width="5.7109375" customWidth="1"/>
    <col min="5" max="5" width="6.140625" customWidth="1"/>
  </cols>
  <sheetData>
    <row r="1" spans="1:15" x14ac:dyDescent="0.25">
      <c r="A1" s="1" t="s">
        <v>530</v>
      </c>
    </row>
    <row r="3" spans="1:15" ht="15.75" thickBot="1" x14ac:dyDescent="0.3">
      <c r="A3" s="583" t="s">
        <v>1329</v>
      </c>
      <c r="B3" s="591" t="s">
        <v>1330</v>
      </c>
      <c r="C3" s="583" t="s">
        <v>1331</v>
      </c>
      <c r="D3" s="682" t="s">
        <v>1332</v>
      </c>
      <c r="F3" t="s">
        <v>1611</v>
      </c>
      <c r="K3" t="s">
        <v>34</v>
      </c>
      <c r="L3">
        <v>0.05</v>
      </c>
    </row>
    <row r="4" spans="1:15" ht="15.75" thickTop="1" x14ac:dyDescent="0.25">
      <c r="A4" s="683">
        <v>3</v>
      </c>
      <c r="B4" s="48">
        <v>2</v>
      </c>
      <c r="C4" s="683">
        <v>5</v>
      </c>
      <c r="D4" s="34">
        <v>4</v>
      </c>
      <c r="F4" s="826" t="s">
        <v>79</v>
      </c>
      <c r="G4" s="826" t="s">
        <v>43</v>
      </c>
      <c r="H4" s="826" t="s">
        <v>7</v>
      </c>
      <c r="I4" s="826" t="s">
        <v>31</v>
      </c>
      <c r="J4" s="826" t="s">
        <v>1233</v>
      </c>
      <c r="K4" s="826" t="s">
        <v>508</v>
      </c>
      <c r="L4" s="826" t="s">
        <v>1234</v>
      </c>
    </row>
    <row r="5" spans="1:15" x14ac:dyDescent="0.25">
      <c r="A5" s="35">
        <v>5</v>
      </c>
      <c r="B5" s="670">
        <v>4</v>
      </c>
      <c r="C5" s="35">
        <v>8</v>
      </c>
      <c r="D5" s="494">
        <v>5</v>
      </c>
      <c r="F5" t="str">
        <f>A3</f>
        <v>MD</v>
      </c>
      <c r="G5" s="727"/>
      <c r="H5">
        <f>AVERAGE(A4:A15)</f>
        <v>4.25</v>
      </c>
      <c r="I5">
        <f>COUNT(A4:A15)</f>
        <v>12</v>
      </c>
      <c r="J5">
        <f>DEVSQ(A4:A15)</f>
        <v>34.25</v>
      </c>
      <c r="K5">
        <f>G5^2/I5</f>
        <v>0</v>
      </c>
      <c r="L5">
        <f>G5*H5</f>
        <v>0</v>
      </c>
    </row>
    <row r="6" spans="1:15" x14ac:dyDescent="0.25">
      <c r="A6" s="35">
        <v>6</v>
      </c>
      <c r="B6" s="670">
        <v>3</v>
      </c>
      <c r="C6" s="35">
        <v>6</v>
      </c>
      <c r="D6" s="494">
        <v>3</v>
      </c>
      <c r="F6" t="str">
        <f>B3</f>
        <v>MC</v>
      </c>
      <c r="G6" s="727"/>
      <c r="H6">
        <f>AVERAGE(B4:B15)</f>
        <v>3.1666666666666665</v>
      </c>
      <c r="I6">
        <f>COUNT(B4:B15)</f>
        <v>12</v>
      </c>
      <c r="J6">
        <f>DEVSQ(B4:B15)</f>
        <v>29.666666666666664</v>
      </c>
      <c r="K6">
        <f>G6^2/I6</f>
        <v>0</v>
      </c>
      <c r="L6">
        <f>G6*H6</f>
        <v>0</v>
      </c>
    </row>
    <row r="7" spans="1:15" x14ac:dyDescent="0.25">
      <c r="A7" s="35">
        <v>1</v>
      </c>
      <c r="B7" s="670">
        <v>5</v>
      </c>
      <c r="C7" s="35">
        <v>4</v>
      </c>
      <c r="D7" s="494">
        <v>7</v>
      </c>
      <c r="F7" t="str">
        <f>C3</f>
        <v>WD</v>
      </c>
      <c r="G7" s="727">
        <v>1</v>
      </c>
      <c r="H7">
        <f>AVERAGE(C4:C15)</f>
        <v>5.583333333333333</v>
      </c>
      <c r="I7">
        <f>COUNT(C4:C15)</f>
        <v>12</v>
      </c>
      <c r="J7">
        <f>DEVSQ(C4:C15)</f>
        <v>26.916666666666668</v>
      </c>
      <c r="K7">
        <f>G7^2/I7</f>
        <v>8.3333333333333329E-2</v>
      </c>
      <c r="L7">
        <f>G7*H7</f>
        <v>5.583333333333333</v>
      </c>
    </row>
    <row r="8" spans="1:15" x14ac:dyDescent="0.25">
      <c r="A8" s="35">
        <v>5</v>
      </c>
      <c r="B8" s="670">
        <v>1</v>
      </c>
      <c r="C8" s="35">
        <v>7</v>
      </c>
      <c r="D8" s="494">
        <v>6</v>
      </c>
      <c r="F8" t="str">
        <f>D3</f>
        <v>WC</v>
      </c>
      <c r="G8" s="727">
        <v>-1</v>
      </c>
      <c r="H8">
        <f>AVERAGE(D4:D15)</f>
        <v>3.8333333333333335</v>
      </c>
      <c r="I8">
        <f>COUNT(D4:D15)</f>
        <v>12</v>
      </c>
      <c r="J8">
        <f>DEVSQ(D4:D15)</f>
        <v>29.666666666666664</v>
      </c>
      <c r="K8">
        <f>G8^2/I8</f>
        <v>8.3333333333333329E-2</v>
      </c>
      <c r="L8">
        <f>G8*H8</f>
        <v>-3.8333333333333335</v>
      </c>
    </row>
    <row r="9" spans="1:15" x14ac:dyDescent="0.25">
      <c r="A9" s="35">
        <v>6</v>
      </c>
      <c r="B9" s="670">
        <v>5</v>
      </c>
      <c r="C9" s="35">
        <v>8</v>
      </c>
      <c r="D9" s="494">
        <v>3</v>
      </c>
      <c r="F9" s="827"/>
      <c r="G9" s="827"/>
      <c r="H9" s="827"/>
      <c r="I9" s="827">
        <f>SUM(I5:I8)</f>
        <v>48</v>
      </c>
      <c r="J9" s="827">
        <f>SUM(J5:J8)</f>
        <v>120.5</v>
      </c>
      <c r="K9" s="827">
        <f>SUM(K5:K8)</f>
        <v>0.16666666666666666</v>
      </c>
      <c r="L9" s="827">
        <f>SUM(L5:L8)</f>
        <v>1.7499999999999996</v>
      </c>
    </row>
    <row r="10" spans="1:15" ht="15.75" thickBot="1" x14ac:dyDescent="0.3">
      <c r="A10" s="35">
        <v>4</v>
      </c>
      <c r="B10" s="670">
        <v>2</v>
      </c>
      <c r="C10" s="35">
        <v>5</v>
      </c>
      <c r="D10" s="494">
        <v>2</v>
      </c>
      <c r="F10" t="s">
        <v>1612</v>
      </c>
    </row>
    <row r="11" spans="1:15" ht="15.75" thickTop="1" x14ac:dyDescent="0.25">
      <c r="A11" s="35">
        <v>3</v>
      </c>
      <c r="B11" s="670">
        <v>3</v>
      </c>
      <c r="C11" s="35">
        <v>6</v>
      </c>
      <c r="D11" s="494">
        <v>2</v>
      </c>
      <c r="F11" s="826" t="s">
        <v>1000</v>
      </c>
      <c r="G11" s="826" t="s">
        <v>1610</v>
      </c>
      <c r="H11" s="826" t="s">
        <v>60</v>
      </c>
      <c r="I11" s="826" t="s">
        <v>534</v>
      </c>
      <c r="J11" s="826" t="s">
        <v>29</v>
      </c>
      <c r="K11" s="826" t="s">
        <v>30</v>
      </c>
      <c r="L11" s="826" t="s">
        <v>527</v>
      </c>
      <c r="M11" s="826" t="s">
        <v>111</v>
      </c>
      <c r="N11" s="826" t="s">
        <v>64</v>
      </c>
      <c r="O11" s="826" t="s">
        <v>1009</v>
      </c>
    </row>
    <row r="12" spans="1:15" x14ac:dyDescent="0.25">
      <c r="A12" s="35">
        <v>7</v>
      </c>
      <c r="B12" s="670">
        <v>6</v>
      </c>
      <c r="C12" s="35">
        <v>6</v>
      </c>
      <c r="D12" s="494">
        <v>4</v>
      </c>
      <c r="F12" s="1097">
        <f>SQRT(K9*J9/(2*H12))</f>
        <v>0.47772345239656905</v>
      </c>
      <c r="G12" s="1097">
        <f>L9/F12</f>
        <v>3.6632072200367607</v>
      </c>
      <c r="H12" s="1097">
        <f>I9-COUNT(I5:I8)</f>
        <v>44</v>
      </c>
      <c r="I12" s="1097">
        <f>[1]!QCRIT(COUNT(I5:I8),H12,L3,2)</f>
        <v>3.776272727272727</v>
      </c>
      <c r="J12" s="1097">
        <f>L9-F12*I12</f>
        <v>-5.4014044463734923E-2</v>
      </c>
      <c r="K12" s="1097">
        <f>L9+F12*I12</f>
        <v>3.554014044463734</v>
      </c>
      <c r="L12" s="1098" t="str">
        <f>IF(ABS(G12)&gt;I12,"yes","no")</f>
        <v>no</v>
      </c>
      <c r="M12" s="1097">
        <f>F12*I12</f>
        <v>1.8040140444637345</v>
      </c>
      <c r="N12" s="1097">
        <f>ABS(L9)*SQRT(H12/J9)</f>
        <v>1.0574768372928023</v>
      </c>
      <c r="O12" s="1097">
        <f>SQRT(G12^2/(G12^2+H12))</f>
        <v>0.48342971829193732</v>
      </c>
    </row>
    <row r="13" spans="1:15" x14ac:dyDescent="0.25">
      <c r="A13" s="35">
        <v>4</v>
      </c>
      <c r="B13" s="670">
        <v>2</v>
      </c>
      <c r="C13" s="35">
        <v>3</v>
      </c>
      <c r="D13" s="494">
        <v>5</v>
      </c>
    </row>
    <row r="14" spans="1:15" x14ac:dyDescent="0.25">
      <c r="A14" s="35">
        <v>5</v>
      </c>
      <c r="B14" s="670">
        <v>4</v>
      </c>
      <c r="C14" s="35">
        <v>4</v>
      </c>
      <c r="D14" s="494">
        <v>2</v>
      </c>
    </row>
    <row r="15" spans="1:15" x14ac:dyDescent="0.25">
      <c r="A15" s="436">
        <v>2</v>
      </c>
      <c r="B15" s="669">
        <v>1</v>
      </c>
      <c r="C15" s="436">
        <v>5</v>
      </c>
      <c r="D15" s="412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/>
  <dimension ref="A1:Y16"/>
  <sheetViews>
    <sheetView workbookViewId="0"/>
  </sheetViews>
  <sheetFormatPr defaultRowHeight="15" x14ac:dyDescent="0.25"/>
  <cols>
    <col min="6" max="6" width="16.7109375" customWidth="1"/>
  </cols>
  <sheetData>
    <row r="1" spans="1:25" x14ac:dyDescent="0.25">
      <c r="A1" s="1" t="s">
        <v>1579</v>
      </c>
    </row>
    <row r="3" spans="1:25" ht="15.75" thickBot="1" x14ac:dyDescent="0.3">
      <c r="A3" s="583" t="s">
        <v>1329</v>
      </c>
      <c r="B3" s="728" t="s">
        <v>1330</v>
      </c>
      <c r="C3" s="583" t="s">
        <v>1331</v>
      </c>
      <c r="D3" s="682" t="s">
        <v>1332</v>
      </c>
      <c r="F3" t="s">
        <v>457</v>
      </c>
      <c r="P3" t="s">
        <v>1611</v>
      </c>
      <c r="U3" t="s">
        <v>34</v>
      </c>
      <c r="V3">
        <v>0.05</v>
      </c>
    </row>
    <row r="4" spans="1:25" ht="15.75" thickTop="1" x14ac:dyDescent="0.25">
      <c r="A4" s="683">
        <v>3</v>
      </c>
      <c r="B4" s="48">
        <v>2</v>
      </c>
      <c r="C4" s="683">
        <v>5</v>
      </c>
      <c r="D4" s="34">
        <v>4</v>
      </c>
      <c r="P4" s="826" t="s">
        <v>79</v>
      </c>
      <c r="Q4" s="826" t="s">
        <v>43</v>
      </c>
      <c r="R4" s="826" t="s">
        <v>7</v>
      </c>
      <c r="S4" s="826" t="s">
        <v>31</v>
      </c>
      <c r="T4" s="826" t="s">
        <v>1233</v>
      </c>
      <c r="U4" s="826" t="s">
        <v>508</v>
      </c>
      <c r="V4" s="826" t="s">
        <v>1234</v>
      </c>
    </row>
    <row r="5" spans="1:25" ht="15.75" thickBot="1" x14ac:dyDescent="0.3">
      <c r="A5" s="35">
        <v>5</v>
      </c>
      <c r="B5" s="730">
        <v>4</v>
      </c>
      <c r="C5" s="35">
        <v>8</v>
      </c>
      <c r="D5" s="494">
        <v>5</v>
      </c>
      <c r="F5" t="s">
        <v>458</v>
      </c>
      <c r="K5" t="s">
        <v>34</v>
      </c>
      <c r="L5">
        <v>0.05</v>
      </c>
      <c r="P5" t="str">
        <f>A3</f>
        <v>MD</v>
      </c>
      <c r="Q5" s="727"/>
      <c r="R5">
        <f>AVERAGE(A4:A15)</f>
        <v>4.4545454545454541</v>
      </c>
      <c r="S5">
        <f>COUNT(A4:A15)</f>
        <v>11</v>
      </c>
      <c r="T5">
        <f>DEVSQ(A4:A15)</f>
        <v>28.72727272727273</v>
      </c>
      <c r="U5">
        <f>Q5^2/S5</f>
        <v>0</v>
      </c>
      <c r="V5">
        <f>Q5*R5</f>
        <v>0</v>
      </c>
    </row>
    <row r="6" spans="1:25" ht="15.75" thickTop="1" x14ac:dyDescent="0.25">
      <c r="A6" s="35">
        <v>6</v>
      </c>
      <c r="B6" s="730">
        <v>3</v>
      </c>
      <c r="C6" s="35">
        <v>6</v>
      </c>
      <c r="D6" s="494">
        <v>3</v>
      </c>
      <c r="F6" s="693" t="s">
        <v>79</v>
      </c>
      <c r="G6" s="693" t="s">
        <v>22</v>
      </c>
      <c r="H6" s="693" t="s">
        <v>21</v>
      </c>
      <c r="I6" s="693" t="s">
        <v>10</v>
      </c>
      <c r="J6" s="693" t="s">
        <v>80</v>
      </c>
      <c r="K6" s="693" t="s">
        <v>219</v>
      </c>
      <c r="L6" s="693" t="s">
        <v>59</v>
      </c>
      <c r="M6" s="693" t="s">
        <v>343</v>
      </c>
      <c r="N6" s="693" t="s">
        <v>344</v>
      </c>
      <c r="P6" t="str">
        <f>B3</f>
        <v>MC</v>
      </c>
      <c r="Q6" s="727"/>
      <c r="R6">
        <f>AVERAGE(B4:B15)</f>
        <v>3.1666666666666665</v>
      </c>
      <c r="S6">
        <f>COUNT(B4:B15)</f>
        <v>12</v>
      </c>
      <c r="T6">
        <f>DEVSQ(B4:B15)</f>
        <v>29.666666666666664</v>
      </c>
      <c r="U6">
        <f>Q6^2/S6</f>
        <v>0</v>
      </c>
      <c r="V6">
        <f>Q6*R6</f>
        <v>0</v>
      </c>
    </row>
    <row r="7" spans="1:25" x14ac:dyDescent="0.25">
      <c r="A7" s="35">
        <v>1</v>
      </c>
      <c r="B7" s="730">
        <v>5</v>
      </c>
      <c r="C7" s="35">
        <v>4</v>
      </c>
      <c r="D7" s="494">
        <v>7</v>
      </c>
      <c r="F7" t="str">
        <f>A3</f>
        <v>MD</v>
      </c>
      <c r="G7">
        <f>COUNT(A4:A15)</f>
        <v>11</v>
      </c>
      <c r="H7">
        <f>SUM(A4:A15)</f>
        <v>49</v>
      </c>
      <c r="I7">
        <f>AVERAGE(A4:A15)</f>
        <v>4.4545454545454541</v>
      </c>
      <c r="J7">
        <f>VAR(A4:A15)</f>
        <v>2.8727272727272721</v>
      </c>
      <c r="K7">
        <f>DEVSQ(A4:A15)</f>
        <v>28.72727272727273</v>
      </c>
      <c r="L7">
        <f>SQRT(I15/G7)</f>
        <v>0.48465157484731392</v>
      </c>
      <c r="M7">
        <f>I7-L7*TINV(L5,G7-1)</f>
        <v>3.3746744509518205</v>
      </c>
      <c r="N7">
        <f>I7+L7*TINV(L5,G7-1)</f>
        <v>5.5344164581390878</v>
      </c>
      <c r="P7" t="str">
        <f>C3</f>
        <v>WD</v>
      </c>
      <c r="Q7" s="727">
        <v>1</v>
      </c>
      <c r="R7">
        <f>AVERAGE(C4:C15)</f>
        <v>6.1111111111111107</v>
      </c>
      <c r="S7">
        <f>COUNT(C4:C15)</f>
        <v>9</v>
      </c>
      <c r="T7">
        <f>DEVSQ(C4:C15)</f>
        <v>14.888888888888886</v>
      </c>
      <c r="U7">
        <f>Q7^2/S7</f>
        <v>0.1111111111111111</v>
      </c>
      <c r="V7">
        <f>Q7*R7</f>
        <v>6.1111111111111107</v>
      </c>
    </row>
    <row r="8" spans="1:25" x14ac:dyDescent="0.25">
      <c r="A8" s="35">
        <v>5</v>
      </c>
      <c r="B8" s="730">
        <v>1</v>
      </c>
      <c r="C8" s="35">
        <v>7</v>
      </c>
      <c r="D8" s="494">
        <v>6</v>
      </c>
      <c r="F8" t="str">
        <f>B3</f>
        <v>MC</v>
      </c>
      <c r="G8">
        <f>COUNT(B4:B15)</f>
        <v>12</v>
      </c>
      <c r="H8">
        <f>SUM(B4:B15)</f>
        <v>38</v>
      </c>
      <c r="I8">
        <f>AVERAGE(B4:B15)</f>
        <v>3.1666666666666665</v>
      </c>
      <c r="J8">
        <f>VAR(B4:B15)</f>
        <v>2.6969696969696972</v>
      </c>
      <c r="K8">
        <f>DEVSQ(B4:B15)</f>
        <v>29.666666666666664</v>
      </c>
      <c r="L8">
        <f>SQRT(I15/G8)</f>
        <v>0.46401855557561816</v>
      </c>
      <c r="M8">
        <f>I8-L8*TINV(L5,G8-1)</f>
        <v>2.1453687118375737</v>
      </c>
      <c r="N8">
        <f>I8+L8*TINV(L5,G8-1)</f>
        <v>4.1879646214957589</v>
      </c>
      <c r="P8" t="str">
        <f>D3</f>
        <v>WC</v>
      </c>
      <c r="Q8" s="727">
        <v>-1</v>
      </c>
      <c r="R8">
        <f>AVERAGE(D4:D15)</f>
        <v>4.0999999999999996</v>
      </c>
      <c r="S8">
        <f>COUNT(D4:D15)</f>
        <v>10</v>
      </c>
      <c r="T8">
        <f>DEVSQ(D4:D15)</f>
        <v>24.900000000000002</v>
      </c>
      <c r="U8">
        <f>Q8^2/S8</f>
        <v>0.1</v>
      </c>
      <c r="V8">
        <f>Q8*R8</f>
        <v>-4.0999999999999996</v>
      </c>
    </row>
    <row r="9" spans="1:25" x14ac:dyDescent="0.25">
      <c r="A9" s="35">
        <v>6</v>
      </c>
      <c r="B9" s="730">
        <v>5</v>
      </c>
      <c r="C9" s="35">
        <v>8</v>
      </c>
      <c r="D9" s="494">
        <v>3</v>
      </c>
      <c r="F9" t="str">
        <f>C3</f>
        <v>WD</v>
      </c>
      <c r="G9">
        <f>COUNT(C4:C15)</f>
        <v>9</v>
      </c>
      <c r="H9">
        <f>SUM(C4:C15)</f>
        <v>55</v>
      </c>
      <c r="I9">
        <f>AVERAGE(C4:C15)</f>
        <v>6.1111111111111107</v>
      </c>
      <c r="J9">
        <f>VAR(C4:C15)</f>
        <v>1.8611111111111143</v>
      </c>
      <c r="K9">
        <f>DEVSQ(C4:C15)</f>
        <v>14.888888888888886</v>
      </c>
      <c r="L9">
        <f>SQRT(I15/G9)</f>
        <v>0.53580247594112895</v>
      </c>
      <c r="M9">
        <f>I9-L9*TINV(L5,G9-1)</f>
        <v>4.8755483859382363</v>
      </c>
      <c r="N9">
        <f>I9+L9*TINV(L5,G9-1)</f>
        <v>7.3466738362839852</v>
      </c>
      <c r="P9" s="827"/>
      <c r="Q9" s="827"/>
      <c r="R9" s="827"/>
      <c r="S9" s="827">
        <f>SUM(S5:S8)</f>
        <v>42</v>
      </c>
      <c r="T9" s="827">
        <f>SUM(T5:T8)</f>
        <v>98.182828282828282</v>
      </c>
      <c r="U9" s="827">
        <f>SUM(U5:U8)</f>
        <v>0.21111111111111111</v>
      </c>
      <c r="V9" s="827">
        <f>SUM(V5:V8)</f>
        <v>2.0111111111111111</v>
      </c>
    </row>
    <row r="10" spans="1:25" ht="15.75" thickBot="1" x14ac:dyDescent="0.3">
      <c r="A10" s="35">
        <v>4</v>
      </c>
      <c r="B10" s="730">
        <v>2</v>
      </c>
      <c r="C10" s="35">
        <v>5</v>
      </c>
      <c r="D10" s="494">
        <v>2</v>
      </c>
      <c r="F10" t="str">
        <f>D3</f>
        <v>WC</v>
      </c>
      <c r="G10">
        <f>COUNT(D4:D15)</f>
        <v>10</v>
      </c>
      <c r="H10">
        <f>SUM(D4:D15)</f>
        <v>41</v>
      </c>
      <c r="I10">
        <f>AVERAGE(D4:D15)</f>
        <v>4.0999999999999996</v>
      </c>
      <c r="J10">
        <f>VAR(D4:D15)</f>
        <v>2.7666666666666675</v>
      </c>
      <c r="K10">
        <f>DEVSQ(D4:D15)</f>
        <v>24.900000000000002</v>
      </c>
      <c r="L10">
        <f>SQRT(I15/G10)</f>
        <v>0.50830685997946135</v>
      </c>
      <c r="M10">
        <f>I10-L10*TINV(L5,G10-1)</f>
        <v>2.9501299957979965</v>
      </c>
      <c r="N10">
        <f>I10+L10*TINV(L5,G10-1)</f>
        <v>5.2498700042020028</v>
      </c>
      <c r="P10" t="s">
        <v>1612</v>
      </c>
    </row>
    <row r="11" spans="1:25" ht="15.75" thickTop="1" x14ac:dyDescent="0.25">
      <c r="A11" s="35">
        <v>3</v>
      </c>
      <c r="B11" s="730">
        <v>3</v>
      </c>
      <c r="C11" s="35">
        <v>6</v>
      </c>
      <c r="D11" s="494">
        <v>2</v>
      </c>
      <c r="F11" s="4"/>
      <c r="G11" s="4"/>
      <c r="H11" s="4"/>
      <c r="I11" s="4"/>
      <c r="J11" s="4"/>
      <c r="K11" s="4"/>
      <c r="L11" s="4"/>
      <c r="M11" s="4"/>
      <c r="N11" s="4"/>
      <c r="P11" s="826" t="s">
        <v>1000</v>
      </c>
      <c r="Q11" s="826" t="s">
        <v>1610</v>
      </c>
      <c r="R11" s="826" t="s">
        <v>60</v>
      </c>
      <c r="S11" s="826" t="s">
        <v>534</v>
      </c>
      <c r="T11" s="826" t="s">
        <v>29</v>
      </c>
      <c r="U11" s="826" t="s">
        <v>30</v>
      </c>
      <c r="V11" s="826" t="s">
        <v>527</v>
      </c>
      <c r="W11" s="826" t="s">
        <v>111</v>
      </c>
      <c r="X11" s="826" t="s">
        <v>64</v>
      </c>
      <c r="Y11" s="826" t="s">
        <v>1009</v>
      </c>
    </row>
    <row r="12" spans="1:25" ht="15.75" thickBot="1" x14ac:dyDescent="0.3">
      <c r="A12" s="35">
        <v>7</v>
      </c>
      <c r="B12" s="730">
        <v>6</v>
      </c>
      <c r="C12" s="35">
        <v>6</v>
      </c>
      <c r="D12" s="494">
        <v>4</v>
      </c>
      <c r="F12" t="s">
        <v>294</v>
      </c>
      <c r="P12" s="590">
        <f>SQRT(U9*T9/(2*R12))</f>
        <v>0.52223565424376373</v>
      </c>
      <c r="Q12" s="590">
        <f>V9/P12</f>
        <v>3.8509647795368362</v>
      </c>
      <c r="R12" s="590">
        <f>S9-COUNT(S5:S8)</f>
        <v>38</v>
      </c>
      <c r="S12" s="590">
        <f>[1]!QCRIT(COUNT(S5:S8),R12,V3,2)</f>
        <v>3.7989999999999999</v>
      </c>
      <c r="T12" s="590">
        <f>V9-P12*S12</f>
        <v>2.7137860639052658E-2</v>
      </c>
      <c r="U12" s="590">
        <f>V9+P12*S12</f>
        <v>3.9950843615831695</v>
      </c>
      <c r="V12" s="1093" t="str">
        <f>IF(ABS(Q12)&gt;S12,"yes","no")</f>
        <v>yes</v>
      </c>
      <c r="W12" s="590">
        <f>P12*S12</f>
        <v>1.9839732504720584</v>
      </c>
      <c r="X12" s="590">
        <f>ABS(V9)*SQRT(R12/T9)</f>
        <v>1.2511520578416047</v>
      </c>
      <c r="Y12" s="590">
        <f>SQRT(Q12^2/(Q12^2+R12))</f>
        <v>0.5298214417460273</v>
      </c>
    </row>
    <row r="13" spans="1:25" ht="15.75" thickTop="1" x14ac:dyDescent="0.25">
      <c r="A13" s="35">
        <v>4</v>
      </c>
      <c r="B13" s="730">
        <v>2</v>
      </c>
      <c r="C13" s="35"/>
      <c r="D13" s="494">
        <v>5</v>
      </c>
      <c r="F13" s="693" t="s">
        <v>459</v>
      </c>
      <c r="G13" s="693" t="s">
        <v>219</v>
      </c>
      <c r="H13" s="693" t="s">
        <v>60</v>
      </c>
      <c r="I13" s="693" t="s">
        <v>240</v>
      </c>
      <c r="J13" s="693" t="s">
        <v>135</v>
      </c>
      <c r="K13" s="693" t="s">
        <v>460</v>
      </c>
      <c r="L13" s="693" t="s">
        <v>467</v>
      </c>
      <c r="M13" s="693" t="s">
        <v>1231</v>
      </c>
      <c r="N13" s="693" t="s">
        <v>1232</v>
      </c>
    </row>
    <row r="14" spans="1:25" x14ac:dyDescent="0.25">
      <c r="A14" s="35">
        <v>5</v>
      </c>
      <c r="B14" s="730">
        <v>4</v>
      </c>
      <c r="C14" s="35"/>
      <c r="D14" s="494"/>
      <c r="F14" t="s">
        <v>462</v>
      </c>
      <c r="G14">
        <f>G16-G15</f>
        <v>45.4600288600288</v>
      </c>
      <c r="H14">
        <f>COUNTA(F7:F10)-1</f>
        <v>3</v>
      </c>
      <c r="I14">
        <f>G14/H14</f>
        <v>15.153342953342934</v>
      </c>
      <c r="J14">
        <f>I14/I15</f>
        <v>5.8648446199603006</v>
      </c>
      <c r="K14">
        <f>FDIST(J14,H14,H15)</f>
        <v>2.1504945159401918E-3</v>
      </c>
      <c r="L14">
        <f>FINV(L5,H14,H15)</f>
        <v>2.8517413363298969</v>
      </c>
      <c r="M14">
        <f>SQRT(DEVSQ(I7:I10)/(I15*H14))</f>
        <v>0.76434653581314205</v>
      </c>
      <c r="N14">
        <f>(G16-H16*I15)/(G16+I15)</f>
        <v>0.25787885975021291</v>
      </c>
    </row>
    <row r="15" spans="1:25" x14ac:dyDescent="0.25">
      <c r="A15" s="436"/>
      <c r="B15" s="729">
        <v>1</v>
      </c>
      <c r="C15" s="436"/>
      <c r="D15" s="412"/>
      <c r="F15" t="s">
        <v>463</v>
      </c>
      <c r="G15">
        <f>SUM(K7:K10)</f>
        <v>98.182828282828282</v>
      </c>
      <c r="H15">
        <f>H16-H14</f>
        <v>38</v>
      </c>
      <c r="I15">
        <f>G15/H15</f>
        <v>2.5837586390217968</v>
      </c>
    </row>
    <row r="16" spans="1:25" x14ac:dyDescent="0.25">
      <c r="F16" s="410" t="s">
        <v>1</v>
      </c>
      <c r="G16" s="410">
        <f>DEVSQ(A4:D15)</f>
        <v>143.64285714285708</v>
      </c>
      <c r="H16" s="410">
        <f>COUNT(A4:D15)-1</f>
        <v>41</v>
      </c>
      <c r="I16" s="410">
        <f>G16/H16</f>
        <v>3.5034843205574897</v>
      </c>
      <c r="J16" s="410"/>
      <c r="K16" s="410"/>
      <c r="L16" s="410"/>
      <c r="M16" s="410"/>
      <c r="N16" s="41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/>
  <dimension ref="A1:R15"/>
  <sheetViews>
    <sheetView workbookViewId="0"/>
  </sheetViews>
  <sheetFormatPr defaultRowHeight="15" x14ac:dyDescent="0.25"/>
  <sheetData>
    <row r="1" spans="1:18" x14ac:dyDescent="0.25">
      <c r="A1" s="1" t="s">
        <v>1619</v>
      </c>
    </row>
    <row r="3" spans="1:18" ht="15.75" thickBot="1" x14ac:dyDescent="0.3">
      <c r="A3" s="583" t="s">
        <v>1329</v>
      </c>
      <c r="B3" s="728" t="s">
        <v>1330</v>
      </c>
      <c r="C3" s="583" t="s">
        <v>1331</v>
      </c>
      <c r="D3" s="682" t="s">
        <v>1332</v>
      </c>
      <c r="F3" t="s">
        <v>1580</v>
      </c>
      <c r="K3" t="s">
        <v>34</v>
      </c>
      <c r="L3">
        <v>0.05</v>
      </c>
      <c r="Q3" t="s">
        <v>2318</v>
      </c>
    </row>
    <row r="4" spans="1:18" ht="15.75" thickTop="1" x14ac:dyDescent="0.25">
      <c r="A4" s="683">
        <v>3</v>
      </c>
      <c r="B4" s="48">
        <v>2</v>
      </c>
      <c r="C4" s="683">
        <v>5</v>
      </c>
      <c r="D4" s="34">
        <v>4</v>
      </c>
      <c r="F4" s="826" t="s">
        <v>79</v>
      </c>
      <c r="G4" s="826" t="s">
        <v>43</v>
      </c>
      <c r="H4" s="826" t="s">
        <v>7</v>
      </c>
      <c r="I4" s="826" t="s">
        <v>31</v>
      </c>
      <c r="J4" s="826" t="s">
        <v>1064</v>
      </c>
      <c r="K4" s="826" t="s">
        <v>1581</v>
      </c>
      <c r="L4" s="826" t="s">
        <v>1234</v>
      </c>
    </row>
    <row r="5" spans="1:18" x14ac:dyDescent="0.25">
      <c r="A5" s="35">
        <v>5</v>
      </c>
      <c r="B5" s="730">
        <v>4</v>
      </c>
      <c r="C5" s="35">
        <v>8</v>
      </c>
      <c r="D5" s="494">
        <v>5</v>
      </c>
      <c r="F5" t="str">
        <f>A3</f>
        <v>MD</v>
      </c>
      <c r="G5" s="727"/>
      <c r="H5">
        <f>AVERAGE(A4:A15)</f>
        <v>4.4545454545454541</v>
      </c>
      <c r="I5">
        <f>COUNT(A4:A15)</f>
        <v>11</v>
      </c>
      <c r="J5">
        <f>VAR(A4:A15)</f>
        <v>2.8727272727272721</v>
      </c>
      <c r="K5">
        <f>G5^2*J5/I5</f>
        <v>0</v>
      </c>
      <c r="L5">
        <f>G5*H5</f>
        <v>0</v>
      </c>
      <c r="Q5" t="s">
        <v>60</v>
      </c>
      <c r="R5" s="580">
        <f>[1]!DF_POOLED(C4:C15,D4:D15)</f>
        <v>16.875593026779523</v>
      </c>
    </row>
    <row r="6" spans="1:18" x14ac:dyDescent="0.25">
      <c r="A6" s="35">
        <v>6</v>
      </c>
      <c r="B6" s="730">
        <v>3</v>
      </c>
      <c r="C6" s="35">
        <v>6</v>
      </c>
      <c r="D6" s="494">
        <v>3</v>
      </c>
      <c r="F6" t="str">
        <f>B3</f>
        <v>MC</v>
      </c>
      <c r="G6" s="727"/>
      <c r="H6">
        <f>AVERAGE(B4:B15)</f>
        <v>3.1666666666666665</v>
      </c>
      <c r="I6">
        <f>COUNT(B4:B15)</f>
        <v>12</v>
      </c>
      <c r="J6">
        <f>VAR(B4:B15)</f>
        <v>2.6969696969696972</v>
      </c>
      <c r="K6">
        <f>G6^2*J6/I6</f>
        <v>0</v>
      </c>
      <c r="L6">
        <f>G6*H6</f>
        <v>0</v>
      </c>
    </row>
    <row r="7" spans="1:18" x14ac:dyDescent="0.25">
      <c r="A7" s="35">
        <v>1</v>
      </c>
      <c r="B7" s="730">
        <v>5</v>
      </c>
      <c r="C7" s="35">
        <v>4</v>
      </c>
      <c r="D7" s="494">
        <v>7</v>
      </c>
      <c r="F7" t="str">
        <f>C3</f>
        <v>WD</v>
      </c>
      <c r="G7" s="727">
        <v>1</v>
      </c>
      <c r="H7">
        <f>AVERAGE(C4:C15)</f>
        <v>6.1111111111111107</v>
      </c>
      <c r="I7">
        <f>COUNT(C4:C15)</f>
        <v>9</v>
      </c>
      <c r="J7">
        <f>VAR(C4:C15)</f>
        <v>1.8611111111111143</v>
      </c>
      <c r="K7">
        <f>G7^2*J7/I7</f>
        <v>0.20679012345679049</v>
      </c>
      <c r="L7">
        <f>G7*H7</f>
        <v>6.1111111111111107</v>
      </c>
    </row>
    <row r="8" spans="1:18" x14ac:dyDescent="0.25">
      <c r="A8" s="35">
        <v>5</v>
      </c>
      <c r="B8" s="730">
        <v>1</v>
      </c>
      <c r="C8" s="35">
        <v>7</v>
      </c>
      <c r="D8" s="494">
        <v>6</v>
      </c>
      <c r="F8" t="str">
        <f>D3</f>
        <v>WC</v>
      </c>
      <c r="G8" s="727">
        <v>-1</v>
      </c>
      <c r="H8">
        <f>AVERAGE(D4:D15)</f>
        <v>4.0999999999999996</v>
      </c>
      <c r="I8">
        <f>COUNT(D4:D15)</f>
        <v>10</v>
      </c>
      <c r="J8">
        <f>VAR(D4:D15)</f>
        <v>2.7666666666666675</v>
      </c>
      <c r="K8">
        <f>G8^2*J8/I8</f>
        <v>0.27666666666666673</v>
      </c>
      <c r="L8">
        <f>G8*H8</f>
        <v>-4.0999999999999996</v>
      </c>
    </row>
    <row r="9" spans="1:18" x14ac:dyDescent="0.25">
      <c r="A9" s="35">
        <v>6</v>
      </c>
      <c r="B9" s="730">
        <v>5</v>
      </c>
      <c r="C9" s="35">
        <v>8</v>
      </c>
      <c r="D9" s="494">
        <v>3</v>
      </c>
      <c r="F9" s="827"/>
      <c r="G9" s="827"/>
      <c r="H9" s="827"/>
      <c r="I9" s="827"/>
      <c r="J9" s="827">
        <f>SUMPRODUCT(G5:G8^2,J5:J8)</f>
        <v>4.6277777777777818</v>
      </c>
      <c r="K9" s="827">
        <f>SUM(K5:K8)</f>
        <v>0.48345679012345721</v>
      </c>
      <c r="L9" s="827">
        <f>SUM(L5:L8)</f>
        <v>2.0111111111111111</v>
      </c>
    </row>
    <row r="10" spans="1:18" ht="15.75" thickBot="1" x14ac:dyDescent="0.3">
      <c r="A10" s="35">
        <v>4</v>
      </c>
      <c r="B10" s="730">
        <v>2</v>
      </c>
      <c r="C10" s="35">
        <v>5</v>
      </c>
      <c r="D10" s="494">
        <v>2</v>
      </c>
      <c r="F10" t="s">
        <v>1612</v>
      </c>
    </row>
    <row r="11" spans="1:18" ht="15.75" thickTop="1" x14ac:dyDescent="0.25">
      <c r="A11" s="35">
        <v>3</v>
      </c>
      <c r="B11" s="730">
        <v>3</v>
      </c>
      <c r="C11" s="35">
        <v>6</v>
      </c>
      <c r="D11" s="494">
        <v>2</v>
      </c>
      <c r="F11" s="826" t="s">
        <v>1000</v>
      </c>
      <c r="G11" s="826" t="s">
        <v>1610</v>
      </c>
      <c r="H11" s="826" t="s">
        <v>60</v>
      </c>
      <c r="I11" s="826" t="s">
        <v>534</v>
      </c>
      <c r="J11" s="826" t="s">
        <v>29</v>
      </c>
      <c r="K11" s="826" t="s">
        <v>30</v>
      </c>
      <c r="L11" s="826" t="s">
        <v>527</v>
      </c>
      <c r="M11" s="826" t="s">
        <v>111</v>
      </c>
      <c r="N11" s="826" t="s">
        <v>2443</v>
      </c>
    </row>
    <row r="12" spans="1:18" x14ac:dyDescent="0.25">
      <c r="A12" s="35">
        <v>7</v>
      </c>
      <c r="B12" s="730">
        <v>6</v>
      </c>
      <c r="C12" s="35">
        <v>6</v>
      </c>
      <c r="D12" s="494">
        <v>4</v>
      </c>
      <c r="F12" s="590">
        <f>SQRT(K9/2)</f>
        <v>0.49165881977416881</v>
      </c>
      <c r="G12" s="590">
        <f>L9/F12</f>
        <v>4.0904607630853951</v>
      </c>
      <c r="H12" s="590">
        <f>K9^2/SUMPRODUCT(K5:K8^2,1/(I5:I8-1))</f>
        <v>16.875593026779523</v>
      </c>
      <c r="I12" s="590">
        <f>[1]!QCRIT(COUNT(I5:I8),H12,L3,2)</f>
        <v>4.0230667545002765</v>
      </c>
      <c r="J12" s="590">
        <f>L9-F12*I12</f>
        <v>3.3134858720809346E-2</v>
      </c>
      <c r="K12" s="590">
        <f>L9+F12*I12</f>
        <v>3.9890873635014126</v>
      </c>
      <c r="L12" s="1093" t="str">
        <f>IF(ABS(G12)&gt;I12,"yes","no")</f>
        <v>yes</v>
      </c>
      <c r="M12" s="590">
        <f>F12*I12</f>
        <v>1.9779762523903017</v>
      </c>
      <c r="N12" s="590">
        <f>SQRT(G12^2/(G12^2+H12))</f>
        <v>0.70559317476768113</v>
      </c>
    </row>
    <row r="13" spans="1:18" x14ac:dyDescent="0.25">
      <c r="A13" s="35">
        <v>4</v>
      </c>
      <c r="B13" s="730">
        <v>2</v>
      </c>
      <c r="C13" s="35"/>
      <c r="D13" s="494">
        <v>5</v>
      </c>
    </row>
    <row r="14" spans="1:18" x14ac:dyDescent="0.25">
      <c r="A14" s="35">
        <v>5</v>
      </c>
      <c r="B14" s="730">
        <v>4</v>
      </c>
      <c r="C14" s="35"/>
      <c r="D14" s="494"/>
    </row>
    <row r="15" spans="1:18" x14ac:dyDescent="0.25">
      <c r="A15" s="436"/>
      <c r="B15" s="729">
        <v>1</v>
      </c>
      <c r="C15" s="436"/>
      <c r="D15" s="41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AB22"/>
  <sheetViews>
    <sheetView workbookViewId="0"/>
  </sheetViews>
  <sheetFormatPr defaultRowHeight="15" x14ac:dyDescent="0.25"/>
  <cols>
    <col min="1" max="4" width="7.140625" customWidth="1"/>
    <col min="5" max="5" width="5.140625" customWidth="1"/>
    <col min="6" max="6" width="17.140625" customWidth="1"/>
    <col min="7" max="12" width="8.28515625" customWidth="1"/>
    <col min="13" max="13" width="9.5703125" customWidth="1"/>
    <col min="14" max="14" width="15.42578125" customWidth="1"/>
    <col min="22" max="22" width="17" customWidth="1"/>
  </cols>
  <sheetData>
    <row r="1" spans="1:28" x14ac:dyDescent="0.25">
      <c r="A1" s="1" t="s">
        <v>548</v>
      </c>
    </row>
    <row r="3" spans="1:28" x14ac:dyDescent="0.25">
      <c r="A3" s="1287" t="s">
        <v>324</v>
      </c>
      <c r="B3" s="1287"/>
      <c r="C3" s="1287" t="s">
        <v>325</v>
      </c>
      <c r="D3" s="1287"/>
      <c r="E3" s="50"/>
      <c r="F3" t="s">
        <v>464</v>
      </c>
      <c r="M3" s="50"/>
      <c r="N3" t="s">
        <v>543</v>
      </c>
      <c r="V3" t="s">
        <v>2319</v>
      </c>
    </row>
    <row r="4" spans="1:28" ht="15.75" thickBot="1" x14ac:dyDescent="0.3">
      <c r="A4" s="227" t="s">
        <v>92</v>
      </c>
      <c r="B4" s="228" t="s">
        <v>91</v>
      </c>
      <c r="C4" s="227" t="s">
        <v>92</v>
      </c>
      <c r="D4" s="229" t="s">
        <v>91</v>
      </c>
      <c r="E4" s="50"/>
      <c r="M4" s="50"/>
      <c r="N4" s="50"/>
      <c r="O4" s="50"/>
      <c r="P4" s="50"/>
    </row>
    <row r="5" spans="1:28" ht="15.75" thickBot="1" x14ac:dyDescent="0.3">
      <c r="A5" s="230">
        <v>3</v>
      </c>
      <c r="B5" s="231">
        <v>2</v>
      </c>
      <c r="C5" s="230">
        <v>5</v>
      </c>
      <c r="D5" s="232">
        <v>4</v>
      </c>
      <c r="E5" s="50"/>
      <c r="F5" t="s">
        <v>62</v>
      </c>
      <c r="M5" s="50"/>
      <c r="N5" s="210" t="s">
        <v>79</v>
      </c>
      <c r="O5" s="210" t="s">
        <v>10</v>
      </c>
      <c r="Q5" s="30" t="s">
        <v>56</v>
      </c>
      <c r="R5" s="242">
        <v>4</v>
      </c>
      <c r="S5" s="243">
        <v>4</v>
      </c>
      <c r="T5" s="244">
        <v>4</v>
      </c>
      <c r="V5" t="s">
        <v>543</v>
      </c>
    </row>
    <row r="6" spans="1:28" ht="15.75" thickBot="1" x14ac:dyDescent="0.3">
      <c r="A6" s="35">
        <v>5</v>
      </c>
      <c r="B6" s="50">
        <v>4</v>
      </c>
      <c r="C6" s="35">
        <v>8</v>
      </c>
      <c r="D6" s="36">
        <v>5</v>
      </c>
      <c r="E6" s="50"/>
      <c r="F6" s="210" t="s">
        <v>79</v>
      </c>
      <c r="G6" s="210" t="s">
        <v>22</v>
      </c>
      <c r="H6" s="210" t="s">
        <v>21</v>
      </c>
      <c r="I6" s="210" t="s">
        <v>465</v>
      </c>
      <c r="J6" s="210" t="s">
        <v>80</v>
      </c>
      <c r="M6" s="50"/>
      <c r="N6" s="19" t="s">
        <v>523</v>
      </c>
      <c r="O6" s="19">
        <v>5.583333333333333</v>
      </c>
      <c r="Q6" t="s">
        <v>103</v>
      </c>
      <c r="R6" s="6">
        <v>4</v>
      </c>
      <c r="S6" s="7">
        <f>R6-1</f>
        <v>3</v>
      </c>
      <c r="T6" s="8">
        <f>S6-1</f>
        <v>2</v>
      </c>
      <c r="V6" s="855"/>
      <c r="W6" s="855"/>
      <c r="X6" s="855"/>
    </row>
    <row r="7" spans="1:28" x14ac:dyDescent="0.25">
      <c r="A7" s="35">
        <v>6</v>
      </c>
      <c r="B7" s="50">
        <v>3</v>
      </c>
      <c r="C7" s="35">
        <v>6</v>
      </c>
      <c r="D7" s="36">
        <v>3</v>
      </c>
      <c r="E7" s="50"/>
      <c r="F7" s="19" t="s">
        <v>521</v>
      </c>
      <c r="G7" s="19">
        <v>12</v>
      </c>
      <c r="H7" s="19">
        <v>51</v>
      </c>
      <c r="I7" s="19">
        <v>4.25</v>
      </c>
      <c r="J7" s="19">
        <v>3.1136363636363638</v>
      </c>
      <c r="M7" s="50"/>
      <c r="N7" s="19" t="s">
        <v>521</v>
      </c>
      <c r="O7" s="19">
        <v>4.25</v>
      </c>
      <c r="Q7" s="30" t="s">
        <v>48</v>
      </c>
      <c r="R7" s="242">
        <v>0.05</v>
      </c>
      <c r="S7" s="243">
        <v>0.05</v>
      </c>
      <c r="T7" s="244">
        <v>0.05</v>
      </c>
      <c r="V7" s="856" t="s">
        <v>79</v>
      </c>
      <c r="W7" s="856" t="s">
        <v>10</v>
      </c>
      <c r="Y7" s="30" t="s">
        <v>56</v>
      </c>
      <c r="Z7" s="242">
        <v>4</v>
      </c>
      <c r="AA7" s="243">
        <v>4</v>
      </c>
      <c r="AB7" s="244">
        <v>4</v>
      </c>
    </row>
    <row r="8" spans="1:28" ht="18" x14ac:dyDescent="0.35">
      <c r="A8" s="35">
        <v>1</v>
      </c>
      <c r="B8" s="50">
        <v>5</v>
      </c>
      <c r="C8" s="35">
        <v>4</v>
      </c>
      <c r="D8" s="36">
        <v>7</v>
      </c>
      <c r="E8" s="50"/>
      <c r="F8" s="19" t="s">
        <v>522</v>
      </c>
      <c r="G8" s="19">
        <v>12</v>
      </c>
      <c r="H8" s="19">
        <v>38</v>
      </c>
      <c r="I8" s="19">
        <v>3.1666666666666665</v>
      </c>
      <c r="J8" s="19">
        <v>2.6969696969696972</v>
      </c>
      <c r="M8" s="50"/>
      <c r="N8" s="19" t="s">
        <v>524</v>
      </c>
      <c r="O8" s="19">
        <v>3.8333333333333335</v>
      </c>
      <c r="Q8" s="30" t="s">
        <v>560</v>
      </c>
      <c r="R8" s="134">
        <f>IF(R6&lt;R5-1,1-(1-R7)^(R6/R5),R7)</f>
        <v>0.05</v>
      </c>
      <c r="S8" s="135">
        <f>IF(S6&lt;S5-1,1-(1-S7)^(S6/S5),S7)</f>
        <v>0.05</v>
      </c>
      <c r="T8" s="136">
        <f>IF(T6&lt;T5-1,1-(1-T7)^(T6/T5),T7)</f>
        <v>2.5320565519103666E-2</v>
      </c>
      <c r="V8" s="19" t="s">
        <v>523</v>
      </c>
      <c r="W8" s="19">
        <v>5.583333333333333</v>
      </c>
      <c r="Y8" t="s">
        <v>103</v>
      </c>
      <c r="Z8" s="6">
        <v>4</v>
      </c>
      <c r="AA8" s="7">
        <f>Z8-1</f>
        <v>3</v>
      </c>
      <c r="AB8" s="8">
        <f>AA8-1</f>
        <v>2</v>
      </c>
    </row>
    <row r="9" spans="1:28" ht="15.75" thickBot="1" x14ac:dyDescent="0.3">
      <c r="A9" s="35">
        <v>5</v>
      </c>
      <c r="B9" s="50">
        <v>1</v>
      </c>
      <c r="C9" s="35">
        <v>7</v>
      </c>
      <c r="D9" s="36">
        <v>6</v>
      </c>
      <c r="E9" s="50"/>
      <c r="F9" s="19" t="s">
        <v>523</v>
      </c>
      <c r="G9" s="19">
        <v>12</v>
      </c>
      <c r="H9" s="19">
        <v>67</v>
      </c>
      <c r="I9" s="19">
        <v>5.583333333333333</v>
      </c>
      <c r="J9" s="19">
        <v>2.4469696969696986</v>
      </c>
      <c r="M9" s="50"/>
      <c r="N9" s="20" t="s">
        <v>522</v>
      </c>
      <c r="O9" s="20">
        <v>3.1666666666666665</v>
      </c>
      <c r="Q9" s="30" t="s">
        <v>60</v>
      </c>
      <c r="R9" s="249">
        <f>H16</f>
        <v>44</v>
      </c>
      <c r="S9" s="250">
        <f>R9</f>
        <v>44</v>
      </c>
      <c r="T9" s="251">
        <f>S9</f>
        <v>44</v>
      </c>
      <c r="V9" s="19" t="s">
        <v>521</v>
      </c>
      <c r="W9" s="19">
        <v>4.25</v>
      </c>
      <c r="Y9" s="30" t="s">
        <v>48</v>
      </c>
      <c r="Z9" s="242">
        <v>0.05</v>
      </c>
      <c r="AA9" s="243">
        <v>0.05</v>
      </c>
      <c r="AB9" s="244">
        <v>0.05</v>
      </c>
    </row>
    <row r="10" spans="1:28" ht="18.75" thickBot="1" x14ac:dyDescent="0.4">
      <c r="A10" s="35">
        <v>6</v>
      </c>
      <c r="B10" s="50">
        <v>5</v>
      </c>
      <c r="C10" s="35">
        <v>8</v>
      </c>
      <c r="D10" s="36">
        <v>3</v>
      </c>
      <c r="E10" s="50"/>
      <c r="F10" s="20" t="s">
        <v>524</v>
      </c>
      <c r="G10" s="20">
        <v>12</v>
      </c>
      <c r="H10" s="20">
        <v>46</v>
      </c>
      <c r="I10" s="20">
        <v>3.8333333333333335</v>
      </c>
      <c r="J10" s="20">
        <v>2.6969696969696959</v>
      </c>
      <c r="M10" s="50"/>
      <c r="P10" s="13" t="s">
        <v>557</v>
      </c>
      <c r="Q10" s="248">
        <v>2.5000000000000001E-2</v>
      </c>
      <c r="R10" s="6"/>
      <c r="S10" s="7"/>
      <c r="T10" s="8">
        <f>0.75*'Stud. Q Table 2'!B58+0.25*'Stud. Q Table 2'!B59</f>
        <v>3.2832499999999998</v>
      </c>
      <c r="V10" s="19" t="s">
        <v>524</v>
      </c>
      <c r="W10" s="19">
        <v>3.8333333333333335</v>
      </c>
      <c r="Y10" s="30" t="s">
        <v>560</v>
      </c>
      <c r="Z10" s="134">
        <f>IF(Z8&lt;Z7-1,1-(1-Z9)^(Z8/Z7),Z9)</f>
        <v>0.05</v>
      </c>
      <c r="AA10" s="135">
        <f>IF(AA8&lt;AA7-1,1-(1-AA9)^(AA8/AA7),AA9)</f>
        <v>0.05</v>
      </c>
      <c r="AB10" s="136">
        <f>IF(AB8&lt;AB7-1,1-(1-AB9)^(AB8/AB7),AB9)</f>
        <v>2.5320565519103666E-2</v>
      </c>
    </row>
    <row r="11" spans="1:28" ht="15.75" thickBot="1" x14ac:dyDescent="0.3">
      <c r="A11" s="35">
        <v>4</v>
      </c>
      <c r="B11" s="50">
        <v>2</v>
      </c>
      <c r="C11" s="35">
        <v>5</v>
      </c>
      <c r="D11" s="36">
        <v>2</v>
      </c>
      <c r="E11" s="50"/>
      <c r="P11" s="13" t="s">
        <v>557</v>
      </c>
      <c r="Q11" s="248">
        <v>0.05</v>
      </c>
      <c r="R11" s="134">
        <f>('Stud. Q Table'!D95+'Stud. Q Table'!D96)/2</f>
        <v>3.7774999999999999</v>
      </c>
      <c r="S11" s="135">
        <f>('Stud. Q Table'!C95+'Stud. Q Table'!C96)/2</f>
        <v>3.431</v>
      </c>
      <c r="T11" s="136">
        <f>('Stud. Q Table'!B95+'Stud. Q Table'!B96)/2</f>
        <v>2.8505000000000003</v>
      </c>
      <c r="V11" s="20" t="s">
        <v>522</v>
      </c>
      <c r="W11" s="20">
        <v>3.1666666666666665</v>
      </c>
      <c r="Y11" s="30" t="s">
        <v>60</v>
      </c>
      <c r="Z11" s="249">
        <f>H16</f>
        <v>44</v>
      </c>
      <c r="AA11" s="250">
        <f>Z11</f>
        <v>44</v>
      </c>
      <c r="AB11" s="251">
        <f>AA11</f>
        <v>44</v>
      </c>
    </row>
    <row r="12" spans="1:28" x14ac:dyDescent="0.25">
      <c r="A12" s="35">
        <v>3</v>
      </c>
      <c r="B12" s="50">
        <v>3</v>
      </c>
      <c r="C12" s="35">
        <v>6</v>
      </c>
      <c r="D12" s="36">
        <v>2</v>
      </c>
      <c r="E12" s="50"/>
      <c r="Q12" t="s">
        <v>534</v>
      </c>
      <c r="R12" s="6">
        <f>R11</f>
        <v>3.7774999999999999</v>
      </c>
      <c r="S12" s="7">
        <f>S11</f>
        <v>3.431</v>
      </c>
      <c r="T12" s="8">
        <f>T10+(T8-Q10)*(T11-T10)/(Q11-Q10)</f>
        <v>3.2777010108643152</v>
      </c>
      <c r="Y12" t="s">
        <v>534</v>
      </c>
      <c r="Z12" s="751">
        <f>[1]!QINV(Z10,Z8,Z11)</f>
        <v>3.775958217781703</v>
      </c>
      <c r="AA12" s="752">
        <f>[1]!QINV(AA10,AA8,AA11)</f>
        <v>3.430149554445602</v>
      </c>
      <c r="AB12" s="755">
        <f>[1]!QINV(AB10,AB8,AB11)</f>
        <v>3.2743458211740513</v>
      </c>
    </row>
    <row r="13" spans="1:28" ht="15.75" thickBot="1" x14ac:dyDescent="0.3">
      <c r="A13" s="35">
        <v>7</v>
      </c>
      <c r="B13" s="50">
        <v>6</v>
      </c>
      <c r="C13" s="35">
        <v>6</v>
      </c>
      <c r="D13" s="36">
        <v>4</v>
      </c>
      <c r="E13" s="50"/>
      <c r="F13" t="s">
        <v>294</v>
      </c>
      <c r="Q13" t="s">
        <v>558</v>
      </c>
      <c r="R13" s="134">
        <f>R12*SQRT($I$16/$G$7)</f>
        <v>1.8046003414280396</v>
      </c>
      <c r="S13" s="135">
        <f>S12*SQRT($I$16/$G$7)</f>
        <v>1.6390691651726284</v>
      </c>
      <c r="T13" s="136">
        <f>T12*SQRT($I$16/$G$7)</f>
        <v>1.565834642833825</v>
      </c>
      <c r="Y13" t="s">
        <v>558</v>
      </c>
      <c r="Z13" s="409">
        <f>Z12*SQRT($I$16/$G$7)</f>
        <v>1.803863795903871</v>
      </c>
      <c r="AA13" s="762">
        <f>AA12*SQRT($I$16/$G$7)</f>
        <v>1.6386628873863061</v>
      </c>
      <c r="AB13" s="417">
        <f>AB12*SQRT($I$16/$G$7)</f>
        <v>1.5642317900315468</v>
      </c>
    </row>
    <row r="14" spans="1:28" x14ac:dyDescent="0.25">
      <c r="A14" s="35">
        <v>4</v>
      </c>
      <c r="B14" s="50">
        <v>2</v>
      </c>
      <c r="C14" s="35">
        <v>3</v>
      </c>
      <c r="D14" s="36">
        <v>5</v>
      </c>
      <c r="E14" s="50"/>
      <c r="F14" s="210" t="s">
        <v>466</v>
      </c>
      <c r="G14" s="210" t="s">
        <v>219</v>
      </c>
      <c r="H14" s="210" t="s">
        <v>60</v>
      </c>
      <c r="I14" s="210" t="s">
        <v>240</v>
      </c>
      <c r="J14" s="210" t="s">
        <v>135</v>
      </c>
      <c r="K14" s="210" t="s">
        <v>119</v>
      </c>
      <c r="L14" s="210" t="s">
        <v>467</v>
      </c>
    </row>
    <row r="15" spans="1:28" x14ac:dyDescent="0.25">
      <c r="A15" s="35">
        <v>5</v>
      </c>
      <c r="B15" s="50">
        <v>4</v>
      </c>
      <c r="C15" s="35">
        <v>4</v>
      </c>
      <c r="D15" s="36">
        <v>2</v>
      </c>
      <c r="E15" s="50"/>
      <c r="F15" s="19" t="s">
        <v>462</v>
      </c>
      <c r="G15" s="19">
        <v>37.416666666666714</v>
      </c>
      <c r="H15" s="19">
        <v>3</v>
      </c>
      <c r="I15" s="19">
        <v>12.472222222222237</v>
      </c>
      <c r="J15" s="19">
        <v>4.554172429691107</v>
      </c>
      <c r="K15" s="19">
        <v>7.2835322244351394E-3</v>
      </c>
      <c r="L15" s="19">
        <v>2.8164658165656813</v>
      </c>
      <c r="N15" t="s">
        <v>544</v>
      </c>
      <c r="O15" s="242">
        <v>1</v>
      </c>
      <c r="P15" s="243">
        <v>1</v>
      </c>
      <c r="Q15" s="243">
        <v>2</v>
      </c>
      <c r="R15" s="243">
        <v>1</v>
      </c>
      <c r="S15" s="243">
        <v>2</v>
      </c>
      <c r="T15" s="244">
        <v>3</v>
      </c>
      <c r="V15" t="s">
        <v>544</v>
      </c>
      <c r="W15" s="242">
        <v>1</v>
      </c>
      <c r="X15" s="243">
        <v>1</v>
      </c>
      <c r="Y15" s="243">
        <v>2</v>
      </c>
      <c r="Z15" s="243">
        <v>1</v>
      </c>
      <c r="AA15" s="243">
        <v>2</v>
      </c>
      <c r="AB15" s="244">
        <v>3</v>
      </c>
    </row>
    <row r="16" spans="1:28" x14ac:dyDescent="0.25">
      <c r="A16" s="181">
        <v>2</v>
      </c>
      <c r="B16" s="211">
        <v>1</v>
      </c>
      <c r="C16" s="181">
        <v>5</v>
      </c>
      <c r="D16" s="182">
        <v>3</v>
      </c>
      <c r="E16" s="50"/>
      <c r="F16" s="19" t="s">
        <v>463</v>
      </c>
      <c r="G16" s="19">
        <v>120.5</v>
      </c>
      <c r="H16" s="19">
        <v>44</v>
      </c>
      <c r="I16" s="19">
        <v>2.7386363636363638</v>
      </c>
      <c r="J16" s="19"/>
      <c r="K16" s="19"/>
      <c r="L16" s="19"/>
      <c r="N16" t="s">
        <v>545</v>
      </c>
      <c r="O16" s="6">
        <v>4</v>
      </c>
      <c r="P16" s="7">
        <v>3</v>
      </c>
      <c r="Q16" s="7">
        <v>4</v>
      </c>
      <c r="R16" s="7">
        <v>2</v>
      </c>
      <c r="S16" s="7">
        <v>3</v>
      </c>
      <c r="T16" s="8">
        <v>4</v>
      </c>
      <c r="V16" t="s">
        <v>545</v>
      </c>
      <c r="W16" s="6">
        <v>4</v>
      </c>
      <c r="X16" s="7">
        <v>3</v>
      </c>
      <c r="Y16" s="7">
        <v>4</v>
      </c>
      <c r="Z16" s="7">
        <v>2</v>
      </c>
      <c r="AA16" s="7">
        <v>3</v>
      </c>
      <c r="AB16" s="8">
        <v>4</v>
      </c>
    </row>
    <row r="17" spans="6:28" x14ac:dyDescent="0.25">
      <c r="F17" s="19"/>
      <c r="G17" s="19"/>
      <c r="H17" s="19"/>
      <c r="I17" s="19"/>
      <c r="J17" s="19"/>
      <c r="K17" s="19"/>
      <c r="L17" s="19"/>
      <c r="N17" t="s">
        <v>103</v>
      </c>
      <c r="O17" s="6">
        <f t="shared" ref="O17:T17" si="0">O16-O15+1</f>
        <v>4</v>
      </c>
      <c r="P17" s="7">
        <f t="shared" si="0"/>
        <v>3</v>
      </c>
      <c r="Q17" s="7">
        <f t="shared" si="0"/>
        <v>3</v>
      </c>
      <c r="R17" s="7">
        <f t="shared" si="0"/>
        <v>2</v>
      </c>
      <c r="S17" s="7">
        <f t="shared" si="0"/>
        <v>2</v>
      </c>
      <c r="T17" s="8">
        <f t="shared" si="0"/>
        <v>2</v>
      </c>
      <c r="V17" t="s">
        <v>103</v>
      </c>
      <c r="W17" s="6">
        <f t="shared" ref="W17:AB17" si="1">W16-W15+1</f>
        <v>4</v>
      </c>
      <c r="X17" s="7">
        <f t="shared" si="1"/>
        <v>3</v>
      </c>
      <c r="Y17" s="7">
        <f t="shared" si="1"/>
        <v>3</v>
      </c>
      <c r="Z17" s="7">
        <f t="shared" si="1"/>
        <v>2</v>
      </c>
      <c r="AA17" s="7">
        <f t="shared" si="1"/>
        <v>2</v>
      </c>
      <c r="AB17" s="8">
        <f t="shared" si="1"/>
        <v>2</v>
      </c>
    </row>
    <row r="18" spans="6:28" ht="15.75" thickBot="1" x14ac:dyDescent="0.3">
      <c r="F18" s="20" t="s">
        <v>1</v>
      </c>
      <c r="G18" s="20">
        <v>157.91666666666671</v>
      </c>
      <c r="H18" s="20">
        <v>47</v>
      </c>
      <c r="I18" s="20"/>
      <c r="J18" s="20"/>
      <c r="K18" s="20"/>
      <c r="L18" s="20"/>
      <c r="N18" s="17" t="s">
        <v>546</v>
      </c>
      <c r="O18" s="242">
        <f t="shared" ref="O18:T19" si="2">INDEX($O$6:$O$9,O15)</f>
        <v>5.583333333333333</v>
      </c>
      <c r="P18" s="243">
        <f t="shared" si="2"/>
        <v>5.583333333333333</v>
      </c>
      <c r="Q18" s="243">
        <f t="shared" si="2"/>
        <v>4.25</v>
      </c>
      <c r="R18" s="243">
        <f t="shared" si="2"/>
        <v>5.583333333333333</v>
      </c>
      <c r="S18" s="243">
        <f t="shared" si="2"/>
        <v>4.25</v>
      </c>
      <c r="T18" s="244">
        <f t="shared" si="2"/>
        <v>3.8333333333333335</v>
      </c>
      <c r="V18" s="17" t="s">
        <v>546</v>
      </c>
      <c r="W18" s="751">
        <f t="shared" ref="W18:AB19" si="3">INDEX($W$8:$W$11,W15)</f>
        <v>5.583333333333333</v>
      </c>
      <c r="X18" s="752">
        <f t="shared" si="3"/>
        <v>5.583333333333333</v>
      </c>
      <c r="Y18" s="752">
        <f t="shared" si="3"/>
        <v>4.25</v>
      </c>
      <c r="Z18" s="752">
        <f t="shared" si="3"/>
        <v>5.583333333333333</v>
      </c>
      <c r="AA18" s="752">
        <f t="shared" si="3"/>
        <v>4.25</v>
      </c>
      <c r="AB18" s="755">
        <f t="shared" si="3"/>
        <v>3.8333333333333335</v>
      </c>
    </row>
    <row r="19" spans="6:28" x14ac:dyDescent="0.25">
      <c r="N19" s="17" t="s">
        <v>547</v>
      </c>
      <c r="O19" s="134">
        <f t="shared" si="2"/>
        <v>3.1666666666666665</v>
      </c>
      <c r="P19" s="135">
        <f t="shared" si="2"/>
        <v>3.8333333333333335</v>
      </c>
      <c r="Q19" s="135">
        <f t="shared" si="2"/>
        <v>3.1666666666666665</v>
      </c>
      <c r="R19" s="135">
        <f t="shared" si="2"/>
        <v>4.25</v>
      </c>
      <c r="S19" s="135">
        <f t="shared" si="2"/>
        <v>3.8333333333333335</v>
      </c>
      <c r="T19" s="136">
        <f t="shared" si="2"/>
        <v>3.1666666666666665</v>
      </c>
      <c r="V19" s="17" t="s">
        <v>547</v>
      </c>
      <c r="W19" s="532">
        <f t="shared" si="3"/>
        <v>3.1666666666666665</v>
      </c>
      <c r="X19" s="7">
        <f t="shared" si="3"/>
        <v>3.8333333333333335</v>
      </c>
      <c r="Y19" s="7">
        <f t="shared" si="3"/>
        <v>3.1666666666666665</v>
      </c>
      <c r="Z19" s="7">
        <f t="shared" si="3"/>
        <v>4.25</v>
      </c>
      <c r="AA19" s="7">
        <f t="shared" si="3"/>
        <v>3.8333333333333335</v>
      </c>
      <c r="AB19" s="533">
        <f t="shared" si="3"/>
        <v>3.1666666666666665</v>
      </c>
    </row>
    <row r="20" spans="6:28" x14ac:dyDescent="0.25">
      <c r="N20" s="17" t="s">
        <v>549</v>
      </c>
      <c r="O20" s="6">
        <f t="shared" ref="O20:T20" si="4">O18-O19</f>
        <v>2.4166666666666665</v>
      </c>
      <c r="P20" s="7">
        <f t="shared" si="4"/>
        <v>1.7499999999999996</v>
      </c>
      <c r="Q20" s="7">
        <f t="shared" si="4"/>
        <v>1.0833333333333335</v>
      </c>
      <c r="R20" s="7">
        <f t="shared" si="4"/>
        <v>1.333333333333333</v>
      </c>
      <c r="S20" s="7">
        <f t="shared" si="4"/>
        <v>0.41666666666666652</v>
      </c>
      <c r="T20" s="8">
        <f t="shared" si="4"/>
        <v>0.66666666666666696</v>
      </c>
      <c r="V20" s="17" t="s">
        <v>549</v>
      </c>
      <c r="W20" s="751">
        <f t="shared" ref="W20:AB20" si="5">W18-W19</f>
        <v>2.4166666666666665</v>
      </c>
      <c r="X20" s="752">
        <f t="shared" si="5"/>
        <v>1.7499999999999996</v>
      </c>
      <c r="Y20" s="752">
        <f t="shared" si="5"/>
        <v>1.0833333333333335</v>
      </c>
      <c r="Z20" s="752">
        <f t="shared" si="5"/>
        <v>1.333333333333333</v>
      </c>
      <c r="AA20" s="752">
        <f t="shared" si="5"/>
        <v>0.41666666666666652</v>
      </c>
      <c r="AB20" s="755">
        <f t="shared" si="5"/>
        <v>0.66666666666666696</v>
      </c>
    </row>
    <row r="21" spans="6:28" x14ac:dyDescent="0.25">
      <c r="N21" s="17" t="s">
        <v>558</v>
      </c>
      <c r="O21" s="6">
        <f t="shared" ref="O21:T21" si="6">INDEX($R$13:$T$13,5-O17)</f>
        <v>1.8046003414280396</v>
      </c>
      <c r="P21" s="7">
        <f t="shared" si="6"/>
        <v>1.6390691651726284</v>
      </c>
      <c r="Q21" s="7">
        <f t="shared" si="6"/>
        <v>1.6390691651726284</v>
      </c>
      <c r="R21" s="7">
        <f t="shared" si="6"/>
        <v>1.565834642833825</v>
      </c>
      <c r="S21" s="7">
        <f t="shared" si="6"/>
        <v>1.565834642833825</v>
      </c>
      <c r="T21" s="8">
        <f t="shared" si="6"/>
        <v>1.565834642833825</v>
      </c>
      <c r="V21" s="17" t="s">
        <v>558</v>
      </c>
      <c r="W21" s="409">
        <f t="shared" ref="W21:AB21" si="7">INDEX($Z$13:$AB$13,5-W17)</f>
        <v>1.803863795903871</v>
      </c>
      <c r="X21" s="762">
        <f t="shared" si="7"/>
        <v>1.6386628873863061</v>
      </c>
      <c r="Y21" s="762">
        <f t="shared" si="7"/>
        <v>1.6386628873863061</v>
      </c>
      <c r="Z21" s="762">
        <f t="shared" si="7"/>
        <v>1.5642317900315468</v>
      </c>
      <c r="AA21" s="762">
        <f t="shared" si="7"/>
        <v>1.5642317900315468</v>
      </c>
      <c r="AB21" s="417">
        <f t="shared" si="7"/>
        <v>1.5642317900315468</v>
      </c>
    </row>
    <row r="22" spans="6:28" x14ac:dyDescent="0.25">
      <c r="N22" t="s">
        <v>527</v>
      </c>
      <c r="O22" s="246" t="str">
        <f t="shared" ref="O22:T22" si="8">IF(O20&gt;=O21,"Yes","No")</f>
        <v>Yes</v>
      </c>
      <c r="P22" s="252" t="str">
        <f t="shared" si="8"/>
        <v>Yes</v>
      </c>
      <c r="Q22" s="252" t="str">
        <f t="shared" si="8"/>
        <v>No</v>
      </c>
      <c r="R22" s="252" t="str">
        <f t="shared" si="8"/>
        <v>No</v>
      </c>
      <c r="S22" s="252" t="str">
        <f t="shared" si="8"/>
        <v>No</v>
      </c>
      <c r="T22" s="247" t="str">
        <f t="shared" si="8"/>
        <v>No</v>
      </c>
      <c r="V22" t="s">
        <v>527</v>
      </c>
      <c r="W22" s="246" t="str">
        <f t="shared" ref="W22:AB22" si="9">IF(W20&gt;=W21,"Yes","No")</f>
        <v>Yes</v>
      </c>
      <c r="X22" s="252" t="str">
        <f t="shared" si="9"/>
        <v>Yes</v>
      </c>
      <c r="Y22" s="252" t="str">
        <f t="shared" si="9"/>
        <v>No</v>
      </c>
      <c r="Z22" s="252" t="str">
        <f t="shared" si="9"/>
        <v>No</v>
      </c>
      <c r="AA22" s="252" t="str">
        <f t="shared" si="9"/>
        <v>No</v>
      </c>
      <c r="AB22" s="247" t="str">
        <f t="shared" si="9"/>
        <v>No</v>
      </c>
    </row>
  </sheetData>
  <sortState ref="N6:P9">
    <sortCondition descending="1" ref="P6:P9"/>
  </sortState>
  <mergeCells count="2">
    <mergeCell ref="A3:B3"/>
    <mergeCell ref="C3:D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1"/>
  <dimension ref="A1:O11"/>
  <sheetViews>
    <sheetView workbookViewId="0">
      <selection activeCell="L17" sqref="L17"/>
    </sheetView>
  </sheetViews>
  <sheetFormatPr defaultRowHeight="15" x14ac:dyDescent="0.25"/>
  <sheetData>
    <row r="1" spans="1:15" x14ac:dyDescent="0.25">
      <c r="A1" s="1" t="s">
        <v>2437</v>
      </c>
    </row>
    <row r="2" spans="1:15" ht="15.75" thickBot="1" x14ac:dyDescent="0.3">
      <c r="F2" t="s">
        <v>2438</v>
      </c>
      <c r="K2" t="s">
        <v>34</v>
      </c>
      <c r="L2">
        <v>0.05</v>
      </c>
    </row>
    <row r="3" spans="1:15" ht="15.75" thickTop="1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s="826" t="s">
        <v>79</v>
      </c>
      <c r="G3" s="826" t="s">
        <v>43</v>
      </c>
      <c r="H3" s="826" t="s">
        <v>7</v>
      </c>
      <c r="I3" s="826" t="s">
        <v>31</v>
      </c>
      <c r="J3" s="826" t="s">
        <v>1233</v>
      </c>
      <c r="K3" s="826" t="s">
        <v>508</v>
      </c>
      <c r="L3" s="826" t="s">
        <v>1234</v>
      </c>
    </row>
    <row r="4" spans="1:15" x14ac:dyDescent="0.25">
      <c r="A4" s="179">
        <v>51</v>
      </c>
      <c r="B4" s="179">
        <v>82</v>
      </c>
      <c r="C4" s="179">
        <v>79</v>
      </c>
      <c r="D4" s="179">
        <v>85</v>
      </c>
      <c r="F4" t="str">
        <f>A3</f>
        <v>Method 1</v>
      </c>
      <c r="G4" s="727">
        <v>-1</v>
      </c>
      <c r="H4">
        <f>AVERAGE(A4:A11)</f>
        <v>60.375</v>
      </c>
      <c r="I4">
        <f>COUNT(A4:A11)</f>
        <v>8</v>
      </c>
      <c r="J4">
        <f>DEVSQ(A4:A11)</f>
        <v>1499.875</v>
      </c>
      <c r="K4">
        <f>G4^2/I4</f>
        <v>0.125</v>
      </c>
      <c r="L4">
        <f>G4*H4</f>
        <v>-60.375</v>
      </c>
    </row>
    <row r="5" spans="1:15" x14ac:dyDescent="0.25">
      <c r="A5" s="1094">
        <v>87</v>
      </c>
      <c r="B5" s="1094">
        <v>91</v>
      </c>
      <c r="C5" s="1094">
        <v>84</v>
      </c>
      <c r="D5" s="1094">
        <v>80</v>
      </c>
      <c r="F5" t="str">
        <f>B3</f>
        <v>Method 2</v>
      </c>
      <c r="G5" s="727"/>
      <c r="H5">
        <f>AVERAGE(B4:B11)</f>
        <v>77.875</v>
      </c>
      <c r="I5">
        <f>COUNT(B4:B11)</f>
        <v>8</v>
      </c>
      <c r="J5">
        <f>DEVSQ(B4:B11)</f>
        <v>1102.875</v>
      </c>
      <c r="K5">
        <f>G5^2/I5</f>
        <v>0</v>
      </c>
      <c r="L5">
        <f>G5*H5</f>
        <v>0</v>
      </c>
    </row>
    <row r="6" spans="1:15" x14ac:dyDescent="0.25">
      <c r="A6" s="1094">
        <v>50</v>
      </c>
      <c r="B6" s="1094">
        <v>92</v>
      </c>
      <c r="C6" s="1094">
        <v>74</v>
      </c>
      <c r="D6" s="1094">
        <v>65</v>
      </c>
      <c r="F6" t="str">
        <f>C3</f>
        <v>Method 3</v>
      </c>
      <c r="G6" s="727">
        <v>1</v>
      </c>
      <c r="H6">
        <f>AVERAGE(C4:C11)</f>
        <v>78</v>
      </c>
      <c r="I6">
        <f>COUNT(C4:C11)</f>
        <v>8</v>
      </c>
      <c r="J6">
        <f>DEVSQ(C4:C11)</f>
        <v>1152</v>
      </c>
      <c r="K6">
        <f>G6^2/I6</f>
        <v>0.125</v>
      </c>
      <c r="L6">
        <f>G6*H6</f>
        <v>78</v>
      </c>
    </row>
    <row r="7" spans="1:15" x14ac:dyDescent="0.25">
      <c r="A7" s="1094">
        <v>48</v>
      </c>
      <c r="B7" s="1094">
        <v>80</v>
      </c>
      <c r="C7" s="1094">
        <v>98</v>
      </c>
      <c r="D7" s="1094">
        <v>71</v>
      </c>
      <c r="F7" t="str">
        <f>D3</f>
        <v>Method 4</v>
      </c>
      <c r="G7" s="727"/>
      <c r="H7">
        <f>AVERAGE(D4:D11)</f>
        <v>71.875</v>
      </c>
      <c r="I7">
        <f>COUNT(D4:D11)</f>
        <v>8</v>
      </c>
      <c r="J7">
        <f>DEVSQ(D4:D11)</f>
        <v>1270.875</v>
      </c>
      <c r="K7">
        <f>G7^2/I7</f>
        <v>0</v>
      </c>
      <c r="L7">
        <f>G7*H7</f>
        <v>0</v>
      </c>
    </row>
    <row r="8" spans="1:15" x14ac:dyDescent="0.25">
      <c r="A8" s="1094">
        <v>79</v>
      </c>
      <c r="B8" s="1094">
        <v>52</v>
      </c>
      <c r="C8" s="1094">
        <v>63</v>
      </c>
      <c r="D8" s="1094">
        <v>67</v>
      </c>
      <c r="F8" s="827"/>
      <c r="G8" s="827"/>
      <c r="H8" s="827"/>
      <c r="I8" s="827">
        <f>SUM(I4:I7)</f>
        <v>32</v>
      </c>
      <c r="J8" s="827">
        <f>SUM(J4:J7)</f>
        <v>5025.625</v>
      </c>
      <c r="K8" s="827">
        <f>SUM(K4:K7)</f>
        <v>0.25</v>
      </c>
      <c r="L8" s="827">
        <f>SUM(L4:L7)</f>
        <v>17.625</v>
      </c>
    </row>
    <row r="9" spans="1:15" ht="15.75" thickBot="1" x14ac:dyDescent="0.3">
      <c r="A9" s="1094">
        <v>61</v>
      </c>
      <c r="B9" s="1094">
        <v>79</v>
      </c>
      <c r="C9" s="1094">
        <v>83</v>
      </c>
      <c r="D9" s="1094">
        <v>51</v>
      </c>
      <c r="F9" t="s">
        <v>65</v>
      </c>
    </row>
    <row r="10" spans="1:15" ht="15.75" thickTop="1" x14ac:dyDescent="0.25">
      <c r="A10" s="1094">
        <v>53</v>
      </c>
      <c r="B10" s="1094">
        <v>73</v>
      </c>
      <c r="C10" s="1094">
        <v>85</v>
      </c>
      <c r="D10" s="1094">
        <v>63</v>
      </c>
      <c r="F10" s="826" t="s">
        <v>1000</v>
      </c>
      <c r="G10" s="826" t="s">
        <v>2439</v>
      </c>
      <c r="H10" s="826" t="s">
        <v>60</v>
      </c>
      <c r="I10" s="826" t="s">
        <v>2440</v>
      </c>
      <c r="J10" s="826" t="s">
        <v>29</v>
      </c>
      <c r="K10" s="826" t="s">
        <v>30</v>
      </c>
      <c r="L10" s="826" t="s">
        <v>527</v>
      </c>
      <c r="M10" s="826" t="s">
        <v>111</v>
      </c>
      <c r="N10" s="826" t="s">
        <v>2441</v>
      </c>
      <c r="O10" s="826" t="s">
        <v>2442</v>
      </c>
    </row>
    <row r="11" spans="1:15" x14ac:dyDescent="0.25">
      <c r="A11" s="1096">
        <v>54</v>
      </c>
      <c r="B11" s="1096">
        <v>74</v>
      </c>
      <c r="C11" s="1096">
        <v>58</v>
      </c>
      <c r="D11" s="1096">
        <v>93</v>
      </c>
      <c r="F11" s="590">
        <f>SQRT(K8*J8/H11)</f>
        <v>6.6986305903307048</v>
      </c>
      <c r="G11" s="590">
        <f>L8/F11</f>
        <v>2.6311347912573684</v>
      </c>
      <c r="H11" s="590">
        <f>I8-COUNT(I4:I7)</f>
        <v>28</v>
      </c>
      <c r="I11" s="590">
        <f>[1]!DCRIT(COUNT(I4:I7),H11,L2)</f>
        <v>2.4830000000000001</v>
      </c>
      <c r="J11" s="590">
        <f>L8-F11*I11</f>
        <v>0.99230024420885954</v>
      </c>
      <c r="K11" s="590">
        <f>L8+F11*I11</f>
        <v>34.257699755791137</v>
      </c>
      <c r="L11" s="1093" t="str">
        <f>IF(ABS(G11)&gt;I11,"yes","no")</f>
        <v>yes</v>
      </c>
      <c r="M11" s="590">
        <f>F11*I11</f>
        <v>16.63269975579114</v>
      </c>
      <c r="N11" s="590">
        <f>ABS(L8)*SQRT(H11/J8)</f>
        <v>1.315567395628684</v>
      </c>
      <c r="O11" s="590">
        <f>SQRT(G11^2/(G11^2+H11))</f>
        <v>0.44523380549781488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V30"/>
  <sheetViews>
    <sheetView topLeftCell="I21" workbookViewId="0">
      <selection activeCell="AB41" sqref="AB41"/>
    </sheetView>
  </sheetViews>
  <sheetFormatPr defaultRowHeight="15" x14ac:dyDescent="0.25"/>
  <cols>
    <col min="5" max="5" width="4.5703125" customWidth="1"/>
    <col min="6" max="6" width="16.28515625" customWidth="1"/>
    <col min="7" max="7" width="8" customWidth="1"/>
    <col min="8" max="8" width="7.42578125" customWidth="1"/>
    <col min="9" max="12" width="9.42578125" customWidth="1"/>
    <col min="13" max="13" width="5.140625" customWidth="1"/>
    <col min="14" max="14" width="9.42578125" customWidth="1"/>
    <col min="15" max="15" width="7.7109375" customWidth="1"/>
    <col min="17" max="17" width="7.5703125" customWidth="1"/>
  </cols>
  <sheetData>
    <row r="1" spans="1:20" x14ac:dyDescent="0.25">
      <c r="A1" s="1" t="s">
        <v>561</v>
      </c>
    </row>
    <row r="2" spans="1:20" x14ac:dyDescent="0.25">
      <c r="A2" s="50"/>
      <c r="B2" s="50"/>
    </row>
    <row r="3" spans="1:20" ht="15.75" thickBot="1" x14ac:dyDescent="0.3">
      <c r="A3" s="179" t="s">
        <v>39</v>
      </c>
      <c r="B3" s="179" t="s">
        <v>40</v>
      </c>
      <c r="C3" s="179" t="s">
        <v>46</v>
      </c>
      <c r="D3" s="179" t="s">
        <v>47</v>
      </c>
      <c r="F3" t="s">
        <v>457</v>
      </c>
      <c r="N3" t="s">
        <v>556</v>
      </c>
      <c r="R3" s="224" t="s">
        <v>34</v>
      </c>
      <c r="S3" s="224">
        <v>0.05</v>
      </c>
    </row>
    <row r="4" spans="1:20" ht="15.75" thickTop="1" x14ac:dyDescent="0.25">
      <c r="A4" s="179">
        <v>51</v>
      </c>
      <c r="B4" s="179">
        <v>82</v>
      </c>
      <c r="C4" s="179">
        <v>79</v>
      </c>
      <c r="D4" s="179">
        <v>85</v>
      </c>
      <c r="N4" s="32" t="s">
        <v>79</v>
      </c>
      <c r="O4" s="32" t="s">
        <v>43</v>
      </c>
      <c r="P4" s="32" t="s">
        <v>7</v>
      </c>
      <c r="Q4" s="32" t="s">
        <v>31</v>
      </c>
      <c r="R4" s="32" t="s">
        <v>508</v>
      </c>
      <c r="S4" s="32" t="s">
        <v>510</v>
      </c>
    </row>
    <row r="5" spans="1:20" ht="15.75" thickBot="1" x14ac:dyDescent="0.3">
      <c r="A5" s="50">
        <v>87</v>
      </c>
      <c r="B5" s="50">
        <v>91</v>
      </c>
      <c r="C5" s="50">
        <v>84</v>
      </c>
      <c r="D5" s="50">
        <v>80</v>
      </c>
      <c r="F5" t="s">
        <v>458</v>
      </c>
      <c r="N5" t="s">
        <v>39</v>
      </c>
      <c r="O5">
        <v>-0.5</v>
      </c>
      <c r="P5">
        <f>I7</f>
        <v>61.285714285714285</v>
      </c>
      <c r="Q5">
        <f>G7</f>
        <v>7</v>
      </c>
      <c r="R5">
        <f>O5^2/Q5</f>
        <v>3.5714285714285712E-2</v>
      </c>
      <c r="S5">
        <f>O5*P5</f>
        <v>-30.642857142857142</v>
      </c>
    </row>
    <row r="6" spans="1:20" ht="15.75" thickTop="1" x14ac:dyDescent="0.25">
      <c r="A6" s="50">
        <v>50</v>
      </c>
      <c r="B6" s="50">
        <v>92</v>
      </c>
      <c r="C6" s="50">
        <v>74</v>
      </c>
      <c r="D6" s="50">
        <v>65</v>
      </c>
      <c r="F6" s="32" t="s">
        <v>79</v>
      </c>
      <c r="G6" s="32" t="s">
        <v>22</v>
      </c>
      <c r="H6" s="32" t="s">
        <v>21</v>
      </c>
      <c r="I6" s="32" t="s">
        <v>10</v>
      </c>
      <c r="J6" s="32" t="s">
        <v>80</v>
      </c>
      <c r="K6" s="32" t="s">
        <v>219</v>
      </c>
      <c r="N6" t="s">
        <v>40</v>
      </c>
      <c r="O6">
        <v>-0.5</v>
      </c>
      <c r="P6">
        <f>I8</f>
        <v>77.875</v>
      </c>
      <c r="Q6">
        <f>G8</f>
        <v>8</v>
      </c>
      <c r="R6">
        <f>O6^2/Q6</f>
        <v>3.125E-2</v>
      </c>
      <c r="S6">
        <f>O6*P6</f>
        <v>-38.9375</v>
      </c>
    </row>
    <row r="7" spans="1:20" x14ac:dyDescent="0.25">
      <c r="A7" s="50">
        <v>48</v>
      </c>
      <c r="B7" s="50">
        <v>80</v>
      </c>
      <c r="C7" s="50">
        <v>98</v>
      </c>
      <c r="D7" s="50">
        <v>71</v>
      </c>
      <c r="F7" t="s">
        <v>39</v>
      </c>
      <c r="G7">
        <f>COUNT(A4:A11)</f>
        <v>7</v>
      </c>
      <c r="H7">
        <f>SUM(A4:A11)</f>
        <v>429</v>
      </c>
      <c r="I7">
        <f>AVERAGE(A4:A11)</f>
        <v>61.285714285714285</v>
      </c>
      <c r="J7">
        <f>VAR(A4:A11)</f>
        <v>242.23809523809541</v>
      </c>
      <c r="K7">
        <f>DEVSQ(A4:A11)</f>
        <v>1453.4285714285713</v>
      </c>
      <c r="N7" t="s">
        <v>46</v>
      </c>
    </row>
    <row r="8" spans="1:20" x14ac:dyDescent="0.25">
      <c r="A8" s="50">
        <v>79</v>
      </c>
      <c r="B8" s="50">
        <v>52</v>
      </c>
      <c r="C8" s="50">
        <v>63</v>
      </c>
      <c r="D8" s="50">
        <v>67</v>
      </c>
      <c r="F8" t="s">
        <v>40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N8" t="s">
        <v>47</v>
      </c>
      <c r="O8" s="135">
        <v>1</v>
      </c>
      <c r="P8" s="135">
        <f>I10</f>
        <v>69.833333333333329</v>
      </c>
      <c r="Q8" s="135">
        <f>G10</f>
        <v>6</v>
      </c>
      <c r="R8" s="135">
        <f>O8^2/Q8</f>
        <v>0.16666666666666666</v>
      </c>
      <c r="S8" s="135">
        <f>O8*P8</f>
        <v>69.833333333333329</v>
      </c>
    </row>
    <row r="9" spans="1:20" x14ac:dyDescent="0.25">
      <c r="A9" s="50">
        <v>61</v>
      </c>
      <c r="B9" s="50">
        <v>79</v>
      </c>
      <c r="C9" s="50">
        <v>83</v>
      </c>
      <c r="D9" s="50">
        <v>51</v>
      </c>
      <c r="F9" t="s">
        <v>46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N9" s="170"/>
      <c r="O9" s="7"/>
      <c r="P9" s="7"/>
      <c r="R9">
        <f>SUM(R5:R8)</f>
        <v>0.23363095238095238</v>
      </c>
      <c r="S9">
        <f>SUM(S5:S8)</f>
        <v>0.2529761904761898</v>
      </c>
    </row>
    <row r="10" spans="1:20" ht="15.75" thickBot="1" x14ac:dyDescent="0.3">
      <c r="A10" s="50">
        <v>53</v>
      </c>
      <c r="B10" s="50">
        <v>73</v>
      </c>
      <c r="C10" s="50">
        <v>85</v>
      </c>
      <c r="D10" s="50"/>
      <c r="F10" t="s">
        <v>47</v>
      </c>
      <c r="G10">
        <f>COUNT(D4:D11)</f>
        <v>6</v>
      </c>
      <c r="H10">
        <f>SUM(D4:D11)</f>
        <v>419</v>
      </c>
      <c r="I10">
        <f>AVERAGE(D4:D11)</f>
        <v>69.833333333333329</v>
      </c>
      <c r="J10">
        <f>VAR(D4:D11)</f>
        <v>144.16666666666643</v>
      </c>
      <c r="K10">
        <f>DEVSQ(D4:D11)</f>
        <v>720.83333333333348</v>
      </c>
      <c r="N10" t="s">
        <v>565</v>
      </c>
    </row>
    <row r="11" spans="1:20" ht="15.75" thickTop="1" x14ac:dyDescent="0.25">
      <c r="A11" s="225"/>
      <c r="B11" s="225">
        <v>74</v>
      </c>
      <c r="C11" s="225">
        <v>58</v>
      </c>
      <c r="D11" s="225"/>
      <c r="F11" s="170"/>
      <c r="G11" s="170"/>
      <c r="H11" s="170"/>
      <c r="I11" s="170"/>
      <c r="J11" s="170"/>
      <c r="K11" s="170"/>
      <c r="N11" s="32" t="s">
        <v>212</v>
      </c>
      <c r="O11" s="32" t="s">
        <v>95</v>
      </c>
      <c r="P11" s="32" t="s">
        <v>562</v>
      </c>
      <c r="Q11" s="32" t="s">
        <v>563</v>
      </c>
      <c r="R11" s="32" t="s">
        <v>564</v>
      </c>
      <c r="S11" s="32" t="s">
        <v>246</v>
      </c>
      <c r="T11" s="32" t="s">
        <v>527</v>
      </c>
    </row>
    <row r="12" spans="1:20" ht="15.75" thickBot="1" x14ac:dyDescent="0.3">
      <c r="A12" s="50"/>
      <c r="B12" s="50"/>
      <c r="F12" t="s">
        <v>294</v>
      </c>
      <c r="I12" t="s">
        <v>34</v>
      </c>
      <c r="J12">
        <v>0.05</v>
      </c>
      <c r="N12" s="218">
        <f>SQRT($I$15*R9)</f>
        <v>6.4336101009779796</v>
      </c>
      <c r="O12" s="218">
        <f>S9/N12</f>
        <v>3.9321032282906704E-2</v>
      </c>
      <c r="P12" s="218">
        <f>O12^2</f>
        <v>1.5461435797933913E-3</v>
      </c>
      <c r="Q12" s="219">
        <f>H14</f>
        <v>3</v>
      </c>
      <c r="R12" s="219">
        <f>H15</f>
        <v>25</v>
      </c>
      <c r="S12" s="219">
        <f>Q12*FINV(S3,Q12,R12)</f>
        <v>8.9737227286498538</v>
      </c>
      <c r="T12" s="219" t="str">
        <f>IF(P12&gt;=S12,"yes","no")</f>
        <v>no</v>
      </c>
    </row>
    <row r="13" spans="1:20" ht="15.75" thickTop="1" x14ac:dyDescent="0.25">
      <c r="A13" s="50"/>
      <c r="B13" s="50"/>
      <c r="F13" s="32" t="s">
        <v>459</v>
      </c>
      <c r="G13" s="32" t="s">
        <v>219</v>
      </c>
      <c r="H13" s="32" t="s">
        <v>60</v>
      </c>
      <c r="I13" s="32" t="s">
        <v>240</v>
      </c>
      <c r="J13" s="32" t="s">
        <v>135</v>
      </c>
      <c r="K13" s="32" t="s">
        <v>460</v>
      </c>
      <c r="L13" s="32" t="s">
        <v>461</v>
      </c>
    </row>
    <row r="14" spans="1:20" x14ac:dyDescent="0.25">
      <c r="A14" s="50"/>
      <c r="B14" s="50"/>
      <c r="F14" t="s">
        <v>462</v>
      </c>
      <c r="G14">
        <f>G16-G15</f>
        <v>1394.1734400656824</v>
      </c>
      <c r="H14">
        <f>COUNTA(F7:F10)-1</f>
        <v>3</v>
      </c>
      <c r="I14">
        <f>G14/H14</f>
        <v>464.72448002189412</v>
      </c>
      <c r="J14">
        <f>I14/I15</f>
        <v>2.6231097052015611</v>
      </c>
      <c r="K14">
        <f>FDIST(J14,H14,H15)</f>
        <v>7.2760576413978123E-2</v>
      </c>
      <c r="L14">
        <f>FINV(J12,H14,H15)</f>
        <v>2.9912409095499513</v>
      </c>
    </row>
    <row r="15" spans="1:20" x14ac:dyDescent="0.25">
      <c r="A15" s="50"/>
      <c r="B15" s="50"/>
      <c r="F15" t="s">
        <v>463</v>
      </c>
      <c r="G15">
        <f>SUM(K7:K10)</f>
        <v>4429.1369047619046</v>
      </c>
      <c r="H15">
        <f>H16-H14</f>
        <v>25</v>
      </c>
      <c r="I15">
        <f>G15/H15</f>
        <v>177.16547619047617</v>
      </c>
    </row>
    <row r="16" spans="1:20" x14ac:dyDescent="0.25">
      <c r="A16" s="50"/>
      <c r="B16" s="50"/>
      <c r="F16" s="135" t="s">
        <v>1</v>
      </c>
      <c r="G16" s="135">
        <f>DEVSQ(A4:D11)</f>
        <v>5823.310344827587</v>
      </c>
      <c r="H16" s="135">
        <f>COUNT(A4:D11)-1</f>
        <v>28</v>
      </c>
      <c r="I16" s="135">
        <f>G16/H16</f>
        <v>207.97536945812811</v>
      </c>
      <c r="J16" s="135"/>
      <c r="K16" s="135"/>
      <c r="L16" s="135"/>
    </row>
    <row r="17" spans="1:22" x14ac:dyDescent="0.25">
      <c r="A17" s="50"/>
      <c r="B17" s="50"/>
    </row>
    <row r="19" spans="1:22" x14ac:dyDescent="0.25">
      <c r="I19" t="s">
        <v>72</v>
      </c>
      <c r="N19" t="s">
        <v>1585</v>
      </c>
    </row>
    <row r="21" spans="1:22" ht="15.75" thickBot="1" x14ac:dyDescent="0.3">
      <c r="I21" s="179" t="s">
        <v>39</v>
      </c>
      <c r="J21" s="179" t="s">
        <v>40</v>
      </c>
      <c r="K21" s="179" t="s">
        <v>46</v>
      </c>
      <c r="L21" s="179" t="s">
        <v>47</v>
      </c>
      <c r="N21" t="s">
        <v>2444</v>
      </c>
      <c r="S21" t="s">
        <v>34</v>
      </c>
      <c r="T21">
        <v>0.05</v>
      </c>
    </row>
    <row r="22" spans="1:22" ht="15.75" thickTop="1" x14ac:dyDescent="0.25">
      <c r="I22" s="179">
        <v>51</v>
      </c>
      <c r="J22" s="179">
        <v>82</v>
      </c>
      <c r="K22" s="179">
        <v>79</v>
      </c>
      <c r="L22" s="179">
        <v>85</v>
      </c>
      <c r="N22" s="826" t="s">
        <v>79</v>
      </c>
      <c r="O22" s="826" t="s">
        <v>43</v>
      </c>
      <c r="P22" s="826" t="s">
        <v>7</v>
      </c>
      <c r="Q22" s="826" t="s">
        <v>31</v>
      </c>
      <c r="R22" s="826" t="s">
        <v>1233</v>
      </c>
      <c r="S22" s="826" t="s">
        <v>508</v>
      </c>
      <c r="T22" s="826" t="s">
        <v>1234</v>
      </c>
    </row>
    <row r="23" spans="1:22" x14ac:dyDescent="0.25">
      <c r="I23" s="722">
        <v>87</v>
      </c>
      <c r="J23" s="722">
        <v>91</v>
      </c>
      <c r="K23" s="722">
        <v>84</v>
      </c>
      <c r="L23" s="722">
        <v>80</v>
      </c>
      <c r="N23" t="str">
        <f>A3</f>
        <v>Method 1</v>
      </c>
      <c r="O23" s="727">
        <v>-0.5</v>
      </c>
      <c r="P23">
        <f>AVERAGE(A4:A11)</f>
        <v>61.285714285714285</v>
      </c>
      <c r="Q23">
        <f>COUNT(A4:A11)</f>
        <v>7</v>
      </c>
      <c r="R23">
        <f>DEVSQ(A4:A11)</f>
        <v>1453.4285714285713</v>
      </c>
      <c r="S23">
        <f>O23^2/Q23</f>
        <v>3.5714285714285712E-2</v>
      </c>
      <c r="T23">
        <f>O23*P23</f>
        <v>-30.642857142857142</v>
      </c>
    </row>
    <row r="24" spans="1:22" x14ac:dyDescent="0.25">
      <c r="I24" s="722">
        <v>50</v>
      </c>
      <c r="J24" s="722">
        <v>92</v>
      </c>
      <c r="K24" s="722">
        <v>74</v>
      </c>
      <c r="L24" s="722">
        <v>65</v>
      </c>
      <c r="N24" t="str">
        <f>B3</f>
        <v>Method 2</v>
      </c>
      <c r="O24" s="727">
        <v>-0.5</v>
      </c>
      <c r="P24">
        <f>AVERAGE(B4:B11)</f>
        <v>77.875</v>
      </c>
      <c r="Q24">
        <f>COUNT(B4:B11)</f>
        <v>8</v>
      </c>
      <c r="R24">
        <f>DEVSQ(B4:B11)</f>
        <v>1102.875</v>
      </c>
      <c r="S24">
        <f>O24^2/Q24</f>
        <v>3.125E-2</v>
      </c>
      <c r="T24">
        <f>O24*P24</f>
        <v>-38.9375</v>
      </c>
    </row>
    <row r="25" spans="1:22" x14ac:dyDescent="0.25">
      <c r="I25" s="722">
        <v>48</v>
      </c>
      <c r="J25" s="722">
        <v>80</v>
      </c>
      <c r="K25" s="722">
        <v>98</v>
      </c>
      <c r="L25" s="722">
        <v>71</v>
      </c>
      <c r="N25" t="str">
        <f>C3</f>
        <v>Method 3</v>
      </c>
      <c r="O25" s="727"/>
      <c r="P25">
        <f>AVERAGE(C4:C11)</f>
        <v>78</v>
      </c>
      <c r="Q25">
        <f>COUNT(C4:C11)</f>
        <v>8</v>
      </c>
      <c r="R25">
        <f>DEVSQ(C4:C11)</f>
        <v>1152</v>
      </c>
      <c r="S25">
        <f>O25^2/Q25</f>
        <v>0</v>
      </c>
      <c r="T25">
        <f>O25*P25</f>
        <v>0</v>
      </c>
    </row>
    <row r="26" spans="1:22" x14ac:dyDescent="0.25">
      <c r="I26" s="722">
        <v>79</v>
      </c>
      <c r="J26" s="722">
        <v>52</v>
      </c>
      <c r="K26" s="722">
        <v>63</v>
      </c>
      <c r="L26" s="722">
        <v>67</v>
      </c>
      <c r="N26" t="str">
        <f>D3</f>
        <v>Method 4</v>
      </c>
      <c r="O26" s="727">
        <v>1</v>
      </c>
      <c r="P26">
        <f>AVERAGE(D4:D11)</f>
        <v>69.833333333333329</v>
      </c>
      <c r="Q26">
        <f>COUNT(D4:D11)</f>
        <v>6</v>
      </c>
      <c r="R26">
        <f>DEVSQ(D4:D11)</f>
        <v>720.83333333333348</v>
      </c>
      <c r="S26">
        <f>O26^2/Q26</f>
        <v>0.16666666666666666</v>
      </c>
      <c r="T26">
        <f>O26*P26</f>
        <v>69.833333333333329</v>
      </c>
    </row>
    <row r="27" spans="1:22" x14ac:dyDescent="0.25">
      <c r="I27" s="722">
        <v>61</v>
      </c>
      <c r="J27" s="722">
        <v>79</v>
      </c>
      <c r="K27" s="722">
        <v>83</v>
      </c>
      <c r="L27" s="722">
        <v>51</v>
      </c>
      <c r="N27" s="827"/>
      <c r="O27" s="827"/>
      <c r="P27" s="827"/>
      <c r="Q27" s="827">
        <f>SUM(Q23:Q26)</f>
        <v>29</v>
      </c>
      <c r="R27" s="827">
        <f>SUM(R23:R26)</f>
        <v>4429.1369047619046</v>
      </c>
      <c r="S27" s="827">
        <f>SUM(S23:S26)</f>
        <v>0.23363095238095238</v>
      </c>
      <c r="T27" s="827">
        <f>SUM(T23:T26)</f>
        <v>0.2529761904761898</v>
      </c>
    </row>
    <row r="28" spans="1:22" ht="15.75" thickBot="1" x14ac:dyDescent="0.3">
      <c r="I28" s="722">
        <v>53</v>
      </c>
      <c r="J28" s="722">
        <v>73</v>
      </c>
      <c r="K28" s="722">
        <v>85</v>
      </c>
      <c r="L28" s="722"/>
      <c r="N28" t="s">
        <v>2445</v>
      </c>
    </row>
    <row r="29" spans="1:22" ht="15.75" thickTop="1" x14ac:dyDescent="0.25">
      <c r="I29" s="723"/>
      <c r="J29" s="723">
        <v>74</v>
      </c>
      <c r="K29" s="723">
        <v>58</v>
      </c>
      <c r="L29" s="723"/>
      <c r="N29" s="826" t="s">
        <v>1000</v>
      </c>
      <c r="O29" s="826" t="s">
        <v>95</v>
      </c>
      <c r="P29" s="826" t="s">
        <v>562</v>
      </c>
      <c r="Q29" s="826" t="s">
        <v>563</v>
      </c>
      <c r="R29" s="826" t="s">
        <v>564</v>
      </c>
      <c r="S29" s="826" t="s">
        <v>246</v>
      </c>
      <c r="T29" s="826" t="s">
        <v>527</v>
      </c>
      <c r="U29" s="826" t="s">
        <v>29</v>
      </c>
      <c r="V29" s="826" t="s">
        <v>30</v>
      </c>
    </row>
    <row r="30" spans="1:22" x14ac:dyDescent="0.25">
      <c r="N30" s="590">
        <f>SQRT(S27*R27/R30)</f>
        <v>6.4336101009779805</v>
      </c>
      <c r="O30" s="590">
        <f>T27/N30</f>
        <v>3.9321032282906697E-2</v>
      </c>
      <c r="P30" s="590">
        <f>O30^2</f>
        <v>1.5461435797933906E-3</v>
      </c>
      <c r="Q30" s="590">
        <f>COUNT(Q23:Q26)-1</f>
        <v>3</v>
      </c>
      <c r="R30" s="590">
        <f>Q27-Q30-1</f>
        <v>25</v>
      </c>
      <c r="S30" s="590">
        <f>Q30*FINV(T21,Q30,R30)</f>
        <v>8.9737227286498538</v>
      </c>
      <c r="T30" s="1093" t="str">
        <f>IF(P30&gt;=S30,"yes","no")</f>
        <v>no</v>
      </c>
      <c r="U30" s="590">
        <f>T27-N30*SQRT(S30)</f>
        <v>-19.01965722942797</v>
      </c>
      <c r="V30" s="590">
        <f>T27+N30*SQRT(S30)</f>
        <v>19.52560961038035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S82"/>
  <sheetViews>
    <sheetView zoomScale="95" zoomScaleNormal="95" workbookViewId="0"/>
  </sheetViews>
  <sheetFormatPr defaultRowHeight="15" x14ac:dyDescent="0.25"/>
  <cols>
    <col min="1" max="1" width="6.28515625" customWidth="1"/>
    <col min="6" max="6" width="5.85546875" customWidth="1"/>
    <col min="7" max="7" width="16.7109375" customWidth="1"/>
    <col min="8" max="8" width="7.85546875" customWidth="1"/>
    <col min="9" max="9" width="6.5703125" customWidth="1"/>
    <col min="10" max="10" width="10.42578125" customWidth="1"/>
    <col min="12" max="12" width="8.42578125" customWidth="1"/>
    <col min="13" max="13" width="7.85546875" customWidth="1"/>
    <col min="15" max="15" width="15.85546875" customWidth="1"/>
  </cols>
  <sheetData>
    <row r="1" spans="1:19" x14ac:dyDescent="0.25">
      <c r="A1" s="1" t="s">
        <v>490</v>
      </c>
    </row>
    <row r="2" spans="1:19" x14ac:dyDescent="0.25">
      <c r="A2" s="1"/>
    </row>
    <row r="3" spans="1:19" x14ac:dyDescent="0.25">
      <c r="A3" s="17" t="s">
        <v>1236</v>
      </c>
      <c r="G3" t="s">
        <v>464</v>
      </c>
      <c r="O3" t="s">
        <v>2137</v>
      </c>
      <c r="R3" t="s">
        <v>1613</v>
      </c>
    </row>
    <row r="5" spans="1:19" ht="15.75" thickBot="1" x14ac:dyDescent="0.3">
      <c r="B5" s="179" t="s">
        <v>39</v>
      </c>
      <c r="C5" s="179" t="s">
        <v>40</v>
      </c>
      <c r="D5" s="179" t="s">
        <v>46</v>
      </c>
      <c r="E5" s="179" t="s">
        <v>47</v>
      </c>
      <c r="G5" t="s">
        <v>62</v>
      </c>
      <c r="O5" t="s">
        <v>1523</v>
      </c>
      <c r="P5" s="580">
        <f>[1]!Levene(B6:E13)</f>
        <v>0.90357218992034294</v>
      </c>
      <c r="R5" t="s">
        <v>1614</v>
      </c>
      <c r="S5" s="13" t="s">
        <v>67</v>
      </c>
    </row>
    <row r="6" spans="1:19" x14ac:dyDescent="0.25">
      <c r="B6" s="179">
        <v>51</v>
      </c>
      <c r="C6" s="179">
        <v>82</v>
      </c>
      <c r="D6" s="179">
        <v>79</v>
      </c>
      <c r="E6" s="179">
        <v>85</v>
      </c>
      <c r="G6" s="161" t="s">
        <v>79</v>
      </c>
      <c r="H6" s="161" t="s">
        <v>22</v>
      </c>
      <c r="I6" s="161" t="s">
        <v>21</v>
      </c>
      <c r="J6" s="161" t="s">
        <v>465</v>
      </c>
      <c r="K6" s="161" t="s">
        <v>80</v>
      </c>
      <c r="R6" t="s">
        <v>1615</v>
      </c>
      <c r="S6" s="750">
        <f>[1]!Levene(B6:E13)</f>
        <v>0.90357218992034294</v>
      </c>
    </row>
    <row r="7" spans="1:19" x14ac:dyDescent="0.25">
      <c r="B7" s="50">
        <v>87</v>
      </c>
      <c r="C7" s="50">
        <v>91</v>
      </c>
      <c r="D7" s="50">
        <v>84</v>
      </c>
      <c r="E7" s="50">
        <v>80</v>
      </c>
      <c r="G7" s="19" t="s">
        <v>39</v>
      </c>
      <c r="H7" s="19">
        <v>8</v>
      </c>
      <c r="I7" s="19">
        <v>91.75</v>
      </c>
      <c r="J7" s="19">
        <v>11.46875</v>
      </c>
      <c r="K7" s="19">
        <v>63.9453125</v>
      </c>
      <c r="R7" t="s">
        <v>1616</v>
      </c>
      <c r="S7" s="680">
        <f>[1]!Levene(B6:E13,1)</f>
        <v>0.97971219945513577</v>
      </c>
    </row>
    <row r="8" spans="1:19" x14ac:dyDescent="0.25">
      <c r="B8" s="50">
        <v>50</v>
      </c>
      <c r="C8" s="50">
        <v>92</v>
      </c>
      <c r="D8" s="50">
        <v>74</v>
      </c>
      <c r="E8" s="50">
        <v>65</v>
      </c>
      <c r="G8" s="19" t="s">
        <v>40</v>
      </c>
      <c r="H8" s="19">
        <v>8</v>
      </c>
      <c r="I8" s="19">
        <v>69.25</v>
      </c>
      <c r="J8" s="19">
        <v>8.65625</v>
      </c>
      <c r="K8" s="19">
        <v>71.918526785714292</v>
      </c>
      <c r="R8" t="s">
        <v>1617</v>
      </c>
      <c r="S8" s="681">
        <f>[1]!Levene(B6:E13,-1)</f>
        <v>0.90357218992034294</v>
      </c>
    </row>
    <row r="9" spans="1:19" x14ac:dyDescent="0.25">
      <c r="B9" s="50">
        <v>48</v>
      </c>
      <c r="C9" s="50">
        <v>80</v>
      </c>
      <c r="D9" s="50">
        <v>98</v>
      </c>
      <c r="E9" s="50">
        <v>71</v>
      </c>
      <c r="G9" s="19" t="s">
        <v>46</v>
      </c>
      <c r="H9" s="19">
        <v>8</v>
      </c>
      <c r="I9" s="19">
        <v>78</v>
      </c>
      <c r="J9" s="19">
        <v>9.75</v>
      </c>
      <c r="K9" s="19">
        <v>55.928571428571431</v>
      </c>
    </row>
    <row r="10" spans="1:19" ht="15.75" thickBot="1" x14ac:dyDescent="0.3">
      <c r="B10" s="50">
        <v>79</v>
      </c>
      <c r="C10" s="50">
        <v>52</v>
      </c>
      <c r="D10" s="50">
        <v>63</v>
      </c>
      <c r="E10" s="50">
        <v>67</v>
      </c>
      <c r="G10" s="20" t="s">
        <v>47</v>
      </c>
      <c r="H10" s="20">
        <v>8</v>
      </c>
      <c r="I10" s="20">
        <v>84.75</v>
      </c>
      <c r="J10" s="20">
        <v>10.59375</v>
      </c>
      <c r="K10" s="20">
        <v>53.293526785714285</v>
      </c>
    </row>
    <row r="11" spans="1:19" x14ac:dyDescent="0.25">
      <c r="B11" s="50">
        <v>61</v>
      </c>
      <c r="C11" s="50">
        <v>79</v>
      </c>
      <c r="D11" s="50">
        <v>83</v>
      </c>
      <c r="E11" s="50">
        <v>51</v>
      </c>
    </row>
    <row r="12" spans="1:19" x14ac:dyDescent="0.25">
      <c r="B12" s="50">
        <v>53</v>
      </c>
      <c r="C12" s="50">
        <v>73</v>
      </c>
      <c r="D12" s="50">
        <v>85</v>
      </c>
      <c r="E12" s="50">
        <v>63</v>
      </c>
    </row>
    <row r="13" spans="1:19" ht="15.75" thickBot="1" x14ac:dyDescent="0.3">
      <c r="B13" s="188">
        <v>54</v>
      </c>
      <c r="C13" s="188">
        <v>74</v>
      </c>
      <c r="D13" s="188">
        <v>58</v>
      </c>
      <c r="E13" s="188">
        <v>93</v>
      </c>
      <c r="G13" t="s">
        <v>294</v>
      </c>
    </row>
    <row r="14" spans="1:19" ht="18" x14ac:dyDescent="0.35">
      <c r="A14" s="207" t="s">
        <v>470</v>
      </c>
      <c r="B14" s="152">
        <f>AVERAGE(B6:B13)</f>
        <v>60.375</v>
      </c>
      <c r="C14" s="152">
        <f>AVERAGE(C6:C13)</f>
        <v>77.875</v>
      </c>
      <c r="D14" s="152">
        <f>AVERAGE(D6:D13)</f>
        <v>78</v>
      </c>
      <c r="E14" s="152">
        <f>AVERAGE(E6:E13)</f>
        <v>71.875</v>
      </c>
      <c r="G14" s="161" t="s">
        <v>466</v>
      </c>
      <c r="H14" s="161" t="s">
        <v>219</v>
      </c>
      <c r="I14" s="161" t="s">
        <v>60</v>
      </c>
      <c r="J14" s="161" t="s">
        <v>240</v>
      </c>
      <c r="K14" s="161" t="s">
        <v>135</v>
      </c>
      <c r="L14" s="161" t="s">
        <v>119</v>
      </c>
      <c r="M14" s="161" t="s">
        <v>467</v>
      </c>
    </row>
    <row r="15" spans="1:19" ht="18.75" x14ac:dyDescent="0.35">
      <c r="A15" s="207" t="s">
        <v>491</v>
      </c>
      <c r="B15" s="188">
        <f>VAR(B6:B13)</f>
        <v>214.26785714285714</v>
      </c>
      <c r="C15" s="188">
        <f>VAR(C6:C13)</f>
        <v>157.55357142857142</v>
      </c>
      <c r="D15" s="188">
        <f>VAR(D6:D13)</f>
        <v>164.57142857142858</v>
      </c>
      <c r="E15" s="188">
        <f>VAR(E6:E13)</f>
        <v>181.55357142857142</v>
      </c>
      <c r="G15" s="19" t="s">
        <v>462</v>
      </c>
      <c r="H15" s="19">
        <v>34.583984375</v>
      </c>
      <c r="I15" s="19">
        <v>3</v>
      </c>
      <c r="J15" s="19">
        <v>11.527994791666666</v>
      </c>
      <c r="K15" s="19">
        <v>0.18814616471688289</v>
      </c>
      <c r="L15" s="19">
        <v>0.90357218992034294</v>
      </c>
      <c r="M15" s="19">
        <v>2.9466852660172647</v>
      </c>
    </row>
    <row r="16" spans="1:19" x14ac:dyDescent="0.25">
      <c r="A16" s="207"/>
      <c r="G16" s="19" t="s">
        <v>463</v>
      </c>
      <c r="H16" s="19">
        <v>1715.6015625</v>
      </c>
      <c r="I16" s="19">
        <v>28</v>
      </c>
      <c r="J16" s="19">
        <v>61.271484375</v>
      </c>
      <c r="K16" s="19"/>
      <c r="L16" s="19"/>
      <c r="M16" s="19"/>
    </row>
    <row r="17" spans="1:16" x14ac:dyDescent="0.25">
      <c r="A17" s="207"/>
      <c r="B17" t="s">
        <v>493</v>
      </c>
      <c r="G17" s="19"/>
      <c r="H17" s="19"/>
      <c r="I17" s="19"/>
      <c r="J17" s="19"/>
      <c r="K17" s="19"/>
      <c r="L17" s="19"/>
      <c r="M17" s="19"/>
    </row>
    <row r="18" spans="1:16" ht="15.75" thickBot="1" x14ac:dyDescent="0.3">
      <c r="G18" s="20" t="s">
        <v>1</v>
      </c>
      <c r="H18" s="20">
        <v>1750.185546875</v>
      </c>
      <c r="I18" s="20">
        <v>31</v>
      </c>
      <c r="J18" s="20"/>
      <c r="K18" s="20"/>
      <c r="L18" s="20"/>
      <c r="M18" s="20"/>
    </row>
    <row r="19" spans="1:16" x14ac:dyDescent="0.25">
      <c r="B19" s="179" t="s">
        <v>39</v>
      </c>
      <c r="C19" s="179" t="s">
        <v>40</v>
      </c>
      <c r="D19" s="179" t="s">
        <v>46</v>
      </c>
      <c r="E19" s="179" t="s">
        <v>47</v>
      </c>
    </row>
    <row r="20" spans="1:16" x14ac:dyDescent="0.25">
      <c r="B20" s="208">
        <f t="shared" ref="B20:E27" si="0">IF(ISNUMBER(B6),ABS(B6-B$14),"")</f>
        <v>9.375</v>
      </c>
      <c r="C20" s="208">
        <f t="shared" si="0"/>
        <v>4.125</v>
      </c>
      <c r="D20" s="208">
        <f t="shared" si="0"/>
        <v>1</v>
      </c>
      <c r="E20" s="208">
        <f t="shared" si="0"/>
        <v>13.125</v>
      </c>
    </row>
    <row r="21" spans="1:16" x14ac:dyDescent="0.25">
      <c r="B21" s="25">
        <f t="shared" si="0"/>
        <v>26.625</v>
      </c>
      <c r="C21" s="25">
        <f t="shared" si="0"/>
        <v>13.125</v>
      </c>
      <c r="D21" s="25">
        <f t="shared" si="0"/>
        <v>6</v>
      </c>
      <c r="E21" s="25">
        <f t="shared" si="0"/>
        <v>8.125</v>
      </c>
    </row>
    <row r="22" spans="1:16" x14ac:dyDescent="0.25">
      <c r="B22" s="25">
        <f t="shared" si="0"/>
        <v>10.375</v>
      </c>
      <c r="C22" s="25">
        <f t="shared" si="0"/>
        <v>14.125</v>
      </c>
      <c r="D22" s="25">
        <f t="shared" si="0"/>
        <v>4</v>
      </c>
      <c r="E22" s="25">
        <f t="shared" si="0"/>
        <v>6.875</v>
      </c>
    </row>
    <row r="23" spans="1:16" x14ac:dyDescent="0.25">
      <c r="B23" s="25">
        <f t="shared" si="0"/>
        <v>12.375</v>
      </c>
      <c r="C23" s="25">
        <f t="shared" si="0"/>
        <v>2.125</v>
      </c>
      <c r="D23" s="25">
        <f t="shared" si="0"/>
        <v>20</v>
      </c>
      <c r="E23" s="25">
        <f t="shared" si="0"/>
        <v>0.875</v>
      </c>
      <c r="F23" s="50"/>
      <c r="G23" s="50"/>
      <c r="H23" s="50"/>
      <c r="I23" s="50"/>
    </row>
    <row r="24" spans="1:16" x14ac:dyDescent="0.25">
      <c r="B24" s="25">
        <f t="shared" si="0"/>
        <v>18.625</v>
      </c>
      <c r="C24" s="25">
        <f t="shared" si="0"/>
        <v>25.875</v>
      </c>
      <c r="D24" s="25">
        <f t="shared" si="0"/>
        <v>15</v>
      </c>
      <c r="E24" s="25">
        <f t="shared" si="0"/>
        <v>4.875</v>
      </c>
    </row>
    <row r="25" spans="1:16" x14ac:dyDescent="0.25">
      <c r="B25" s="25">
        <f t="shared" si="0"/>
        <v>0.625</v>
      </c>
      <c r="C25" s="25">
        <f t="shared" si="0"/>
        <v>1.125</v>
      </c>
      <c r="D25" s="25">
        <f t="shared" si="0"/>
        <v>5</v>
      </c>
      <c r="E25" s="25">
        <f t="shared" si="0"/>
        <v>20.875</v>
      </c>
    </row>
    <row r="26" spans="1:16" x14ac:dyDescent="0.25">
      <c r="B26" s="25">
        <f t="shared" si="0"/>
        <v>7.375</v>
      </c>
      <c r="C26" s="25">
        <f t="shared" si="0"/>
        <v>4.875</v>
      </c>
      <c r="D26" s="25">
        <f t="shared" si="0"/>
        <v>7</v>
      </c>
      <c r="E26" s="25">
        <f t="shared" si="0"/>
        <v>8.875</v>
      </c>
    </row>
    <row r="27" spans="1:16" x14ac:dyDescent="0.25">
      <c r="B27" s="206">
        <f t="shared" si="0"/>
        <v>6.375</v>
      </c>
      <c r="C27" s="206">
        <f t="shared" si="0"/>
        <v>3.875</v>
      </c>
      <c r="D27" s="206">
        <f t="shared" si="0"/>
        <v>20</v>
      </c>
      <c r="E27" s="206">
        <f t="shared" si="0"/>
        <v>21.125</v>
      </c>
    </row>
    <row r="28" spans="1:16" x14ac:dyDescent="0.25">
      <c r="B28" s="777"/>
      <c r="C28" s="777"/>
      <c r="D28" s="777"/>
      <c r="E28" s="777"/>
      <c r="F28" s="50"/>
      <c r="G28" s="50"/>
      <c r="H28" s="50"/>
      <c r="I28" s="50"/>
    </row>
    <row r="30" spans="1:16" x14ac:dyDescent="0.25">
      <c r="A30" s="17" t="s">
        <v>1237</v>
      </c>
      <c r="G30" t="s">
        <v>464</v>
      </c>
      <c r="O30" t="s">
        <v>2137</v>
      </c>
    </row>
    <row r="32" spans="1:16" ht="15.75" thickBot="1" x14ac:dyDescent="0.3">
      <c r="B32" s="179" t="s">
        <v>39</v>
      </c>
      <c r="C32" s="179" t="s">
        <v>40</v>
      </c>
      <c r="D32" s="179" t="s">
        <v>46</v>
      </c>
      <c r="E32" s="179" t="s">
        <v>47</v>
      </c>
      <c r="G32" t="s">
        <v>62</v>
      </c>
      <c r="O32" t="s">
        <v>1521</v>
      </c>
      <c r="P32" s="580">
        <f>[1]!Levene(B33:E40,1)</f>
        <v>0.97971219945513577</v>
      </c>
    </row>
    <row r="33" spans="1:13" x14ac:dyDescent="0.25">
      <c r="B33" s="179">
        <v>51</v>
      </c>
      <c r="C33" s="179">
        <v>82</v>
      </c>
      <c r="D33" s="179">
        <v>79</v>
      </c>
      <c r="E33" s="179">
        <v>85</v>
      </c>
      <c r="G33" s="688" t="s">
        <v>79</v>
      </c>
      <c r="H33" s="688" t="s">
        <v>22</v>
      </c>
      <c r="I33" s="688" t="s">
        <v>21</v>
      </c>
      <c r="J33" s="688" t="s">
        <v>465</v>
      </c>
      <c r="K33" s="688" t="s">
        <v>80</v>
      </c>
    </row>
    <row r="34" spans="1:13" x14ac:dyDescent="0.25">
      <c r="B34" s="50">
        <v>87</v>
      </c>
      <c r="C34" s="50">
        <v>91</v>
      </c>
      <c r="D34" s="50">
        <v>84</v>
      </c>
      <c r="E34" s="50">
        <v>80</v>
      </c>
      <c r="G34" s="19" t="s">
        <v>39</v>
      </c>
      <c r="H34" s="19">
        <v>8</v>
      </c>
      <c r="I34" s="19">
        <v>79</v>
      </c>
      <c r="J34" s="19">
        <v>9.875</v>
      </c>
      <c r="K34" s="19">
        <v>156.83928571428572</v>
      </c>
    </row>
    <row r="35" spans="1:13" x14ac:dyDescent="0.25">
      <c r="B35" s="50">
        <v>50</v>
      </c>
      <c r="C35" s="50">
        <v>92</v>
      </c>
      <c r="D35" s="50">
        <v>74</v>
      </c>
      <c r="E35" s="50">
        <v>65</v>
      </c>
      <c r="G35" s="19" t="s">
        <v>40</v>
      </c>
      <c r="H35" s="19">
        <v>8</v>
      </c>
      <c r="I35" s="19">
        <v>67</v>
      </c>
      <c r="J35" s="19">
        <v>8.375</v>
      </c>
      <c r="K35" s="19">
        <v>80.410714285714292</v>
      </c>
    </row>
    <row r="36" spans="1:13" x14ac:dyDescent="0.25">
      <c r="B36" s="50">
        <v>48</v>
      </c>
      <c r="C36" s="50">
        <v>80</v>
      </c>
      <c r="D36" s="50">
        <v>98</v>
      </c>
      <c r="E36" s="50">
        <v>71</v>
      </c>
      <c r="G36" s="19" t="s">
        <v>46</v>
      </c>
      <c r="H36" s="19">
        <v>8</v>
      </c>
      <c r="I36" s="19">
        <v>76</v>
      </c>
      <c r="J36" s="19">
        <v>9.5</v>
      </c>
      <c r="K36" s="19">
        <v>71.714285714285708</v>
      </c>
    </row>
    <row r="37" spans="1:13" ht="15.75" thickBot="1" x14ac:dyDescent="0.3">
      <c r="B37" s="50">
        <v>79</v>
      </c>
      <c r="C37" s="50">
        <v>52</v>
      </c>
      <c r="D37" s="50">
        <v>63</v>
      </c>
      <c r="E37" s="50">
        <v>67</v>
      </c>
      <c r="G37" s="20" t="s">
        <v>47</v>
      </c>
      <c r="H37" s="20">
        <v>8</v>
      </c>
      <c r="I37" s="20">
        <v>83</v>
      </c>
      <c r="J37" s="20">
        <v>10.375</v>
      </c>
      <c r="K37" s="20">
        <v>67.982142857142861</v>
      </c>
    </row>
    <row r="38" spans="1:13" x14ac:dyDescent="0.25">
      <c r="B38" s="50">
        <v>61</v>
      </c>
      <c r="C38" s="50">
        <v>79</v>
      </c>
      <c r="D38" s="50">
        <v>83</v>
      </c>
      <c r="E38" s="50">
        <v>51</v>
      </c>
    </row>
    <row r="39" spans="1:13" x14ac:dyDescent="0.25">
      <c r="B39" s="50">
        <v>53</v>
      </c>
      <c r="C39" s="50">
        <v>73</v>
      </c>
      <c r="D39" s="50">
        <v>85</v>
      </c>
      <c r="E39" s="50">
        <v>63</v>
      </c>
    </row>
    <row r="40" spans="1:13" ht="15.75" thickBot="1" x14ac:dyDescent="0.3">
      <c r="B40" s="188">
        <v>54</v>
      </c>
      <c r="C40" s="188">
        <v>74</v>
      </c>
      <c r="D40" s="188">
        <v>58</v>
      </c>
      <c r="E40" s="188">
        <v>93</v>
      </c>
      <c r="G40" t="s">
        <v>294</v>
      </c>
    </row>
    <row r="41" spans="1:13" x14ac:dyDescent="0.25">
      <c r="A41" s="215" t="s">
        <v>502</v>
      </c>
      <c r="B41" s="152">
        <f>MEDIAN(B33:B40)</f>
        <v>53.5</v>
      </c>
      <c r="C41" s="152">
        <f>MEDIAN(C33:C40)</f>
        <v>79.5</v>
      </c>
      <c r="D41" s="152">
        <f>MEDIAN(D33:D40)</f>
        <v>81</v>
      </c>
      <c r="E41" s="152">
        <f>MEDIAN(E33:E40)</f>
        <v>69</v>
      </c>
      <c r="G41" s="688" t="s">
        <v>466</v>
      </c>
      <c r="H41" s="688" t="s">
        <v>219</v>
      </c>
      <c r="I41" s="688" t="s">
        <v>60</v>
      </c>
      <c r="J41" s="688" t="s">
        <v>240</v>
      </c>
      <c r="K41" s="688" t="s">
        <v>135</v>
      </c>
      <c r="L41" s="688" t="s">
        <v>119</v>
      </c>
      <c r="M41" s="688" t="s">
        <v>467</v>
      </c>
    </row>
    <row r="42" spans="1:13" ht="18.75" x14ac:dyDescent="0.35">
      <c r="A42" s="207" t="s">
        <v>491</v>
      </c>
      <c r="B42" s="188">
        <f>VAR(B33:B40)</f>
        <v>214.26785714285714</v>
      </c>
      <c r="C42" s="188">
        <f>VAR(C33:C40)</f>
        <v>157.55357142857142</v>
      </c>
      <c r="D42" s="188">
        <f>VAR(D33:D40)</f>
        <v>164.57142857142858</v>
      </c>
      <c r="E42" s="188">
        <f>VAR(E33:E40)</f>
        <v>181.55357142857142</v>
      </c>
      <c r="G42" s="19" t="s">
        <v>462</v>
      </c>
      <c r="H42" s="19">
        <v>17.34375</v>
      </c>
      <c r="I42" s="19">
        <v>3</v>
      </c>
      <c r="J42" s="19">
        <v>5.78125</v>
      </c>
      <c r="K42" s="19">
        <v>6.1348240087166613E-2</v>
      </c>
      <c r="L42" s="19">
        <v>0.97971219945513577</v>
      </c>
      <c r="M42" s="19">
        <v>2.9466852660172647</v>
      </c>
    </row>
    <row r="43" spans="1:13" x14ac:dyDescent="0.25">
      <c r="A43" s="207"/>
      <c r="G43" s="19" t="s">
        <v>463</v>
      </c>
      <c r="H43" s="19">
        <v>2638.625</v>
      </c>
      <c r="I43" s="19">
        <v>28</v>
      </c>
      <c r="J43" s="19">
        <v>94.236607142857139</v>
      </c>
      <c r="K43" s="19"/>
      <c r="L43" s="19"/>
      <c r="M43" s="19"/>
    </row>
    <row r="44" spans="1:13" x14ac:dyDescent="0.25">
      <c r="A44" s="207"/>
      <c r="B44" t="s">
        <v>493</v>
      </c>
      <c r="G44" s="19"/>
      <c r="H44" s="19"/>
      <c r="I44" s="19"/>
      <c r="J44" s="19"/>
      <c r="K44" s="19"/>
      <c r="L44" s="19"/>
      <c r="M44" s="19"/>
    </row>
    <row r="45" spans="1:13" ht="15.75" thickBot="1" x14ac:dyDescent="0.3">
      <c r="G45" s="20" t="s">
        <v>1</v>
      </c>
      <c r="H45" s="20">
        <v>2655.96875</v>
      </c>
      <c r="I45" s="20">
        <v>31</v>
      </c>
      <c r="J45" s="20"/>
      <c r="K45" s="20"/>
      <c r="L45" s="20"/>
      <c r="M45" s="20"/>
    </row>
    <row r="46" spans="1:13" x14ac:dyDescent="0.25">
      <c r="B46" s="179" t="s">
        <v>39</v>
      </c>
      <c r="C46" s="179" t="s">
        <v>40</v>
      </c>
      <c r="D46" s="179" t="s">
        <v>46</v>
      </c>
      <c r="E46" s="179" t="s">
        <v>47</v>
      </c>
    </row>
    <row r="47" spans="1:13" x14ac:dyDescent="0.25">
      <c r="B47" s="212">
        <f t="shared" ref="B47:E54" si="1">ABS(B33-B$41)</f>
        <v>2.5</v>
      </c>
      <c r="C47" s="212">
        <f t="shared" si="1"/>
        <v>2.5</v>
      </c>
      <c r="D47" s="212">
        <f t="shared" si="1"/>
        <v>2</v>
      </c>
      <c r="E47" s="212">
        <f t="shared" si="1"/>
        <v>16</v>
      </c>
    </row>
    <row r="48" spans="1:13" x14ac:dyDescent="0.25">
      <c r="B48" s="25">
        <f t="shared" si="1"/>
        <v>33.5</v>
      </c>
      <c r="C48" s="25">
        <f t="shared" si="1"/>
        <v>11.5</v>
      </c>
      <c r="D48" s="25">
        <f t="shared" si="1"/>
        <v>3</v>
      </c>
      <c r="E48" s="25">
        <f t="shared" si="1"/>
        <v>11</v>
      </c>
    </row>
    <row r="49" spans="1:16" x14ac:dyDescent="0.25">
      <c r="B49" s="25">
        <f t="shared" si="1"/>
        <v>3.5</v>
      </c>
      <c r="C49" s="25">
        <f t="shared" si="1"/>
        <v>12.5</v>
      </c>
      <c r="D49" s="25">
        <f t="shared" si="1"/>
        <v>7</v>
      </c>
      <c r="E49" s="25">
        <f t="shared" si="1"/>
        <v>4</v>
      </c>
    </row>
    <row r="50" spans="1:16" x14ac:dyDescent="0.25">
      <c r="B50" s="25">
        <f t="shared" si="1"/>
        <v>5.5</v>
      </c>
      <c r="C50" s="25">
        <f t="shared" si="1"/>
        <v>0.5</v>
      </c>
      <c r="D50" s="25">
        <f t="shared" si="1"/>
        <v>17</v>
      </c>
      <c r="E50" s="25">
        <f t="shared" si="1"/>
        <v>2</v>
      </c>
    </row>
    <row r="51" spans="1:16" x14ac:dyDescent="0.25">
      <c r="B51" s="25">
        <f t="shared" si="1"/>
        <v>25.5</v>
      </c>
      <c r="C51" s="25">
        <f t="shared" si="1"/>
        <v>27.5</v>
      </c>
      <c r="D51" s="25">
        <f t="shared" si="1"/>
        <v>18</v>
      </c>
      <c r="E51" s="25">
        <f t="shared" si="1"/>
        <v>2</v>
      </c>
    </row>
    <row r="52" spans="1:16" x14ac:dyDescent="0.25">
      <c r="B52" s="25">
        <f t="shared" si="1"/>
        <v>7.5</v>
      </c>
      <c r="C52" s="25">
        <f t="shared" si="1"/>
        <v>0.5</v>
      </c>
      <c r="D52" s="25">
        <f t="shared" si="1"/>
        <v>2</v>
      </c>
      <c r="E52" s="25">
        <f t="shared" si="1"/>
        <v>18</v>
      </c>
    </row>
    <row r="53" spans="1:16" x14ac:dyDescent="0.25">
      <c r="B53" s="25">
        <f t="shared" si="1"/>
        <v>0.5</v>
      </c>
      <c r="C53" s="25">
        <f t="shared" si="1"/>
        <v>6.5</v>
      </c>
      <c r="D53" s="25">
        <f t="shared" si="1"/>
        <v>4</v>
      </c>
      <c r="E53" s="25">
        <f t="shared" si="1"/>
        <v>6</v>
      </c>
    </row>
    <row r="54" spans="1:16" x14ac:dyDescent="0.25">
      <c r="B54" s="206">
        <f t="shared" si="1"/>
        <v>0.5</v>
      </c>
      <c r="C54" s="206">
        <f t="shared" si="1"/>
        <v>5.5</v>
      </c>
      <c r="D54" s="206">
        <f t="shared" si="1"/>
        <v>23</v>
      </c>
      <c r="E54" s="206">
        <f t="shared" si="1"/>
        <v>24</v>
      </c>
    </row>
    <row r="57" spans="1:16" x14ac:dyDescent="0.25">
      <c r="A57" s="17" t="s">
        <v>1519</v>
      </c>
      <c r="G57" t="s">
        <v>464</v>
      </c>
      <c r="O57" t="s">
        <v>2137</v>
      </c>
    </row>
    <row r="59" spans="1:16" ht="15.75" thickBot="1" x14ac:dyDescent="0.3">
      <c r="B59" s="179" t="s">
        <v>39</v>
      </c>
      <c r="C59" s="179" t="s">
        <v>40</v>
      </c>
      <c r="D59" s="179" t="s">
        <v>46</v>
      </c>
      <c r="E59" s="179" t="s">
        <v>47</v>
      </c>
      <c r="G59" t="s">
        <v>62</v>
      </c>
      <c r="O59" t="s">
        <v>1522</v>
      </c>
      <c r="P59" s="580">
        <f>[1]!Levene(B60:E67,-1)</f>
        <v>0.90357218992034294</v>
      </c>
    </row>
    <row r="60" spans="1:16" x14ac:dyDescent="0.25">
      <c r="B60" s="179">
        <v>51</v>
      </c>
      <c r="C60" s="179">
        <v>82</v>
      </c>
      <c r="D60" s="179">
        <v>79</v>
      </c>
      <c r="E60" s="179">
        <v>85</v>
      </c>
      <c r="G60" s="688" t="s">
        <v>79</v>
      </c>
      <c r="H60" s="688" t="s">
        <v>22</v>
      </c>
      <c r="I60" s="688" t="s">
        <v>21</v>
      </c>
      <c r="J60" s="688" t="s">
        <v>465</v>
      </c>
      <c r="K60" s="688" t="s">
        <v>80</v>
      </c>
    </row>
    <row r="61" spans="1:16" x14ac:dyDescent="0.25">
      <c r="B61" s="686">
        <v>87</v>
      </c>
      <c r="C61" s="686">
        <v>91</v>
      </c>
      <c r="D61" s="686">
        <v>84</v>
      </c>
      <c r="E61" s="686">
        <v>80</v>
      </c>
      <c r="G61" s="19" t="s">
        <v>39</v>
      </c>
      <c r="H61" s="19">
        <v>8</v>
      </c>
      <c r="I61" s="19">
        <v>91.75</v>
      </c>
      <c r="J61" s="19">
        <v>11.46875</v>
      </c>
      <c r="K61" s="19">
        <v>63.9453125</v>
      </c>
    </row>
    <row r="62" spans="1:16" x14ac:dyDescent="0.25">
      <c r="B62" s="686">
        <v>50</v>
      </c>
      <c r="C62" s="686">
        <v>92</v>
      </c>
      <c r="D62" s="686">
        <v>74</v>
      </c>
      <c r="E62" s="686">
        <v>65</v>
      </c>
      <c r="G62" s="19" t="s">
        <v>40</v>
      </c>
      <c r="H62" s="19">
        <v>8</v>
      </c>
      <c r="I62" s="19">
        <v>69.25</v>
      </c>
      <c r="J62" s="19">
        <v>8.65625</v>
      </c>
      <c r="K62" s="19">
        <v>71.918526785714292</v>
      </c>
    </row>
    <row r="63" spans="1:16" x14ac:dyDescent="0.25">
      <c r="B63" s="686">
        <v>48</v>
      </c>
      <c r="C63" s="686">
        <v>80</v>
      </c>
      <c r="D63" s="686">
        <v>98</v>
      </c>
      <c r="E63" s="686">
        <v>71</v>
      </c>
      <c r="G63" s="19" t="s">
        <v>46</v>
      </c>
      <c r="H63" s="19">
        <v>8</v>
      </c>
      <c r="I63" s="19">
        <v>78</v>
      </c>
      <c r="J63" s="19">
        <v>9.75</v>
      </c>
      <c r="K63" s="19">
        <v>55.928571428571431</v>
      </c>
    </row>
    <row r="64" spans="1:16" ht="15.75" thickBot="1" x14ac:dyDescent="0.3">
      <c r="B64" s="686">
        <v>79</v>
      </c>
      <c r="C64" s="686">
        <v>52</v>
      </c>
      <c r="D64" s="686">
        <v>63</v>
      </c>
      <c r="E64" s="686">
        <v>67</v>
      </c>
      <c r="G64" s="20" t="s">
        <v>47</v>
      </c>
      <c r="H64" s="20">
        <v>8</v>
      </c>
      <c r="I64" s="20">
        <v>84.75</v>
      </c>
      <c r="J64" s="20">
        <v>10.59375</v>
      </c>
      <c r="K64" s="20">
        <v>53.293526785714285</v>
      </c>
    </row>
    <row r="65" spans="1:13" x14ac:dyDescent="0.25">
      <c r="B65" s="686">
        <v>61</v>
      </c>
      <c r="C65" s="686">
        <v>79</v>
      </c>
      <c r="D65" s="686">
        <v>83</v>
      </c>
      <c r="E65" s="686">
        <v>51</v>
      </c>
    </row>
    <row r="66" spans="1:13" x14ac:dyDescent="0.25">
      <c r="B66" s="686">
        <v>53</v>
      </c>
      <c r="C66" s="686">
        <v>73</v>
      </c>
      <c r="D66" s="686">
        <v>85</v>
      </c>
      <c r="E66" s="686">
        <v>63</v>
      </c>
    </row>
    <row r="67" spans="1:13" ht="15.75" thickBot="1" x14ac:dyDescent="0.3">
      <c r="B67" s="687">
        <v>54</v>
      </c>
      <c r="C67" s="687">
        <v>74</v>
      </c>
      <c r="D67" s="687">
        <v>58</v>
      </c>
      <c r="E67" s="687">
        <v>93</v>
      </c>
      <c r="G67" t="s">
        <v>294</v>
      </c>
    </row>
    <row r="68" spans="1:13" ht="18" x14ac:dyDescent="0.35">
      <c r="A68" s="207" t="s">
        <v>1520</v>
      </c>
      <c r="B68" s="685">
        <f>TRIMMEAN(B60:B67,0.1)</f>
        <v>60.375</v>
      </c>
      <c r="C68" s="685">
        <f>TRIMMEAN(C60:C67,0.1)</f>
        <v>77.875</v>
      </c>
      <c r="D68" s="685">
        <f>TRIMMEAN(D60:D67,0.1)</f>
        <v>78</v>
      </c>
      <c r="E68" s="685">
        <f>TRIMMEAN(E60:E67,0.1)</f>
        <v>71.875</v>
      </c>
      <c r="G68" s="688" t="s">
        <v>466</v>
      </c>
      <c r="H68" s="688" t="s">
        <v>219</v>
      </c>
      <c r="I68" s="688" t="s">
        <v>60</v>
      </c>
      <c r="J68" s="688" t="s">
        <v>240</v>
      </c>
      <c r="K68" s="688" t="s">
        <v>135</v>
      </c>
      <c r="L68" s="688" t="s">
        <v>119</v>
      </c>
      <c r="M68" s="688" t="s">
        <v>467</v>
      </c>
    </row>
    <row r="69" spans="1:13" ht="18.75" x14ac:dyDescent="0.35">
      <c r="A69" s="207" t="s">
        <v>491</v>
      </c>
      <c r="B69" s="687">
        <f>VAR(B60:B67)</f>
        <v>214.26785714285714</v>
      </c>
      <c r="C69" s="687">
        <f>VAR(C60:C67)</f>
        <v>157.55357142857142</v>
      </c>
      <c r="D69" s="687">
        <f>VAR(D60:D67)</f>
        <v>164.57142857142858</v>
      </c>
      <c r="E69" s="687">
        <f>VAR(E60:E67)</f>
        <v>181.55357142857142</v>
      </c>
      <c r="G69" s="19" t="s">
        <v>462</v>
      </c>
      <c r="H69" s="19">
        <v>34.583984375</v>
      </c>
      <c r="I69" s="19">
        <v>3</v>
      </c>
      <c r="J69" s="19">
        <v>11.527994791666666</v>
      </c>
      <c r="K69" s="19">
        <v>0.18814616471688289</v>
      </c>
      <c r="L69" s="19">
        <v>0.90357218992034294</v>
      </c>
      <c r="M69" s="19">
        <v>2.9466852660172647</v>
      </c>
    </row>
    <row r="70" spans="1:13" x14ac:dyDescent="0.25">
      <c r="A70" s="207"/>
      <c r="G70" s="19" t="s">
        <v>463</v>
      </c>
      <c r="H70" s="19">
        <v>1715.6015625</v>
      </c>
      <c r="I70" s="19">
        <v>28</v>
      </c>
      <c r="J70" s="19">
        <v>61.271484375</v>
      </c>
      <c r="K70" s="19"/>
      <c r="L70" s="19"/>
      <c r="M70" s="19"/>
    </row>
    <row r="71" spans="1:13" x14ac:dyDescent="0.25">
      <c r="A71" s="207"/>
      <c r="B71" t="s">
        <v>493</v>
      </c>
      <c r="G71" s="19"/>
      <c r="H71" s="19"/>
      <c r="I71" s="19"/>
      <c r="J71" s="19"/>
      <c r="K71" s="19"/>
      <c r="L71" s="19"/>
      <c r="M71" s="19"/>
    </row>
    <row r="72" spans="1:13" ht="15.75" thickBot="1" x14ac:dyDescent="0.3">
      <c r="G72" s="20" t="s">
        <v>1</v>
      </c>
      <c r="H72" s="20">
        <v>1750.185546875</v>
      </c>
      <c r="I72" s="20">
        <v>31</v>
      </c>
      <c r="J72" s="20"/>
      <c r="K72" s="20"/>
      <c r="L72" s="20"/>
      <c r="M72" s="20"/>
    </row>
    <row r="73" spans="1:13" x14ac:dyDescent="0.25">
      <c r="B73" s="179" t="s">
        <v>39</v>
      </c>
      <c r="C73" s="179" t="s">
        <v>40</v>
      </c>
      <c r="D73" s="179" t="s">
        <v>46</v>
      </c>
      <c r="E73" s="179" t="s">
        <v>47</v>
      </c>
    </row>
    <row r="74" spans="1:13" x14ac:dyDescent="0.25">
      <c r="B74" s="212">
        <f t="shared" ref="B74:E81" si="2">ABS(B60-B$14)</f>
        <v>9.375</v>
      </c>
      <c r="C74" s="212">
        <f t="shared" si="2"/>
        <v>4.125</v>
      </c>
      <c r="D74" s="212">
        <f t="shared" si="2"/>
        <v>1</v>
      </c>
      <c r="E74" s="212">
        <f t="shared" si="2"/>
        <v>13.125</v>
      </c>
    </row>
    <row r="75" spans="1:13" x14ac:dyDescent="0.25">
      <c r="B75" s="25">
        <f t="shared" si="2"/>
        <v>26.625</v>
      </c>
      <c r="C75" s="25">
        <f t="shared" si="2"/>
        <v>13.125</v>
      </c>
      <c r="D75" s="25">
        <f t="shared" si="2"/>
        <v>6</v>
      </c>
      <c r="E75" s="25">
        <f t="shared" si="2"/>
        <v>8.125</v>
      </c>
    </row>
    <row r="76" spans="1:13" x14ac:dyDescent="0.25">
      <c r="B76" s="25">
        <f t="shared" si="2"/>
        <v>10.375</v>
      </c>
      <c r="C76" s="25">
        <f t="shared" si="2"/>
        <v>14.125</v>
      </c>
      <c r="D76" s="25">
        <f t="shared" si="2"/>
        <v>4</v>
      </c>
      <c r="E76" s="25">
        <f t="shared" si="2"/>
        <v>6.875</v>
      </c>
    </row>
    <row r="77" spans="1:13" x14ac:dyDescent="0.25">
      <c r="B77" s="25">
        <f t="shared" si="2"/>
        <v>12.375</v>
      </c>
      <c r="C77" s="25">
        <f t="shared" si="2"/>
        <v>2.125</v>
      </c>
      <c r="D77" s="25">
        <f t="shared" si="2"/>
        <v>20</v>
      </c>
      <c r="E77" s="25">
        <f t="shared" si="2"/>
        <v>0.875</v>
      </c>
      <c r="F77" s="686"/>
      <c r="G77" s="686"/>
      <c r="H77" s="686"/>
      <c r="I77" s="686"/>
    </row>
    <row r="78" spans="1:13" x14ac:dyDescent="0.25">
      <c r="B78" s="25">
        <f t="shared" si="2"/>
        <v>18.625</v>
      </c>
      <c r="C78" s="25">
        <f t="shared" si="2"/>
        <v>25.875</v>
      </c>
      <c r="D78" s="25">
        <f t="shared" si="2"/>
        <v>15</v>
      </c>
      <c r="E78" s="25">
        <f t="shared" si="2"/>
        <v>4.875</v>
      </c>
    </row>
    <row r="79" spans="1:13" x14ac:dyDescent="0.25">
      <c r="B79" s="25">
        <f t="shared" si="2"/>
        <v>0.625</v>
      </c>
      <c r="C79" s="25">
        <f t="shared" si="2"/>
        <v>1.125</v>
      </c>
      <c r="D79" s="25">
        <f t="shared" si="2"/>
        <v>5</v>
      </c>
      <c r="E79" s="25">
        <f t="shared" si="2"/>
        <v>20.875</v>
      </c>
    </row>
    <row r="80" spans="1:13" x14ac:dyDescent="0.25">
      <c r="B80" s="25">
        <f t="shared" si="2"/>
        <v>7.375</v>
      </c>
      <c r="C80" s="25">
        <f t="shared" si="2"/>
        <v>4.875</v>
      </c>
      <c r="D80" s="25">
        <f t="shared" si="2"/>
        <v>7</v>
      </c>
      <c r="E80" s="25">
        <f t="shared" si="2"/>
        <v>8.875</v>
      </c>
    </row>
    <row r="81" spans="2:9" x14ac:dyDescent="0.25">
      <c r="B81" s="206">
        <f t="shared" si="2"/>
        <v>6.375</v>
      </c>
      <c r="C81" s="206">
        <f t="shared" si="2"/>
        <v>3.875</v>
      </c>
      <c r="D81" s="206">
        <f t="shared" si="2"/>
        <v>20</v>
      </c>
      <c r="E81" s="206">
        <f t="shared" si="2"/>
        <v>21.125</v>
      </c>
    </row>
    <row r="82" spans="2:9" x14ac:dyDescent="0.25">
      <c r="F82" s="686"/>
      <c r="G82" s="686"/>
      <c r="H82" s="686"/>
      <c r="I82" s="68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S28"/>
  <sheetViews>
    <sheetView workbookViewId="0"/>
  </sheetViews>
  <sheetFormatPr defaultRowHeight="15" x14ac:dyDescent="0.25"/>
  <cols>
    <col min="1" max="1" width="6.28515625" customWidth="1"/>
    <col min="5" max="5" width="7.5703125" customWidth="1"/>
    <col min="9" max="9" width="7" customWidth="1"/>
    <col min="10" max="10" width="16.7109375" customWidth="1"/>
    <col min="12" max="12" width="7.85546875" customWidth="1"/>
    <col min="13" max="13" width="11" customWidth="1"/>
  </cols>
  <sheetData>
    <row r="1" spans="1:19" x14ac:dyDescent="0.25">
      <c r="A1" s="1" t="s">
        <v>490</v>
      </c>
    </row>
    <row r="2" spans="1:19" x14ac:dyDescent="0.25">
      <c r="A2" s="1"/>
    </row>
    <row r="3" spans="1:19" x14ac:dyDescent="0.25">
      <c r="A3" s="1" t="s">
        <v>492</v>
      </c>
      <c r="F3" t="s">
        <v>493</v>
      </c>
      <c r="J3" t="s">
        <v>464</v>
      </c>
      <c r="R3" t="s">
        <v>1613</v>
      </c>
    </row>
    <row r="5" spans="1:19" ht="15.75" thickBot="1" x14ac:dyDescent="0.3">
      <c r="B5" s="131" t="s">
        <v>453</v>
      </c>
      <c r="C5" s="131" t="s">
        <v>454</v>
      </c>
      <c r="D5" s="131" t="s">
        <v>455</v>
      </c>
      <c r="F5" s="179" t="s">
        <v>39</v>
      </c>
      <c r="G5" s="179" t="s">
        <v>40</v>
      </c>
      <c r="H5" s="179" t="s">
        <v>46</v>
      </c>
      <c r="J5" t="s">
        <v>62</v>
      </c>
      <c r="R5" t="s">
        <v>1614</v>
      </c>
      <c r="S5" s="13" t="s">
        <v>67</v>
      </c>
    </row>
    <row r="6" spans="1:19" x14ac:dyDescent="0.25">
      <c r="B6" s="129">
        <v>13</v>
      </c>
      <c r="C6" s="129">
        <v>12</v>
      </c>
      <c r="D6" s="152">
        <v>7</v>
      </c>
      <c r="F6" s="213">
        <f>ABS(B6-B$16)</f>
        <v>2</v>
      </c>
      <c r="G6" s="213">
        <f>ABS(C6-C$16)</f>
        <v>0.90000000000000036</v>
      </c>
      <c r="H6" s="213">
        <f>ABS(D6-D$16)</f>
        <v>6.5</v>
      </c>
      <c r="J6" s="161" t="s">
        <v>79</v>
      </c>
      <c r="K6" s="161" t="s">
        <v>22</v>
      </c>
      <c r="L6" s="161" t="s">
        <v>21</v>
      </c>
      <c r="M6" s="161" t="s">
        <v>465</v>
      </c>
      <c r="N6" s="161" t="s">
        <v>80</v>
      </c>
      <c r="R6" t="s">
        <v>1615</v>
      </c>
      <c r="S6" s="744">
        <f>[1]!Levene(B6:D15)</f>
        <v>0.93811733669330666</v>
      </c>
    </row>
    <row r="7" spans="1:19" x14ac:dyDescent="0.25">
      <c r="B7" s="50">
        <v>17</v>
      </c>
      <c r="C7" s="50">
        <v>8</v>
      </c>
      <c r="D7" s="152">
        <v>19</v>
      </c>
      <c r="F7" s="50">
        <f t="shared" ref="F7:F15" si="0">ABS(B7-B$16)</f>
        <v>2</v>
      </c>
      <c r="G7" s="50">
        <f t="shared" ref="G7:G15" si="1">ABS(C7-C$16)</f>
        <v>3.0999999999999996</v>
      </c>
      <c r="H7" s="50">
        <f t="shared" ref="H7:H15" si="2">ABS(D7-D$16)</f>
        <v>5.5</v>
      </c>
      <c r="J7" s="19" t="s">
        <v>39</v>
      </c>
      <c r="K7" s="19">
        <v>10</v>
      </c>
      <c r="L7" s="19">
        <v>30</v>
      </c>
      <c r="M7" s="19">
        <v>3</v>
      </c>
      <c r="N7" s="19">
        <v>3.3333333333333335</v>
      </c>
      <c r="R7" t="s">
        <v>1616</v>
      </c>
      <c r="S7" s="680">
        <f>[1]!Levene(B6:D15,1)</f>
        <v>0.9195127776195422</v>
      </c>
    </row>
    <row r="8" spans="1:19" x14ac:dyDescent="0.25">
      <c r="B8" s="50">
        <v>19</v>
      </c>
      <c r="C8" s="50">
        <v>6</v>
      </c>
      <c r="D8" s="152">
        <v>15</v>
      </c>
      <c r="F8" s="50">
        <f t="shared" si="0"/>
        <v>4</v>
      </c>
      <c r="G8" s="50">
        <f t="shared" si="1"/>
        <v>5.0999999999999996</v>
      </c>
      <c r="H8" s="50">
        <f t="shared" si="2"/>
        <v>1.5</v>
      </c>
      <c r="J8" s="19" t="s">
        <v>40</v>
      </c>
      <c r="K8" s="19">
        <v>10</v>
      </c>
      <c r="L8" s="19">
        <v>33</v>
      </c>
      <c r="M8" s="19">
        <v>3.3</v>
      </c>
      <c r="N8" s="19">
        <v>6.6666666666666634</v>
      </c>
      <c r="R8" t="s">
        <v>1617</v>
      </c>
      <c r="S8" s="681">
        <f>[1]!Levene(B6:D15,-1)</f>
        <v>0.93811733669330666</v>
      </c>
    </row>
    <row r="9" spans="1:19" ht="15.75" thickBot="1" x14ac:dyDescent="0.3">
      <c r="B9" s="50">
        <v>11</v>
      </c>
      <c r="C9" s="50">
        <v>16</v>
      </c>
      <c r="D9" s="152">
        <v>14</v>
      </c>
      <c r="F9" s="50">
        <f t="shared" si="0"/>
        <v>4</v>
      </c>
      <c r="G9" s="50">
        <f t="shared" si="1"/>
        <v>4.9000000000000004</v>
      </c>
      <c r="H9" s="50">
        <f t="shared" si="2"/>
        <v>0.5</v>
      </c>
      <c r="J9" s="20" t="s">
        <v>46</v>
      </c>
      <c r="K9" s="20">
        <v>10</v>
      </c>
      <c r="L9" s="20">
        <v>30</v>
      </c>
      <c r="M9" s="20">
        <v>3</v>
      </c>
      <c r="N9" s="20">
        <v>4.0555555555555554</v>
      </c>
    </row>
    <row r="10" spans="1:19" x14ac:dyDescent="0.25">
      <c r="B10" s="50">
        <v>20</v>
      </c>
      <c r="C10" s="50">
        <v>12</v>
      </c>
      <c r="D10" s="152">
        <v>10</v>
      </c>
      <c r="F10" s="50">
        <f t="shared" si="0"/>
        <v>5</v>
      </c>
      <c r="G10" s="50">
        <f t="shared" si="1"/>
        <v>0.90000000000000036</v>
      </c>
      <c r="H10" s="50">
        <f t="shared" si="2"/>
        <v>3.5</v>
      </c>
    </row>
    <row r="11" spans="1:19" x14ac:dyDescent="0.25">
      <c r="B11" s="50">
        <v>15</v>
      </c>
      <c r="C11" s="50">
        <v>14</v>
      </c>
      <c r="D11" s="152">
        <v>16</v>
      </c>
      <c r="F11" s="50">
        <f t="shared" si="0"/>
        <v>0</v>
      </c>
      <c r="G11" s="50">
        <f t="shared" si="1"/>
        <v>2.9000000000000004</v>
      </c>
      <c r="H11" s="50">
        <f t="shared" si="2"/>
        <v>2.5</v>
      </c>
    </row>
    <row r="12" spans="1:19" ht="15.75" thickBot="1" x14ac:dyDescent="0.3">
      <c r="B12" s="50">
        <v>18</v>
      </c>
      <c r="C12" s="50">
        <v>10</v>
      </c>
      <c r="D12" s="152">
        <v>18</v>
      </c>
      <c r="F12" s="50">
        <f t="shared" si="0"/>
        <v>3</v>
      </c>
      <c r="G12" s="50">
        <f t="shared" si="1"/>
        <v>1.0999999999999996</v>
      </c>
      <c r="H12" s="50">
        <f t="shared" si="2"/>
        <v>4.5</v>
      </c>
      <c r="J12" t="s">
        <v>294</v>
      </c>
    </row>
    <row r="13" spans="1:19" x14ac:dyDescent="0.25">
      <c r="B13" s="50">
        <v>9</v>
      </c>
      <c r="C13" s="50">
        <v>18</v>
      </c>
      <c r="D13" s="152">
        <v>11</v>
      </c>
      <c r="F13" s="50">
        <f t="shared" si="0"/>
        <v>6</v>
      </c>
      <c r="G13" s="50">
        <f t="shared" si="1"/>
        <v>6.9</v>
      </c>
      <c r="H13" s="50">
        <f t="shared" si="2"/>
        <v>2.5</v>
      </c>
      <c r="J13" s="161" t="s">
        <v>466</v>
      </c>
      <c r="K13" s="161" t="s">
        <v>219</v>
      </c>
      <c r="L13" s="161" t="s">
        <v>60</v>
      </c>
      <c r="M13" s="161" t="s">
        <v>240</v>
      </c>
      <c r="N13" s="161" t="s">
        <v>135</v>
      </c>
      <c r="O13" s="161" t="s">
        <v>119</v>
      </c>
      <c r="P13" s="161" t="s">
        <v>467</v>
      </c>
    </row>
    <row r="14" spans="1:19" x14ac:dyDescent="0.25">
      <c r="B14" s="50">
        <v>12</v>
      </c>
      <c r="C14" s="50">
        <v>4</v>
      </c>
      <c r="D14" s="152">
        <v>14</v>
      </c>
      <c r="F14" s="50">
        <f t="shared" si="0"/>
        <v>3</v>
      </c>
      <c r="G14" s="50">
        <f t="shared" si="1"/>
        <v>7.1</v>
      </c>
      <c r="H14" s="50">
        <f t="shared" si="2"/>
        <v>0.5</v>
      </c>
      <c r="J14" s="19" t="s">
        <v>462</v>
      </c>
      <c r="K14" s="19">
        <v>0.5999999999999801</v>
      </c>
      <c r="L14" s="19">
        <v>2</v>
      </c>
      <c r="M14" s="19">
        <v>0.29999999999999005</v>
      </c>
      <c r="N14" s="19">
        <v>6.4031620553357566E-2</v>
      </c>
      <c r="O14" s="19">
        <v>0.93811733669330666</v>
      </c>
      <c r="P14" s="19">
        <v>3.3541308285291991</v>
      </c>
    </row>
    <row r="15" spans="1:19" x14ac:dyDescent="0.25">
      <c r="B15" s="153">
        <v>16</v>
      </c>
      <c r="C15" s="153">
        <v>11</v>
      </c>
      <c r="D15" s="153">
        <v>11</v>
      </c>
      <c r="F15" s="188">
        <f t="shared" si="0"/>
        <v>1</v>
      </c>
      <c r="G15" s="188">
        <f t="shared" si="1"/>
        <v>9.9999999999999645E-2</v>
      </c>
      <c r="H15" s="188">
        <f t="shared" si="2"/>
        <v>2.5</v>
      </c>
      <c r="J15" s="19" t="s">
        <v>463</v>
      </c>
      <c r="K15" s="19">
        <v>126.5</v>
      </c>
      <c r="L15" s="19">
        <v>27</v>
      </c>
      <c r="M15" s="19">
        <v>4.6851851851851851</v>
      </c>
      <c r="N15" s="19"/>
      <c r="O15" s="19"/>
      <c r="P15" s="19"/>
    </row>
    <row r="16" spans="1:19" ht="18" x14ac:dyDescent="0.35">
      <c r="A16" s="207" t="s">
        <v>470</v>
      </c>
      <c r="B16" s="152">
        <f>AVERAGE(B6:B15)</f>
        <v>15</v>
      </c>
      <c r="C16" s="152">
        <f>AVERAGE(C6:C15)</f>
        <v>11.1</v>
      </c>
      <c r="D16" s="152">
        <f>AVERAGE(D6:D15)</f>
        <v>13.5</v>
      </c>
      <c r="J16" s="19"/>
      <c r="K16" s="19"/>
      <c r="L16" s="19"/>
      <c r="M16" s="19"/>
      <c r="N16" s="19"/>
      <c r="O16" s="19"/>
      <c r="P16" s="19"/>
    </row>
    <row r="17" spans="1:16" ht="19.5" thickBot="1" x14ac:dyDescent="0.4">
      <c r="A17" s="207" t="s">
        <v>491</v>
      </c>
      <c r="B17" s="188">
        <f>VAR(B6:B15)</f>
        <v>13.333333333333334</v>
      </c>
      <c r="C17" s="188">
        <f>VAR(C6:C15)</f>
        <v>18.766666666666676</v>
      </c>
      <c r="D17" s="188">
        <f>VAR(D6:D15)</f>
        <v>14.055555555555555</v>
      </c>
      <c r="J17" s="20" t="s">
        <v>1</v>
      </c>
      <c r="K17" s="20">
        <v>127.09999999999998</v>
      </c>
      <c r="L17" s="20">
        <v>29</v>
      </c>
      <c r="M17" s="20"/>
      <c r="N17" s="20"/>
      <c r="O17" s="20"/>
      <c r="P17" s="20"/>
    </row>
    <row r="23" spans="1:16" x14ac:dyDescent="0.25">
      <c r="E23" s="50"/>
      <c r="F23" s="50"/>
      <c r="G23" s="50"/>
      <c r="H23" s="50"/>
      <c r="I23" s="50"/>
      <c r="J23" s="50"/>
      <c r="K23" s="50"/>
      <c r="L23" s="50"/>
    </row>
    <row r="28" spans="1:16" x14ac:dyDescent="0.25">
      <c r="E28" s="50"/>
      <c r="F28" s="50"/>
      <c r="G28" s="50"/>
      <c r="H28" s="50"/>
      <c r="I28" s="50"/>
      <c r="J28" s="50"/>
      <c r="K28" s="50"/>
      <c r="L28" s="5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I33"/>
  <sheetViews>
    <sheetView workbookViewId="0"/>
  </sheetViews>
  <sheetFormatPr defaultRowHeight="15" x14ac:dyDescent="0.25"/>
  <sheetData>
    <row r="1" spans="1:9" x14ac:dyDescent="0.25">
      <c r="A1" s="1" t="s">
        <v>494</v>
      </c>
    </row>
    <row r="3" spans="1:9" x14ac:dyDescent="0.25">
      <c r="B3" s="179" t="s">
        <v>39</v>
      </c>
      <c r="C3" s="179" t="s">
        <v>40</v>
      </c>
      <c r="D3" s="179" t="s">
        <v>46</v>
      </c>
      <c r="E3" s="179" t="s">
        <v>47</v>
      </c>
      <c r="H3" s="132" t="s">
        <v>60</v>
      </c>
      <c r="I3" s="214">
        <f>COUNT(B4:E4)-1</f>
        <v>3</v>
      </c>
    </row>
    <row r="4" spans="1:9" x14ac:dyDescent="0.25">
      <c r="B4" s="179">
        <v>51</v>
      </c>
      <c r="C4" s="179">
        <v>82</v>
      </c>
      <c r="D4" s="179">
        <v>79</v>
      </c>
      <c r="E4" s="179">
        <v>85</v>
      </c>
      <c r="H4" t="s">
        <v>498</v>
      </c>
      <c r="I4" s="23">
        <f>F13*F16-SUMPRODUCT(B13:E13,B16:E16)</f>
        <v>0.19960131136477344</v>
      </c>
    </row>
    <row r="5" spans="1:9" x14ac:dyDescent="0.25">
      <c r="B5" s="50">
        <v>87</v>
      </c>
      <c r="C5" s="50">
        <v>91</v>
      </c>
      <c r="D5" s="50">
        <v>84</v>
      </c>
      <c r="E5" s="50">
        <v>80</v>
      </c>
      <c r="H5" t="s">
        <v>499</v>
      </c>
      <c r="I5" s="23">
        <f>1+1/(3*I3)*(SUM(B14:E14)-F14)</f>
        <v>1.0595238095238095</v>
      </c>
    </row>
    <row r="6" spans="1:9" x14ac:dyDescent="0.25">
      <c r="B6" s="50">
        <v>50</v>
      </c>
      <c r="C6" s="50">
        <v>92</v>
      </c>
      <c r="D6" s="50">
        <v>74</v>
      </c>
      <c r="E6" s="50">
        <v>65</v>
      </c>
      <c r="H6" t="s">
        <v>131</v>
      </c>
      <c r="I6" s="168">
        <f>I4/I5</f>
        <v>0.18838775454652773</v>
      </c>
    </row>
    <row r="7" spans="1:9" x14ac:dyDescent="0.25">
      <c r="B7" s="50">
        <v>48</v>
      </c>
      <c r="C7" s="50">
        <v>80</v>
      </c>
      <c r="D7" s="50">
        <v>98</v>
      </c>
      <c r="E7" s="50">
        <v>71</v>
      </c>
    </row>
    <row r="8" spans="1:9" x14ac:dyDescent="0.25">
      <c r="B8" s="50">
        <v>79</v>
      </c>
      <c r="C8" s="50">
        <v>52</v>
      </c>
      <c r="D8" s="50">
        <v>63</v>
      </c>
      <c r="E8" s="50">
        <v>67</v>
      </c>
      <c r="H8" s="30" t="s">
        <v>48</v>
      </c>
      <c r="I8" s="214">
        <v>0.05</v>
      </c>
    </row>
    <row r="9" spans="1:9" x14ac:dyDescent="0.25">
      <c r="B9" s="50">
        <v>61</v>
      </c>
      <c r="C9" s="50">
        <v>79</v>
      </c>
      <c r="D9" s="50">
        <v>83</v>
      </c>
      <c r="E9" s="50">
        <v>51</v>
      </c>
      <c r="H9" t="s">
        <v>67</v>
      </c>
      <c r="I9" s="23">
        <f>CHIDIST(I6,I3)</f>
        <v>0.97944177773798269</v>
      </c>
    </row>
    <row r="10" spans="1:9" x14ac:dyDescent="0.25">
      <c r="B10" s="50">
        <v>53</v>
      </c>
      <c r="C10" s="50">
        <v>73</v>
      </c>
      <c r="D10" s="50">
        <v>85</v>
      </c>
      <c r="E10" s="50">
        <v>63</v>
      </c>
      <c r="H10" t="s">
        <v>500</v>
      </c>
      <c r="I10" s="23">
        <f>CHIINV(I8,I3)</f>
        <v>7.8147279032511792</v>
      </c>
    </row>
    <row r="11" spans="1:9" x14ac:dyDescent="0.25">
      <c r="B11" s="188">
        <v>54</v>
      </c>
      <c r="C11" s="188">
        <v>74</v>
      </c>
      <c r="D11" s="188">
        <v>58</v>
      </c>
      <c r="E11" s="188">
        <v>93</v>
      </c>
      <c r="F11" s="188" t="s">
        <v>497</v>
      </c>
      <c r="G11" s="50"/>
      <c r="H11" t="s">
        <v>527</v>
      </c>
      <c r="I11" s="166" t="str">
        <f>IF(I9&lt;I8,"yes","no")</f>
        <v>no</v>
      </c>
    </row>
    <row r="12" spans="1:9" x14ac:dyDescent="0.25">
      <c r="A12" t="s">
        <v>7</v>
      </c>
      <c r="B12" s="50">
        <f>AVERAGE(B4:B11)</f>
        <v>60.375</v>
      </c>
      <c r="C12" s="50">
        <f>AVERAGE(C4:C11)</f>
        <v>77.875</v>
      </c>
      <c r="D12" s="50">
        <f>AVERAGE(D4:D11)</f>
        <v>78</v>
      </c>
      <c r="E12" s="50">
        <f>AVERAGE(E4:E11)</f>
        <v>71.875</v>
      </c>
      <c r="F12" s="50"/>
      <c r="G12" s="50"/>
    </row>
    <row r="13" spans="1:9" x14ac:dyDescent="0.25">
      <c r="A13" t="s">
        <v>60</v>
      </c>
      <c r="B13" s="50">
        <f>COUNT(B4:B11)-1</f>
        <v>7</v>
      </c>
      <c r="C13" s="50">
        <f>COUNT(C4:C11)-1</f>
        <v>7</v>
      </c>
      <c r="D13" s="50">
        <f>COUNT(D4:D11)-1</f>
        <v>7</v>
      </c>
      <c r="E13" s="50">
        <f>COUNT(E4:E11)-1</f>
        <v>7</v>
      </c>
      <c r="F13" s="101">
        <f>SUM(B13:E13)</f>
        <v>28</v>
      </c>
      <c r="G13" s="101"/>
    </row>
    <row r="14" spans="1:9" x14ac:dyDescent="0.25">
      <c r="A14" t="s">
        <v>495</v>
      </c>
      <c r="B14" s="50">
        <f>1/B13</f>
        <v>0.14285714285714285</v>
      </c>
      <c r="C14" s="50">
        <f>1/C13</f>
        <v>0.14285714285714285</v>
      </c>
      <c r="D14" s="50">
        <f>1/D13</f>
        <v>0.14285714285714285</v>
      </c>
      <c r="E14" s="50">
        <f>1/E13</f>
        <v>0.14285714285714285</v>
      </c>
      <c r="F14" s="50">
        <f>1/F13</f>
        <v>3.5714285714285712E-2</v>
      </c>
      <c r="G14" s="50"/>
    </row>
    <row r="15" spans="1:9" x14ac:dyDescent="0.25">
      <c r="A15" t="s">
        <v>8</v>
      </c>
      <c r="B15" s="50">
        <f>VAR(B4:B11)</f>
        <v>214.26785714285714</v>
      </c>
      <c r="C15" s="50">
        <f>VAR(C4:C11)</f>
        <v>157.55357142857142</v>
      </c>
      <c r="D15" s="50">
        <f>VAR(D4:D11)</f>
        <v>164.57142857142858</v>
      </c>
      <c r="E15" s="50">
        <f>VAR(E4:E11)</f>
        <v>181.55357142857142</v>
      </c>
      <c r="F15" s="101">
        <f>SUMPRODUCT(B13:E13,B15:E15)/F13</f>
        <v>179.48660714285714</v>
      </c>
      <c r="G15" s="101"/>
    </row>
    <row r="16" spans="1:9" x14ac:dyDescent="0.25">
      <c r="A16" t="s">
        <v>496</v>
      </c>
      <c r="B16" s="188">
        <f>LN(B15)</f>
        <v>5.3672269012292393</v>
      </c>
      <c r="C16" s="188">
        <f>LN(C15)</f>
        <v>5.0597655364869558</v>
      </c>
      <c r="D16" s="188">
        <f>LN(D15)</f>
        <v>5.1033446922005234</v>
      </c>
      <c r="E16" s="188">
        <f>LN(E15)</f>
        <v>5.2015507695400114</v>
      </c>
      <c r="F16" s="188">
        <f>LN(F15)</f>
        <v>5.1901005931272097</v>
      </c>
      <c r="G16" s="50"/>
    </row>
    <row r="18" spans="1:9" x14ac:dyDescent="0.25">
      <c r="A18" t="s">
        <v>501</v>
      </c>
    </row>
    <row r="20" spans="1:9" x14ac:dyDescent="0.25">
      <c r="B20" s="179" t="s">
        <v>39</v>
      </c>
      <c r="C20" s="179" t="s">
        <v>40</v>
      </c>
      <c r="D20" s="179" t="s">
        <v>46</v>
      </c>
      <c r="E20" s="179" t="s">
        <v>47</v>
      </c>
      <c r="H20" s="132" t="s">
        <v>60</v>
      </c>
      <c r="I20" s="214">
        <f>COUNT(B21:E21)-1</f>
        <v>3</v>
      </c>
    </row>
    <row r="21" spans="1:9" x14ac:dyDescent="0.25">
      <c r="B21" s="179">
        <v>51</v>
      </c>
      <c r="C21" s="179">
        <v>82</v>
      </c>
      <c r="D21" s="179">
        <v>79</v>
      </c>
      <c r="E21" s="179">
        <v>185</v>
      </c>
      <c r="H21" t="s">
        <v>498</v>
      </c>
      <c r="I21" s="23">
        <f>F30*F33-SUMPRODUCT(B30:E30,B33:E33)</f>
        <v>17.233772610498249</v>
      </c>
    </row>
    <row r="22" spans="1:9" x14ac:dyDescent="0.25">
      <c r="B22" s="50">
        <v>87</v>
      </c>
      <c r="C22" s="50">
        <v>91</v>
      </c>
      <c r="D22" s="50">
        <v>84</v>
      </c>
      <c r="E22" s="50">
        <v>80</v>
      </c>
      <c r="H22" t="s">
        <v>499</v>
      </c>
      <c r="I22" s="23">
        <f>1+1/(3*I20)*(SUM(B31:E31)-F31)</f>
        <v>1.0595238095238095</v>
      </c>
    </row>
    <row r="23" spans="1:9" x14ac:dyDescent="0.25">
      <c r="B23" s="50">
        <v>50</v>
      </c>
      <c r="C23" s="50">
        <v>92</v>
      </c>
      <c r="D23" s="50">
        <v>74</v>
      </c>
      <c r="E23" s="50">
        <v>65</v>
      </c>
      <c r="H23" t="s">
        <v>131</v>
      </c>
      <c r="I23" s="168">
        <f>I21/I22</f>
        <v>16.265583137998348</v>
      </c>
    </row>
    <row r="24" spans="1:9" x14ac:dyDescent="0.25">
      <c r="B24" s="50">
        <v>48</v>
      </c>
      <c r="C24" s="50">
        <v>80</v>
      </c>
      <c r="D24" s="50">
        <v>98</v>
      </c>
      <c r="E24" s="50">
        <v>71</v>
      </c>
    </row>
    <row r="25" spans="1:9" x14ac:dyDescent="0.25">
      <c r="B25" s="50">
        <v>79</v>
      </c>
      <c r="C25" s="50">
        <v>52</v>
      </c>
      <c r="D25" s="50">
        <v>63</v>
      </c>
      <c r="E25" s="50">
        <v>67</v>
      </c>
      <c r="H25" s="30" t="s">
        <v>48</v>
      </c>
      <c r="I25" s="214">
        <v>0.05</v>
      </c>
    </row>
    <row r="26" spans="1:9" x14ac:dyDescent="0.25">
      <c r="B26" s="50">
        <v>61</v>
      </c>
      <c r="C26" s="50">
        <v>79</v>
      </c>
      <c r="D26" s="50">
        <v>83</v>
      </c>
      <c r="E26" s="50">
        <v>51</v>
      </c>
      <c r="H26" t="s">
        <v>67</v>
      </c>
      <c r="I26" s="23">
        <f>CHIDIST(I23,I20)</f>
        <v>1.0003086055649175E-3</v>
      </c>
    </row>
    <row r="27" spans="1:9" x14ac:dyDescent="0.25">
      <c r="B27" s="50">
        <v>53</v>
      </c>
      <c r="C27" s="50">
        <v>73</v>
      </c>
      <c r="D27" s="50">
        <v>85</v>
      </c>
      <c r="E27" s="50">
        <v>63</v>
      </c>
      <c r="H27" t="s">
        <v>500</v>
      </c>
      <c r="I27" s="23">
        <f>CHIINV(I25,I20)</f>
        <v>7.8147279032511792</v>
      </c>
    </row>
    <row r="28" spans="1:9" x14ac:dyDescent="0.25">
      <c r="B28" s="188">
        <v>54</v>
      </c>
      <c r="C28" s="188">
        <v>74</v>
      </c>
      <c r="D28" s="188">
        <v>58</v>
      </c>
      <c r="E28" s="188">
        <v>93</v>
      </c>
      <c r="F28" s="188" t="s">
        <v>497</v>
      </c>
      <c r="G28" s="50"/>
      <c r="H28" t="s">
        <v>527</v>
      </c>
      <c r="I28" s="166" t="str">
        <f>IF(I26&lt;I25,"yes","no")</f>
        <v>yes</v>
      </c>
    </row>
    <row r="29" spans="1:9" x14ac:dyDescent="0.25">
      <c r="A29" t="s">
        <v>7</v>
      </c>
      <c r="B29" s="50">
        <f>AVERAGE(B21:B28)</f>
        <v>60.375</v>
      </c>
      <c r="C29" s="50">
        <f>AVERAGE(C21:C28)</f>
        <v>77.875</v>
      </c>
      <c r="D29" s="50">
        <f>AVERAGE(D21:D28)</f>
        <v>78</v>
      </c>
      <c r="E29" s="50">
        <f>AVERAGE(E21:E28)</f>
        <v>84.375</v>
      </c>
      <c r="F29" s="50"/>
      <c r="G29" s="50"/>
    </row>
    <row r="30" spans="1:9" x14ac:dyDescent="0.25">
      <c r="A30" t="s">
        <v>60</v>
      </c>
      <c r="B30" s="50">
        <f>COUNT(B21:B28)-1</f>
        <v>7</v>
      </c>
      <c r="C30" s="50">
        <f>COUNT(C21:C28)-1</f>
        <v>7</v>
      </c>
      <c r="D30" s="50">
        <f>COUNT(D21:D28)-1</f>
        <v>7</v>
      </c>
      <c r="E30" s="50">
        <f>COUNT(E21:E28)-1</f>
        <v>7</v>
      </c>
      <c r="F30" s="101">
        <f>SUM(B30:E30)</f>
        <v>28</v>
      </c>
      <c r="G30" s="101"/>
    </row>
    <row r="31" spans="1:9" x14ac:dyDescent="0.25">
      <c r="A31" t="s">
        <v>495</v>
      </c>
      <c r="B31" s="50">
        <f>1/B30</f>
        <v>0.14285714285714285</v>
      </c>
      <c r="C31" s="50">
        <f>1/C30</f>
        <v>0.14285714285714285</v>
      </c>
      <c r="D31" s="50">
        <f>1/D30</f>
        <v>0.14285714285714285</v>
      </c>
      <c r="E31" s="50">
        <f>1/E30</f>
        <v>0.14285714285714285</v>
      </c>
      <c r="F31" s="50">
        <f>1/F30</f>
        <v>3.5714285714285712E-2</v>
      </c>
      <c r="G31" s="50"/>
    </row>
    <row r="32" spans="1:9" x14ac:dyDescent="0.25">
      <c r="A32" t="s">
        <v>8</v>
      </c>
      <c r="B32" s="50">
        <f>VAR(B21:B28)</f>
        <v>214.26785714285714</v>
      </c>
      <c r="C32" s="50">
        <f>VAR(C21:C28)</f>
        <v>157.55357142857142</v>
      </c>
      <c r="D32" s="50">
        <f>VAR(D21:D28)</f>
        <v>164.57142857142858</v>
      </c>
      <c r="E32" s="50">
        <f>VAR(E21:E28)</f>
        <v>1806.5535714285713</v>
      </c>
      <c r="F32" s="101">
        <f>SUMPRODUCT(B30:E30,B32:E32)/F30</f>
        <v>585.73660714285711</v>
      </c>
      <c r="G32" s="101"/>
    </row>
    <row r="33" spans="1:7" x14ac:dyDescent="0.25">
      <c r="A33" t="s">
        <v>496</v>
      </c>
      <c r="B33" s="188">
        <f>LN(B32)</f>
        <v>5.3672269012292393</v>
      </c>
      <c r="C33" s="188">
        <f>LN(C32)</f>
        <v>5.0597655364869558</v>
      </c>
      <c r="D33" s="188">
        <f>LN(D32)</f>
        <v>5.1033446922005234</v>
      </c>
      <c r="E33" s="188">
        <f>LN(E32)</f>
        <v>7.4991762049659192</v>
      </c>
      <c r="F33" s="188">
        <f>LN(F32)</f>
        <v>6.3728702126670251</v>
      </c>
      <c r="G33" s="5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2"/>
  <dimension ref="A1:U19"/>
  <sheetViews>
    <sheetView workbookViewId="0"/>
  </sheetViews>
  <sheetFormatPr defaultRowHeight="15" x14ac:dyDescent="0.25"/>
  <cols>
    <col min="1" max="1" width="5.42578125" customWidth="1"/>
    <col min="6" max="6" width="3.7109375" customWidth="1"/>
    <col min="11" max="11" width="3.7109375" customWidth="1"/>
  </cols>
  <sheetData>
    <row r="1" spans="1:21" x14ac:dyDescent="0.25">
      <c r="A1" s="1" t="s">
        <v>2426</v>
      </c>
      <c r="G1" t="s">
        <v>581</v>
      </c>
      <c r="L1" t="s">
        <v>1274</v>
      </c>
      <c r="Q1" t="s">
        <v>2427</v>
      </c>
    </row>
    <row r="3" spans="1:21" x14ac:dyDescent="0.25">
      <c r="B3" s="864" t="s">
        <v>39</v>
      </c>
      <c r="C3" s="864" t="s">
        <v>40</v>
      </c>
      <c r="D3" s="864" t="s">
        <v>46</v>
      </c>
      <c r="E3" s="864" t="s">
        <v>47</v>
      </c>
      <c r="G3" s="1089" t="s">
        <v>39</v>
      </c>
      <c r="H3" s="1089" t="s">
        <v>40</v>
      </c>
      <c r="I3" s="1089" t="s">
        <v>46</v>
      </c>
      <c r="J3" s="1089" t="s">
        <v>47</v>
      </c>
      <c r="L3" s="1089" t="s">
        <v>39</v>
      </c>
      <c r="M3" s="1089" t="s">
        <v>40</v>
      </c>
      <c r="N3" s="1089" t="s">
        <v>46</v>
      </c>
      <c r="O3" s="1089" t="s">
        <v>47</v>
      </c>
      <c r="Q3" s="1089" t="s">
        <v>39</v>
      </c>
      <c r="R3" s="1089" t="s">
        <v>40</v>
      </c>
      <c r="S3" s="1089" t="s">
        <v>46</v>
      </c>
      <c r="T3" s="1089" t="s">
        <v>47</v>
      </c>
      <c r="U3" s="1089" t="s">
        <v>1</v>
      </c>
    </row>
    <row r="4" spans="1:21" x14ac:dyDescent="0.25">
      <c r="B4" s="864">
        <v>51</v>
      </c>
      <c r="C4" s="864">
        <v>82</v>
      </c>
      <c r="D4" s="864">
        <v>79</v>
      </c>
      <c r="E4" s="864">
        <v>85</v>
      </c>
      <c r="G4" s="1087">
        <f>ABS(B4-B$12)</f>
        <v>2.5</v>
      </c>
      <c r="H4" s="1087">
        <f t="shared" ref="H4:J11" si="0">ABS(C4-C$12)</f>
        <v>2.5</v>
      </c>
      <c r="I4" s="1087">
        <f t="shared" si="0"/>
        <v>2</v>
      </c>
      <c r="J4" s="1087">
        <f t="shared" si="0"/>
        <v>16</v>
      </c>
      <c r="L4" s="1087">
        <f>[1]!RANK_AVG(G4,$G$4:$J$11,1)</f>
        <v>9.5</v>
      </c>
      <c r="M4" s="1087">
        <f>[1]!RANK_AVG(H4,$G$4:$J$11,1)</f>
        <v>9.5</v>
      </c>
      <c r="N4" s="1087">
        <f>[1]!RANK_AVG(I4,$G$4:$J$11,1)</f>
        <v>6.5</v>
      </c>
      <c r="O4" s="1087">
        <f>[1]!RANK_AVG(J4,$G$4:$J$11,1)</f>
        <v>24</v>
      </c>
      <c r="Q4" s="1087">
        <f>NORMSINV((L4/$H$13+1)/2)</f>
        <v>0.36900873746602775</v>
      </c>
      <c r="R4" s="1087">
        <f t="shared" ref="R4:T11" si="1">NORMSINV((M4/$H$13+1)/2)</f>
        <v>0.36900873746602775</v>
      </c>
      <c r="S4" s="1087">
        <f t="shared" si="1"/>
        <v>0.24942725726597012</v>
      </c>
      <c r="T4" s="1087">
        <f t="shared" si="1"/>
        <v>1.096803562093513</v>
      </c>
    </row>
    <row r="5" spans="1:21" x14ac:dyDescent="0.25">
      <c r="B5" s="1087">
        <v>87</v>
      </c>
      <c r="C5" s="1087">
        <v>91</v>
      </c>
      <c r="D5" s="1087">
        <v>84</v>
      </c>
      <c r="E5" s="1087">
        <v>80</v>
      </c>
      <c r="G5" s="1087">
        <f t="shared" ref="G5:G11" si="2">ABS(B5-B$12)</f>
        <v>33.5</v>
      </c>
      <c r="H5" s="1087">
        <f t="shared" si="0"/>
        <v>11.5</v>
      </c>
      <c r="I5" s="1087">
        <f t="shared" si="0"/>
        <v>3</v>
      </c>
      <c r="J5" s="1087">
        <f t="shared" si="0"/>
        <v>11</v>
      </c>
      <c r="L5" s="1087">
        <f>[1]!RANK_AVG(G5,$G$4:$J$11,1)</f>
        <v>32</v>
      </c>
      <c r="M5" s="1087">
        <f>[1]!RANK_AVG(H5,$G$4:$J$11,1)</f>
        <v>22</v>
      </c>
      <c r="N5" s="1087">
        <f>[1]!RANK_AVG(I5,$G$4:$J$11,1)</f>
        <v>11</v>
      </c>
      <c r="O5" s="1087">
        <f>[1]!RANK_AVG(J5,$G$4:$J$11,1)</f>
        <v>21</v>
      </c>
      <c r="Q5" s="1087">
        <f t="shared" ref="Q5:Q11" si="3">NORMSINV((L5/$H$13+1)/2)</f>
        <v>2.166106752892329</v>
      </c>
      <c r="R5" s="1087">
        <f t="shared" si="1"/>
        <v>0.96742156610170049</v>
      </c>
      <c r="S5" s="1087">
        <f t="shared" si="1"/>
        <v>0.4307272992954575</v>
      </c>
      <c r="T5" s="1087">
        <f t="shared" si="1"/>
        <v>0.90845786853738575</v>
      </c>
    </row>
    <row r="6" spans="1:21" x14ac:dyDescent="0.25">
      <c r="B6" s="1087">
        <v>50</v>
      </c>
      <c r="C6" s="1087">
        <v>92</v>
      </c>
      <c r="D6" s="1087">
        <v>74</v>
      </c>
      <c r="E6" s="1087">
        <v>65</v>
      </c>
      <c r="G6" s="1087">
        <f t="shared" si="2"/>
        <v>3.5</v>
      </c>
      <c r="H6" s="1087">
        <f t="shared" si="0"/>
        <v>12.5</v>
      </c>
      <c r="I6" s="1087">
        <f t="shared" si="0"/>
        <v>7</v>
      </c>
      <c r="J6" s="1087">
        <f t="shared" si="0"/>
        <v>4</v>
      </c>
      <c r="L6" s="1087">
        <f>[1]!RANK_AVG(G6,$G$4:$J$11,1)</f>
        <v>12</v>
      </c>
      <c r="M6" s="1087">
        <f>[1]!RANK_AVG(H6,$G$4:$J$11,1)</f>
        <v>23</v>
      </c>
      <c r="N6" s="1087">
        <f>[1]!RANK_AVG(I6,$G$4:$J$11,1)</f>
        <v>19</v>
      </c>
      <c r="O6" s="1087">
        <f>[1]!RANK_AVG(J6,$G$4:$J$11,1)</f>
        <v>13.5</v>
      </c>
      <c r="Q6" s="1087">
        <f t="shared" si="3"/>
        <v>0.4727891209922675</v>
      </c>
      <c r="R6" s="1087">
        <f t="shared" si="1"/>
        <v>1.0299567622253687</v>
      </c>
      <c r="S6" s="1087">
        <f t="shared" si="1"/>
        <v>0.79908276213517815</v>
      </c>
      <c r="T6" s="1087">
        <f t="shared" si="1"/>
        <v>0.53751910620277321</v>
      </c>
    </row>
    <row r="7" spans="1:21" x14ac:dyDescent="0.25">
      <c r="B7" s="1087">
        <v>48</v>
      </c>
      <c r="C7" s="1087">
        <v>80</v>
      </c>
      <c r="D7" s="1087">
        <v>98</v>
      </c>
      <c r="E7" s="1087">
        <v>71</v>
      </c>
      <c r="G7" s="1087">
        <f t="shared" si="2"/>
        <v>5.5</v>
      </c>
      <c r="H7" s="1087">
        <f t="shared" si="0"/>
        <v>0.5</v>
      </c>
      <c r="I7" s="1087">
        <f t="shared" si="0"/>
        <v>17</v>
      </c>
      <c r="J7" s="1087">
        <f t="shared" si="0"/>
        <v>2</v>
      </c>
      <c r="L7" s="1087">
        <f>[1]!RANK_AVG(G7,$G$4:$J$11,1)</f>
        <v>15.5</v>
      </c>
      <c r="M7" s="1087">
        <f>[1]!RANK_AVG(H7,$G$4:$J$11,1)</f>
        <v>2.5</v>
      </c>
      <c r="N7" s="1087">
        <f>[1]!RANK_AVG(I7,$G$4:$J$11,1)</f>
        <v>25</v>
      </c>
      <c r="O7" s="1087">
        <f>[1]!RANK_AVG(J7,$G$4:$J$11,1)</f>
        <v>6.5</v>
      </c>
      <c r="Q7" s="1087">
        <f t="shared" si="3"/>
        <v>0.62754350140184989</v>
      </c>
      <c r="R7" s="1087">
        <f t="shared" si="1"/>
        <v>9.5091154100707259E-2</v>
      </c>
      <c r="S7" s="1087">
        <f t="shared" si="1"/>
        <v>1.168948844531482</v>
      </c>
      <c r="T7" s="1087">
        <f t="shared" si="1"/>
        <v>0.24942725726597012</v>
      </c>
    </row>
    <row r="8" spans="1:21" x14ac:dyDescent="0.25">
      <c r="B8" s="1087">
        <v>79</v>
      </c>
      <c r="C8" s="1087">
        <v>52</v>
      </c>
      <c r="D8" s="1087">
        <v>63</v>
      </c>
      <c r="E8" s="1087">
        <v>67</v>
      </c>
      <c r="G8" s="1087">
        <f t="shared" si="2"/>
        <v>25.5</v>
      </c>
      <c r="H8" s="1087">
        <f t="shared" si="0"/>
        <v>27.5</v>
      </c>
      <c r="I8" s="1087">
        <f t="shared" si="0"/>
        <v>18</v>
      </c>
      <c r="J8" s="1087">
        <f t="shared" si="0"/>
        <v>2</v>
      </c>
      <c r="L8" s="1087">
        <f>[1]!RANK_AVG(G8,$G$4:$J$11,1)</f>
        <v>30</v>
      </c>
      <c r="M8" s="1087">
        <f>[1]!RANK_AVG(H8,$G$4:$J$11,1)</f>
        <v>31</v>
      </c>
      <c r="N8" s="1087">
        <f>[1]!RANK_AVG(I8,$G$4:$J$11,1)</f>
        <v>26.5</v>
      </c>
      <c r="O8" s="1087">
        <f>[1]!RANK_AVG(J8,$G$4:$J$11,1)</f>
        <v>6.5</v>
      </c>
      <c r="Q8" s="1087">
        <f t="shared" si="3"/>
        <v>1.6906216295848984</v>
      </c>
      <c r="R8" s="1087">
        <f t="shared" si="1"/>
        <v>1.8763585618945948</v>
      </c>
      <c r="S8" s="1087">
        <f t="shared" si="1"/>
        <v>1.2902332150390003</v>
      </c>
      <c r="T8" s="1087">
        <f t="shared" si="1"/>
        <v>0.24942725726597012</v>
      </c>
    </row>
    <row r="9" spans="1:21" x14ac:dyDescent="0.25">
      <c r="B9" s="1087">
        <v>61</v>
      </c>
      <c r="C9" s="1087">
        <v>79</v>
      </c>
      <c r="D9" s="1087">
        <v>83</v>
      </c>
      <c r="E9" s="1087">
        <v>51</v>
      </c>
      <c r="G9" s="1087">
        <f t="shared" si="2"/>
        <v>7.5</v>
      </c>
      <c r="H9" s="1087">
        <f t="shared" si="0"/>
        <v>0.5</v>
      </c>
      <c r="I9" s="1087">
        <f t="shared" si="0"/>
        <v>2</v>
      </c>
      <c r="J9" s="1087">
        <f t="shared" si="0"/>
        <v>18</v>
      </c>
      <c r="L9" s="1087">
        <f>[1]!RANK_AVG(G9,$G$4:$J$11,1)</f>
        <v>20</v>
      </c>
      <c r="M9" s="1087">
        <f>[1]!RANK_AVG(H9,$G$4:$J$11,1)</f>
        <v>2.5</v>
      </c>
      <c r="N9" s="1087">
        <f>[1]!RANK_AVG(I9,$G$4:$J$11,1)</f>
        <v>6.5</v>
      </c>
      <c r="O9" s="1087">
        <f>[1]!RANK_AVG(J9,$G$4:$J$11,1)</f>
        <v>26.5</v>
      </c>
      <c r="Q9" s="1087">
        <f t="shared" si="3"/>
        <v>0.85249503427469353</v>
      </c>
      <c r="R9" s="1087">
        <f t="shared" si="1"/>
        <v>9.5091154100707259E-2</v>
      </c>
      <c r="S9" s="1087">
        <f t="shared" si="1"/>
        <v>0.24942725726597012</v>
      </c>
      <c r="T9" s="1087">
        <f t="shared" si="1"/>
        <v>1.2902332150390003</v>
      </c>
    </row>
    <row r="10" spans="1:21" x14ac:dyDescent="0.25">
      <c r="B10" s="1087">
        <v>53</v>
      </c>
      <c r="C10" s="1087">
        <v>73</v>
      </c>
      <c r="D10" s="1087">
        <v>85</v>
      </c>
      <c r="E10" s="1087">
        <v>63</v>
      </c>
      <c r="G10" s="1087">
        <f t="shared" si="2"/>
        <v>0.5</v>
      </c>
      <c r="H10" s="1087">
        <f t="shared" si="0"/>
        <v>6.5</v>
      </c>
      <c r="I10" s="1087">
        <f t="shared" si="0"/>
        <v>4</v>
      </c>
      <c r="J10" s="1087">
        <f t="shared" si="0"/>
        <v>6</v>
      </c>
      <c r="L10" s="1087">
        <f>[1]!RANK_AVG(G10,$G$4:$J$11,1)</f>
        <v>2.5</v>
      </c>
      <c r="M10" s="1087">
        <f>[1]!RANK_AVG(H10,$G$4:$J$11,1)</f>
        <v>18</v>
      </c>
      <c r="N10" s="1087">
        <f>[1]!RANK_AVG(I10,$G$4:$J$11,1)</f>
        <v>13.5</v>
      </c>
      <c r="O10" s="1087">
        <f>[1]!RANK_AVG(J10,$G$4:$J$11,1)</f>
        <v>17</v>
      </c>
      <c r="Q10" s="1087">
        <f t="shared" si="3"/>
        <v>9.5091154100707259E-2</v>
      </c>
      <c r="R10" s="1087">
        <f t="shared" si="1"/>
        <v>0.74785859476330196</v>
      </c>
      <c r="S10" s="1087">
        <f t="shared" si="1"/>
        <v>0.53751910620277321</v>
      </c>
      <c r="T10" s="1087">
        <f t="shared" si="1"/>
        <v>0.69852571034506028</v>
      </c>
    </row>
    <row r="11" spans="1:21" x14ac:dyDescent="0.25">
      <c r="B11" s="1088">
        <v>54</v>
      </c>
      <c r="C11" s="1088">
        <v>74</v>
      </c>
      <c r="D11" s="1088">
        <v>58</v>
      </c>
      <c r="E11" s="1088">
        <v>93</v>
      </c>
      <c r="G11" s="1088">
        <f t="shared" si="2"/>
        <v>0.5</v>
      </c>
      <c r="H11" s="1088">
        <f t="shared" si="0"/>
        <v>5.5</v>
      </c>
      <c r="I11" s="1088">
        <f t="shared" si="0"/>
        <v>23</v>
      </c>
      <c r="J11" s="1088">
        <f t="shared" si="0"/>
        <v>24</v>
      </c>
      <c r="L11" s="1088">
        <f>[1]!RANK_AVG(G11,$G$4:$J$11,1)</f>
        <v>2.5</v>
      </c>
      <c r="M11" s="1088">
        <f>[1]!RANK_AVG(H11,$G$4:$J$11,1)</f>
        <v>15.5</v>
      </c>
      <c r="N11" s="1088">
        <f>[1]!RANK_AVG(I11,$G$4:$J$11,1)</f>
        <v>28</v>
      </c>
      <c r="O11" s="1088">
        <f>[1]!RANK_AVG(J11,$G$4:$J$11,1)</f>
        <v>29</v>
      </c>
      <c r="Q11" s="1088">
        <f t="shared" si="3"/>
        <v>9.5091154100707259E-2</v>
      </c>
      <c r="R11" s="1088">
        <f t="shared" si="1"/>
        <v>0.62754350140184989</v>
      </c>
      <c r="S11" s="1088">
        <f t="shared" si="1"/>
        <v>1.4342001596863811</v>
      </c>
      <c r="T11" s="1088">
        <f t="shared" si="1"/>
        <v>1.5497059007365894</v>
      </c>
      <c r="U11" s="762"/>
    </row>
    <row r="12" spans="1:21" x14ac:dyDescent="0.25">
      <c r="A12" s="215" t="s">
        <v>502</v>
      </c>
      <c r="B12" s="1086">
        <f>MEDIAN(B4:B11)</f>
        <v>53.5</v>
      </c>
      <c r="C12" s="1086">
        <f>MEDIAN(C4:C11)</f>
        <v>79.5</v>
      </c>
      <c r="D12" s="1086">
        <f>MEDIAN(D4:D11)</f>
        <v>81</v>
      </c>
      <c r="E12" s="1086">
        <f>MEDIAN(E4:E11)</f>
        <v>69</v>
      </c>
      <c r="P12" s="1086" t="s">
        <v>216</v>
      </c>
      <c r="Q12" s="101">
        <f>COUNT(Q4:Q11)</f>
        <v>8</v>
      </c>
      <c r="R12" s="101">
        <f>COUNT(R4:R11)</f>
        <v>8</v>
      </c>
      <c r="S12" s="101">
        <f>COUNT(S4:S11)</f>
        <v>8</v>
      </c>
      <c r="T12" s="101">
        <f>COUNT(T4:T11)</f>
        <v>8</v>
      </c>
      <c r="U12" s="101">
        <f>SUM(Q12:T12)</f>
        <v>32</v>
      </c>
    </row>
    <row r="13" spans="1:21" ht="18.75" x14ac:dyDescent="0.35">
      <c r="A13" s="207" t="s">
        <v>491</v>
      </c>
      <c r="B13" s="1088">
        <f>VAR(B4:B11)</f>
        <v>214.26785714285714</v>
      </c>
      <c r="C13" s="1088">
        <f>VAR(C4:C11)</f>
        <v>157.55357142857142</v>
      </c>
      <c r="D13" s="1088">
        <f>VAR(D4:D11)</f>
        <v>164.57142857142858</v>
      </c>
      <c r="E13" s="1088">
        <f>VAR(E4:E11)</f>
        <v>181.55357142857142</v>
      </c>
      <c r="G13" s="1090" t="s">
        <v>2428</v>
      </c>
      <c r="H13" s="1091">
        <f>COUNT(B4:E11)+1</f>
        <v>33</v>
      </c>
      <c r="L13" t="s">
        <v>2435</v>
      </c>
      <c r="M13" s="28">
        <f>U15/U14</f>
        <v>0.13110844265568344</v>
      </c>
      <c r="P13" s="1086" t="s">
        <v>7</v>
      </c>
      <c r="Q13" s="101">
        <f>AVERAGE(Q4:Q11)</f>
        <v>0.79609338560168508</v>
      </c>
      <c r="R13" s="101">
        <f>AVERAGE(R4:R11)</f>
        <v>0.72604125400678221</v>
      </c>
      <c r="S13" s="101">
        <f>AVERAGE(S4:S11)</f>
        <v>0.76994573767777663</v>
      </c>
      <c r="T13" s="101">
        <f>AVERAGE(T4:T11)</f>
        <v>0.82251248468578286</v>
      </c>
      <c r="U13" s="101">
        <f>AVERAGE(Q4:T11)</f>
        <v>0.77864821549300645</v>
      </c>
    </row>
    <row r="14" spans="1:21" x14ac:dyDescent="0.25">
      <c r="L14" t="s">
        <v>60</v>
      </c>
      <c r="M14" s="503">
        <f>COUNTA(L3:O3)-1</f>
        <v>3</v>
      </c>
      <c r="P14" s="1086" t="s">
        <v>8</v>
      </c>
      <c r="Q14" s="7"/>
      <c r="R14" s="7"/>
      <c r="S14" s="7"/>
      <c r="T14" s="7"/>
      <c r="U14" s="7">
        <f>VAR(Q4:T11)</f>
        <v>0.30946190717519806</v>
      </c>
    </row>
    <row r="15" spans="1:21" x14ac:dyDescent="0.25">
      <c r="L15" t="s">
        <v>67</v>
      </c>
      <c r="M15" s="420">
        <f>CHIDIST(M13,M14)</f>
        <v>0.98785920841771091</v>
      </c>
      <c r="P15" s="1086" t="s">
        <v>2429</v>
      </c>
      <c r="Q15" s="762">
        <f>Q12*(Q13-$U$13)^2</f>
        <v>2.4346716809658755E-3</v>
      </c>
      <c r="R15" s="762">
        <f>R12*(R13-$U$13)^2</f>
        <v>2.2139939174504641E-2</v>
      </c>
      <c r="S15" s="762">
        <f>S12*(S13-$U$13)^2</f>
        <v>6.058649609965367E-4</v>
      </c>
      <c r="T15" s="762">
        <f>T12*(T13-$U$13)^2</f>
        <v>1.5392592894530835E-2</v>
      </c>
      <c r="U15" s="762">
        <f>SUM(Q15:T15)</f>
        <v>4.0573068710997889E-2</v>
      </c>
    </row>
    <row r="17" spans="12:13" x14ac:dyDescent="0.25">
      <c r="L17" t="s">
        <v>2137</v>
      </c>
    </row>
    <row r="19" spans="12:13" x14ac:dyDescent="0.25">
      <c r="L19" t="s">
        <v>67</v>
      </c>
      <c r="M19" s="580">
        <f>[1]!FKTEST(B4:E11)</f>
        <v>0.98785920841771091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AC60"/>
  <sheetViews>
    <sheetView workbookViewId="0"/>
  </sheetViews>
  <sheetFormatPr defaultRowHeight="15" x14ac:dyDescent="0.25"/>
  <cols>
    <col min="2" max="2" width="9.140625" customWidth="1"/>
    <col min="17" max="21" width="7.5703125" customWidth="1"/>
    <col min="22" max="22" width="5.140625" customWidth="1"/>
    <col min="23" max="23" width="17.5703125" customWidth="1"/>
  </cols>
  <sheetData>
    <row r="1" spans="1:29" x14ac:dyDescent="0.25">
      <c r="A1" s="1" t="s">
        <v>221</v>
      </c>
    </row>
    <row r="3" spans="1:29" x14ac:dyDescent="0.25">
      <c r="B3" t="s">
        <v>74</v>
      </c>
      <c r="I3" t="s">
        <v>579</v>
      </c>
      <c r="Q3" t="s">
        <v>582</v>
      </c>
    </row>
    <row r="5" spans="1:29" x14ac:dyDescent="0.25">
      <c r="B5" s="13" t="s">
        <v>213</v>
      </c>
      <c r="C5" s="13" t="s">
        <v>131</v>
      </c>
      <c r="D5" s="13" t="s">
        <v>132</v>
      </c>
      <c r="E5" s="13" t="s">
        <v>133</v>
      </c>
      <c r="F5" s="40" t="s">
        <v>134</v>
      </c>
      <c r="I5" s="13" t="s">
        <v>213</v>
      </c>
      <c r="J5" s="13" t="s">
        <v>131</v>
      </c>
      <c r="K5" s="13" t="s">
        <v>132</v>
      </c>
      <c r="L5" s="13" t="s">
        <v>133</v>
      </c>
      <c r="M5" s="40" t="s">
        <v>134</v>
      </c>
      <c r="Q5" t="s">
        <v>581</v>
      </c>
      <c r="W5" t="s">
        <v>464</v>
      </c>
    </row>
    <row r="6" spans="1:29" x14ac:dyDescent="0.25">
      <c r="B6" s="260">
        <v>32</v>
      </c>
      <c r="C6" s="261">
        <v>63</v>
      </c>
      <c r="D6" s="261">
        <v>6</v>
      </c>
      <c r="E6" s="261">
        <v>15</v>
      </c>
      <c r="F6" s="262">
        <v>55</v>
      </c>
      <c r="I6" s="260">
        <f>LOG(B6)</f>
        <v>1.505149978319906</v>
      </c>
      <c r="J6" s="261">
        <f>LOG(C6)</f>
        <v>1.7993405494535817</v>
      </c>
      <c r="K6" s="261">
        <f>LOG(D6)</f>
        <v>0.77815125038364363</v>
      </c>
      <c r="L6" s="261">
        <f>LOG(E6)</f>
        <v>1.1760912590556813</v>
      </c>
      <c r="M6" s="262">
        <f>LOG(F6)</f>
        <v>1.7403626894942439</v>
      </c>
    </row>
    <row r="7" spans="1:29" ht="15.75" thickBot="1" x14ac:dyDescent="0.3">
      <c r="B7" s="6">
        <v>13</v>
      </c>
      <c r="C7" s="7">
        <v>13</v>
      </c>
      <c r="D7" s="7">
        <v>16</v>
      </c>
      <c r="E7" s="7">
        <v>68</v>
      </c>
      <c r="F7" s="8">
        <v>59</v>
      </c>
      <c r="I7" s="6">
        <f t="shared" ref="I7:M15" si="0">LOG(B7)</f>
        <v>1.1139433523068367</v>
      </c>
      <c r="J7" s="7">
        <f t="shared" si="0"/>
        <v>1.1139433523068367</v>
      </c>
      <c r="K7" s="7">
        <f t="shared" si="0"/>
        <v>1.2041199826559248</v>
      </c>
      <c r="L7" s="7">
        <f t="shared" si="0"/>
        <v>1.8325089127062364</v>
      </c>
      <c r="M7" s="8">
        <f t="shared" si="0"/>
        <v>1.7708520116421442</v>
      </c>
      <c r="Q7" s="13" t="s">
        <v>213</v>
      </c>
      <c r="R7" s="13" t="s">
        <v>131</v>
      </c>
      <c r="S7" s="13" t="s">
        <v>132</v>
      </c>
      <c r="T7" s="13" t="s">
        <v>133</v>
      </c>
      <c r="U7" s="40" t="s">
        <v>134</v>
      </c>
      <c r="W7" t="s">
        <v>62</v>
      </c>
    </row>
    <row r="8" spans="1:29" x14ac:dyDescent="0.25">
      <c r="B8" s="6">
        <v>19</v>
      </c>
      <c r="C8" s="7">
        <v>56</v>
      </c>
      <c r="D8" s="7">
        <v>31</v>
      </c>
      <c r="E8" s="7">
        <v>49</v>
      </c>
      <c r="F8" s="8">
        <v>21</v>
      </c>
      <c r="I8" s="6">
        <f t="shared" si="0"/>
        <v>1.2787536009528289</v>
      </c>
      <c r="J8" s="7">
        <f t="shared" si="0"/>
        <v>1.7481880270062005</v>
      </c>
      <c r="K8" s="7">
        <f t="shared" si="0"/>
        <v>1.4913616938342726</v>
      </c>
      <c r="L8" s="7">
        <f t="shared" si="0"/>
        <v>1.6901960800285136</v>
      </c>
      <c r="M8" s="8">
        <f t="shared" si="0"/>
        <v>1.3222192947339193</v>
      </c>
      <c r="Q8" s="260">
        <f>ABS(B6-B$19)</f>
        <v>19.5</v>
      </c>
      <c r="R8" s="261">
        <f>ABS(C6-C$19)</f>
        <v>23.5</v>
      </c>
      <c r="S8" s="261">
        <f>ABS(D6-D$19)</f>
        <v>12.5</v>
      </c>
      <c r="T8" s="261">
        <f>ABS(E6-E$19)</f>
        <v>18</v>
      </c>
      <c r="U8" s="262">
        <f>ABS(F6-F$19)</f>
        <v>2</v>
      </c>
      <c r="W8" s="258" t="s">
        <v>79</v>
      </c>
      <c r="X8" s="258" t="s">
        <v>22</v>
      </c>
      <c r="Y8" s="258" t="s">
        <v>21</v>
      </c>
      <c r="Z8" s="258" t="s">
        <v>465</v>
      </c>
      <c r="AA8" s="258" t="s">
        <v>80</v>
      </c>
    </row>
    <row r="9" spans="1:29" x14ac:dyDescent="0.25">
      <c r="B9" s="6">
        <v>15</v>
      </c>
      <c r="C9" s="7">
        <v>28</v>
      </c>
      <c r="D9" s="7">
        <v>41</v>
      </c>
      <c r="E9" s="7">
        <v>39</v>
      </c>
      <c r="F9" s="8">
        <v>91</v>
      </c>
      <c r="I9" s="6">
        <f t="shared" si="0"/>
        <v>1.1760912590556813</v>
      </c>
      <c r="J9" s="7">
        <f t="shared" si="0"/>
        <v>1.4471580313422192</v>
      </c>
      <c r="K9" s="7">
        <f t="shared" si="0"/>
        <v>1.6127838567197355</v>
      </c>
      <c r="L9" s="7">
        <f t="shared" si="0"/>
        <v>1.5910646070264991</v>
      </c>
      <c r="M9" s="8">
        <f t="shared" si="0"/>
        <v>1.9590413923210936</v>
      </c>
      <c r="Q9" s="6">
        <f t="shared" ref="Q9:Q17" si="1">ABS(B7-B$19)</f>
        <v>0.5</v>
      </c>
      <c r="R9" s="7">
        <f t="shared" ref="R9:R17" si="2">ABS(C7-C$19)</f>
        <v>26.5</v>
      </c>
      <c r="S9" s="7">
        <f t="shared" ref="S9:S17" si="3">ABS(D7-D$19)</f>
        <v>2.5</v>
      </c>
      <c r="T9" s="7">
        <f t="shared" ref="T9:T15" si="4">ABS(E7-E$19)</f>
        <v>35</v>
      </c>
      <c r="U9" s="8">
        <f t="shared" ref="U9:U16" si="5">ABS(F7-F$19)</f>
        <v>2</v>
      </c>
      <c r="W9" s="19" t="s">
        <v>213</v>
      </c>
      <c r="X9" s="19">
        <v>10</v>
      </c>
      <c r="Y9" s="19">
        <v>52</v>
      </c>
      <c r="Z9" s="19">
        <v>5.2</v>
      </c>
      <c r="AA9" s="19">
        <v>35.56666666666667</v>
      </c>
    </row>
    <row r="10" spans="1:29" x14ac:dyDescent="0.25">
      <c r="B10" s="6">
        <v>12</v>
      </c>
      <c r="C10" s="7">
        <v>11</v>
      </c>
      <c r="D10" s="7">
        <v>13</v>
      </c>
      <c r="E10" s="7">
        <v>23</v>
      </c>
      <c r="F10" s="8">
        <v>27</v>
      </c>
      <c r="I10" s="6">
        <f t="shared" si="0"/>
        <v>1.0791812460476249</v>
      </c>
      <c r="J10" s="7">
        <f t="shared" si="0"/>
        <v>1.0413926851582251</v>
      </c>
      <c r="K10" s="7">
        <f t="shared" si="0"/>
        <v>1.1139433523068367</v>
      </c>
      <c r="L10" s="7">
        <f t="shared" si="0"/>
        <v>1.3617278360175928</v>
      </c>
      <c r="M10" s="8">
        <f t="shared" si="0"/>
        <v>1.4313637641589874</v>
      </c>
      <c r="Q10" s="6">
        <f t="shared" si="1"/>
        <v>6.5</v>
      </c>
      <c r="R10" s="7">
        <f t="shared" si="2"/>
        <v>16.5</v>
      </c>
      <c r="S10" s="7">
        <f t="shared" si="3"/>
        <v>12.5</v>
      </c>
      <c r="T10" s="7">
        <f t="shared" si="4"/>
        <v>16</v>
      </c>
      <c r="U10" s="8">
        <f t="shared" si="5"/>
        <v>36</v>
      </c>
      <c r="W10" s="19" t="s">
        <v>131</v>
      </c>
      <c r="X10" s="19">
        <v>10</v>
      </c>
      <c r="Y10" s="19">
        <v>200</v>
      </c>
      <c r="Z10" s="19">
        <v>20</v>
      </c>
      <c r="AA10" s="19">
        <v>50.055555555555557</v>
      </c>
    </row>
    <row r="11" spans="1:29" x14ac:dyDescent="0.25">
      <c r="B11" s="6">
        <v>9</v>
      </c>
      <c r="C11" s="7">
        <v>9</v>
      </c>
      <c r="D11" s="7">
        <v>14</v>
      </c>
      <c r="E11" s="7">
        <v>21</v>
      </c>
      <c r="F11" s="8">
        <v>64</v>
      </c>
      <c r="I11" s="6">
        <f t="shared" si="0"/>
        <v>0.95424250943932487</v>
      </c>
      <c r="J11" s="7">
        <f t="shared" si="0"/>
        <v>0.95424250943932487</v>
      </c>
      <c r="K11" s="7">
        <f t="shared" si="0"/>
        <v>1.146128035678238</v>
      </c>
      <c r="L11" s="7">
        <f t="shared" si="0"/>
        <v>1.3222192947339193</v>
      </c>
      <c r="M11" s="8">
        <f t="shared" si="0"/>
        <v>1.8061799739838871</v>
      </c>
      <c r="Q11" s="6">
        <f t="shared" si="1"/>
        <v>2.5</v>
      </c>
      <c r="R11" s="7">
        <f t="shared" si="2"/>
        <v>11.5</v>
      </c>
      <c r="S11" s="7">
        <f t="shared" si="3"/>
        <v>22.5</v>
      </c>
      <c r="T11" s="7">
        <f t="shared" si="4"/>
        <v>6</v>
      </c>
      <c r="U11" s="8">
        <f t="shared" si="5"/>
        <v>34</v>
      </c>
      <c r="W11" s="19" t="s">
        <v>132</v>
      </c>
      <c r="X11" s="19">
        <v>10</v>
      </c>
      <c r="Y11" s="19">
        <v>103</v>
      </c>
      <c r="Z11" s="19">
        <v>10.3</v>
      </c>
      <c r="AA11" s="19">
        <v>58.399999999999991</v>
      </c>
    </row>
    <row r="12" spans="1:29" x14ac:dyDescent="0.25">
      <c r="B12" s="6">
        <v>5</v>
      </c>
      <c r="C12" s="7">
        <v>23</v>
      </c>
      <c r="D12" s="7">
        <v>21</v>
      </c>
      <c r="E12" s="7">
        <v>32</v>
      </c>
      <c r="F12" s="8">
        <v>54</v>
      </c>
      <c r="I12" s="6">
        <f t="shared" si="0"/>
        <v>0.69897000433601886</v>
      </c>
      <c r="J12" s="7">
        <f t="shared" si="0"/>
        <v>1.3617278360175928</v>
      </c>
      <c r="K12" s="7">
        <f t="shared" si="0"/>
        <v>1.3222192947339193</v>
      </c>
      <c r="L12" s="7">
        <f t="shared" si="0"/>
        <v>1.505149978319906</v>
      </c>
      <c r="M12" s="8">
        <f t="shared" si="0"/>
        <v>1.7323937598229686</v>
      </c>
      <c r="Q12" s="6">
        <f t="shared" si="1"/>
        <v>0.5</v>
      </c>
      <c r="R12" s="7">
        <f t="shared" si="2"/>
        <v>28.5</v>
      </c>
      <c r="S12" s="7">
        <f t="shared" si="3"/>
        <v>5.5</v>
      </c>
      <c r="T12" s="7">
        <f t="shared" si="4"/>
        <v>10</v>
      </c>
      <c r="U12" s="8">
        <f t="shared" si="5"/>
        <v>30</v>
      </c>
      <c r="W12" s="19" t="s">
        <v>133</v>
      </c>
      <c r="X12" s="19">
        <v>8</v>
      </c>
      <c r="Y12" s="19">
        <v>99</v>
      </c>
      <c r="Z12" s="19">
        <v>12.375</v>
      </c>
      <c r="AA12" s="19">
        <v>123.125</v>
      </c>
    </row>
    <row r="13" spans="1:29" ht="15.75" thickBot="1" x14ac:dyDescent="0.3">
      <c r="B13" s="6">
        <v>22</v>
      </c>
      <c r="C13" s="7">
        <v>51</v>
      </c>
      <c r="D13" s="7">
        <v>29</v>
      </c>
      <c r="E13" s="7">
        <v>34</v>
      </c>
      <c r="F13" s="8">
        <v>57</v>
      </c>
      <c r="I13" s="6">
        <f t="shared" si="0"/>
        <v>1.3424226808222062</v>
      </c>
      <c r="J13" s="7">
        <f t="shared" si="0"/>
        <v>1.7075701760979363</v>
      </c>
      <c r="K13" s="7">
        <f t="shared" si="0"/>
        <v>1.4623979978989561</v>
      </c>
      <c r="L13" s="7">
        <f t="shared" si="0"/>
        <v>1.5314789170422551</v>
      </c>
      <c r="M13" s="8">
        <f t="shared" si="0"/>
        <v>1.7558748556724915</v>
      </c>
      <c r="Q13" s="6">
        <f t="shared" si="1"/>
        <v>3.5</v>
      </c>
      <c r="R13" s="7">
        <f t="shared" si="2"/>
        <v>30.5</v>
      </c>
      <c r="S13" s="7">
        <f t="shared" si="3"/>
        <v>4.5</v>
      </c>
      <c r="T13" s="7">
        <f t="shared" si="4"/>
        <v>12</v>
      </c>
      <c r="U13" s="8">
        <f t="shared" si="5"/>
        <v>7</v>
      </c>
      <c r="W13" s="20" t="s">
        <v>134</v>
      </c>
      <c r="X13" s="20">
        <v>9</v>
      </c>
      <c r="Y13" s="20">
        <v>130</v>
      </c>
      <c r="Z13" s="20">
        <v>14.444444444444445</v>
      </c>
      <c r="AA13" s="20">
        <v>224.52777777777777</v>
      </c>
    </row>
    <row r="14" spans="1:29" x14ac:dyDescent="0.25">
      <c r="B14" s="6">
        <v>11</v>
      </c>
      <c r="C14" s="7">
        <v>53</v>
      </c>
      <c r="D14" s="7">
        <v>12</v>
      </c>
      <c r="E14" s="7"/>
      <c r="F14" s="8">
        <v>73</v>
      </c>
      <c r="I14" s="6">
        <f t="shared" si="0"/>
        <v>1.0413926851582251</v>
      </c>
      <c r="J14" s="7">
        <f t="shared" si="0"/>
        <v>1.7242758696007889</v>
      </c>
      <c r="K14" s="7">
        <f t="shared" si="0"/>
        <v>1.0791812460476249</v>
      </c>
      <c r="L14" s="31"/>
      <c r="M14" s="263">
        <f t="shared" si="0"/>
        <v>1.8633228601204559</v>
      </c>
      <c r="Q14" s="6">
        <f t="shared" si="1"/>
        <v>7.5</v>
      </c>
      <c r="R14" s="7">
        <f t="shared" si="2"/>
        <v>16.5</v>
      </c>
      <c r="S14" s="7">
        <f t="shared" si="3"/>
        <v>2.5</v>
      </c>
      <c r="T14" s="7">
        <f t="shared" si="4"/>
        <v>1</v>
      </c>
      <c r="U14" s="8">
        <f t="shared" si="5"/>
        <v>3</v>
      </c>
    </row>
    <row r="15" spans="1:29" ht="15.75" thickBot="1" x14ac:dyDescent="0.3">
      <c r="B15" s="134">
        <v>12</v>
      </c>
      <c r="C15" s="10">
        <v>61</v>
      </c>
      <c r="D15" s="10">
        <v>42</v>
      </c>
      <c r="E15" s="10"/>
      <c r="F15" s="11"/>
      <c r="I15" s="134">
        <f t="shared" si="0"/>
        <v>1.0791812460476249</v>
      </c>
      <c r="J15" s="10">
        <f t="shared" si="0"/>
        <v>1.7853298350107671</v>
      </c>
      <c r="K15" s="10">
        <f>LOG(D15)</f>
        <v>1.6232492903979006</v>
      </c>
      <c r="L15" s="10"/>
      <c r="M15" s="11"/>
      <c r="Q15" s="6">
        <f t="shared" si="1"/>
        <v>9.5</v>
      </c>
      <c r="R15" s="7">
        <f t="shared" si="2"/>
        <v>11.5</v>
      </c>
      <c r="S15" s="7">
        <f t="shared" si="3"/>
        <v>10.5</v>
      </c>
      <c r="T15" s="7">
        <f t="shared" si="4"/>
        <v>1</v>
      </c>
      <c r="U15" s="8">
        <f t="shared" si="5"/>
        <v>0</v>
      </c>
      <c r="W15" t="s">
        <v>294</v>
      </c>
    </row>
    <row r="16" spans="1:29" x14ac:dyDescent="0.25">
      <c r="A16" t="s">
        <v>7</v>
      </c>
      <c r="B16">
        <f>AVERAGE(B6:B15)</f>
        <v>15</v>
      </c>
      <c r="C16">
        <f>AVERAGE(C6:C15)</f>
        <v>36.799999999999997</v>
      </c>
      <c r="D16">
        <f>AVERAGE(D6:D15)</f>
        <v>22.5</v>
      </c>
      <c r="E16">
        <f>AVERAGE(E6:E15)</f>
        <v>35.125</v>
      </c>
      <c r="F16">
        <f>AVERAGE(F6:F15)</f>
        <v>55.666666666666664</v>
      </c>
      <c r="H16" t="s">
        <v>7</v>
      </c>
      <c r="I16">
        <f>AVERAGE(I6:I15)</f>
        <v>1.126932856248628</v>
      </c>
      <c r="J16">
        <f>AVERAGE(J6:J15)</f>
        <v>1.4683168871433474</v>
      </c>
      <c r="K16">
        <f>AVERAGE(K6:K15)</f>
        <v>1.2833536000657051</v>
      </c>
      <c r="L16">
        <f>AVERAGE(L6:L15)</f>
        <v>1.5013046106163257</v>
      </c>
      <c r="M16">
        <f>AVERAGE(M6:M15)</f>
        <v>1.7090678446611325</v>
      </c>
      <c r="Q16" s="6">
        <f t="shared" si="1"/>
        <v>1.5</v>
      </c>
      <c r="R16" s="7">
        <f t="shared" si="2"/>
        <v>13.5</v>
      </c>
      <c r="S16" s="7">
        <f t="shared" si="3"/>
        <v>6.5</v>
      </c>
      <c r="T16" s="7"/>
      <c r="U16" s="8">
        <f t="shared" si="5"/>
        <v>16</v>
      </c>
      <c r="W16" s="258" t="s">
        <v>466</v>
      </c>
      <c r="X16" s="258" t="s">
        <v>219</v>
      </c>
      <c r="Y16" s="258" t="s">
        <v>60</v>
      </c>
      <c r="Z16" s="258" t="s">
        <v>240</v>
      </c>
      <c r="AA16" s="258" t="s">
        <v>135</v>
      </c>
      <c r="AB16" s="258" t="s">
        <v>119</v>
      </c>
      <c r="AC16" s="258" t="s">
        <v>467</v>
      </c>
    </row>
    <row r="17" spans="1:29" x14ac:dyDescent="0.25">
      <c r="A17" t="s">
        <v>9</v>
      </c>
      <c r="B17">
        <f>STDEV(B6:B15)</f>
        <v>7.6594168620507048</v>
      </c>
      <c r="C17">
        <f>STDEV(C6:C15)</f>
        <v>22.054478003344357</v>
      </c>
      <c r="D17">
        <f>STDEV(D6:D15)</f>
        <v>12.589678312014172</v>
      </c>
      <c r="E17">
        <f>STDEV(E6:E15)</f>
        <v>17.116721147963556</v>
      </c>
      <c r="F17">
        <f>STDEV(F6:F15)</f>
        <v>21.383404780343096</v>
      </c>
      <c r="H17" t="s">
        <v>9</v>
      </c>
      <c r="I17">
        <f>STDEV(I6:I15)</f>
        <v>0.22110092771964845</v>
      </c>
      <c r="J17">
        <f>STDEV(J6:J15)</f>
        <v>0.33251317956717924</v>
      </c>
      <c r="K17">
        <f>STDEV(K6:K15)</f>
        <v>0.26907508203739272</v>
      </c>
      <c r="L17">
        <f>STDEV(L6:L15)</f>
        <v>0.21100960029668439</v>
      </c>
      <c r="M17">
        <f>STDEV(M6:M15)</f>
        <v>0.20310562279716773</v>
      </c>
      <c r="Q17" s="134">
        <f t="shared" si="1"/>
        <v>0.5</v>
      </c>
      <c r="R17" s="10">
        <f t="shared" si="2"/>
        <v>21.5</v>
      </c>
      <c r="S17" s="10">
        <f t="shared" si="3"/>
        <v>23.5</v>
      </c>
      <c r="T17" s="10"/>
      <c r="U17" s="11"/>
      <c r="W17" s="19" t="s">
        <v>462</v>
      </c>
      <c r="X17" s="19">
        <v>1177.6921394799056</v>
      </c>
      <c r="Y17" s="19">
        <v>4</v>
      </c>
      <c r="Z17" s="19">
        <v>294.42303486997639</v>
      </c>
      <c r="AA17" s="19">
        <v>3.1271719776263396</v>
      </c>
      <c r="AB17" s="19">
        <v>2.4395522172030337E-2</v>
      </c>
      <c r="AC17" s="19">
        <v>2.5942633713457632</v>
      </c>
    </row>
    <row r="18" spans="1:29" x14ac:dyDescent="0.25">
      <c r="A18" t="s">
        <v>8</v>
      </c>
      <c r="B18">
        <f>VAR(B6:B15)</f>
        <v>58.666666666666664</v>
      </c>
      <c r="C18">
        <f>VAR(C6:C15)</f>
        <v>486.40000000000003</v>
      </c>
      <c r="D18">
        <f>VAR(D6:D15)</f>
        <v>158.5</v>
      </c>
      <c r="E18">
        <f>VAR(E6:E15)</f>
        <v>292.98214285714283</v>
      </c>
      <c r="F18">
        <f>VAR(F6:F15)</f>
        <v>457.25</v>
      </c>
      <c r="H18" t="s">
        <v>8</v>
      </c>
      <c r="I18">
        <f>VAR(I6:I15)</f>
        <v>4.8885620238489205E-2</v>
      </c>
      <c r="J18">
        <f>VAR(J6:J15)</f>
        <v>0.11056501458587517</v>
      </c>
      <c r="K18">
        <f>VAR(K6:K15)</f>
        <v>7.2401399773429631E-2</v>
      </c>
      <c r="L18">
        <f>VAR(L6:L15)</f>
        <v>4.4525051417366512E-2</v>
      </c>
      <c r="M18">
        <f>VAR(M6:M15)</f>
        <v>4.1251894011825385E-2</v>
      </c>
      <c r="W18" s="19" t="s">
        <v>463</v>
      </c>
      <c r="X18" s="19">
        <v>3954.2972222222224</v>
      </c>
      <c r="Y18" s="19">
        <v>42</v>
      </c>
      <c r="Z18" s="19">
        <v>94.149933862433869</v>
      </c>
      <c r="AA18" s="19"/>
      <c r="AB18" s="19"/>
      <c r="AC18" s="19"/>
    </row>
    <row r="19" spans="1:29" x14ac:dyDescent="0.25">
      <c r="A19" s="31" t="s">
        <v>580</v>
      </c>
      <c r="B19">
        <f>MEDIAN(B6:B15)</f>
        <v>12.5</v>
      </c>
      <c r="C19">
        <f>MEDIAN(C6:C15)</f>
        <v>39.5</v>
      </c>
      <c r="D19">
        <f>MEDIAN(D6:D15)</f>
        <v>18.5</v>
      </c>
      <c r="E19">
        <f>MEDIAN(E6:E15)</f>
        <v>33</v>
      </c>
      <c r="F19">
        <f>MEDIAN(F6:F15)</f>
        <v>57</v>
      </c>
      <c r="H19" s="31" t="s">
        <v>580</v>
      </c>
      <c r="I19">
        <f>MEDIAN(I6:I15)</f>
        <v>1.0965622991772308</v>
      </c>
      <c r="J19">
        <f>MEDIAN(J6:J15)</f>
        <v>1.5773641037200776</v>
      </c>
      <c r="K19">
        <f>MEDIAN(K6:K15)</f>
        <v>1.263169638694922</v>
      </c>
      <c r="L19">
        <f>MEDIAN(L6:L15)</f>
        <v>1.5183144476810806</v>
      </c>
      <c r="M19">
        <f>MEDIAN(M6:M15)</f>
        <v>1.7558748556724915</v>
      </c>
      <c r="W19" s="19"/>
      <c r="X19" s="19"/>
      <c r="Y19" s="19"/>
      <c r="Z19" s="19"/>
      <c r="AA19" s="19"/>
      <c r="AB19" s="19"/>
      <c r="AC19" s="19"/>
    </row>
    <row r="20" spans="1:29" ht="15.75" thickBot="1" x14ac:dyDescent="0.3">
      <c r="A20" s="31"/>
      <c r="B20" s="31"/>
      <c r="C20" s="31"/>
      <c r="D20" s="31"/>
      <c r="E20" s="31"/>
      <c r="F20" s="31"/>
      <c r="W20" s="20" t="s">
        <v>1</v>
      </c>
      <c r="X20" s="20">
        <v>5131.989361702128</v>
      </c>
      <c r="Y20" s="20">
        <v>46</v>
      </c>
      <c r="Z20" s="20"/>
      <c r="AA20" s="20"/>
      <c r="AB20" s="20"/>
      <c r="AC20" s="20"/>
    </row>
    <row r="21" spans="1:29" x14ac:dyDescent="0.25">
      <c r="A21" s="31" t="s">
        <v>120</v>
      </c>
      <c r="B21">
        <f>CORREL(B16:F16,B17:F17)</f>
        <v>0.88125862698759883</v>
      </c>
      <c r="H21" s="31" t="s">
        <v>120</v>
      </c>
      <c r="I21">
        <f>CORREL(I16:M16,I17:M17)</f>
        <v>-0.14386550617179239</v>
      </c>
    </row>
    <row r="22" spans="1:29" x14ac:dyDescent="0.25">
      <c r="H22" s="31"/>
      <c r="W22" s="19"/>
      <c r="X22" s="19"/>
      <c r="Y22" s="19"/>
      <c r="Z22" s="19"/>
      <c r="AA22" s="19"/>
      <c r="AB22" s="19"/>
      <c r="AC22" s="19"/>
    </row>
    <row r="24" spans="1:29" x14ac:dyDescent="0.25">
      <c r="B24" s="13" t="s">
        <v>213</v>
      </c>
      <c r="C24" s="13" t="s">
        <v>131</v>
      </c>
      <c r="D24" s="13" t="s">
        <v>132</v>
      </c>
      <c r="E24" s="13" t="s">
        <v>133</v>
      </c>
      <c r="F24" s="40" t="s">
        <v>134</v>
      </c>
      <c r="Q24" t="s">
        <v>583</v>
      </c>
    </row>
    <row r="25" spans="1:29" x14ac:dyDescent="0.25">
      <c r="A25" t="s">
        <v>50</v>
      </c>
      <c r="B25">
        <f>MIN(B6:B15)</f>
        <v>5</v>
      </c>
      <c r="C25">
        <f>MIN(C6:C15)</f>
        <v>9</v>
      </c>
      <c r="D25">
        <f>MIN(D6:D15)</f>
        <v>6</v>
      </c>
      <c r="E25">
        <f>MIN(E6:E15)</f>
        <v>15</v>
      </c>
      <c r="F25">
        <f>MIN(F6:F15)</f>
        <v>21</v>
      </c>
    </row>
    <row r="26" spans="1:29" x14ac:dyDescent="0.25">
      <c r="A26" t="s">
        <v>51</v>
      </c>
      <c r="B26">
        <f>QUARTILE(B6:B15,1)-B25</f>
        <v>6.25</v>
      </c>
      <c r="C26">
        <f>QUARTILE(C6:C15,1)-C25</f>
        <v>6.5</v>
      </c>
      <c r="D26">
        <f>QUARTILE(D6:D15,1)-D25</f>
        <v>7.25</v>
      </c>
      <c r="E26">
        <f>QUARTILE(E6:E15,1)-E25</f>
        <v>7.5</v>
      </c>
      <c r="F26">
        <f>QUARTILE(F6:F15,1)-F25</f>
        <v>33</v>
      </c>
      <c r="Q26" t="s">
        <v>581</v>
      </c>
      <c r="W26" t="s">
        <v>464</v>
      </c>
    </row>
    <row r="27" spans="1:29" x14ac:dyDescent="0.25">
      <c r="A27" t="s">
        <v>52</v>
      </c>
      <c r="B27">
        <f>MEDIAN(B6:B15)-QUARTILE(B6:B15,1)</f>
        <v>1.25</v>
      </c>
      <c r="C27">
        <f>MEDIAN(C6:C15)-QUARTILE(C6:C15,1)</f>
        <v>24</v>
      </c>
      <c r="D27">
        <f>MEDIAN(D6:D15)-QUARTILE(D6:D15,1)</f>
        <v>5.25</v>
      </c>
      <c r="E27">
        <f>MEDIAN(E6:E15)-QUARTILE(E6:E15,1)</f>
        <v>10.5</v>
      </c>
      <c r="F27">
        <f>MEDIAN(F6:F15)-QUARTILE(F6:F15,1)</f>
        <v>3</v>
      </c>
    </row>
    <row r="28" spans="1:29" ht="15.75" thickBot="1" x14ac:dyDescent="0.3">
      <c r="A28" t="s">
        <v>53</v>
      </c>
      <c r="B28">
        <f>QUARTILE(B6:B15,3)-MEDIAN(B6:B15)</f>
        <v>5.5</v>
      </c>
      <c r="C28">
        <f>QUARTILE(C6:C15,3)-MEDIAN(C6:C15)</f>
        <v>15.75</v>
      </c>
      <c r="D28">
        <f>QUARTILE(D6:D15,3)-MEDIAN(D6:D15)</f>
        <v>12</v>
      </c>
      <c r="E28">
        <f>QUARTILE(E6:E15,3)-MEDIAN(E6:E15)</f>
        <v>8.5</v>
      </c>
      <c r="F28">
        <f>QUARTILE(F6:F15,3)-MEDIAN(F6:F15)</f>
        <v>7</v>
      </c>
      <c r="Q28" s="13" t="s">
        <v>213</v>
      </c>
      <c r="R28" s="13" t="s">
        <v>131</v>
      </c>
      <c r="S28" s="13" t="s">
        <v>132</v>
      </c>
      <c r="T28" s="13" t="s">
        <v>133</v>
      </c>
      <c r="U28" s="40" t="s">
        <v>134</v>
      </c>
      <c r="W28" t="s">
        <v>62</v>
      </c>
    </row>
    <row r="29" spans="1:29" x14ac:dyDescent="0.25">
      <c r="A29" t="s">
        <v>54</v>
      </c>
      <c r="B29">
        <f>MAX(B6:B15)-QUARTILE(B6:B15,3)</f>
        <v>14</v>
      </c>
      <c r="C29">
        <f>MAX(C6:C15)-QUARTILE(C6:C15,3)</f>
        <v>7.75</v>
      </c>
      <c r="D29">
        <f>MAX(D6:D15)-QUARTILE(D6:D15,3)</f>
        <v>11.5</v>
      </c>
      <c r="E29">
        <f>MAX(E6:E15)-QUARTILE(E6:E15,3)</f>
        <v>26.5</v>
      </c>
      <c r="F29">
        <f>MAX(F6:F15)-QUARTILE(F6:F15,3)</f>
        <v>27</v>
      </c>
      <c r="Q29" s="260">
        <f>ABS(I6-I$19)</f>
        <v>0.40858767914267524</v>
      </c>
      <c r="R29" s="261">
        <f>ABS(J6-J$19)</f>
        <v>0.22197644573350406</v>
      </c>
      <c r="S29" s="261">
        <f>ABS(K6-K$19)</f>
        <v>0.48501838831127841</v>
      </c>
      <c r="T29" s="261">
        <f>ABS(L6-L$19)</f>
        <v>0.34222318862539924</v>
      </c>
      <c r="U29" s="262">
        <f>ABS(M6-M$19)</f>
        <v>1.5512166178247577E-2</v>
      </c>
      <c r="W29" s="258" t="s">
        <v>79</v>
      </c>
      <c r="X29" s="258" t="s">
        <v>22</v>
      </c>
      <c r="Y29" s="258" t="s">
        <v>21</v>
      </c>
      <c r="Z29" s="258" t="s">
        <v>465</v>
      </c>
      <c r="AA29" s="258" t="s">
        <v>80</v>
      </c>
    </row>
    <row r="30" spans="1:29" x14ac:dyDescent="0.25">
      <c r="Q30" s="6">
        <f t="shared" ref="Q30:Q36" si="6">ABS(I7-I$19)</f>
        <v>1.7381053129605917E-2</v>
      </c>
      <c r="R30" s="7">
        <f t="shared" ref="R30:R36" si="7">ABS(J7-J$19)</f>
        <v>0.46342075141324091</v>
      </c>
      <c r="S30" s="7">
        <f t="shared" ref="S30:S36" si="8">ABS(K7-K$19)</f>
        <v>5.9049656038997256E-2</v>
      </c>
      <c r="T30" s="7">
        <f t="shared" ref="T30:T36" si="9">ABS(L7-L$19)</f>
        <v>0.3141944650251558</v>
      </c>
      <c r="U30" s="8">
        <f t="shared" ref="U30:U37" si="10">ABS(M7-M$19)</f>
        <v>1.4977155969652767E-2</v>
      </c>
      <c r="W30" s="19" t="s">
        <v>213</v>
      </c>
      <c r="X30" s="19">
        <v>10</v>
      </c>
      <c r="Y30" s="19">
        <v>1.5633931804286405</v>
      </c>
      <c r="Z30" s="19">
        <v>0.15633931804286405</v>
      </c>
      <c r="AA30" s="19">
        <v>2.2752718428177721E-2</v>
      </c>
    </row>
    <row r="31" spans="1:29" x14ac:dyDescent="0.25">
      <c r="Q31" s="6">
        <f t="shared" si="6"/>
        <v>0.18219130177559806</v>
      </c>
      <c r="R31" s="7">
        <f t="shared" si="7"/>
        <v>0.17082392328612284</v>
      </c>
      <c r="S31" s="7">
        <f t="shared" si="8"/>
        <v>0.22819205513935059</v>
      </c>
      <c r="T31" s="7">
        <f t="shared" si="9"/>
        <v>0.17188163234743303</v>
      </c>
      <c r="U31" s="8">
        <f t="shared" si="10"/>
        <v>0.43365556093857216</v>
      </c>
      <c r="W31" s="19" t="s">
        <v>131</v>
      </c>
      <c r="X31" s="19">
        <v>10</v>
      </c>
      <c r="Y31" s="19">
        <v>2.8462400429050754</v>
      </c>
      <c r="Z31" s="19">
        <v>0.28462400429050755</v>
      </c>
      <c r="AA31" s="19">
        <v>3.3765538613396928E-2</v>
      </c>
    </row>
    <row r="32" spans="1:29" x14ac:dyDescent="0.25">
      <c r="Q32" s="6">
        <f t="shared" si="6"/>
        <v>7.9528959878450545E-2</v>
      </c>
      <c r="R32" s="7">
        <f t="shared" si="7"/>
        <v>0.13020607237785842</v>
      </c>
      <c r="S32" s="7">
        <f t="shared" si="8"/>
        <v>0.34961421802481341</v>
      </c>
      <c r="T32" s="7">
        <f t="shared" si="9"/>
        <v>7.2750159345418508E-2</v>
      </c>
      <c r="U32" s="8">
        <f t="shared" si="10"/>
        <v>0.20316653664860218</v>
      </c>
      <c r="W32" s="19" t="s">
        <v>132</v>
      </c>
      <c r="X32" s="19">
        <v>10</v>
      </c>
      <c r="Y32" s="19">
        <v>2.1904882665125163</v>
      </c>
      <c r="Z32" s="19">
        <v>0.21904882665125164</v>
      </c>
      <c r="AA32" s="19">
        <v>1.9540292928237682E-2</v>
      </c>
    </row>
    <row r="33" spans="1:29" x14ac:dyDescent="0.25">
      <c r="Q33" s="6">
        <f t="shared" si="6"/>
        <v>1.7381053129605917E-2</v>
      </c>
      <c r="R33" s="7">
        <f t="shared" si="7"/>
        <v>0.53597141856185249</v>
      </c>
      <c r="S33" s="7">
        <f t="shared" si="8"/>
        <v>0.14922628638808533</v>
      </c>
      <c r="T33" s="7">
        <f t="shared" si="9"/>
        <v>0.15658661166348775</v>
      </c>
      <c r="U33" s="8">
        <f t="shared" si="10"/>
        <v>0.3245110915135041</v>
      </c>
      <c r="W33" s="19" t="s">
        <v>133</v>
      </c>
      <c r="X33" s="19">
        <v>8</v>
      </c>
      <c r="Y33" s="19">
        <v>1.2800601486764047</v>
      </c>
      <c r="Z33" s="19">
        <v>0.16000751858455059</v>
      </c>
      <c r="AA33" s="19">
        <v>1.559582690694915E-2</v>
      </c>
    </row>
    <row r="34" spans="1:29" ht="15.75" thickBot="1" x14ac:dyDescent="0.3">
      <c r="Q34" s="6">
        <f t="shared" si="6"/>
        <v>0.14231978973790593</v>
      </c>
      <c r="R34" s="7">
        <f t="shared" si="7"/>
        <v>0.62312159428075276</v>
      </c>
      <c r="S34" s="7">
        <f t="shared" si="8"/>
        <v>0.11704160301668409</v>
      </c>
      <c r="T34" s="7">
        <f t="shared" si="9"/>
        <v>0.19609515294716129</v>
      </c>
      <c r="U34" s="8">
        <f t="shared" si="10"/>
        <v>5.0305118311395614E-2</v>
      </c>
      <c r="W34" s="20" t="s">
        <v>134</v>
      </c>
      <c r="X34" s="20">
        <v>9</v>
      </c>
      <c r="Y34" s="20">
        <v>1.1730567298574617</v>
      </c>
      <c r="Z34" s="20">
        <v>0.13033963665082907</v>
      </c>
      <c r="AA34" s="20">
        <v>2.4604678834067337E-2</v>
      </c>
    </row>
    <row r="35" spans="1:29" x14ac:dyDescent="0.25">
      <c r="Q35" s="6">
        <f t="shared" si="6"/>
        <v>0.39759229484121195</v>
      </c>
      <c r="R35" s="7">
        <f t="shared" si="7"/>
        <v>0.21563626770248479</v>
      </c>
      <c r="S35" s="7">
        <f t="shared" si="8"/>
        <v>5.9049656038997256E-2</v>
      </c>
      <c r="T35" s="7">
        <f t="shared" si="9"/>
        <v>1.3164469361174547E-2</v>
      </c>
      <c r="U35" s="8">
        <f t="shared" si="10"/>
        <v>2.3481095849522848E-2</v>
      </c>
    </row>
    <row r="36" spans="1:29" ht="15.75" thickBot="1" x14ac:dyDescent="0.3">
      <c r="Q36" s="6">
        <f t="shared" si="6"/>
        <v>0.24586038164497537</v>
      </c>
      <c r="R36" s="7">
        <f t="shared" si="7"/>
        <v>0.13020607237785864</v>
      </c>
      <c r="S36" s="7">
        <f t="shared" si="8"/>
        <v>0.19922835920403403</v>
      </c>
      <c r="T36" s="7">
        <f t="shared" si="9"/>
        <v>1.3164469361174547E-2</v>
      </c>
      <c r="U36" s="8">
        <f t="shared" si="10"/>
        <v>0</v>
      </c>
      <c r="W36" t="s">
        <v>294</v>
      </c>
    </row>
    <row r="37" spans="1:29" x14ac:dyDescent="0.25">
      <c r="Q37" s="6">
        <f t="shared" ref="Q37:S38" si="11">ABS(I14-I$19)</f>
        <v>5.5169614019005664E-2</v>
      </c>
      <c r="R37" s="7">
        <f t="shared" si="11"/>
        <v>0.14691176588071131</v>
      </c>
      <c r="S37" s="7">
        <f t="shared" si="11"/>
        <v>0.18398839264729716</v>
      </c>
      <c r="T37" s="7"/>
      <c r="U37" s="8">
        <f t="shared" si="10"/>
        <v>0.10744800444796443</v>
      </c>
      <c r="W37" s="258" t="s">
        <v>466</v>
      </c>
      <c r="X37" s="258" t="s">
        <v>219</v>
      </c>
      <c r="Y37" s="258" t="s">
        <v>60</v>
      </c>
      <c r="Z37" s="258" t="s">
        <v>240</v>
      </c>
      <c r="AA37" s="258" t="s">
        <v>135</v>
      </c>
      <c r="AB37" s="258" t="s">
        <v>119</v>
      </c>
      <c r="AC37" s="258" t="s">
        <v>467</v>
      </c>
    </row>
    <row r="38" spans="1:29" x14ac:dyDescent="0.25">
      <c r="Q38" s="134">
        <f t="shared" si="11"/>
        <v>1.7381053129605917E-2</v>
      </c>
      <c r="R38" s="10">
        <f t="shared" si="11"/>
        <v>0.20796573129068952</v>
      </c>
      <c r="S38" s="10">
        <f t="shared" si="11"/>
        <v>0.36007965170297851</v>
      </c>
      <c r="T38" s="10"/>
      <c r="U38" s="11"/>
      <c r="W38" s="19" t="s">
        <v>462</v>
      </c>
      <c r="X38" s="19">
        <v>0.14821325994609247</v>
      </c>
      <c r="Y38" s="19">
        <v>4</v>
      </c>
      <c r="Z38" s="19">
        <v>3.7053314986523117E-2</v>
      </c>
      <c r="AA38" s="19">
        <v>1.5711095158778194</v>
      </c>
      <c r="AB38" s="19">
        <v>0.19969665090150207</v>
      </c>
      <c r="AC38" s="19">
        <v>2.5942633713457632</v>
      </c>
    </row>
    <row r="39" spans="1:29" x14ac:dyDescent="0.25">
      <c r="W39" s="19" t="s">
        <v>463</v>
      </c>
      <c r="X39" s="19">
        <v>0.99053516874949354</v>
      </c>
      <c r="Y39" s="19">
        <v>42</v>
      </c>
      <c r="Z39" s="19">
        <v>2.3584170684511751E-2</v>
      </c>
      <c r="AA39" s="19"/>
      <c r="AB39" s="19"/>
      <c r="AC39" s="19"/>
    </row>
    <row r="40" spans="1:29" x14ac:dyDescent="0.25">
      <c r="B40" s="13" t="s">
        <v>213</v>
      </c>
      <c r="C40" s="13" t="s">
        <v>131</v>
      </c>
      <c r="D40" s="13" t="s">
        <v>132</v>
      </c>
      <c r="E40" s="13" t="s">
        <v>133</v>
      </c>
      <c r="F40" s="40" t="s">
        <v>134</v>
      </c>
      <c r="W40" s="19"/>
      <c r="X40" s="19"/>
      <c r="Y40" s="19"/>
      <c r="Z40" s="19"/>
      <c r="AA40" s="19"/>
      <c r="AB40" s="19"/>
      <c r="AC40" s="19"/>
    </row>
    <row r="41" spans="1:29" ht="15.75" thickBot="1" x14ac:dyDescent="0.3">
      <c r="A41" t="s">
        <v>50</v>
      </c>
      <c r="B41">
        <f>MIN(I6:I15)</f>
        <v>0.69897000433601886</v>
      </c>
      <c r="C41">
        <f>MIN(J6:J15)</f>
        <v>0.95424250943932487</v>
      </c>
      <c r="D41">
        <f>MIN(K6:K15)</f>
        <v>0.77815125038364363</v>
      </c>
      <c r="E41">
        <f>MIN(L6:L15)</f>
        <v>1.1760912590556813</v>
      </c>
      <c r="F41">
        <f>MIN(M6:M15)</f>
        <v>1.3222192947339193</v>
      </c>
      <c r="W41" s="20" t="s">
        <v>1</v>
      </c>
      <c r="X41" s="20">
        <v>1.138748428695586</v>
      </c>
      <c r="Y41" s="20">
        <v>46</v>
      </c>
      <c r="Z41" s="20"/>
      <c r="AA41" s="20"/>
      <c r="AB41" s="20"/>
      <c r="AC41" s="20"/>
    </row>
    <row r="42" spans="1:29" x14ac:dyDescent="0.25">
      <c r="A42" t="s">
        <v>51</v>
      </c>
      <c r="B42">
        <f>QUARTILE(I6:I15,1)-B41</f>
        <v>0.35186982104455622</v>
      </c>
      <c r="C42">
        <f>QUARTILE(J6:J15,1)-C41</f>
        <v>0.22164696379520088</v>
      </c>
      <c r="D42">
        <f>QUARTILE(K6:K15,1)-D41</f>
        <v>0.3438382727660434</v>
      </c>
      <c r="E42">
        <f>QUARTILE(L6:L15,1)-E41</f>
        <v>0.17575944164099311</v>
      </c>
      <c r="F42">
        <f>QUARTILE(M6:M15,1)-F41</f>
        <v>0.41017446508904931</v>
      </c>
    </row>
    <row r="43" spans="1:29" x14ac:dyDescent="0.25">
      <c r="A43" t="s">
        <v>52</v>
      </c>
      <c r="B43">
        <f>MEDIAN(I6:I15)-QUARTILE(I6:I15,1)</f>
        <v>4.5722473796655727E-2</v>
      </c>
      <c r="C43">
        <f>MEDIAN(J6:J15)-QUARTILE(J6:J15,1)</f>
        <v>0.40147463048555188</v>
      </c>
      <c r="D43">
        <f>MEDIAN(K6:K15)-QUARTILE(K6:K15,1)</f>
        <v>0.14118011554523502</v>
      </c>
      <c r="E43">
        <f>MEDIAN(L6:L15)-QUARTILE(L6:L15,1)</f>
        <v>0.16646374698440614</v>
      </c>
      <c r="F43">
        <f>MEDIAN(M6:M15)-QUARTILE(M6:M15,1)</f>
        <v>2.3481095849522848E-2</v>
      </c>
    </row>
    <row r="44" spans="1:29" x14ac:dyDescent="0.25">
      <c r="A44" t="s">
        <v>53</v>
      </c>
      <c r="B44">
        <f>QUARTILE(I6:I15,3)-MEDIAN(I6:I15)</f>
        <v>0.15652571630131118</v>
      </c>
      <c r="C44">
        <f>QUARTILE(J6:J15,3)-MEDIAN(J6:J15)</f>
        <v>0.16484588393476995</v>
      </c>
      <c r="D44">
        <f>QUARTILE(K6:K15,3)-MEDIAN(K6:K15)</f>
        <v>0.22095113115552145</v>
      </c>
      <c r="E44">
        <f>QUARTILE(L6:L15,3)-MEDIAN(L6:L15)</f>
        <v>9.7533027595922084E-2</v>
      </c>
      <c r="F44">
        <f>QUARTILE(M6:M15,3)-MEDIAN(M6:M15)</f>
        <v>5.0305118311395614E-2</v>
      </c>
      <c r="Q44" t="s">
        <v>579</v>
      </c>
      <c r="W44" t="s">
        <v>464</v>
      </c>
    </row>
    <row r="45" spans="1:29" x14ac:dyDescent="0.25">
      <c r="A45" t="s">
        <v>54</v>
      </c>
      <c r="B45">
        <f>MAX(I6:I15)-QUARTILE(I6:I15,3)</f>
        <v>0.25206196284136406</v>
      </c>
      <c r="C45">
        <f>MAX(J6:J15)-QUARTILE(J6:J15,3)</f>
        <v>5.7130561798734103E-2</v>
      </c>
      <c r="D45">
        <f>MAX(K6:K15)-QUARTILE(K6:K15,3)</f>
        <v>0.13912852054745706</v>
      </c>
      <c r="E45">
        <f>MAX(L6:L15)-QUARTILE(L6:L15,3)</f>
        <v>0.21666143742923372</v>
      </c>
      <c r="F45">
        <f>MAX(M6:M15)-QUARTILE(M6:M15,3)</f>
        <v>0.15286141833720657</v>
      </c>
    </row>
    <row r="46" spans="1:29" ht="15.75" thickBot="1" x14ac:dyDescent="0.3">
      <c r="Q46" s="13" t="s">
        <v>213</v>
      </c>
      <c r="R46" s="13" t="s">
        <v>131</v>
      </c>
      <c r="S46" s="13" t="s">
        <v>132</v>
      </c>
      <c r="T46" s="13" t="s">
        <v>133</v>
      </c>
      <c r="U46" s="40" t="s">
        <v>134</v>
      </c>
      <c r="W46" t="s">
        <v>62</v>
      </c>
    </row>
    <row r="47" spans="1:29" x14ac:dyDescent="0.25">
      <c r="Q47" s="260">
        <v>1.505149978319906</v>
      </c>
      <c r="R47" s="261">
        <v>1.7993405494535817</v>
      </c>
      <c r="S47" s="261">
        <v>0.77815125038364363</v>
      </c>
      <c r="T47" s="261">
        <v>1.1760912590556813</v>
      </c>
      <c r="U47" s="262">
        <v>1.7403626894942439</v>
      </c>
      <c r="W47" s="258" t="s">
        <v>79</v>
      </c>
      <c r="X47" s="258" t="s">
        <v>22</v>
      </c>
      <c r="Y47" s="258" t="s">
        <v>21</v>
      </c>
      <c r="Z47" s="258" t="s">
        <v>465</v>
      </c>
      <c r="AA47" s="258" t="s">
        <v>80</v>
      </c>
    </row>
    <row r="48" spans="1:29" x14ac:dyDescent="0.25">
      <c r="Q48" s="6">
        <v>1.1139433523068367</v>
      </c>
      <c r="R48" s="7">
        <v>1.1139433523068367</v>
      </c>
      <c r="S48" s="7">
        <v>1.2041199826559248</v>
      </c>
      <c r="T48" s="7">
        <v>1.8325089127062364</v>
      </c>
      <c r="U48" s="8">
        <v>1.7708520116421442</v>
      </c>
      <c r="W48" s="19" t="s">
        <v>213</v>
      </c>
      <c r="X48" s="19">
        <v>10</v>
      </c>
      <c r="Y48" s="19">
        <v>1.5633931804286405</v>
      </c>
      <c r="Z48" s="19">
        <v>0.15633931804286405</v>
      </c>
      <c r="AA48" s="19">
        <v>2.2752718428177721E-2</v>
      </c>
    </row>
    <row r="49" spans="16:29" x14ac:dyDescent="0.25">
      <c r="Q49" s="6">
        <v>1.2787536009528289</v>
      </c>
      <c r="R49" s="7">
        <v>1.7481880270062005</v>
      </c>
      <c r="S49" s="7">
        <v>1.4913616938342726</v>
      </c>
      <c r="T49" s="7">
        <v>1.6901960800285136</v>
      </c>
      <c r="U49" s="8">
        <v>1.3222192947339193</v>
      </c>
      <c r="W49" s="19" t="s">
        <v>131</v>
      </c>
      <c r="X49" s="19">
        <v>10</v>
      </c>
      <c r="Y49" s="19">
        <v>2.8462400429050754</v>
      </c>
      <c r="Z49" s="19">
        <v>0.28462400429050755</v>
      </c>
      <c r="AA49" s="19">
        <v>3.3765538613396928E-2</v>
      </c>
    </row>
    <row r="50" spans="16:29" x14ac:dyDescent="0.25">
      <c r="Q50" s="6">
        <v>1.1760912590556813</v>
      </c>
      <c r="R50" s="7">
        <v>1.4471580313422192</v>
      </c>
      <c r="S50" s="7">
        <v>1.6127838567197355</v>
      </c>
      <c r="T50" s="7">
        <v>1.5910646070264991</v>
      </c>
      <c r="U50" s="8">
        <v>1.9590413923210936</v>
      </c>
      <c r="W50" s="19" t="s">
        <v>132</v>
      </c>
      <c r="X50" s="19">
        <v>10</v>
      </c>
      <c r="Y50" s="19">
        <v>2.1904882665125163</v>
      </c>
      <c r="Z50" s="19">
        <v>0.21904882665125164</v>
      </c>
      <c r="AA50" s="19">
        <v>1.9540292928237682E-2</v>
      </c>
    </row>
    <row r="51" spans="16:29" x14ac:dyDescent="0.25">
      <c r="Q51" s="6">
        <v>1.0791812460476249</v>
      </c>
      <c r="R51" s="7">
        <v>1.0413926851582251</v>
      </c>
      <c r="S51" s="7">
        <v>1.1139433523068367</v>
      </c>
      <c r="T51" s="7">
        <v>1.3617278360175928</v>
      </c>
      <c r="U51" s="8">
        <v>1.4313637641589874</v>
      </c>
      <c r="W51" s="19" t="s">
        <v>133</v>
      </c>
      <c r="X51" s="19">
        <v>8</v>
      </c>
      <c r="Y51" s="19">
        <v>1.2800601486764047</v>
      </c>
      <c r="Z51" s="19">
        <v>0.16000751858455059</v>
      </c>
      <c r="AA51" s="19">
        <v>1.559582690694915E-2</v>
      </c>
    </row>
    <row r="52" spans="16:29" ht="15.75" thickBot="1" x14ac:dyDescent="0.3">
      <c r="Q52" s="6">
        <v>0.95424250943932487</v>
      </c>
      <c r="R52" s="7">
        <v>0.95424250943932487</v>
      </c>
      <c r="S52" s="7">
        <v>1.146128035678238</v>
      </c>
      <c r="T52" s="7">
        <v>1.3222192947339193</v>
      </c>
      <c r="U52" s="8">
        <v>1.8061799739838871</v>
      </c>
      <c r="W52" s="20" t="s">
        <v>134</v>
      </c>
      <c r="X52" s="20">
        <v>9</v>
      </c>
      <c r="Y52" s="20">
        <v>1.1730567298574617</v>
      </c>
      <c r="Z52" s="20">
        <v>0.13033963665082907</v>
      </c>
      <c r="AA52" s="20">
        <v>2.4604678834067337E-2</v>
      </c>
    </row>
    <row r="53" spans="16:29" x14ac:dyDescent="0.25">
      <c r="Q53" s="6">
        <v>0.69897000433601886</v>
      </c>
      <c r="R53" s="7">
        <v>1.3617278360175928</v>
      </c>
      <c r="S53" s="7">
        <v>1.3222192947339193</v>
      </c>
      <c r="T53" s="7">
        <v>1.505149978319906</v>
      </c>
      <c r="U53" s="8">
        <v>1.7323937598229686</v>
      </c>
    </row>
    <row r="54" spans="16:29" ht="15.75" thickBot="1" x14ac:dyDescent="0.3">
      <c r="Q54" s="6">
        <v>1.3424226808222062</v>
      </c>
      <c r="R54" s="7">
        <v>1.7075701760979363</v>
      </c>
      <c r="S54" s="7">
        <v>1.4623979978989561</v>
      </c>
      <c r="T54" s="7">
        <v>1.5314789170422551</v>
      </c>
      <c r="U54" s="8">
        <v>1.7558748556724915</v>
      </c>
      <c r="W54" t="s">
        <v>294</v>
      </c>
    </row>
    <row r="55" spans="16:29" x14ac:dyDescent="0.25">
      <c r="Q55" s="6">
        <v>1.0413926851582251</v>
      </c>
      <c r="R55" s="7">
        <v>1.7242758696007889</v>
      </c>
      <c r="S55" s="7">
        <v>1.0791812460476249</v>
      </c>
      <c r="T55" s="31"/>
      <c r="U55" s="263">
        <v>1.8633228601204559</v>
      </c>
      <c r="W55" s="258" t="s">
        <v>466</v>
      </c>
      <c r="X55" s="258" t="s">
        <v>219</v>
      </c>
      <c r="Y55" s="258" t="s">
        <v>60</v>
      </c>
      <c r="Z55" s="258" t="s">
        <v>240</v>
      </c>
      <c r="AA55" s="258" t="s">
        <v>135</v>
      </c>
      <c r="AB55" s="258" t="s">
        <v>119</v>
      </c>
      <c r="AC55" s="258" t="s">
        <v>467</v>
      </c>
    </row>
    <row r="56" spans="16:29" x14ac:dyDescent="0.25">
      <c r="Q56" s="134">
        <v>1.0791812460476249</v>
      </c>
      <c r="R56" s="10">
        <v>1.7853298350107671</v>
      </c>
      <c r="S56" s="10">
        <v>1.6232492903979006</v>
      </c>
      <c r="T56" s="10"/>
      <c r="U56" s="11"/>
      <c r="W56" s="19" t="s">
        <v>462</v>
      </c>
      <c r="X56" s="19">
        <v>0.14821325994609247</v>
      </c>
      <c r="Y56" s="19">
        <v>4</v>
      </c>
      <c r="Z56" s="19">
        <v>3.7053314986523117E-2</v>
      </c>
      <c r="AA56" s="19">
        <v>1.5711095158778194</v>
      </c>
      <c r="AB56" s="19">
        <v>0.19969665090150207</v>
      </c>
      <c r="AC56" s="19">
        <v>2.5942633713457632</v>
      </c>
    </row>
    <row r="57" spans="16:29" x14ac:dyDescent="0.25">
      <c r="P57" t="s">
        <v>7</v>
      </c>
      <c r="Q57">
        <v>1.126932856248628</v>
      </c>
      <c r="R57">
        <v>1.4683168871433474</v>
      </c>
      <c r="S57">
        <v>1.2833536000657051</v>
      </c>
      <c r="T57">
        <v>1.5013046106163257</v>
      </c>
      <c r="U57">
        <v>1.7090678446611325</v>
      </c>
      <c r="W57" s="19" t="s">
        <v>463</v>
      </c>
      <c r="X57" s="19">
        <v>0.99053516874949354</v>
      </c>
      <c r="Y57" s="19">
        <v>42</v>
      </c>
      <c r="Z57" s="19">
        <v>2.3584170684511751E-2</v>
      </c>
      <c r="AA57" s="19"/>
      <c r="AB57" s="19"/>
      <c r="AC57" s="19"/>
    </row>
    <row r="58" spans="16:29" x14ac:dyDescent="0.25">
      <c r="P58" t="s">
        <v>9</v>
      </c>
      <c r="Q58">
        <v>0.22110092771964845</v>
      </c>
      <c r="R58">
        <v>0.33251317956717924</v>
      </c>
      <c r="S58">
        <v>0.26907508203739272</v>
      </c>
      <c r="T58">
        <v>0.21100960029668439</v>
      </c>
      <c r="U58">
        <v>0.20310562279716773</v>
      </c>
      <c r="W58" s="19"/>
      <c r="X58" s="19"/>
      <c r="Y58" s="19"/>
      <c r="Z58" s="19"/>
      <c r="AA58" s="19"/>
      <c r="AB58" s="19"/>
      <c r="AC58" s="19"/>
    </row>
    <row r="59" spans="16:29" ht="15.75" thickBot="1" x14ac:dyDescent="0.3">
      <c r="P59" t="s">
        <v>8</v>
      </c>
      <c r="Q59">
        <v>4.8885620238489205E-2</v>
      </c>
      <c r="R59">
        <v>0.11056501458587517</v>
      </c>
      <c r="S59">
        <v>7.2401399773429631E-2</v>
      </c>
      <c r="T59">
        <v>4.4525051417366512E-2</v>
      </c>
      <c r="U59">
        <v>4.1251894011825385E-2</v>
      </c>
      <c r="W59" s="20" t="s">
        <v>1</v>
      </c>
      <c r="X59" s="20">
        <v>1.138748428695586</v>
      </c>
      <c r="Y59" s="20">
        <v>46</v>
      </c>
      <c r="Z59" s="20"/>
      <c r="AA59" s="20"/>
      <c r="AB59" s="20"/>
      <c r="AC59" s="20"/>
    </row>
    <row r="60" spans="16:29" x14ac:dyDescent="0.25">
      <c r="P60" s="31" t="s">
        <v>580</v>
      </c>
      <c r="Q60">
        <v>1.0965622991772308</v>
      </c>
      <c r="R60">
        <v>1.5773641037200776</v>
      </c>
      <c r="S60">
        <v>1.263169638694922</v>
      </c>
      <c r="T60">
        <v>1.5183144476810806</v>
      </c>
      <c r="U60">
        <v>1.7558748556724915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J28"/>
  <sheetViews>
    <sheetView zoomScaleNormal="100" workbookViewId="0"/>
  </sheetViews>
  <sheetFormatPr defaultRowHeight="15" x14ac:dyDescent="0.25"/>
  <cols>
    <col min="2" max="10" width="11.140625" customWidth="1"/>
  </cols>
  <sheetData>
    <row r="1" spans="1:7" x14ac:dyDescent="0.25">
      <c r="A1" s="1" t="s">
        <v>503</v>
      </c>
    </row>
    <row r="3" spans="1:7" x14ac:dyDescent="0.25">
      <c r="B3" s="179" t="s">
        <v>39</v>
      </c>
      <c r="C3" s="179" t="s">
        <v>40</v>
      </c>
      <c r="D3" s="179" t="s">
        <v>46</v>
      </c>
      <c r="E3" s="179" t="s">
        <v>47</v>
      </c>
    </row>
    <row r="4" spans="1:7" x14ac:dyDescent="0.25">
      <c r="B4" s="179">
        <v>51</v>
      </c>
      <c r="C4" s="179">
        <v>82</v>
      </c>
      <c r="D4" s="179">
        <v>79</v>
      </c>
      <c r="E4" s="179">
        <v>185</v>
      </c>
    </row>
    <row r="5" spans="1:7" x14ac:dyDescent="0.25">
      <c r="B5" s="50">
        <v>87</v>
      </c>
      <c r="C5" s="50">
        <v>91</v>
      </c>
      <c r="D5" s="50">
        <v>84</v>
      </c>
      <c r="E5" s="50">
        <v>80</v>
      </c>
    </row>
    <row r="6" spans="1:7" x14ac:dyDescent="0.25">
      <c r="B6" s="50">
        <v>50</v>
      </c>
      <c r="C6" s="50">
        <v>92</v>
      </c>
      <c r="D6" s="50">
        <v>74</v>
      </c>
      <c r="E6" s="50">
        <v>65</v>
      </c>
    </row>
    <row r="7" spans="1:7" x14ac:dyDescent="0.25">
      <c r="B7" s="50">
        <v>48</v>
      </c>
      <c r="C7" s="50">
        <v>80</v>
      </c>
      <c r="D7" s="50">
        <v>98</v>
      </c>
      <c r="E7" s="50">
        <v>71</v>
      </c>
    </row>
    <row r="8" spans="1:7" x14ac:dyDescent="0.25">
      <c r="B8" s="50">
        <v>79</v>
      </c>
      <c r="C8" s="50">
        <v>52</v>
      </c>
      <c r="D8" s="50">
        <v>63</v>
      </c>
      <c r="E8" s="50">
        <v>67</v>
      </c>
    </row>
    <row r="9" spans="1:7" x14ac:dyDescent="0.25">
      <c r="B9" s="50">
        <v>61</v>
      </c>
      <c r="C9" s="50">
        <v>79</v>
      </c>
      <c r="D9" s="50">
        <v>83</v>
      </c>
      <c r="E9" s="50">
        <v>51</v>
      </c>
    </row>
    <row r="10" spans="1:7" x14ac:dyDescent="0.25">
      <c r="B10" s="50">
        <v>53</v>
      </c>
      <c r="C10" s="50">
        <v>73</v>
      </c>
      <c r="D10" s="50">
        <v>85</v>
      </c>
      <c r="E10" s="50">
        <v>63</v>
      </c>
    </row>
    <row r="11" spans="1:7" x14ac:dyDescent="0.25">
      <c r="B11" s="188">
        <v>54</v>
      </c>
      <c r="C11" s="188">
        <v>74</v>
      </c>
      <c r="D11" s="188">
        <v>58</v>
      </c>
      <c r="E11" s="188">
        <v>93</v>
      </c>
      <c r="F11" t="s">
        <v>497</v>
      </c>
    </row>
    <row r="12" spans="1:7" ht="18" x14ac:dyDescent="0.35">
      <c r="A12" s="207" t="s">
        <v>470</v>
      </c>
      <c r="B12" s="152">
        <f>AVERAGE(B4:B11)</f>
        <v>60.375</v>
      </c>
      <c r="C12" s="152">
        <f>AVERAGE(C4:C11)</f>
        <v>77.875</v>
      </c>
      <c r="D12" s="152">
        <f>AVERAGE(D4:D11)</f>
        <v>78</v>
      </c>
      <c r="E12" s="152">
        <f>AVERAGE(E4:E11)</f>
        <v>84.375</v>
      </c>
      <c r="F12" s="216"/>
      <c r="G12" s="152"/>
    </row>
    <row r="13" spans="1:7" ht="18" x14ac:dyDescent="0.35">
      <c r="A13" s="207" t="s">
        <v>504</v>
      </c>
      <c r="B13" s="152">
        <f>COUNT(B4:B11)-1</f>
        <v>7</v>
      </c>
      <c r="C13" s="152">
        <f>COUNT(C4:C11)-1</f>
        <v>7</v>
      </c>
      <c r="D13" s="152">
        <f>COUNT(D4:D11)-1</f>
        <v>7</v>
      </c>
      <c r="E13" s="152">
        <f>COUNT(E4:E11)-1</f>
        <v>7</v>
      </c>
      <c r="F13" s="50">
        <f>SUM(B13:E13)</f>
        <v>28</v>
      </c>
      <c r="G13" s="152"/>
    </row>
    <row r="14" spans="1:7" ht="18.75" x14ac:dyDescent="0.35">
      <c r="A14" s="207" t="s">
        <v>491</v>
      </c>
      <c r="B14" s="188">
        <f>VAR(B4:B11)</f>
        <v>214.26785714285714</v>
      </c>
      <c r="C14" s="188">
        <f>VAR(C4:C11)</f>
        <v>157.55357142857142</v>
      </c>
      <c r="D14" s="188">
        <f>VAR(D4:D11)</f>
        <v>164.57142857142858</v>
      </c>
      <c r="E14" s="188">
        <f>VAR(E4:E11)</f>
        <v>1806.5535714285713</v>
      </c>
      <c r="F14" s="217">
        <f>SUMPRODUCT(B13:E13,B14:E14)</f>
        <v>16400.625</v>
      </c>
    </row>
    <row r="15" spans="1:7" ht="18" x14ac:dyDescent="0.35">
      <c r="A15" s="207"/>
      <c r="E15" s="13" t="s">
        <v>481</v>
      </c>
      <c r="F15">
        <f>F14/F13</f>
        <v>585.73660714285711</v>
      </c>
    </row>
    <row r="16" spans="1:7" ht="18" x14ac:dyDescent="0.35">
      <c r="A16" s="207"/>
      <c r="E16" s="206" t="s">
        <v>506</v>
      </c>
      <c r="F16" s="135">
        <f>SQRT(F15)</f>
        <v>24.201995933039431</v>
      </c>
    </row>
    <row r="18" spans="2:10" x14ac:dyDescent="0.25">
      <c r="B18" t="s">
        <v>505</v>
      </c>
      <c r="G18" t="s">
        <v>503</v>
      </c>
      <c r="I18" s="40" t="s">
        <v>48</v>
      </c>
      <c r="J18">
        <v>0.02</v>
      </c>
    </row>
    <row r="20" spans="2:10" x14ac:dyDescent="0.25">
      <c r="B20" s="179" t="s">
        <v>39</v>
      </c>
      <c r="C20" s="179" t="s">
        <v>40</v>
      </c>
      <c r="D20" s="179" t="s">
        <v>46</v>
      </c>
      <c r="E20" s="179" t="s">
        <v>47</v>
      </c>
      <c r="G20" s="179" t="s">
        <v>39</v>
      </c>
      <c r="H20" s="179" t="s">
        <v>40</v>
      </c>
      <c r="I20" s="179" t="s">
        <v>46</v>
      </c>
      <c r="J20" s="179" t="s">
        <v>47</v>
      </c>
    </row>
    <row r="21" spans="2:10" x14ac:dyDescent="0.25">
      <c r="B21" s="212">
        <f t="shared" ref="B21:E28" si="0">(B4-B$12)/$F$16</f>
        <v>-0.3873647456985847</v>
      </c>
      <c r="C21" s="212">
        <f t="shared" si="0"/>
        <v>0.17044048810737727</v>
      </c>
      <c r="D21" s="212">
        <f t="shared" si="0"/>
        <v>4.1318906207849032E-2</v>
      </c>
      <c r="E21" s="212">
        <f t="shared" si="0"/>
        <v>4.1577149371648092</v>
      </c>
      <c r="G21" s="213" t="str">
        <f>IF(NORMSDIST(ABS(B21))&gt;1-$J$18/2,"outlier","ok")</f>
        <v>ok</v>
      </c>
      <c r="H21" s="213" t="str">
        <f>IF(NORMSDIST(ABS(C21))&gt;1-$J$18/2,"outlier","ok")</f>
        <v>ok</v>
      </c>
      <c r="I21" s="213" t="str">
        <f>IF(NORMSDIST(ABS(D21))&gt;1-$J$18/2,"outlier","ok")</f>
        <v>ok</v>
      </c>
      <c r="J21" s="213" t="str">
        <f>IF(NORMSDIST(ABS(E21))&gt;1-$J$18/2,"outlier","ok")</f>
        <v>outlier</v>
      </c>
    </row>
    <row r="22" spans="2:10" x14ac:dyDescent="0.25">
      <c r="B22" s="25">
        <f t="shared" si="0"/>
        <v>1.1001158777839806</v>
      </c>
      <c r="C22" s="25">
        <f t="shared" si="0"/>
        <v>0.54231064397801854</v>
      </c>
      <c r="D22" s="25">
        <f t="shared" si="0"/>
        <v>0.24791343724709419</v>
      </c>
      <c r="E22" s="25">
        <f t="shared" si="0"/>
        <v>-0.18077021465933951</v>
      </c>
      <c r="G22" s="50" t="str">
        <f t="shared" ref="G22:G28" si="1">IF(NORMSDIST(ABS(B22))&gt;1-$J$18/2,"outlier","ok")</f>
        <v>ok</v>
      </c>
      <c r="H22" s="50" t="str">
        <f t="shared" ref="H22:H28" si="2">IF(NORMSDIST(ABS(C22))&gt;1-$J$18/2,"outlier","ok")</f>
        <v>ok</v>
      </c>
      <c r="I22" s="50" t="str">
        <f t="shared" ref="I22:I28" si="3">IF(NORMSDIST(ABS(D22))&gt;1-$J$18/2,"outlier","ok")</f>
        <v>ok</v>
      </c>
      <c r="J22" s="50" t="str">
        <f t="shared" ref="J22:J28" si="4">IF(NORMSDIST(ABS(E22))&gt;1-$J$18/2,"outlier","ok")</f>
        <v>ok</v>
      </c>
    </row>
    <row r="23" spans="2:10" x14ac:dyDescent="0.25">
      <c r="B23" s="25">
        <f t="shared" si="0"/>
        <v>-0.4286836519064337</v>
      </c>
      <c r="C23" s="25">
        <f t="shared" si="0"/>
        <v>0.5836295501858676</v>
      </c>
      <c r="D23" s="25">
        <f t="shared" si="0"/>
        <v>-0.16527562483139613</v>
      </c>
      <c r="E23" s="25">
        <f t="shared" si="0"/>
        <v>-0.80055380777707508</v>
      </c>
      <c r="G23" s="50" t="str">
        <f t="shared" si="1"/>
        <v>ok</v>
      </c>
      <c r="H23" s="50" t="str">
        <f t="shared" si="2"/>
        <v>ok</v>
      </c>
      <c r="I23" s="50" t="str">
        <f t="shared" si="3"/>
        <v>ok</v>
      </c>
      <c r="J23" s="50" t="str">
        <f t="shared" si="4"/>
        <v>ok</v>
      </c>
    </row>
    <row r="24" spans="2:10" x14ac:dyDescent="0.25">
      <c r="B24" s="25">
        <f t="shared" si="0"/>
        <v>-0.51132146432213177</v>
      </c>
      <c r="C24" s="25">
        <f t="shared" si="0"/>
        <v>8.7802675691679197E-2</v>
      </c>
      <c r="D24" s="25">
        <f t="shared" si="0"/>
        <v>0.82637812415698064</v>
      </c>
      <c r="E24" s="25">
        <f t="shared" si="0"/>
        <v>-0.55264037052998083</v>
      </c>
      <c r="G24" s="50" t="str">
        <f t="shared" si="1"/>
        <v>ok</v>
      </c>
      <c r="H24" s="50" t="str">
        <f t="shared" si="2"/>
        <v>ok</v>
      </c>
      <c r="I24" s="50" t="str">
        <f t="shared" si="3"/>
        <v>ok</v>
      </c>
      <c r="J24" s="50" t="str">
        <f t="shared" si="4"/>
        <v>ok</v>
      </c>
    </row>
    <row r="25" spans="2:10" x14ac:dyDescent="0.25">
      <c r="B25" s="25">
        <f t="shared" si="0"/>
        <v>0.7695646281211882</v>
      </c>
      <c r="C25" s="25">
        <f t="shared" si="0"/>
        <v>-1.0691266981280938</v>
      </c>
      <c r="D25" s="25">
        <f t="shared" si="0"/>
        <v>-0.61978359311773545</v>
      </c>
      <c r="E25" s="25">
        <f t="shared" si="0"/>
        <v>-0.71791599536137696</v>
      </c>
      <c r="G25" s="50" t="str">
        <f t="shared" si="1"/>
        <v>ok</v>
      </c>
      <c r="H25" s="50" t="str">
        <f t="shared" si="2"/>
        <v>ok</v>
      </c>
      <c r="I25" s="50" t="str">
        <f t="shared" si="3"/>
        <v>ok</v>
      </c>
      <c r="J25" s="50" t="str">
        <f t="shared" si="4"/>
        <v>ok</v>
      </c>
    </row>
    <row r="26" spans="2:10" x14ac:dyDescent="0.25">
      <c r="B26" s="25">
        <f t="shared" si="0"/>
        <v>2.5824316379905645E-2</v>
      </c>
      <c r="C26" s="25">
        <f t="shared" si="0"/>
        <v>4.6483769483830165E-2</v>
      </c>
      <c r="D26" s="25">
        <f t="shared" si="0"/>
        <v>0.20659453103924516</v>
      </c>
      <c r="E26" s="25">
        <f t="shared" si="0"/>
        <v>-1.3790184946869615</v>
      </c>
      <c r="G26" s="50" t="str">
        <f t="shared" si="1"/>
        <v>ok</v>
      </c>
      <c r="H26" s="50" t="str">
        <f t="shared" si="2"/>
        <v>ok</v>
      </c>
      <c r="I26" s="50" t="str">
        <f t="shared" si="3"/>
        <v>ok</v>
      </c>
      <c r="J26" s="50" t="str">
        <f t="shared" si="4"/>
        <v>ok</v>
      </c>
    </row>
    <row r="27" spans="2:10" x14ac:dyDescent="0.25">
      <c r="B27" s="25">
        <f t="shared" si="0"/>
        <v>-0.30472693328288664</v>
      </c>
      <c r="C27" s="25">
        <f t="shared" si="0"/>
        <v>-0.20142966776326404</v>
      </c>
      <c r="D27" s="25">
        <f t="shared" si="0"/>
        <v>0.28923234345494325</v>
      </c>
      <c r="E27" s="25">
        <f t="shared" si="0"/>
        <v>-0.88319162019277309</v>
      </c>
      <c r="G27" s="50" t="str">
        <f t="shared" si="1"/>
        <v>ok</v>
      </c>
      <c r="H27" s="50" t="str">
        <f t="shared" si="2"/>
        <v>ok</v>
      </c>
      <c r="I27" s="50" t="str">
        <f t="shared" si="3"/>
        <v>ok</v>
      </c>
      <c r="J27" s="50" t="str">
        <f t="shared" si="4"/>
        <v>ok</v>
      </c>
    </row>
    <row r="28" spans="2:10" x14ac:dyDescent="0.25">
      <c r="B28" s="206">
        <f t="shared" si="0"/>
        <v>-0.26340802707503758</v>
      </c>
      <c r="C28" s="206">
        <f t="shared" si="0"/>
        <v>-0.16011076155541501</v>
      </c>
      <c r="D28" s="206">
        <f t="shared" si="0"/>
        <v>-0.82637812415698064</v>
      </c>
      <c r="E28" s="206">
        <f t="shared" si="0"/>
        <v>0.35637556604269793</v>
      </c>
      <c r="G28" s="188" t="str">
        <f t="shared" si="1"/>
        <v>ok</v>
      </c>
      <c r="H28" s="188" t="str">
        <f t="shared" si="2"/>
        <v>ok</v>
      </c>
      <c r="I28" s="188" t="str">
        <f t="shared" si="3"/>
        <v>ok</v>
      </c>
      <c r="J28" s="188" t="str">
        <f t="shared" si="4"/>
        <v>ok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X41"/>
  <sheetViews>
    <sheetView workbookViewId="0"/>
  </sheetViews>
  <sheetFormatPr defaultRowHeight="15" x14ac:dyDescent="0.25"/>
  <cols>
    <col min="1" max="1" width="9" customWidth="1"/>
    <col min="2" max="4" width="7" customWidth="1"/>
    <col min="6" max="6" width="12.28515625" customWidth="1"/>
    <col min="7" max="9" width="7" customWidth="1"/>
    <col min="10" max="10" width="8.28515625" customWidth="1"/>
    <col min="12" max="12" width="17.28515625" customWidth="1"/>
  </cols>
  <sheetData>
    <row r="1" spans="1:24" x14ac:dyDescent="0.25">
      <c r="A1" s="1" t="s">
        <v>1272</v>
      </c>
    </row>
    <row r="3" spans="1:24" x14ac:dyDescent="0.25">
      <c r="A3" s="1" t="s">
        <v>1273</v>
      </c>
      <c r="F3" s="17" t="s">
        <v>1274</v>
      </c>
      <c r="L3" t="s">
        <v>464</v>
      </c>
      <c r="T3" t="s">
        <v>1585</v>
      </c>
    </row>
    <row r="4" spans="1:24" x14ac:dyDescent="0.25">
      <c r="B4" s="598" t="s">
        <v>75</v>
      </c>
      <c r="C4" s="598" t="s">
        <v>76</v>
      </c>
      <c r="D4" s="598" t="s">
        <v>91</v>
      </c>
      <c r="G4" s="598" t="s">
        <v>75</v>
      </c>
      <c r="H4" s="598" t="s">
        <v>76</v>
      </c>
      <c r="I4" s="598" t="s">
        <v>91</v>
      </c>
    </row>
    <row r="5" spans="1:24" ht="15.75" thickBot="1" x14ac:dyDescent="0.3">
      <c r="B5" s="616">
        <v>46</v>
      </c>
      <c r="C5" s="617">
        <v>44</v>
      </c>
      <c r="D5" s="618">
        <v>26</v>
      </c>
      <c r="E5" s="7"/>
      <c r="G5" s="611">
        <f>IF(ISNUMBER(B5), [1]!RANK_AVG(B5,$B$5:$D$14,1),"")</f>
        <v>23</v>
      </c>
      <c r="H5" s="612">
        <f>IF(ISNUMBER(C5), [1]!RANK_AVG(C5,$B$5:$D$14,1),"")</f>
        <v>20</v>
      </c>
      <c r="I5" s="613">
        <f>IF(ISNUMBER(D5), [1]!RANK_AVG(D5,$B$5:$D$14,1),"")</f>
        <v>5</v>
      </c>
      <c r="L5" t="s">
        <v>62</v>
      </c>
      <c r="T5" t="s">
        <v>1586</v>
      </c>
    </row>
    <row r="6" spans="1:24" x14ac:dyDescent="0.25">
      <c r="B6" s="540">
        <v>32</v>
      </c>
      <c r="C6" s="599">
        <v>31</v>
      </c>
      <c r="D6" s="494">
        <v>49</v>
      </c>
      <c r="E6" s="7"/>
      <c r="G6" s="532">
        <f>IF(ISNUMBER(B6), [1]!RANK_AVG(B6,$B$5:$D$14,1),"")</f>
        <v>10.5</v>
      </c>
      <c r="H6" s="7">
        <f>IF(ISNUMBER(C6), [1]!RANK_AVG(C6,$B$5:$D$14,1),"")</f>
        <v>8.5</v>
      </c>
      <c r="I6" s="533">
        <f>IF(ISNUMBER(D6), [1]!RANK_AVG(D6,$B$5:$D$14,1),"")</f>
        <v>25.5</v>
      </c>
      <c r="L6" s="600" t="s">
        <v>79</v>
      </c>
      <c r="M6" s="600" t="s">
        <v>22</v>
      </c>
      <c r="N6" s="600" t="s">
        <v>21</v>
      </c>
      <c r="O6" s="600" t="s">
        <v>465</v>
      </c>
      <c r="P6" s="600" t="s">
        <v>80</v>
      </c>
    </row>
    <row r="7" spans="1:24" x14ac:dyDescent="0.25">
      <c r="B7" s="540">
        <v>42</v>
      </c>
      <c r="C7" s="599">
        <v>25</v>
      </c>
      <c r="D7" s="494">
        <v>33</v>
      </c>
      <c r="E7" s="7"/>
      <c r="G7" s="532">
        <f>IF(ISNUMBER(B7), [1]!RANK_AVG(B7,$B$5:$D$14,1),"")</f>
        <v>18</v>
      </c>
      <c r="H7" s="7">
        <f>IF(ISNUMBER(C7), [1]!RANK_AVG(C7,$B$5:$D$14,1),"")</f>
        <v>4</v>
      </c>
      <c r="I7" s="533">
        <f>IF(ISNUMBER(D7), [1]!RANK_AVG(D7,$B$5:$D$14,1),"")</f>
        <v>12</v>
      </c>
      <c r="L7" s="19" t="s">
        <v>75</v>
      </c>
      <c r="M7" s="19">
        <v>10</v>
      </c>
      <c r="N7" s="19">
        <v>187.5</v>
      </c>
      <c r="O7" s="19">
        <v>18.75</v>
      </c>
      <c r="P7" s="19">
        <v>25.125</v>
      </c>
      <c r="U7" t="str">
        <f>B4</f>
        <v>New</v>
      </c>
      <c r="V7" t="str">
        <f>C4</f>
        <v>Old</v>
      </c>
      <c r="W7" t="str">
        <f>D4</f>
        <v>Control</v>
      </c>
    </row>
    <row r="8" spans="1:24" x14ac:dyDescent="0.25">
      <c r="B8" s="540">
        <v>45</v>
      </c>
      <c r="C8" s="599">
        <v>22</v>
      </c>
      <c r="D8" s="494">
        <v>19</v>
      </c>
      <c r="E8" s="7"/>
      <c r="G8" s="532">
        <f>IF(ISNUMBER(B8), [1]!RANK_AVG(B8,$B$5:$D$14,1),"")</f>
        <v>22</v>
      </c>
      <c r="H8" s="7">
        <f>IF(ISNUMBER(C8), [1]!RANK_AVG(C8,$B$5:$D$14,1),"")</f>
        <v>3</v>
      </c>
      <c r="I8" s="533">
        <f>IF(ISNUMBER(D8), [1]!RANK_AVG(D8,$B$5:$D$14,1),"")</f>
        <v>1.5</v>
      </c>
      <c r="L8" s="19" t="s">
        <v>76</v>
      </c>
      <c r="M8" s="19">
        <v>9</v>
      </c>
      <c r="N8" s="19">
        <v>76.5</v>
      </c>
      <c r="O8" s="19">
        <v>8.5</v>
      </c>
      <c r="P8" s="19">
        <v>37.5</v>
      </c>
      <c r="T8" t="s">
        <v>580</v>
      </c>
      <c r="U8" s="732">
        <f>MEDIAN(B5:B14)</f>
        <v>43</v>
      </c>
      <c r="V8" s="733">
        <f>MEDIAN(C5:C14)</f>
        <v>30</v>
      </c>
      <c r="W8" s="734">
        <f>MEDIAN(D5:D14)</f>
        <v>35.5</v>
      </c>
    </row>
    <row r="9" spans="1:24" ht="15.75" thickBot="1" x14ac:dyDescent="0.3">
      <c r="B9" s="540">
        <v>37</v>
      </c>
      <c r="C9" s="599">
        <v>30</v>
      </c>
      <c r="D9" s="494">
        <v>31</v>
      </c>
      <c r="E9" s="7"/>
      <c r="G9" s="532">
        <f>IF(ISNUMBER(B9), [1]!RANK_AVG(B9,$B$5:$D$14,1),"")</f>
        <v>13</v>
      </c>
      <c r="H9" s="7">
        <f>IF(ISNUMBER(C9), [1]!RANK_AVG(C9,$B$5:$D$14,1),"")</f>
        <v>6.5</v>
      </c>
      <c r="I9" s="533">
        <f>IF(ISNUMBER(D9), [1]!RANK_AVG(D9,$B$5:$D$14,1),"")</f>
        <v>8.5</v>
      </c>
      <c r="L9" s="20" t="s">
        <v>91</v>
      </c>
      <c r="M9" s="20">
        <v>8</v>
      </c>
      <c r="N9" s="20">
        <v>114</v>
      </c>
      <c r="O9" s="20">
        <v>14.25</v>
      </c>
      <c r="P9" s="20">
        <v>86.928571428571431</v>
      </c>
      <c r="T9" t="s">
        <v>1226</v>
      </c>
      <c r="U9" s="501">
        <f>[1]!RANK_SUM(B5:D14, 1,1)</f>
        <v>187.5</v>
      </c>
      <c r="V9" s="7">
        <f>[1]!RANK_SUM(B5:D14, 2,1)</f>
        <v>76.5</v>
      </c>
      <c r="W9" s="57">
        <f>[1]!RANK_SUM(B5:D14, 3,1)</f>
        <v>114</v>
      </c>
    </row>
    <row r="10" spans="1:24" x14ac:dyDescent="0.25">
      <c r="B10" s="540">
        <v>44</v>
      </c>
      <c r="C10" s="599">
        <v>30</v>
      </c>
      <c r="D10" s="494">
        <v>38</v>
      </c>
      <c r="E10" s="7"/>
      <c r="G10" s="532">
        <f>IF(ISNUMBER(B10), [1]!RANK_AVG(B10,$B$5:$D$14,1),"")</f>
        <v>20</v>
      </c>
      <c r="H10" s="7">
        <f>IF(ISNUMBER(C10), [1]!RANK_AVG(C10,$B$5:$D$14,1),"")</f>
        <v>6.5</v>
      </c>
      <c r="I10" s="533">
        <f>IF(ISNUMBER(D10), [1]!RANK_AVG(D10,$B$5:$D$14,1),"")</f>
        <v>14.5</v>
      </c>
      <c r="T10" t="s">
        <v>216</v>
      </c>
      <c r="U10" s="501">
        <f>COUNT(B5:B14)</f>
        <v>10</v>
      </c>
      <c r="V10" s="7">
        <f>COUNT(C5:C14)</f>
        <v>9</v>
      </c>
      <c r="W10" s="7">
        <f>COUNT(D5:D14)</f>
        <v>8</v>
      </c>
      <c r="X10" s="28">
        <f>SUM(U10:W10)</f>
        <v>27</v>
      </c>
    </row>
    <row r="11" spans="1:24" x14ac:dyDescent="0.25">
      <c r="B11" s="540">
        <v>38</v>
      </c>
      <c r="C11" s="599">
        <v>32</v>
      </c>
      <c r="D11" s="494">
        <v>44</v>
      </c>
      <c r="E11" s="7"/>
      <c r="G11" s="532">
        <f>IF(ISNUMBER(B11), [1]!RANK_AVG(B11,$B$5:$D$14,1),"")</f>
        <v>14.5</v>
      </c>
      <c r="H11" s="7">
        <f>IF(ISNUMBER(C11), [1]!RANK_AVG(C11,$B$5:$D$14,1),"")</f>
        <v>10.5</v>
      </c>
      <c r="I11" s="533">
        <f>IF(ISNUMBER(D11), [1]!RANK_AVG(D11,$B$5:$D$14,1),"")</f>
        <v>20</v>
      </c>
      <c r="T11" t="s">
        <v>2447</v>
      </c>
      <c r="U11" s="373">
        <f>U9^2/U10</f>
        <v>3515.625</v>
      </c>
      <c r="V11" s="491">
        <f>V9^2/V10</f>
        <v>650.25</v>
      </c>
      <c r="W11" s="760">
        <f>W9^2/W10</f>
        <v>1624.5</v>
      </c>
      <c r="X11" s="503">
        <f>SUM(U11:W11)</f>
        <v>5790.375</v>
      </c>
    </row>
    <row r="12" spans="1:24" ht="15.75" thickBot="1" x14ac:dyDescent="0.3">
      <c r="B12" s="540">
        <v>47</v>
      </c>
      <c r="C12" s="599">
        <v>19</v>
      </c>
      <c r="D12" s="494">
        <v>50</v>
      </c>
      <c r="E12" s="7"/>
      <c r="G12" s="532">
        <f>IF(ISNUMBER(B12), [1]!RANK_AVG(B12,$B$5:$D$14,1),"")</f>
        <v>24</v>
      </c>
      <c r="H12" s="7">
        <f>IF(ISNUMBER(C12), [1]!RANK_AVG(C12,$B$5:$D$14,1),"")</f>
        <v>1.5</v>
      </c>
      <c r="I12" s="533">
        <f>IF(ISNUMBER(D12), [1]!RANK_AVG(D12,$B$5:$D$14,1),"")</f>
        <v>27</v>
      </c>
      <c r="L12" t="s">
        <v>294</v>
      </c>
      <c r="T12" t="s">
        <v>1278</v>
      </c>
      <c r="X12" s="503">
        <f>12*X11/(X10*(X10+1))-3*(X10+1)</f>
        <v>7.9107142857142918</v>
      </c>
    </row>
    <row r="13" spans="1:24" x14ac:dyDescent="0.25">
      <c r="B13" s="540">
        <v>49</v>
      </c>
      <c r="C13" s="599">
        <v>40</v>
      </c>
      <c r="D13" s="494"/>
      <c r="E13" s="7"/>
      <c r="G13" s="532">
        <f>IF(ISNUMBER(B13), [1]!RANK_AVG(B13,$B$5:$D$14,1),"")</f>
        <v>25.5</v>
      </c>
      <c r="H13" s="7">
        <f>IF(ISNUMBER(C13), [1]!RANK_AVG(C13,$B$5:$D$14,1),"")</f>
        <v>16</v>
      </c>
      <c r="I13" s="533" t="str">
        <f>IF(ISNUMBER(D13), [1]!RANK_AVG(D13,$B$5:$D$14,1),"")</f>
        <v/>
      </c>
      <c r="L13" s="600" t="s">
        <v>466</v>
      </c>
      <c r="M13" s="600" t="s">
        <v>219</v>
      </c>
      <c r="N13" s="600" t="s">
        <v>60</v>
      </c>
      <c r="O13" s="600" t="s">
        <v>240</v>
      </c>
      <c r="P13" s="600" t="s">
        <v>135</v>
      </c>
      <c r="Q13" s="600" t="s">
        <v>119</v>
      </c>
      <c r="R13" s="600" t="s">
        <v>467</v>
      </c>
      <c r="T13" s="371" t="s">
        <v>2456</v>
      </c>
      <c r="X13" s="503">
        <f>X12/(1-[1]!TiesCorrection(B5:D14)/(X10*(X10^2-1)))</f>
        <v>7.9349357011635089</v>
      </c>
    </row>
    <row r="14" spans="1:24" x14ac:dyDescent="0.25">
      <c r="B14" s="436">
        <v>41</v>
      </c>
      <c r="C14" s="601"/>
      <c r="D14" s="38"/>
      <c r="E14" s="7"/>
      <c r="G14" s="409">
        <f>IF(ISNUMBER(B14), [1]!RANK_AVG(B14,$B$5:$D$14,1),"")</f>
        <v>17</v>
      </c>
      <c r="H14" s="10" t="str">
        <f>IF(ISNUMBER(C14), [1]!RANK_AVG(C14,$B$5:$D$14,1),"")</f>
        <v/>
      </c>
      <c r="I14" s="11" t="str">
        <f>IF(ISNUMBER(D14), [1]!RANK_AVG(D14,$B$5:$D$14,1),"")</f>
        <v/>
      </c>
      <c r="L14" s="19" t="s">
        <v>462</v>
      </c>
      <c r="M14" s="19">
        <v>498.375</v>
      </c>
      <c r="N14" s="19">
        <v>2</v>
      </c>
      <c r="O14" s="19">
        <v>249.1875</v>
      </c>
      <c r="P14" s="19">
        <v>5.2709044838603063</v>
      </c>
      <c r="Q14" s="19">
        <v>1.2658841571623478E-2</v>
      </c>
      <c r="R14" s="19">
        <v>3.4028261053501945</v>
      </c>
      <c r="T14" t="s">
        <v>60</v>
      </c>
      <c r="X14" s="503">
        <f>COUNTA(U7:W7)-1</f>
        <v>2</v>
      </c>
    </row>
    <row r="15" spans="1:24" x14ac:dyDescent="0.25">
      <c r="A15" t="s">
        <v>7</v>
      </c>
      <c r="B15">
        <f>AVERAGE(B5:B14)</f>
        <v>42.1</v>
      </c>
      <c r="C15">
        <f>AVERAGE(C5:C14)</f>
        <v>30.333333333333332</v>
      </c>
      <c r="D15">
        <f>AVERAGE(D5:D14)</f>
        <v>36.25</v>
      </c>
      <c r="F15" t="s">
        <v>1275</v>
      </c>
      <c r="G15" s="611">
        <f>SUM(G5:G14)</f>
        <v>187.5</v>
      </c>
      <c r="H15" s="612">
        <f>SUM(H5:H14)</f>
        <v>76.5</v>
      </c>
      <c r="I15" s="613">
        <f>SUM(I5:I14)</f>
        <v>114</v>
      </c>
      <c r="L15" s="19" t="s">
        <v>463</v>
      </c>
      <c r="M15" s="19">
        <v>1134.625</v>
      </c>
      <c r="N15" s="19">
        <v>24</v>
      </c>
      <c r="O15" s="19">
        <v>47.276041666666664</v>
      </c>
      <c r="P15" s="19"/>
      <c r="Q15" s="19"/>
      <c r="R15" s="19"/>
      <c r="T15" t="s">
        <v>67</v>
      </c>
      <c r="X15" s="503">
        <f>CHIDIST(X13,X14)</f>
        <v>1.8921284045144451E-2</v>
      </c>
    </row>
    <row r="16" spans="1:24" x14ac:dyDescent="0.25">
      <c r="A16" t="s">
        <v>8</v>
      </c>
      <c r="B16">
        <f>VAR(B5:B14)</f>
        <v>27.211111111111272</v>
      </c>
      <c r="C16">
        <f>VAR(C5:C14)</f>
        <v>63.75</v>
      </c>
      <c r="D16">
        <f>VAR(D5:D14)</f>
        <v>122.21428571428571</v>
      </c>
      <c r="F16" t="s">
        <v>1276</v>
      </c>
      <c r="G16" s="532">
        <f>COUNT(G5:G14)</f>
        <v>10</v>
      </c>
      <c r="H16" s="7">
        <f>COUNT(H5:H14)</f>
        <v>9</v>
      </c>
      <c r="I16" s="533">
        <f>COUNT(I5:I14)</f>
        <v>8</v>
      </c>
      <c r="J16" s="614">
        <f>SUM(G16:I16)</f>
        <v>27</v>
      </c>
      <c r="L16" s="19"/>
      <c r="M16" s="19"/>
      <c r="N16" s="19"/>
      <c r="O16" s="19"/>
      <c r="P16" s="19"/>
      <c r="Q16" s="19"/>
      <c r="R16" s="19"/>
      <c r="T16" t="s">
        <v>106</v>
      </c>
      <c r="X16" s="503">
        <v>0.05</v>
      </c>
    </row>
    <row r="17" spans="1:24" ht="18" thickBot="1" x14ac:dyDescent="0.3">
      <c r="F17" s="30" t="s">
        <v>1277</v>
      </c>
      <c r="G17" s="409">
        <f>G15^2/G16</f>
        <v>3515.625</v>
      </c>
      <c r="H17" s="10">
        <f>H15^2/H16</f>
        <v>650.25</v>
      </c>
      <c r="I17" s="11">
        <f>I15^2/I16</f>
        <v>1624.5</v>
      </c>
      <c r="J17" s="420">
        <f>SUM(G17:I17)</f>
        <v>5790.375</v>
      </c>
      <c r="L17" s="20" t="s">
        <v>1</v>
      </c>
      <c r="M17" s="20">
        <v>1633</v>
      </c>
      <c r="N17" s="20">
        <v>26</v>
      </c>
      <c r="O17" s="20"/>
      <c r="P17" s="20"/>
      <c r="Q17" s="20"/>
      <c r="R17" s="20"/>
      <c r="T17" t="s">
        <v>527</v>
      </c>
      <c r="X17" s="414" t="str">
        <f>IF(X15&lt;X16,"yes","no")</f>
        <v>yes</v>
      </c>
    </row>
    <row r="18" spans="1:24" x14ac:dyDescent="0.25">
      <c r="F18" s="372" t="s">
        <v>1278</v>
      </c>
      <c r="J18" s="503">
        <f>12*J17/(J16*(J16+1))-3*(J16+1)</f>
        <v>7.9107142857142918</v>
      </c>
    </row>
    <row r="19" spans="1:24" ht="18" x14ac:dyDescent="0.35">
      <c r="F19" s="372" t="s">
        <v>60</v>
      </c>
      <c r="J19" s="503">
        <f>COUNTA(G4:I4)-1</f>
        <v>2</v>
      </c>
      <c r="L19" t="s">
        <v>1279</v>
      </c>
      <c r="M19" s="614">
        <f>M14</f>
        <v>498.375</v>
      </c>
    </row>
    <row r="20" spans="1:24" x14ac:dyDescent="0.25">
      <c r="F20" s="372" t="s">
        <v>103</v>
      </c>
      <c r="J20" s="503">
        <f>CHIDIST(J18,J19)</f>
        <v>1.9151827389726969E-2</v>
      </c>
      <c r="L20" t="s">
        <v>1280</v>
      </c>
      <c r="M20" s="503">
        <f>J16*(J16+1)/12</f>
        <v>63</v>
      </c>
    </row>
    <row r="21" spans="1:24" x14ac:dyDescent="0.25">
      <c r="F21" s="372" t="s">
        <v>48</v>
      </c>
      <c r="J21" s="503">
        <v>0.05</v>
      </c>
      <c r="L21" t="s">
        <v>1278</v>
      </c>
      <c r="M21" s="420">
        <f>M19/M20</f>
        <v>7.9107142857142856</v>
      </c>
    </row>
    <row r="22" spans="1:24" x14ac:dyDescent="0.25">
      <c r="F22" s="372" t="s">
        <v>527</v>
      </c>
      <c r="J22" s="414" t="str">
        <f>IF(J20&lt;J21,"yes","no")</f>
        <v>yes</v>
      </c>
    </row>
    <row r="23" spans="1:24" x14ac:dyDescent="0.25">
      <c r="L23" t="s">
        <v>2125</v>
      </c>
    </row>
    <row r="25" spans="1:24" x14ac:dyDescent="0.25">
      <c r="L25" t="s">
        <v>1278</v>
      </c>
      <c r="M25" s="614">
        <f>[1]!KRUSKAL(B5:D14)</f>
        <v>7.9107142857142856</v>
      </c>
    </row>
    <row r="26" spans="1:24" x14ac:dyDescent="0.25">
      <c r="A26" s="1" t="s">
        <v>1281</v>
      </c>
      <c r="L26" t="s">
        <v>67</v>
      </c>
      <c r="M26" s="420">
        <f>[1]!Ktest(B5:D14)</f>
        <v>1.9151827389727028E-2</v>
      </c>
    </row>
    <row r="28" spans="1:24" x14ac:dyDescent="0.25">
      <c r="B28" s="13" t="s">
        <v>31</v>
      </c>
      <c r="C28" s="13" t="s">
        <v>690</v>
      </c>
      <c r="D28" s="13" t="s">
        <v>1282</v>
      </c>
    </row>
    <row r="29" spans="1:24" x14ac:dyDescent="0.25">
      <c r="A29" t="s">
        <v>75</v>
      </c>
      <c r="B29" s="611">
        <f t="shared" ref="B29:C31" si="0">M7</f>
        <v>10</v>
      </c>
      <c r="C29" s="612">
        <f t="shared" si="0"/>
        <v>187.5</v>
      </c>
      <c r="D29" s="613">
        <f>C29/B29</f>
        <v>18.75</v>
      </c>
    </row>
    <row r="30" spans="1:24" x14ac:dyDescent="0.25">
      <c r="A30" t="s">
        <v>76</v>
      </c>
      <c r="B30" s="532">
        <f t="shared" si="0"/>
        <v>9</v>
      </c>
      <c r="C30" s="7">
        <f t="shared" si="0"/>
        <v>76.5</v>
      </c>
      <c r="D30" s="533">
        <f>C30/B30</f>
        <v>8.5</v>
      </c>
    </row>
    <row r="31" spans="1:24" x14ac:dyDescent="0.25">
      <c r="A31" t="s">
        <v>91</v>
      </c>
      <c r="B31" s="409">
        <f t="shared" si="0"/>
        <v>8</v>
      </c>
      <c r="C31" s="10">
        <f t="shared" si="0"/>
        <v>114</v>
      </c>
      <c r="D31" s="11">
        <f>C31/B31</f>
        <v>14.25</v>
      </c>
    </row>
    <row r="33" spans="1:4" x14ac:dyDescent="0.25">
      <c r="A33" t="s">
        <v>31</v>
      </c>
      <c r="B33" s="614">
        <f>SUM(B29:B31)</f>
        <v>27</v>
      </c>
    </row>
    <row r="34" spans="1:4" x14ac:dyDescent="0.25">
      <c r="A34" t="s">
        <v>56</v>
      </c>
      <c r="B34" s="503">
        <f>COUNTA(B4:D4)</f>
        <v>3</v>
      </c>
    </row>
    <row r="35" spans="1:4" x14ac:dyDescent="0.25">
      <c r="A35" s="17" t="s">
        <v>48</v>
      </c>
      <c r="B35" s="503">
        <v>0.05</v>
      </c>
    </row>
    <row r="36" spans="1:4" ht="18" x14ac:dyDescent="0.35">
      <c r="A36" t="s">
        <v>1283</v>
      </c>
      <c r="B36" s="420">
        <f>CHIINV(B35,B34-1)</f>
        <v>5.9914645471079817</v>
      </c>
    </row>
    <row r="38" spans="1:4" x14ac:dyDescent="0.25">
      <c r="B38" s="13" t="s">
        <v>1284</v>
      </c>
      <c r="C38" s="13" t="s">
        <v>1229</v>
      </c>
      <c r="D38" s="13" t="s">
        <v>527</v>
      </c>
    </row>
    <row r="39" spans="1:4" x14ac:dyDescent="0.25">
      <c r="A39" t="s">
        <v>1285</v>
      </c>
      <c r="B39" s="611">
        <f>ABS(D29-D30)</f>
        <v>10.25</v>
      </c>
      <c r="C39" s="612">
        <f>SQRT(B36*B33*(B33+1)/12*(1/B29+1/B30))</f>
        <v>8.926728318736723</v>
      </c>
      <c r="D39" s="615" t="str">
        <f>IF(B39&gt;C39,"yes","no")</f>
        <v>yes</v>
      </c>
    </row>
    <row r="40" spans="1:4" x14ac:dyDescent="0.25">
      <c r="A40" t="s">
        <v>1286</v>
      </c>
      <c r="B40" s="532">
        <f>ABS(D29-D31)</f>
        <v>4.5</v>
      </c>
      <c r="C40" s="7">
        <f>SQRT(B36*B33*(B33+1)/12*(1/B29+1/B31))</f>
        <v>9.2156936773775016</v>
      </c>
      <c r="D40" s="602" t="str">
        <f>IF(B40&gt;C40,"yes","no")</f>
        <v>no</v>
      </c>
    </row>
    <row r="41" spans="1:4" x14ac:dyDescent="0.25">
      <c r="A41" t="s">
        <v>1287</v>
      </c>
      <c r="B41" s="409">
        <f>ABS(D30-D31)</f>
        <v>5.75</v>
      </c>
      <c r="C41" s="10">
        <f>SQRT(B36*B33*(B33+1)/12*(1/B30+1/B31))</f>
        <v>9.4404997292638715</v>
      </c>
      <c r="D41" s="579" t="str">
        <f>IF(B41&gt;C41,"yes","no")</f>
        <v>no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2"/>
  <dimension ref="B1:Q13"/>
  <sheetViews>
    <sheetView workbookViewId="0">
      <selection activeCell="B1" sqref="B1"/>
    </sheetView>
  </sheetViews>
  <sheetFormatPr defaultRowHeight="15" x14ac:dyDescent="0.25"/>
  <cols>
    <col min="1" max="1" width="2.7109375" customWidth="1"/>
    <col min="2" max="4" width="7.85546875" customWidth="1"/>
    <col min="5" max="5" width="5.7109375" customWidth="1"/>
    <col min="11" max="11" width="5.42578125" customWidth="1"/>
  </cols>
  <sheetData>
    <row r="1" spans="2:17" ht="15.75" thickBot="1" x14ac:dyDescent="0.3">
      <c r="B1" s="1" t="s">
        <v>2446</v>
      </c>
      <c r="F1" t="s">
        <v>1586</v>
      </c>
      <c r="L1" t="s">
        <v>2449</v>
      </c>
    </row>
    <row r="2" spans="2:17" ht="15.75" thickTop="1" x14ac:dyDescent="0.25">
      <c r="L2" s="826" t="s">
        <v>79</v>
      </c>
      <c r="M2" s="826" t="s">
        <v>43</v>
      </c>
      <c r="N2" s="826" t="s">
        <v>2448</v>
      </c>
      <c r="O2" s="826" t="s">
        <v>31</v>
      </c>
    </row>
    <row r="3" spans="2:17" x14ac:dyDescent="0.25">
      <c r="B3" s="1092" t="s">
        <v>75</v>
      </c>
      <c r="C3" s="1092" t="s">
        <v>76</v>
      </c>
      <c r="D3" s="1092" t="s">
        <v>91</v>
      </c>
      <c r="G3" t="str">
        <f>B3</f>
        <v>New</v>
      </c>
      <c r="H3" t="str">
        <f>C3</f>
        <v>Old</v>
      </c>
      <c r="I3" t="str">
        <f>D3</f>
        <v>Control</v>
      </c>
      <c r="L3" t="str">
        <f>B3</f>
        <v>New</v>
      </c>
      <c r="M3" s="727">
        <v>1</v>
      </c>
      <c r="N3">
        <f>[1]!RANK_SUM(B4:D11,1,1)</f>
        <v>135</v>
      </c>
      <c r="O3">
        <f>COUNT(B4:B11)</f>
        <v>8</v>
      </c>
    </row>
    <row r="4" spans="2:17" x14ac:dyDescent="0.25">
      <c r="B4" s="1105">
        <v>46</v>
      </c>
      <c r="C4" s="1106">
        <v>44</v>
      </c>
      <c r="D4" s="1107">
        <v>26</v>
      </c>
      <c r="F4" t="s">
        <v>580</v>
      </c>
      <c r="G4" s="1147">
        <f>MEDIAN(B4:B11)</f>
        <v>43</v>
      </c>
      <c r="H4" s="1148">
        <f>MEDIAN(C4:C11)</f>
        <v>30</v>
      </c>
      <c r="I4" s="1149">
        <f>MEDIAN(D4:D11)</f>
        <v>35.5</v>
      </c>
      <c r="L4" t="str">
        <f>C3</f>
        <v>Old</v>
      </c>
      <c r="M4" s="727">
        <v>-1</v>
      </c>
      <c r="N4">
        <f>[1]!RANK_SUM(B4:D11,2,1)</f>
        <v>58.5</v>
      </c>
      <c r="O4">
        <f>COUNT(C4:C11)</f>
        <v>8</v>
      </c>
    </row>
    <row r="5" spans="2:17" x14ac:dyDescent="0.25">
      <c r="B5" s="540">
        <v>32</v>
      </c>
      <c r="C5" s="1094">
        <v>31</v>
      </c>
      <c r="D5" s="494">
        <v>49</v>
      </c>
      <c r="F5" t="s">
        <v>1226</v>
      </c>
      <c r="G5" s="501">
        <f>[1]!RANK_SUM(B4:D11, 1,1)</f>
        <v>135</v>
      </c>
      <c r="H5" s="7">
        <f>[1]!RANK_SUM(B4:D11, 2,1)</f>
        <v>58.5</v>
      </c>
      <c r="I5" s="57">
        <f>[1]!RANK_SUM(B4:D11, 3,1)</f>
        <v>106.5</v>
      </c>
      <c r="L5" t="str">
        <f>D3</f>
        <v>Control</v>
      </c>
      <c r="M5" s="727"/>
      <c r="N5">
        <f>[1]!RANK_SUM(B4:D11,3,1)</f>
        <v>106.5</v>
      </c>
      <c r="O5">
        <f>COUNT(D4:D11)</f>
        <v>8</v>
      </c>
    </row>
    <row r="6" spans="2:17" x14ac:dyDescent="0.25">
      <c r="B6" s="540">
        <v>42</v>
      </c>
      <c r="C6" s="1094">
        <v>25</v>
      </c>
      <c r="D6" s="494">
        <v>33</v>
      </c>
      <c r="F6" t="s">
        <v>216</v>
      </c>
      <c r="G6" s="501">
        <f>COUNT(B4:B11)</f>
        <v>8</v>
      </c>
      <c r="H6" s="7">
        <f>COUNT(C4:C11)</f>
        <v>8</v>
      </c>
      <c r="I6" s="57">
        <f>COUNT(D4:D11)</f>
        <v>8</v>
      </c>
      <c r="J6" s="1153">
        <f>SUM(G6:I6)</f>
        <v>24</v>
      </c>
      <c r="L6" s="827"/>
      <c r="M6" s="827"/>
      <c r="N6" s="827">
        <f>SUMPRODUCT(M3:M5,N3:N5)</f>
        <v>76.5</v>
      </c>
      <c r="O6" s="827">
        <f>AVERAGE(O3:O5)</f>
        <v>8</v>
      </c>
    </row>
    <row r="7" spans="2:17" ht="15.75" thickBot="1" x14ac:dyDescent="0.3">
      <c r="B7" s="540">
        <v>45</v>
      </c>
      <c r="C7" s="1094">
        <v>22</v>
      </c>
      <c r="D7" s="494">
        <v>19</v>
      </c>
      <c r="F7" t="s">
        <v>2447</v>
      </c>
      <c r="G7" s="759">
        <f>G5^2/G6</f>
        <v>2278.125</v>
      </c>
      <c r="H7" s="760">
        <f>H5^2/H6</f>
        <v>427.78125</v>
      </c>
      <c r="I7" s="761">
        <f>I5^2/I6</f>
        <v>1417.78125</v>
      </c>
      <c r="J7" s="680">
        <f>SUM(G7:I7)</f>
        <v>4123.6875</v>
      </c>
      <c r="L7" t="s">
        <v>1612</v>
      </c>
      <c r="P7" s="1101" t="s">
        <v>34</v>
      </c>
      <c r="Q7" s="1101">
        <v>0.05</v>
      </c>
    </row>
    <row r="8" spans="2:17" ht="15.75" thickTop="1" x14ac:dyDescent="0.25">
      <c r="B8" s="540">
        <v>37</v>
      </c>
      <c r="C8" s="1094">
        <v>30</v>
      </c>
      <c r="D8" s="494">
        <v>31</v>
      </c>
      <c r="F8" t="s">
        <v>2287</v>
      </c>
      <c r="J8" s="680">
        <f>12*J7/(J6*(J6+1))-3*(J6+1)</f>
        <v>7.4737499999999955</v>
      </c>
      <c r="L8" s="826" t="s">
        <v>1000</v>
      </c>
      <c r="M8" s="826" t="s">
        <v>56</v>
      </c>
      <c r="N8" s="826" t="s">
        <v>1610</v>
      </c>
      <c r="O8" s="826" t="s">
        <v>534</v>
      </c>
      <c r="P8" s="826" t="s">
        <v>111</v>
      </c>
      <c r="Q8" s="826" t="s">
        <v>527</v>
      </c>
    </row>
    <row r="9" spans="2:17" x14ac:dyDescent="0.25">
      <c r="B9" s="540">
        <v>44</v>
      </c>
      <c r="C9" s="1094">
        <v>30</v>
      </c>
      <c r="D9" s="494">
        <v>38</v>
      </c>
      <c r="F9" t="s">
        <v>2456</v>
      </c>
      <c r="J9" s="680">
        <f>J8/(1-[1]!TiesCorrection(B4:D11)/(24^2*(24-1)))</f>
        <v>7.5043383356070894</v>
      </c>
      <c r="L9" s="1097">
        <f>SQRT(O6^2*M9*(O6*M9+1)/12)</f>
        <v>20</v>
      </c>
      <c r="M9" s="1097">
        <f>COUNT(O3:O5)</f>
        <v>3</v>
      </c>
      <c r="N9" s="1097">
        <f>N6/L9</f>
        <v>3.8250000000000002</v>
      </c>
      <c r="O9" s="1097">
        <f>[1]!QCRIT(M9,480,Q7,2)</f>
        <v>3.3140000000000001</v>
      </c>
      <c r="P9" s="1097">
        <f>L9*O9</f>
        <v>66.28</v>
      </c>
      <c r="Q9" s="1098" t="str">
        <f>IF(ABS(N9)&gt;O9,"yes","no")</f>
        <v>yes</v>
      </c>
    </row>
    <row r="10" spans="2:17" x14ac:dyDescent="0.25">
      <c r="B10" s="540">
        <v>38</v>
      </c>
      <c r="C10" s="1094">
        <v>32</v>
      </c>
      <c r="D10" s="494">
        <v>44</v>
      </c>
      <c r="F10" t="s">
        <v>60</v>
      </c>
      <c r="J10" s="680">
        <f>COUNTA(G3:I3)-1</f>
        <v>2</v>
      </c>
    </row>
    <row r="11" spans="2:17" x14ac:dyDescent="0.25">
      <c r="B11" s="436">
        <v>47</v>
      </c>
      <c r="C11" s="1095">
        <v>19</v>
      </c>
      <c r="D11" s="412">
        <v>50</v>
      </c>
      <c r="F11" t="s">
        <v>67</v>
      </c>
      <c r="J11" s="680">
        <f>CHIDIST(J9,J10)</f>
        <v>2.3466787207797074E-2</v>
      </c>
    </row>
    <row r="12" spans="2:17" x14ac:dyDescent="0.25">
      <c r="F12" t="s">
        <v>106</v>
      </c>
      <c r="J12" s="680">
        <v>0.05</v>
      </c>
    </row>
    <row r="13" spans="2:17" x14ac:dyDescent="0.25">
      <c r="F13" t="s">
        <v>527</v>
      </c>
      <c r="J13" s="758" t="str">
        <f>IF(J11&lt;J12,"yes","no")</f>
        <v>yes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4"/>
  <dimension ref="B1:K13"/>
  <sheetViews>
    <sheetView workbookViewId="0">
      <selection activeCell="B1" sqref="B1"/>
    </sheetView>
  </sheetViews>
  <sheetFormatPr defaultRowHeight="15" x14ac:dyDescent="0.25"/>
  <cols>
    <col min="1" max="1" width="2" customWidth="1"/>
  </cols>
  <sheetData>
    <row r="1" spans="2:11" x14ac:dyDescent="0.25">
      <c r="B1" s="1" t="s">
        <v>2455</v>
      </c>
    </row>
    <row r="3" spans="2:11" ht="15.75" thickBot="1" x14ac:dyDescent="0.3">
      <c r="B3" s="1101" t="s">
        <v>75</v>
      </c>
      <c r="C3" s="1101" t="s">
        <v>76</v>
      </c>
      <c r="D3" s="1101" t="s">
        <v>91</v>
      </c>
      <c r="F3" t="s">
        <v>2457</v>
      </c>
    </row>
    <row r="4" spans="2:11" ht="15.75" thickTop="1" x14ac:dyDescent="0.25">
      <c r="B4" s="616">
        <v>46</v>
      </c>
      <c r="C4" s="617">
        <v>44</v>
      </c>
      <c r="D4" s="618">
        <v>26</v>
      </c>
      <c r="F4" s="826" t="s">
        <v>79</v>
      </c>
      <c r="G4" s="826" t="s">
        <v>43</v>
      </c>
      <c r="H4" s="826" t="s">
        <v>2448</v>
      </c>
      <c r="I4" s="826" t="s">
        <v>31</v>
      </c>
      <c r="J4" s="826" t="s">
        <v>2458</v>
      </c>
    </row>
    <row r="5" spans="2:11" x14ac:dyDescent="0.25">
      <c r="B5" s="540">
        <v>32</v>
      </c>
      <c r="C5" s="1102">
        <v>31</v>
      </c>
      <c r="D5" s="494">
        <v>49</v>
      </c>
      <c r="F5" t="str">
        <f>B3</f>
        <v>New</v>
      </c>
      <c r="G5" s="727">
        <v>1</v>
      </c>
      <c r="H5">
        <f>[1]!RANK_SUM(B4:D13,1,1)</f>
        <v>187.5</v>
      </c>
      <c r="I5">
        <f>COUNT(B4:B13)</f>
        <v>10</v>
      </c>
      <c r="J5">
        <f>H5/I5</f>
        <v>18.75</v>
      </c>
    </row>
    <row r="6" spans="2:11" x14ac:dyDescent="0.25">
      <c r="B6" s="540">
        <v>42</v>
      </c>
      <c r="C6" s="1102">
        <v>25</v>
      </c>
      <c r="D6" s="494">
        <v>33</v>
      </c>
      <c r="F6" t="str">
        <f>C3</f>
        <v>Old</v>
      </c>
      <c r="G6" s="727">
        <v>-1</v>
      </c>
      <c r="H6">
        <f>[1]!RANK_SUM(B4:D13,2,1)</f>
        <v>76.5</v>
      </c>
      <c r="I6">
        <f>COUNT(C4:C13)</f>
        <v>9</v>
      </c>
      <c r="J6">
        <f>H6/I6</f>
        <v>8.5</v>
      </c>
    </row>
    <row r="7" spans="2:11" x14ac:dyDescent="0.25">
      <c r="B7" s="540">
        <v>45</v>
      </c>
      <c r="C7" s="1102">
        <v>22</v>
      </c>
      <c r="D7" s="494">
        <v>19</v>
      </c>
      <c r="F7" t="str">
        <f>D3</f>
        <v>Control</v>
      </c>
      <c r="G7" s="727"/>
      <c r="H7">
        <f>[1]!RANK_SUM(B4:D13,3,1)</f>
        <v>114</v>
      </c>
      <c r="I7">
        <f>COUNT(D4:D13)</f>
        <v>8</v>
      </c>
      <c r="J7">
        <f>H7/I7</f>
        <v>14.25</v>
      </c>
    </row>
    <row r="8" spans="2:11" x14ac:dyDescent="0.25">
      <c r="B8" s="540">
        <v>37</v>
      </c>
      <c r="C8" s="1102">
        <v>30</v>
      </c>
      <c r="D8" s="494">
        <v>31</v>
      </c>
      <c r="F8" s="827"/>
      <c r="G8" s="827"/>
      <c r="H8" s="827"/>
      <c r="I8" s="827">
        <f>SUM(I5:I7)</f>
        <v>27</v>
      </c>
      <c r="J8" s="827">
        <f>SUMPRODUCT(G5:G7,J5:J7)</f>
        <v>10.25</v>
      </c>
    </row>
    <row r="9" spans="2:11" x14ac:dyDescent="0.25">
      <c r="B9" s="540">
        <v>44</v>
      </c>
      <c r="C9" s="1102">
        <v>30</v>
      </c>
      <c r="D9" s="494">
        <v>38</v>
      </c>
    </row>
    <row r="10" spans="2:11" ht="15.75" thickBot="1" x14ac:dyDescent="0.3">
      <c r="B10" s="540">
        <v>38</v>
      </c>
      <c r="C10" s="1102">
        <v>32</v>
      </c>
      <c r="D10" s="494">
        <v>44</v>
      </c>
      <c r="F10" t="s">
        <v>2459</v>
      </c>
      <c r="J10" s="1108" t="s">
        <v>34</v>
      </c>
      <c r="K10" s="1108">
        <v>0.05</v>
      </c>
    </row>
    <row r="11" spans="2:11" ht="15.75" thickTop="1" x14ac:dyDescent="0.25">
      <c r="B11" s="540">
        <v>47</v>
      </c>
      <c r="C11" s="1102">
        <v>19</v>
      </c>
      <c r="D11" s="494">
        <v>50</v>
      </c>
      <c r="F11" s="826" t="s">
        <v>1000</v>
      </c>
      <c r="G11" s="826" t="s">
        <v>56</v>
      </c>
      <c r="H11" s="826" t="s">
        <v>2439</v>
      </c>
      <c r="I11" s="826" t="s">
        <v>2440</v>
      </c>
      <c r="J11" s="826" t="s">
        <v>111</v>
      </c>
      <c r="K11" s="826" t="s">
        <v>527</v>
      </c>
    </row>
    <row r="12" spans="2:11" x14ac:dyDescent="0.25">
      <c r="B12" s="540">
        <v>49</v>
      </c>
      <c r="C12" s="1102">
        <v>40</v>
      </c>
      <c r="D12" s="494"/>
      <c r="F12" s="1097">
        <f>SQRT((I8*(I8+1)-[1]!TiesCorrection(B3:D13)/(I8-1))/12*SUMPRODUCT(G5:G7^2,1/I5:I7))</f>
        <v>3.6413461397403175</v>
      </c>
      <c r="G12" s="1097">
        <f>COUNT(I5:I7)</f>
        <v>3</v>
      </c>
      <c r="H12" s="1097">
        <f>J8/F12</f>
        <v>2.8148930660931284</v>
      </c>
      <c r="I12" s="1097">
        <f>NORMSINV(1-K10/(G12*(G12-1)))</f>
        <v>2.3939797998185104</v>
      </c>
      <c r="J12" s="1097">
        <f>F12*I12</f>
        <v>8.7173091026854301</v>
      </c>
      <c r="K12" s="1098" t="str">
        <f>IF(ABS(H12)&gt;I12,"yes","no")</f>
        <v>yes</v>
      </c>
    </row>
    <row r="13" spans="2:11" x14ac:dyDescent="0.25">
      <c r="B13" s="436">
        <v>41</v>
      </c>
      <c r="C13" s="1103"/>
      <c r="D13" s="38"/>
    </row>
  </sheetData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9"/>
  <dimension ref="A1:K11"/>
  <sheetViews>
    <sheetView workbookViewId="0">
      <selection activeCell="M3" sqref="M3"/>
    </sheetView>
  </sheetViews>
  <sheetFormatPr defaultRowHeight="15" x14ac:dyDescent="0.25"/>
  <cols>
    <col min="1" max="1" width="3.28515625" customWidth="1"/>
  </cols>
  <sheetData>
    <row r="1" spans="1:11" x14ac:dyDescent="0.25">
      <c r="A1" s="1" t="s">
        <v>2478</v>
      </c>
    </row>
    <row r="3" spans="1:11" ht="15.75" thickBot="1" x14ac:dyDescent="0.3">
      <c r="B3" s="1122" t="s">
        <v>75</v>
      </c>
      <c r="C3" s="1122" t="s">
        <v>76</v>
      </c>
      <c r="D3" s="1122" t="s">
        <v>91</v>
      </c>
      <c r="F3" t="s">
        <v>2479</v>
      </c>
    </row>
    <row r="4" spans="1:11" ht="15.75" thickTop="1" x14ac:dyDescent="0.25">
      <c r="B4" s="1105">
        <v>46</v>
      </c>
      <c r="C4" s="1106">
        <v>44</v>
      </c>
      <c r="D4" s="1107">
        <v>26</v>
      </c>
      <c r="F4" s="826" t="s">
        <v>79</v>
      </c>
      <c r="G4" s="826" t="s">
        <v>43</v>
      </c>
      <c r="H4" s="826" t="s">
        <v>2448</v>
      </c>
      <c r="I4" s="826" t="s">
        <v>31</v>
      </c>
    </row>
    <row r="5" spans="1:11" x14ac:dyDescent="0.25">
      <c r="B5" s="540">
        <v>32</v>
      </c>
      <c r="C5" s="1123">
        <v>31</v>
      </c>
      <c r="D5" s="494">
        <v>49</v>
      </c>
      <c r="F5" t="str">
        <f>B3</f>
        <v>New</v>
      </c>
      <c r="G5" s="727"/>
      <c r="H5">
        <f>[1]!RANK_SUM(B4:D11,1,1)</f>
        <v>135</v>
      </c>
      <c r="I5">
        <f>COUNT(B4:B11)</f>
        <v>8</v>
      </c>
    </row>
    <row r="6" spans="1:11" x14ac:dyDescent="0.25">
      <c r="B6" s="540">
        <v>42</v>
      </c>
      <c r="C6" s="1123">
        <v>25</v>
      </c>
      <c r="D6" s="494">
        <v>33</v>
      </c>
      <c r="F6" t="str">
        <f>C3</f>
        <v>Old</v>
      </c>
      <c r="G6" s="727">
        <v>-1</v>
      </c>
      <c r="H6">
        <f>[1]!RANK_SUM(B4:D11,2,1)</f>
        <v>58.5</v>
      </c>
      <c r="I6">
        <f>COUNT(C4:C11)</f>
        <v>8</v>
      </c>
    </row>
    <row r="7" spans="1:11" x14ac:dyDescent="0.25">
      <c r="B7" s="540">
        <v>45</v>
      </c>
      <c r="C7" s="1123">
        <v>22</v>
      </c>
      <c r="D7" s="494">
        <v>19</v>
      </c>
      <c r="F7" t="str">
        <f>D3</f>
        <v>Control</v>
      </c>
      <c r="G7" s="727">
        <v>1</v>
      </c>
      <c r="H7">
        <f>[1]!RANK_SUM(B4:D11,3,1)</f>
        <v>106.5</v>
      </c>
      <c r="I7">
        <f>COUNT(D4:D11)</f>
        <v>8</v>
      </c>
    </row>
    <row r="8" spans="1:11" x14ac:dyDescent="0.25">
      <c r="B8" s="540">
        <v>37</v>
      </c>
      <c r="C8" s="1123">
        <v>30</v>
      </c>
      <c r="D8" s="494">
        <v>31</v>
      </c>
      <c r="F8" s="1150"/>
      <c r="G8" s="1150"/>
      <c r="H8" s="1150">
        <f>SUMPRODUCT(G5:G7,H5:H7)</f>
        <v>48</v>
      </c>
      <c r="I8" s="1150">
        <f>HARMEAN(I5:I7)</f>
        <v>8</v>
      </c>
    </row>
    <row r="9" spans="1:11" ht="15.75" thickBot="1" x14ac:dyDescent="0.3">
      <c r="B9" s="540">
        <v>44</v>
      </c>
      <c r="C9" s="1123">
        <v>30</v>
      </c>
      <c r="D9" s="494">
        <v>38</v>
      </c>
      <c r="F9" t="s">
        <v>2459</v>
      </c>
      <c r="J9" s="1122" t="s">
        <v>34</v>
      </c>
      <c r="K9" s="1122">
        <v>0.05</v>
      </c>
    </row>
    <row r="10" spans="1:11" ht="15.75" thickTop="1" x14ac:dyDescent="0.25">
      <c r="B10" s="540">
        <v>38</v>
      </c>
      <c r="C10" s="1123">
        <v>32</v>
      </c>
      <c r="D10" s="494">
        <v>44</v>
      </c>
      <c r="F10" s="826" t="s">
        <v>1000</v>
      </c>
      <c r="G10" s="826" t="s">
        <v>56</v>
      </c>
      <c r="H10" s="826" t="s">
        <v>2439</v>
      </c>
      <c r="I10" s="826" t="s">
        <v>2440</v>
      </c>
      <c r="J10" s="826" t="s">
        <v>111</v>
      </c>
      <c r="K10" s="826" t="s">
        <v>527</v>
      </c>
    </row>
    <row r="11" spans="1:11" x14ac:dyDescent="0.25">
      <c r="B11" s="436">
        <v>47</v>
      </c>
      <c r="C11" s="1124">
        <v>19</v>
      </c>
      <c r="D11" s="412">
        <v>50</v>
      </c>
      <c r="F11" s="1151">
        <f>SQRT(I8^2*G11*(I8*G11+1)/6)</f>
        <v>28.284271247461902</v>
      </c>
      <c r="G11" s="1151">
        <f>COUNT(I5:I7)</f>
        <v>3</v>
      </c>
      <c r="H11" s="1151">
        <f>H8/F11</f>
        <v>1.697056274847714</v>
      </c>
      <c r="I11" s="1151" t="e">
        <f>[1]!DCRIT(G11,480,K9)</f>
        <v>#VALUE!</v>
      </c>
      <c r="J11" s="1151" t="e">
        <f>F11*I11</f>
        <v>#VALUE!</v>
      </c>
      <c r="K11" s="1152" t="e">
        <f>IF(ABS(H11)&gt;I11,"yes","no")</f>
        <v>#VALUE!</v>
      </c>
    </row>
  </sheetData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7"/>
  <dimension ref="A1:K13"/>
  <sheetViews>
    <sheetView workbookViewId="0"/>
  </sheetViews>
  <sheetFormatPr defaultRowHeight="15" x14ac:dyDescent="0.25"/>
  <cols>
    <col min="1" max="1" width="3.28515625" customWidth="1"/>
  </cols>
  <sheetData>
    <row r="1" spans="1:11" x14ac:dyDescent="0.25">
      <c r="A1" s="1" t="s">
        <v>2480</v>
      </c>
    </row>
    <row r="3" spans="1:11" ht="15.75" thickBot="1" x14ac:dyDescent="0.3">
      <c r="B3" s="1122" t="s">
        <v>75</v>
      </c>
      <c r="C3" s="1122" t="s">
        <v>76</v>
      </c>
      <c r="D3" s="1122" t="s">
        <v>91</v>
      </c>
      <c r="F3" t="s">
        <v>2481</v>
      </c>
    </row>
    <row r="4" spans="1:11" ht="15.75" thickTop="1" x14ac:dyDescent="0.25">
      <c r="B4" s="616">
        <v>46</v>
      </c>
      <c r="C4" s="617">
        <v>44</v>
      </c>
      <c r="D4" s="618">
        <v>26</v>
      </c>
      <c r="F4" s="826" t="s">
        <v>79</v>
      </c>
      <c r="G4" s="826" t="s">
        <v>43</v>
      </c>
      <c r="H4" s="826" t="s">
        <v>2482</v>
      </c>
      <c r="I4" s="826" t="s">
        <v>31</v>
      </c>
    </row>
    <row r="5" spans="1:11" x14ac:dyDescent="0.25">
      <c r="B5" s="540">
        <v>32</v>
      </c>
      <c r="C5" s="1123">
        <v>31</v>
      </c>
      <c r="D5" s="494">
        <v>49</v>
      </c>
      <c r="F5" t="str">
        <f>B3</f>
        <v>New</v>
      </c>
      <c r="G5" s="727">
        <v>-0.5</v>
      </c>
      <c r="H5">
        <f>[1]!RANK_SUM(B4:D13,1,1)/I5</f>
        <v>18.75</v>
      </c>
      <c r="I5">
        <f>COUNT(B4:B13)</f>
        <v>10</v>
      </c>
    </row>
    <row r="6" spans="1:11" x14ac:dyDescent="0.25">
      <c r="B6" s="540">
        <v>42</v>
      </c>
      <c r="C6" s="1123">
        <v>25</v>
      </c>
      <c r="D6" s="494">
        <v>33</v>
      </c>
      <c r="F6" t="str">
        <f>C3</f>
        <v>Old</v>
      </c>
      <c r="G6" s="727">
        <v>-0.5</v>
      </c>
      <c r="H6">
        <f>[1]!RANK_SUM(B4:D13,2,1)/I6</f>
        <v>8.5</v>
      </c>
      <c r="I6">
        <f>COUNT(C4:C13)</f>
        <v>9</v>
      </c>
    </row>
    <row r="7" spans="1:11" x14ac:dyDescent="0.25">
      <c r="B7" s="540">
        <v>45</v>
      </c>
      <c r="C7" s="1123">
        <v>22</v>
      </c>
      <c r="D7" s="494">
        <v>19</v>
      </c>
      <c r="F7" t="str">
        <f>D3</f>
        <v>Control</v>
      </c>
      <c r="G7" s="727">
        <v>1</v>
      </c>
      <c r="H7">
        <f>[1]!RANK_SUM(B4:D13,3,1)/I7</f>
        <v>14.25</v>
      </c>
      <c r="I7">
        <f>COUNT(D4:D13)</f>
        <v>8</v>
      </c>
    </row>
    <row r="8" spans="1:11" x14ac:dyDescent="0.25">
      <c r="B8" s="540">
        <v>37</v>
      </c>
      <c r="C8" s="1123">
        <v>30</v>
      </c>
      <c r="D8" s="494">
        <v>31</v>
      </c>
      <c r="F8" s="1150"/>
      <c r="G8" s="1150">
        <f>SUM(G5:G7)</f>
        <v>0</v>
      </c>
      <c r="H8" s="1150">
        <f>SUMPRODUCT(G5:G7,H5:H7)</f>
        <v>0.625</v>
      </c>
      <c r="I8" s="1150">
        <f>SUM(I5:I7)</f>
        <v>27</v>
      </c>
    </row>
    <row r="9" spans="1:11" ht="15.75" thickBot="1" x14ac:dyDescent="0.3">
      <c r="B9" s="540">
        <v>44</v>
      </c>
      <c r="C9" s="1123">
        <v>30</v>
      </c>
      <c r="D9" s="494">
        <v>38</v>
      </c>
      <c r="F9" t="s">
        <v>2483</v>
      </c>
      <c r="J9" s="1122" t="s">
        <v>34</v>
      </c>
      <c r="K9" s="1122">
        <v>0.05</v>
      </c>
    </row>
    <row r="10" spans="1:11" ht="15.75" thickTop="1" x14ac:dyDescent="0.25">
      <c r="B10" s="540">
        <v>38</v>
      </c>
      <c r="C10" s="1123">
        <v>32</v>
      </c>
      <c r="D10" s="494">
        <v>44</v>
      </c>
      <c r="F10" s="826" t="s">
        <v>1000</v>
      </c>
      <c r="G10" s="826" t="s">
        <v>107</v>
      </c>
      <c r="H10" s="826" t="s">
        <v>60</v>
      </c>
      <c r="I10" s="826" t="s">
        <v>67</v>
      </c>
      <c r="J10" s="826" t="s">
        <v>2484</v>
      </c>
      <c r="K10" s="826" t="s">
        <v>527</v>
      </c>
    </row>
    <row r="11" spans="1:11" x14ac:dyDescent="0.25">
      <c r="B11" s="540">
        <v>47</v>
      </c>
      <c r="C11" s="1123">
        <v>19</v>
      </c>
      <c r="D11" s="494">
        <v>50</v>
      </c>
      <c r="F11" s="1151">
        <f>SQRT((I8*(I8+1)-[1]!TiesCorrection(B4:D13)/(I8-1))/12*SUMPRODUCT(G5:G7^2,1/I5:I7))</f>
        <v>3.3415283877010484</v>
      </c>
      <c r="G11" s="1151">
        <f>(H8/F11)^2</f>
        <v>3.4984020973668088E-2</v>
      </c>
      <c r="H11" s="1151">
        <f>COUNT(I5:I7)-1</f>
        <v>2</v>
      </c>
      <c r="I11" s="1151">
        <f>CHIDIST(ABS(G11),H11)</f>
        <v>0.98266008660941018</v>
      </c>
      <c r="J11" s="1151">
        <f>CHIINV(K9,H11)</f>
        <v>5.9914645471079817</v>
      </c>
      <c r="K11" s="1152" t="str">
        <f>IF(I11&lt;K9,"yes","no")</f>
        <v>no</v>
      </c>
    </row>
    <row r="12" spans="1:11" x14ac:dyDescent="0.25">
      <c r="B12" s="540">
        <v>49</v>
      </c>
      <c r="C12" s="1123">
        <v>40</v>
      </c>
      <c r="D12" s="494"/>
    </row>
    <row r="13" spans="1:11" x14ac:dyDescent="0.25">
      <c r="B13" s="436">
        <v>41</v>
      </c>
      <c r="C13" s="1125"/>
      <c r="D13" s="38"/>
    </row>
  </sheetData>
  <pageMargins left="0.7" right="0.7" top="0.75" bottom="0.75" header="0.3" footer="0.3"/>
  <ignoredErrors>
    <ignoredError sqref="H8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S23"/>
  <sheetViews>
    <sheetView workbookViewId="0"/>
  </sheetViews>
  <sheetFormatPr defaultRowHeight="15" x14ac:dyDescent="0.25"/>
  <cols>
    <col min="1" max="4" width="9.140625" customWidth="1"/>
    <col min="5" max="5" width="7.7109375" customWidth="1"/>
    <col min="6" max="6" width="16.85546875" customWidth="1"/>
    <col min="7" max="7" width="8" customWidth="1"/>
    <col min="8" max="8" width="7.42578125" customWidth="1"/>
    <col min="9" max="9" width="8.28515625" customWidth="1"/>
    <col min="11" max="12" width="8.28515625" customWidth="1"/>
    <col min="13" max="13" width="4.7109375" customWidth="1"/>
    <col min="14" max="14" width="10.5703125" customWidth="1"/>
  </cols>
  <sheetData>
    <row r="1" spans="1:18" x14ac:dyDescent="0.25">
      <c r="A1" s="1" t="s">
        <v>572</v>
      </c>
    </row>
    <row r="3" spans="1:18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464</v>
      </c>
      <c r="N3" t="s">
        <v>575</v>
      </c>
    </row>
    <row r="4" spans="1:18" x14ac:dyDescent="0.25">
      <c r="A4" s="179">
        <v>51</v>
      </c>
      <c r="B4" s="179">
        <v>82</v>
      </c>
      <c r="C4" s="179">
        <v>79</v>
      </c>
      <c r="D4" s="179">
        <v>85</v>
      </c>
    </row>
    <row r="5" spans="1:18" ht="15.75" thickBot="1" x14ac:dyDescent="0.3">
      <c r="A5" s="50">
        <v>87</v>
      </c>
      <c r="B5" s="50">
        <v>91</v>
      </c>
      <c r="C5" s="50">
        <v>84</v>
      </c>
      <c r="D5" s="50">
        <v>80</v>
      </c>
      <c r="F5" t="s">
        <v>62</v>
      </c>
    </row>
    <row r="6" spans="1:18" x14ac:dyDescent="0.25">
      <c r="A6" s="50">
        <v>50</v>
      </c>
      <c r="B6" s="50">
        <v>92</v>
      </c>
      <c r="C6" s="50">
        <v>74</v>
      </c>
      <c r="D6" s="50">
        <v>65</v>
      </c>
      <c r="F6" s="226" t="s">
        <v>79</v>
      </c>
      <c r="G6" s="226" t="s">
        <v>22</v>
      </c>
      <c r="H6" s="226" t="s">
        <v>21</v>
      </c>
      <c r="I6" s="226" t="s">
        <v>465</v>
      </c>
      <c r="J6" s="226" t="s">
        <v>80</v>
      </c>
      <c r="N6" s="226" t="s">
        <v>576</v>
      </c>
      <c r="O6" s="226" t="s">
        <v>573</v>
      </c>
      <c r="P6" s="226" t="s">
        <v>574</v>
      </c>
    </row>
    <row r="7" spans="1:18" x14ac:dyDescent="0.25">
      <c r="A7" s="50">
        <v>48</v>
      </c>
      <c r="B7" s="50">
        <v>80</v>
      </c>
      <c r="C7" s="50">
        <v>98</v>
      </c>
      <c r="D7" s="50">
        <v>71</v>
      </c>
      <c r="F7" s="19" t="s">
        <v>39</v>
      </c>
      <c r="G7" s="19">
        <v>8</v>
      </c>
      <c r="H7" s="19">
        <v>483</v>
      </c>
      <c r="I7" s="19">
        <v>60.375</v>
      </c>
      <c r="J7" s="19">
        <v>214.26785714285714</v>
      </c>
      <c r="N7" s="26">
        <f>(1-G7/$G$11)*J7</f>
        <v>160.70089285714286</v>
      </c>
      <c r="O7" s="13">
        <f>N7/$N$11</f>
        <v>0.2984454669817187</v>
      </c>
      <c r="P7" s="13">
        <f>O7^2/(G7-1)</f>
        <v>1.2724242394562307E-2</v>
      </c>
    </row>
    <row r="8" spans="1:18" x14ac:dyDescent="0.25">
      <c r="A8" s="50">
        <v>79</v>
      </c>
      <c r="B8" s="50">
        <v>52</v>
      </c>
      <c r="C8" s="50">
        <v>63</v>
      </c>
      <c r="D8" s="50">
        <v>67</v>
      </c>
      <c r="F8" s="19" t="s">
        <v>40</v>
      </c>
      <c r="G8" s="19">
        <v>8</v>
      </c>
      <c r="H8" s="19">
        <v>623</v>
      </c>
      <c r="I8" s="19">
        <v>77.875</v>
      </c>
      <c r="J8" s="19">
        <v>157.55357142857142</v>
      </c>
      <c r="N8" s="26">
        <f>(1-G8/$G$11)*J8</f>
        <v>118.16517857142856</v>
      </c>
      <c r="O8" s="13">
        <f>N8/$N$11</f>
        <v>0.2194503171247357</v>
      </c>
      <c r="P8" s="13">
        <f>O8^2/(G8-1)</f>
        <v>6.8797773837352954E-3</v>
      </c>
    </row>
    <row r="9" spans="1:18" x14ac:dyDescent="0.25">
      <c r="A9" s="50">
        <v>61</v>
      </c>
      <c r="B9" s="50">
        <v>79</v>
      </c>
      <c r="C9" s="50">
        <v>83</v>
      </c>
      <c r="D9" s="50">
        <v>51</v>
      </c>
      <c r="F9" s="19" t="s">
        <v>46</v>
      </c>
      <c r="G9" s="19">
        <v>8</v>
      </c>
      <c r="H9" s="19">
        <v>624</v>
      </c>
      <c r="I9" s="19">
        <v>78</v>
      </c>
      <c r="J9" s="19">
        <v>164.57142857142858</v>
      </c>
      <c r="N9" s="26">
        <f>(1-G9/$G$11)*J9</f>
        <v>123.42857142857144</v>
      </c>
      <c r="O9" s="13">
        <f>N9/$N$11</f>
        <v>0.22922522074368862</v>
      </c>
      <c r="P9" s="13">
        <f>O9^2/(G9-1)</f>
        <v>7.5063145464275395E-3</v>
      </c>
    </row>
    <row r="10" spans="1:18" ht="15.75" thickBot="1" x14ac:dyDescent="0.3">
      <c r="A10" s="50">
        <v>53</v>
      </c>
      <c r="B10" s="50">
        <v>73</v>
      </c>
      <c r="C10" s="50">
        <v>85</v>
      </c>
      <c r="D10" s="50">
        <v>63</v>
      </c>
      <c r="F10" s="20" t="s">
        <v>47</v>
      </c>
      <c r="G10" s="20">
        <v>8</v>
      </c>
      <c r="H10" s="20">
        <v>575</v>
      </c>
      <c r="I10" s="20">
        <v>71.875</v>
      </c>
      <c r="J10" s="20">
        <v>181.55357142857142</v>
      </c>
      <c r="N10" s="204">
        <f>(1-G10/$G$11)*J10</f>
        <v>136.16517857142856</v>
      </c>
      <c r="O10" s="204">
        <f>N10/$N$11</f>
        <v>0.25287899514985696</v>
      </c>
      <c r="P10" s="204">
        <f>O10^2/(G10-1)</f>
        <v>9.1353980268573387E-3</v>
      </c>
    </row>
    <row r="11" spans="1:18" x14ac:dyDescent="0.25">
      <c r="A11" s="225">
        <v>54</v>
      </c>
      <c r="B11" s="225">
        <v>74</v>
      </c>
      <c r="C11" s="225">
        <v>58</v>
      </c>
      <c r="D11" s="225">
        <v>93</v>
      </c>
      <c r="E11" s="224"/>
      <c r="F11" s="19" t="s">
        <v>1</v>
      </c>
      <c r="G11">
        <f>SUM(G7:G10)</f>
        <v>32</v>
      </c>
      <c r="N11" s="19">
        <f>SUM(N7:N10)</f>
        <v>538.45982142857144</v>
      </c>
      <c r="P11" s="19">
        <f>1/SUM(P7:P10)</f>
        <v>27.589454954311066</v>
      </c>
    </row>
    <row r="13" spans="1:18" ht="15.75" thickBot="1" x14ac:dyDescent="0.3">
      <c r="F13" t="s">
        <v>294</v>
      </c>
    </row>
    <row r="14" spans="1:18" x14ac:dyDescent="0.25">
      <c r="F14" s="226" t="s">
        <v>466</v>
      </c>
      <c r="G14" s="226" t="s">
        <v>219</v>
      </c>
      <c r="H14" s="226" t="s">
        <v>60</v>
      </c>
      <c r="I14" s="226" t="s">
        <v>240</v>
      </c>
      <c r="J14" s="226" t="s">
        <v>135</v>
      </c>
      <c r="K14" s="226" t="s">
        <v>119</v>
      </c>
      <c r="L14" s="226" t="s">
        <v>467</v>
      </c>
      <c r="N14" s="226" t="s">
        <v>577</v>
      </c>
      <c r="O14" s="226" t="s">
        <v>60</v>
      </c>
      <c r="P14" s="226" t="s">
        <v>135</v>
      </c>
      <c r="Q14" s="226" t="s">
        <v>119</v>
      </c>
      <c r="R14" s="226" t="s">
        <v>467</v>
      </c>
    </row>
    <row r="15" spans="1:18" x14ac:dyDescent="0.25">
      <c r="F15" s="19" t="s">
        <v>462</v>
      </c>
      <c r="G15" s="19">
        <v>1645.34375</v>
      </c>
      <c r="H15" s="19">
        <v>3</v>
      </c>
      <c r="I15" s="19">
        <v>548.44791666666663</v>
      </c>
      <c r="J15" s="19">
        <v>3.0556481366330885</v>
      </c>
      <c r="K15" s="19">
        <v>4.4662597948147184E-2</v>
      </c>
      <c r="L15" s="19">
        <v>2.9466852660172647</v>
      </c>
      <c r="N15" s="19">
        <f>G15</f>
        <v>1645.34375</v>
      </c>
      <c r="O15" s="19">
        <v>3</v>
      </c>
      <c r="P15" s="19">
        <f>N15/N16</f>
        <v>3.0556481366330885</v>
      </c>
      <c r="Q15" s="19">
        <f>FDIST(P15,O15,O16)</f>
        <v>4.5340261877795773E-2</v>
      </c>
      <c r="R15" s="19">
        <f>FINV(0.05,O15,O16)</f>
        <v>2.9603513184112873</v>
      </c>
    </row>
    <row r="16" spans="1:18" ht="15.75" thickBot="1" x14ac:dyDescent="0.3">
      <c r="F16" s="19" t="s">
        <v>463</v>
      </c>
      <c r="G16" s="19">
        <v>5025.625</v>
      </c>
      <c r="H16" s="19">
        <v>28</v>
      </c>
      <c r="I16" s="19">
        <v>179.48660714285714</v>
      </c>
      <c r="J16" s="19"/>
      <c r="K16" s="19"/>
      <c r="L16" s="19"/>
      <c r="N16" s="20">
        <f>N11</f>
        <v>538.45982142857144</v>
      </c>
      <c r="O16" s="20">
        <f>P11</f>
        <v>27.589454954311066</v>
      </c>
      <c r="P16" s="20"/>
      <c r="Q16" s="20"/>
      <c r="R16" s="20"/>
    </row>
    <row r="17" spans="6:19" x14ac:dyDescent="0.25">
      <c r="F17" s="19"/>
      <c r="G17" s="19"/>
      <c r="H17" s="19"/>
      <c r="I17" s="19"/>
      <c r="J17" s="19"/>
      <c r="K17" s="19"/>
      <c r="L17" s="19"/>
      <c r="N17" s="19"/>
      <c r="O17" s="19"/>
      <c r="P17" s="19"/>
      <c r="Q17" s="19"/>
      <c r="R17" s="19"/>
    </row>
    <row r="18" spans="6:19" ht="15.75" thickBot="1" x14ac:dyDescent="0.3">
      <c r="F18" s="20" t="s">
        <v>1</v>
      </c>
      <c r="G18" s="20">
        <v>6670.96875</v>
      </c>
      <c r="H18" s="20">
        <v>31</v>
      </c>
      <c r="I18" s="20"/>
      <c r="J18" s="20"/>
      <c r="K18" s="20"/>
      <c r="L18" s="20"/>
      <c r="N18" s="19"/>
      <c r="O18" s="19"/>
      <c r="P18" s="19"/>
      <c r="Q18" s="19"/>
      <c r="R18" s="19"/>
    </row>
    <row r="19" spans="6:19" x14ac:dyDescent="0.25">
      <c r="N19" s="19" t="s">
        <v>2316</v>
      </c>
      <c r="O19" s="19"/>
      <c r="P19" s="19"/>
      <c r="Q19" s="19"/>
      <c r="R19" s="19"/>
      <c r="S19" s="19"/>
    </row>
    <row r="21" spans="6:19" x14ac:dyDescent="0.25">
      <c r="N21" t="s">
        <v>1295</v>
      </c>
      <c r="O21" s="614">
        <f>[1]!fstar(A4:D11)</f>
        <v>3.0556481366330885</v>
      </c>
    </row>
    <row r="22" spans="6:19" x14ac:dyDescent="0.25">
      <c r="N22" t="s">
        <v>574</v>
      </c>
      <c r="O22" s="503">
        <f>[1]!dfstar(A4:D11)</f>
        <v>27.589454954311066</v>
      </c>
    </row>
    <row r="23" spans="6:19" x14ac:dyDescent="0.25">
      <c r="N23" t="s">
        <v>67</v>
      </c>
      <c r="O23" s="420">
        <f>[1]!bftest(A4:D11)</f>
        <v>4.5340261877795773E-2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U24"/>
  <sheetViews>
    <sheetView workbookViewId="0"/>
  </sheetViews>
  <sheetFormatPr defaultRowHeight="15" x14ac:dyDescent="0.25"/>
  <cols>
    <col min="5" max="5" width="7.7109375" customWidth="1"/>
    <col min="6" max="6" width="16.85546875" customWidth="1"/>
    <col min="7" max="7" width="8" customWidth="1"/>
    <col min="8" max="8" width="7.42578125" customWidth="1"/>
    <col min="9" max="9" width="8.28515625" customWidth="1"/>
    <col min="11" max="12" width="8.28515625" customWidth="1"/>
    <col min="13" max="13" width="4.7109375" customWidth="1"/>
    <col min="14" max="14" width="10.5703125" customWidth="1"/>
  </cols>
  <sheetData>
    <row r="1" spans="1:21" x14ac:dyDescent="0.25">
      <c r="A1" s="1" t="s">
        <v>572</v>
      </c>
    </row>
    <row r="2" spans="1:21" x14ac:dyDescent="0.25">
      <c r="T2" t="s">
        <v>1933</v>
      </c>
    </row>
    <row r="3" spans="1:21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464</v>
      </c>
      <c r="N3" t="s">
        <v>575</v>
      </c>
    </row>
    <row r="4" spans="1:21" x14ac:dyDescent="0.25">
      <c r="A4" s="179">
        <v>51</v>
      </c>
      <c r="B4" s="179">
        <v>82</v>
      </c>
      <c r="C4" s="179">
        <v>79</v>
      </c>
      <c r="D4" s="179">
        <v>85</v>
      </c>
      <c r="T4" t="s">
        <v>2173</v>
      </c>
    </row>
    <row r="5" spans="1:21" ht="15.75" thickBot="1" x14ac:dyDescent="0.3">
      <c r="A5" s="605">
        <v>87</v>
      </c>
      <c r="B5" s="605">
        <v>91</v>
      </c>
      <c r="C5" s="605">
        <v>84</v>
      </c>
      <c r="D5" s="605">
        <v>80</v>
      </c>
      <c r="F5" t="s">
        <v>62</v>
      </c>
    </row>
    <row r="6" spans="1:21" x14ac:dyDescent="0.25">
      <c r="A6" s="605">
        <v>50</v>
      </c>
      <c r="B6" s="605">
        <v>92</v>
      </c>
      <c r="C6" s="605">
        <v>74</v>
      </c>
      <c r="D6" s="605">
        <v>65</v>
      </c>
      <c r="F6" s="607" t="s">
        <v>79</v>
      </c>
      <c r="G6" s="607" t="s">
        <v>22</v>
      </c>
      <c r="H6" s="607" t="s">
        <v>21</v>
      </c>
      <c r="I6" s="607" t="s">
        <v>465</v>
      </c>
      <c r="J6" s="607" t="s">
        <v>80</v>
      </c>
      <c r="N6" s="258" t="s">
        <v>576</v>
      </c>
      <c r="O6" s="258" t="s">
        <v>573</v>
      </c>
      <c r="P6" s="258" t="s">
        <v>574</v>
      </c>
      <c r="T6" t="s">
        <v>34</v>
      </c>
      <c r="U6" s="805">
        <v>0.05</v>
      </c>
    </row>
    <row r="7" spans="1:21" x14ac:dyDescent="0.25">
      <c r="A7" s="605">
        <v>48</v>
      </c>
      <c r="B7" s="605">
        <v>80</v>
      </c>
      <c r="C7" s="605">
        <v>98</v>
      </c>
      <c r="D7" s="605">
        <v>71</v>
      </c>
      <c r="F7" s="19" t="s">
        <v>39</v>
      </c>
      <c r="G7" s="19">
        <v>7</v>
      </c>
      <c r="H7" s="19">
        <v>429</v>
      </c>
      <c r="I7" s="19">
        <v>61.285714285714285</v>
      </c>
      <c r="J7" s="19">
        <v>242.23809523809541</v>
      </c>
      <c r="N7" s="26">
        <f>(1-G7/$G$11)*J7</f>
        <v>183.76683087027928</v>
      </c>
      <c r="O7" s="13">
        <f>N7/$N$11</f>
        <v>0.34583666978390648</v>
      </c>
      <c r="P7" s="13">
        <f>O7^2/(G7-1)</f>
        <v>1.9933833694537131E-2</v>
      </c>
    </row>
    <row r="8" spans="1:21" x14ac:dyDescent="0.25">
      <c r="A8" s="605">
        <v>79</v>
      </c>
      <c r="B8" s="605">
        <v>52</v>
      </c>
      <c r="C8" s="605">
        <v>63</v>
      </c>
      <c r="D8" s="605">
        <v>67</v>
      </c>
      <c r="F8" s="19" t="s">
        <v>40</v>
      </c>
      <c r="G8" s="19">
        <v>8</v>
      </c>
      <c r="H8" s="19">
        <v>623</v>
      </c>
      <c r="I8" s="19">
        <v>77.875</v>
      </c>
      <c r="J8" s="19">
        <v>157.55357142857142</v>
      </c>
      <c r="N8" s="26">
        <f>(1-G8/$G$11)*J8</f>
        <v>114.0905172413793</v>
      </c>
      <c r="O8" s="13">
        <f>N8/$N$11</f>
        <v>0.21471058922779374</v>
      </c>
      <c r="P8" s="13">
        <f>O8^2/(G8-1)</f>
        <v>6.5858053037923395E-3</v>
      </c>
      <c r="T8" t="str">
        <f t="array" ref="T8:U11">[1]!FSTAR_TEST(A4:D11,TRUE)</f>
        <v>F-star</v>
      </c>
      <c r="U8" s="970">
        <v>2.6237395362922795</v>
      </c>
    </row>
    <row r="9" spans="1:21" x14ac:dyDescent="0.25">
      <c r="A9" s="605">
        <v>61</v>
      </c>
      <c r="B9" s="605">
        <v>79</v>
      </c>
      <c r="C9" s="605">
        <v>83</v>
      </c>
      <c r="D9" s="605">
        <v>51</v>
      </c>
      <c r="F9" s="19" t="s">
        <v>46</v>
      </c>
      <c r="G9" s="19">
        <v>8</v>
      </c>
      <c r="H9" s="19">
        <v>624</v>
      </c>
      <c r="I9" s="19">
        <v>78</v>
      </c>
      <c r="J9" s="19">
        <v>164.57142857142858</v>
      </c>
      <c r="N9" s="26">
        <f>(1-G9/$G$11)*J9</f>
        <v>119.17241379310346</v>
      </c>
      <c r="O9" s="13">
        <f>N9/$N$11</f>
        <v>0.22427437269900799</v>
      </c>
      <c r="P9" s="13">
        <f>O9^2/(G9-1)</f>
        <v>7.1855706070762197E-3</v>
      </c>
      <c r="T9" t="str">
        <v>df1</v>
      </c>
      <c r="U9" s="680">
        <v>3</v>
      </c>
    </row>
    <row r="10" spans="1:21" ht="15.75" thickBot="1" x14ac:dyDescent="0.3">
      <c r="A10" s="605">
        <v>53</v>
      </c>
      <c r="B10" s="605">
        <v>73</v>
      </c>
      <c r="C10" s="605">
        <v>85</v>
      </c>
      <c r="D10" s="605"/>
      <c r="F10" s="20" t="s">
        <v>47</v>
      </c>
      <c r="G10" s="20">
        <v>6</v>
      </c>
      <c r="H10" s="20">
        <v>419</v>
      </c>
      <c r="I10" s="20">
        <v>69.833333333333329</v>
      </c>
      <c r="J10" s="20">
        <v>144.16666666666643</v>
      </c>
      <c r="N10" s="204">
        <f>(1-G10/$G$11)*J10</f>
        <v>114.33908045976993</v>
      </c>
      <c r="O10" s="204">
        <f>N10/$N$11</f>
        <v>0.21517836828929188</v>
      </c>
      <c r="P10" s="204">
        <f>O10^2/(G10-1)</f>
        <v>9.2603460359284261E-3</v>
      </c>
      <c r="T10" t="str">
        <v>df2</v>
      </c>
      <c r="U10" s="680">
        <v>23.274457529369659</v>
      </c>
    </row>
    <row r="11" spans="1:21" x14ac:dyDescent="0.25">
      <c r="A11" s="606"/>
      <c r="B11" s="606">
        <v>74</v>
      </c>
      <c r="C11" s="606">
        <v>58</v>
      </c>
      <c r="D11" s="606"/>
      <c r="E11" s="224"/>
      <c r="G11">
        <f>SUM(G7:G10)</f>
        <v>29</v>
      </c>
      <c r="N11" s="19">
        <f>SUM(N7:N10)</f>
        <v>531.36884236453193</v>
      </c>
      <c r="P11" s="19">
        <f>1/SUM(P7:P10)</f>
        <v>23.274457529369663</v>
      </c>
      <c r="T11" t="str">
        <v>p-value</v>
      </c>
      <c r="U11" s="680">
        <v>7.4804255842679412E-2</v>
      </c>
    </row>
    <row r="12" spans="1:21" x14ac:dyDescent="0.25">
      <c r="T12" t="s">
        <v>527</v>
      </c>
      <c r="U12" s="758" t="str">
        <f>IF(U11&lt;U6,"yes","no")</f>
        <v>no</v>
      </c>
    </row>
    <row r="13" spans="1:21" ht="15.75" thickBot="1" x14ac:dyDescent="0.3">
      <c r="F13" t="s">
        <v>294</v>
      </c>
    </row>
    <row r="14" spans="1:21" x14ac:dyDescent="0.25">
      <c r="F14" s="607" t="s">
        <v>466</v>
      </c>
      <c r="G14" s="607" t="s">
        <v>219</v>
      </c>
      <c r="H14" s="607" t="s">
        <v>60</v>
      </c>
      <c r="I14" s="607" t="s">
        <v>240</v>
      </c>
      <c r="J14" s="607" t="s">
        <v>135</v>
      </c>
      <c r="K14" s="607" t="s">
        <v>119</v>
      </c>
      <c r="L14" s="607" t="s">
        <v>467</v>
      </c>
      <c r="N14" s="226" t="s">
        <v>577</v>
      </c>
      <c r="O14" s="226" t="s">
        <v>60</v>
      </c>
      <c r="P14" s="226" t="s">
        <v>135</v>
      </c>
      <c r="Q14" s="226" t="s">
        <v>119</v>
      </c>
      <c r="R14" s="226" t="s">
        <v>467</v>
      </c>
    </row>
    <row r="15" spans="1:21" x14ac:dyDescent="0.25">
      <c r="F15" s="19" t="s">
        <v>462</v>
      </c>
      <c r="G15" s="19">
        <v>1394.1734400656824</v>
      </c>
      <c r="H15" s="19">
        <v>3</v>
      </c>
      <c r="I15" s="19">
        <v>464.72448002189412</v>
      </c>
      <c r="J15" s="19">
        <v>2.6231097052015611</v>
      </c>
      <c r="K15" s="19">
        <v>7.2760576413978123E-2</v>
      </c>
      <c r="L15" s="19">
        <v>2.9912409095499513</v>
      </c>
      <c r="N15" s="19">
        <f>G15</f>
        <v>1394.1734400656824</v>
      </c>
      <c r="O15" s="19">
        <f>COUNTA(A3:D3)-1</f>
        <v>3</v>
      </c>
      <c r="P15" s="19">
        <f>N15/N16</f>
        <v>2.6237395362922795</v>
      </c>
      <c r="Q15" s="19">
        <f>FDIST(P15,O15,O16)</f>
        <v>7.4804255842679412E-2</v>
      </c>
      <c r="R15" s="19">
        <f>FINV(0.05,O15,O16)</f>
        <v>3.0279983823321985</v>
      </c>
    </row>
    <row r="16" spans="1:21" ht="15.75" thickBot="1" x14ac:dyDescent="0.3">
      <c r="F16" s="19" t="s">
        <v>463</v>
      </c>
      <c r="G16" s="19">
        <v>4429.1369047619046</v>
      </c>
      <c r="H16" s="19">
        <v>25</v>
      </c>
      <c r="I16" s="19">
        <v>177.16547619047617</v>
      </c>
      <c r="J16" s="19"/>
      <c r="K16" s="19"/>
      <c r="L16" s="19"/>
      <c r="N16" s="20">
        <f>N11</f>
        <v>531.36884236453193</v>
      </c>
      <c r="O16" s="20">
        <f>P11</f>
        <v>23.274457529369663</v>
      </c>
      <c r="P16" s="20"/>
      <c r="Q16" s="20"/>
      <c r="R16" s="20"/>
    </row>
    <row r="17" spans="6:19" x14ac:dyDescent="0.25">
      <c r="F17" s="19"/>
      <c r="G17" s="19"/>
      <c r="H17" s="19"/>
      <c r="I17" s="19"/>
      <c r="J17" s="19"/>
      <c r="K17" s="19"/>
      <c r="L17" s="19"/>
      <c r="N17" s="19"/>
      <c r="O17" s="19"/>
      <c r="P17" s="19"/>
      <c r="Q17" s="19"/>
      <c r="R17" s="19"/>
    </row>
    <row r="18" spans="6:19" ht="15.75" thickBot="1" x14ac:dyDescent="0.3">
      <c r="F18" s="20" t="s">
        <v>1</v>
      </c>
      <c r="G18" s="20">
        <v>5823.310344827587</v>
      </c>
      <c r="H18" s="20">
        <v>28</v>
      </c>
      <c r="I18" s="20"/>
      <c r="J18" s="20"/>
      <c r="K18" s="20"/>
      <c r="L18" s="20"/>
      <c r="N18" s="19"/>
      <c r="O18" s="19"/>
      <c r="P18" s="19"/>
      <c r="Q18" s="19"/>
      <c r="R18" s="19"/>
    </row>
    <row r="19" spans="6:19" x14ac:dyDescent="0.25">
      <c r="N19" s="19" t="s">
        <v>2316</v>
      </c>
      <c r="O19" s="19"/>
      <c r="P19" s="19"/>
      <c r="Q19" s="19"/>
      <c r="R19" s="19"/>
      <c r="S19" s="19"/>
    </row>
    <row r="21" spans="6:19" x14ac:dyDescent="0.25">
      <c r="N21" t="s">
        <v>1295</v>
      </c>
      <c r="O21" s="614">
        <f>[1]!fstar(A4:D11)</f>
        <v>2.6237395362922795</v>
      </c>
      <c r="Q21" t="str">
        <f t="array" ref="Q21:R24">[1]!FSTAR_TEST(A4:D11,TRUE)</f>
        <v>F-star</v>
      </c>
      <c r="R21" s="868">
        <v>2.6237395362922795</v>
      </c>
    </row>
    <row r="22" spans="6:19" x14ac:dyDescent="0.25">
      <c r="N22" t="s">
        <v>574</v>
      </c>
      <c r="O22" s="503">
        <f>[1]!dfstar(A4:D11)</f>
        <v>23.274457529369659</v>
      </c>
      <c r="Q22" t="str">
        <v>df1</v>
      </c>
      <c r="R22" s="503">
        <v>3</v>
      </c>
    </row>
    <row r="23" spans="6:19" x14ac:dyDescent="0.25">
      <c r="N23" t="s">
        <v>67</v>
      </c>
      <c r="O23" s="420">
        <f>[1]!bftest(A4:D11)</f>
        <v>7.4804255842679412E-2</v>
      </c>
      <c r="Q23" t="str">
        <v>df2</v>
      </c>
      <c r="R23" s="503">
        <v>23.274457529369659</v>
      </c>
    </row>
    <row r="24" spans="6:19" x14ac:dyDescent="0.25">
      <c r="Q24" t="str">
        <v>p-value</v>
      </c>
      <c r="R24" s="420">
        <v>7.4804255842679412E-2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3"/>
  <dimension ref="A1:X43"/>
  <sheetViews>
    <sheetView workbookViewId="0"/>
  </sheetViews>
  <sheetFormatPr defaultRowHeight="15" x14ac:dyDescent="0.25"/>
  <cols>
    <col min="9" max="9" width="3" customWidth="1"/>
    <col min="10" max="10" width="30.7109375" customWidth="1"/>
    <col min="11" max="11" width="2.7109375" customWidth="1"/>
    <col min="12" max="12" width="21.5703125" customWidth="1"/>
    <col min="13" max="13" width="15.42578125" customWidth="1"/>
  </cols>
  <sheetData>
    <row r="1" spans="1:24" x14ac:dyDescent="0.25">
      <c r="A1" s="1" t="s">
        <v>2166</v>
      </c>
      <c r="W1" t="s">
        <v>1933</v>
      </c>
    </row>
    <row r="3" spans="1:24" x14ac:dyDescent="0.25">
      <c r="B3" s="983" t="s">
        <v>75</v>
      </c>
      <c r="C3" s="983" t="s">
        <v>76</v>
      </c>
      <c r="D3" s="983" t="s">
        <v>91</v>
      </c>
      <c r="F3" s="53" t="s">
        <v>2166</v>
      </c>
      <c r="M3" t="s">
        <v>2171</v>
      </c>
      <c r="W3" t="s">
        <v>2166</v>
      </c>
    </row>
    <row r="4" spans="1:24" x14ac:dyDescent="0.25">
      <c r="B4" s="616">
        <v>50</v>
      </c>
      <c r="C4" s="617">
        <v>44</v>
      </c>
      <c r="D4" s="618">
        <v>16</v>
      </c>
    </row>
    <row r="5" spans="1:24" x14ac:dyDescent="0.25">
      <c r="B5" s="540">
        <v>39</v>
      </c>
      <c r="C5" s="984">
        <v>31</v>
      </c>
      <c r="D5" s="494">
        <v>60</v>
      </c>
      <c r="F5" t="str">
        <f t="array" ref="F5:G8">[1]!WELCH_TEST(B4:D13,TRUE)</f>
        <v>F-stat</v>
      </c>
      <c r="G5" s="868">
        <v>4.3152775141088604</v>
      </c>
      <c r="M5" s="580">
        <f>[1]!Levene(B4:D13,1)</f>
        <v>5.4782286316208432E-3</v>
      </c>
      <c r="W5" t="s">
        <v>34</v>
      </c>
      <c r="X5" s="805">
        <v>0.05</v>
      </c>
    </row>
    <row r="6" spans="1:24" x14ac:dyDescent="0.25">
      <c r="B6" s="540">
        <v>42</v>
      </c>
      <c r="C6" s="984">
        <v>50</v>
      </c>
      <c r="D6" s="494">
        <v>24</v>
      </c>
      <c r="F6" t="str">
        <v>df1</v>
      </c>
      <c r="G6" s="503">
        <v>2</v>
      </c>
    </row>
    <row r="7" spans="1:24" x14ac:dyDescent="0.25">
      <c r="B7" s="540">
        <v>45</v>
      </c>
      <c r="C7" s="984">
        <v>22</v>
      </c>
      <c r="D7" s="494">
        <v>19</v>
      </c>
      <c r="F7" t="str">
        <v>df2</v>
      </c>
      <c r="G7" s="503">
        <v>11.699640267775615</v>
      </c>
      <c r="M7" t="s">
        <v>457</v>
      </c>
      <c r="W7" t="str">
        <f t="array" ref="W7:X10">[1]!WELCH_TEST(B4:D13,TRUE)</f>
        <v>F-stat</v>
      </c>
      <c r="X7" s="970">
        <v>4.3152775141088604</v>
      </c>
    </row>
    <row r="8" spans="1:24" x14ac:dyDescent="0.25">
      <c r="B8" s="540">
        <v>38</v>
      </c>
      <c r="C8" s="984">
        <v>30</v>
      </c>
      <c r="D8" s="494">
        <v>31</v>
      </c>
      <c r="F8" t="str">
        <v>p-value</v>
      </c>
      <c r="G8" s="420">
        <v>4.1355243712043348E-2</v>
      </c>
      <c r="W8" t="str">
        <v>df1</v>
      </c>
      <c r="X8" s="680">
        <v>2</v>
      </c>
    </row>
    <row r="9" spans="1:24" ht="15.75" thickBot="1" x14ac:dyDescent="0.3">
      <c r="B9" s="540">
        <v>44</v>
      </c>
      <c r="C9" s="984">
        <v>27</v>
      </c>
      <c r="D9" s="494">
        <v>37</v>
      </c>
      <c r="M9" t="s">
        <v>458</v>
      </c>
      <c r="R9" t="s">
        <v>34</v>
      </c>
      <c r="S9">
        <v>0.05</v>
      </c>
      <c r="W9" t="str">
        <v>df2</v>
      </c>
      <c r="X9" s="680">
        <v>11.699640267775615</v>
      </c>
    </row>
    <row r="10" spans="1:24" ht="15.75" thickTop="1" x14ac:dyDescent="0.25">
      <c r="B10" s="540">
        <v>40</v>
      </c>
      <c r="C10" s="984">
        <v>32</v>
      </c>
      <c r="D10" s="494">
        <v>44</v>
      </c>
      <c r="M10" s="826" t="s">
        <v>79</v>
      </c>
      <c r="N10" s="826" t="s">
        <v>22</v>
      </c>
      <c r="O10" s="826" t="s">
        <v>21</v>
      </c>
      <c r="P10" s="826" t="s">
        <v>10</v>
      </c>
      <c r="Q10" s="826" t="s">
        <v>80</v>
      </c>
      <c r="R10" s="826" t="s">
        <v>219</v>
      </c>
      <c r="S10" s="826" t="s">
        <v>59</v>
      </c>
      <c r="T10" s="826" t="s">
        <v>343</v>
      </c>
      <c r="U10" s="826" t="s">
        <v>344</v>
      </c>
      <c r="W10" t="str">
        <v>p-value</v>
      </c>
      <c r="X10" s="680">
        <v>4.1355243712043348E-2</v>
      </c>
    </row>
    <row r="11" spans="1:24" x14ac:dyDescent="0.25">
      <c r="B11" s="540">
        <v>49</v>
      </c>
      <c r="C11" s="984">
        <v>25</v>
      </c>
      <c r="D11" s="494">
        <v>55</v>
      </c>
      <c r="M11" t="str">
        <f>B3</f>
        <v>New</v>
      </c>
      <c r="N11">
        <f>COUNT(B4:B13)</f>
        <v>10</v>
      </c>
      <c r="O11">
        <f>SUM(B4:B13)</f>
        <v>430</v>
      </c>
      <c r="P11">
        <f>AVERAGE(B4:B13)</f>
        <v>43</v>
      </c>
      <c r="Q11">
        <f>VAR(B4:B13)</f>
        <v>16.222222222222221</v>
      </c>
      <c r="R11">
        <f>DEVSQ(B4:B13)</f>
        <v>146</v>
      </c>
      <c r="S11">
        <f>SQRT(P18/N11)</f>
        <v>3.3526868716388143</v>
      </c>
      <c r="T11">
        <f>P11-S11*TINV(S9,N11-1)</f>
        <v>35.41569537870275</v>
      </c>
      <c r="U11">
        <f>P11+S11*TINV(S9,N11-1)</f>
        <v>50.58430462129725</v>
      </c>
      <c r="W11" t="s">
        <v>527</v>
      </c>
      <c r="X11" s="758" t="str">
        <f>IF(X10&lt;X5,"yes","no")</f>
        <v>yes</v>
      </c>
    </row>
    <row r="12" spans="1:24" x14ac:dyDescent="0.25">
      <c r="B12" s="540">
        <v>42</v>
      </c>
      <c r="C12" s="984">
        <v>40</v>
      </c>
      <c r="D12" s="494"/>
      <c r="M12" t="str">
        <f>C3</f>
        <v>Old</v>
      </c>
      <c r="N12">
        <f>COUNT(C4:C13)</f>
        <v>9</v>
      </c>
      <c r="O12">
        <f>SUM(C4:C13)</f>
        <v>301</v>
      </c>
      <c r="P12">
        <f>AVERAGE(C4:C13)</f>
        <v>33.444444444444443</v>
      </c>
      <c r="Q12">
        <f>VAR(C4:C13)</f>
        <v>86.527777777777828</v>
      </c>
      <c r="R12">
        <f>DEVSQ(C4:C13)</f>
        <v>692.22222222222217</v>
      </c>
      <c r="S12">
        <f>SQRT(P18/N12)</f>
        <v>3.5340422652410779</v>
      </c>
      <c r="T12">
        <f>P12-S12*TINV(S9,N12-1)</f>
        <v>25.294928366812215</v>
      </c>
      <c r="U12">
        <f>P12+S12*TINV(S9,N12-1)</f>
        <v>41.593960522076671</v>
      </c>
    </row>
    <row r="13" spans="1:24" x14ac:dyDescent="0.25">
      <c r="B13" s="436">
        <v>41</v>
      </c>
      <c r="C13" s="987"/>
      <c r="D13" s="38"/>
      <c r="M13" t="str">
        <f>D3</f>
        <v>Control</v>
      </c>
      <c r="N13">
        <f>COUNT(D4:D13)</f>
        <v>8</v>
      </c>
      <c r="O13">
        <f>SUM(D4:D13)</f>
        <v>286</v>
      </c>
      <c r="P13">
        <f>AVERAGE(D4:D13)</f>
        <v>35.75</v>
      </c>
      <c r="Q13">
        <f>VAR(D4:D13)</f>
        <v>265.64285714285717</v>
      </c>
      <c r="R13">
        <f>DEVSQ(D4:D13)</f>
        <v>1859.5</v>
      </c>
      <c r="S13">
        <f>SQRT(P18/N13)</f>
        <v>3.7484178761277502</v>
      </c>
      <c r="T13">
        <f>P13-S13*TINV(S9,N13-1)</f>
        <v>26.886400185004405</v>
      </c>
      <c r="U13">
        <f>P13+S13*TINV(S9,N13-1)</f>
        <v>44.613599814995595</v>
      </c>
    </row>
    <row r="14" spans="1:24" x14ac:dyDescent="0.25">
      <c r="A14" t="s">
        <v>7</v>
      </c>
      <c r="B14">
        <f>AVERAGE(B4:B13)</f>
        <v>43</v>
      </c>
      <c r="C14">
        <f>AVERAGE(C4:C13)</f>
        <v>33.444444444444443</v>
      </c>
      <c r="D14">
        <f>AVERAGE(D4:D13)</f>
        <v>35.75</v>
      </c>
      <c r="M14" s="827"/>
      <c r="N14" s="827"/>
      <c r="O14" s="827"/>
      <c r="P14" s="827"/>
      <c r="Q14" s="827"/>
      <c r="R14" s="827"/>
      <c r="S14" s="827"/>
      <c r="T14" s="827"/>
      <c r="U14" s="827"/>
    </row>
    <row r="15" spans="1:24" ht="15.75" thickBot="1" x14ac:dyDescent="0.3">
      <c r="A15" t="s">
        <v>1064</v>
      </c>
      <c r="B15">
        <f>VAR(B4:B13)</f>
        <v>16.222222222222221</v>
      </c>
      <c r="C15">
        <f>VAR(C4:C13)</f>
        <v>86.527777777777828</v>
      </c>
      <c r="D15">
        <f>VAR(D4:D13)</f>
        <v>265.64285714285717</v>
      </c>
      <c r="M15" t="s">
        <v>294</v>
      </c>
    </row>
    <row r="16" spans="1:24" ht="15.75" thickTop="1" x14ac:dyDescent="0.25">
      <c r="M16" s="826" t="s">
        <v>459</v>
      </c>
      <c r="N16" s="826" t="s">
        <v>219</v>
      </c>
      <c r="O16" s="826" t="s">
        <v>60</v>
      </c>
      <c r="P16" s="826" t="s">
        <v>240</v>
      </c>
      <c r="Q16" s="826" t="s">
        <v>135</v>
      </c>
      <c r="R16" s="826" t="s">
        <v>460</v>
      </c>
      <c r="S16" s="826" t="s">
        <v>467</v>
      </c>
      <c r="T16" s="826" t="s">
        <v>1231</v>
      </c>
      <c r="U16" s="826" t="s">
        <v>1232</v>
      </c>
    </row>
    <row r="17" spans="4:21" x14ac:dyDescent="0.25">
      <c r="M17" t="s">
        <v>462</v>
      </c>
      <c r="N17">
        <f>N19-N18</f>
        <v>474.27777777777828</v>
      </c>
      <c r="O17">
        <f>COUNTA(M11:M13)-1</f>
        <v>2</v>
      </c>
      <c r="P17">
        <f>N17/O17</f>
        <v>237.13888888888914</v>
      </c>
      <c r="Q17">
        <f>P17/P18</f>
        <v>2.1096810066105172</v>
      </c>
      <c r="R17">
        <f>FDIST(Q17,O17,O18)</f>
        <v>0.14320843844209949</v>
      </c>
      <c r="S17">
        <f>FINV(S9,O17,O18)</f>
        <v>3.4028261053501945</v>
      </c>
      <c r="T17">
        <f>SQRT(DEVSQ(P11:P13)/(P18*O17))</f>
        <v>0.47032328011464403</v>
      </c>
      <c r="U17">
        <f>(N19-O19*P18)/(N19+P18)</f>
        <v>7.5955183833816359E-2</v>
      </c>
    </row>
    <row r="18" spans="4:21" x14ac:dyDescent="0.25">
      <c r="M18" t="s">
        <v>463</v>
      </c>
      <c r="N18">
        <f>SUM(R11:R13)</f>
        <v>2697.7222222222222</v>
      </c>
      <c r="O18">
        <f>O19-O17</f>
        <v>24</v>
      </c>
      <c r="P18">
        <f>N18/O18</f>
        <v>112.4050925925926</v>
      </c>
    </row>
    <row r="19" spans="4:21" x14ac:dyDescent="0.25">
      <c r="E19" s="13" t="s">
        <v>75</v>
      </c>
      <c r="F19" s="13" t="s">
        <v>76</v>
      </c>
      <c r="G19" s="13" t="s">
        <v>91</v>
      </c>
      <c r="M19" s="762" t="s">
        <v>1</v>
      </c>
      <c r="N19" s="762">
        <f>DEVSQ(B4:D13)</f>
        <v>3172.0000000000005</v>
      </c>
      <c r="O19" s="762">
        <f>COUNT(B4:D13)-1</f>
        <v>26</v>
      </c>
      <c r="P19" s="762">
        <f>N19/O19</f>
        <v>122.00000000000001</v>
      </c>
      <c r="Q19" s="762"/>
      <c r="R19" s="762"/>
      <c r="S19" s="762"/>
      <c r="T19" s="762"/>
      <c r="U19" s="762"/>
    </row>
    <row r="20" spans="4:21" x14ac:dyDescent="0.25">
      <c r="E20" s="988">
        <v>50</v>
      </c>
      <c r="F20" s="989">
        <v>44</v>
      </c>
      <c r="G20" s="615">
        <v>16</v>
      </c>
    </row>
    <row r="21" spans="4:21" x14ac:dyDescent="0.25">
      <c r="E21" s="578">
        <v>39</v>
      </c>
      <c r="F21" s="25">
        <v>31</v>
      </c>
      <c r="G21" s="602">
        <v>60</v>
      </c>
    </row>
    <row r="22" spans="4:21" x14ac:dyDescent="0.25">
      <c r="E22" s="578">
        <v>42</v>
      </c>
      <c r="F22" s="25">
        <v>50</v>
      </c>
      <c r="G22" s="602">
        <v>24</v>
      </c>
    </row>
    <row r="23" spans="4:21" x14ac:dyDescent="0.25">
      <c r="E23" s="578">
        <v>45</v>
      </c>
      <c r="F23" s="25">
        <v>22</v>
      </c>
      <c r="G23" s="602">
        <v>19</v>
      </c>
    </row>
    <row r="24" spans="4:21" x14ac:dyDescent="0.25">
      <c r="E24" s="578">
        <v>38</v>
      </c>
      <c r="F24" s="25">
        <v>30</v>
      </c>
      <c r="G24" s="602">
        <v>31</v>
      </c>
    </row>
    <row r="25" spans="4:21" x14ac:dyDescent="0.25">
      <c r="E25" s="578">
        <v>44</v>
      </c>
      <c r="F25" s="25">
        <v>27</v>
      </c>
      <c r="G25" s="602">
        <v>37</v>
      </c>
    </row>
    <row r="26" spans="4:21" x14ac:dyDescent="0.25">
      <c r="E26" s="578">
        <v>40</v>
      </c>
      <c r="F26" s="25">
        <v>32</v>
      </c>
      <c r="G26" s="602">
        <v>44</v>
      </c>
    </row>
    <row r="27" spans="4:21" x14ac:dyDescent="0.25">
      <c r="E27" s="578">
        <v>49</v>
      </c>
      <c r="F27" s="25">
        <v>25</v>
      </c>
      <c r="G27" s="602">
        <v>55</v>
      </c>
    </row>
    <row r="28" spans="4:21" x14ac:dyDescent="0.25">
      <c r="E28" s="578">
        <v>42</v>
      </c>
      <c r="F28" s="25">
        <v>40</v>
      </c>
      <c r="G28" s="602"/>
    </row>
    <row r="29" spans="4:21" x14ac:dyDescent="0.25">
      <c r="E29" s="877">
        <v>41</v>
      </c>
      <c r="F29" s="342"/>
      <c r="G29" s="579"/>
      <c r="J29" t="s">
        <v>2169</v>
      </c>
      <c r="L29" t="s">
        <v>2170</v>
      </c>
    </row>
    <row r="30" spans="4:21" ht="3.75" customHeight="1" x14ac:dyDescent="0.25"/>
    <row r="31" spans="4:21" x14ac:dyDescent="0.25">
      <c r="D31" t="s">
        <v>216</v>
      </c>
      <c r="E31" s="869">
        <f>COUNT(E20:E29)</f>
        <v>10</v>
      </c>
      <c r="F31" s="827">
        <f>COUNT(F20:F29)</f>
        <v>9</v>
      </c>
      <c r="G31" s="870">
        <f>COUNT(G20:G29)</f>
        <v>8</v>
      </c>
      <c r="J31" t="str">
        <f>[1]!FTEXT(E31)</f>
        <v>=COUNT(E20:E29)</v>
      </c>
    </row>
    <row r="32" spans="4:21" x14ac:dyDescent="0.25">
      <c r="D32" t="s">
        <v>7</v>
      </c>
      <c r="E32" s="532">
        <f>AVERAGE(E20:E29)</f>
        <v>43</v>
      </c>
      <c r="F32" s="7">
        <f>AVERAGE(F20:F29)</f>
        <v>33.444444444444443</v>
      </c>
      <c r="G32" s="533">
        <f>AVERAGE(G20:G29)</f>
        <v>35.75</v>
      </c>
      <c r="J32" t="str">
        <f>[1]!FTEXT(E32)</f>
        <v>=AVERAGE(E20:E29)</v>
      </c>
    </row>
    <row r="33" spans="4:12" x14ac:dyDescent="0.25">
      <c r="D33" t="s">
        <v>1064</v>
      </c>
      <c r="E33" s="409">
        <f>VAR(E20:E29)</f>
        <v>16.222222222222221</v>
      </c>
      <c r="F33" s="762">
        <f>VAR(F20:F29)</f>
        <v>86.527777777777828</v>
      </c>
      <c r="G33" s="417">
        <f>VAR(G20:G29)</f>
        <v>265.64285714285717</v>
      </c>
      <c r="J33" t="str">
        <f>[1]!FTEXT(E33)</f>
        <v>=VAR(E20:E29)</v>
      </c>
    </row>
    <row r="34" spans="4:12" x14ac:dyDescent="0.25">
      <c r="D34" t="s">
        <v>1853</v>
      </c>
      <c r="E34" s="532">
        <f>E31/E33</f>
        <v>0.61643835616438358</v>
      </c>
      <c r="F34" s="7">
        <f>F31/F33</f>
        <v>0.10401284109149271</v>
      </c>
      <c r="G34" s="533">
        <f>G31/G33</f>
        <v>3.0115622479161063E-2</v>
      </c>
      <c r="H34" s="868">
        <f>SUM(E34:G34)</f>
        <v>0.75056681973503736</v>
      </c>
      <c r="J34" t="str">
        <f>[1]!FTEXT(E34)</f>
        <v>=E31/E33</v>
      </c>
      <c r="L34" t="str">
        <f>[1]!FTEXT(H34)</f>
        <v>=SUM(E34:G34)</v>
      </c>
    </row>
    <row r="35" spans="4:12" x14ac:dyDescent="0.25">
      <c r="D35" t="s">
        <v>2168</v>
      </c>
      <c r="E35" s="532">
        <f>E34*E32</f>
        <v>26.506849315068493</v>
      </c>
      <c r="F35" s="7">
        <f>F34*F32</f>
        <v>3.4786516853932561</v>
      </c>
      <c r="G35" s="533">
        <f>G34*G32</f>
        <v>1.0766335036300081</v>
      </c>
      <c r="H35" s="503">
        <f>SUM(E35:G35)/H34</f>
        <v>41.384902299647635</v>
      </c>
      <c r="J35" t="str">
        <f>[1]!FTEXT(E35)</f>
        <v>=E34*E32</v>
      </c>
      <c r="L35" t="str">
        <f>[1]!FTEXT(H35)</f>
        <v>=SUM(E35:G35)/H34</v>
      </c>
    </row>
    <row r="36" spans="4:12" x14ac:dyDescent="0.25">
      <c r="D36" t="s">
        <v>41</v>
      </c>
      <c r="E36" s="532">
        <f>E34*(E32-H35)^2</f>
        <v>1.6080044681610604</v>
      </c>
      <c r="F36" s="7">
        <f>F34*(F32-H35)^2</f>
        <v>6.5581002208294077</v>
      </c>
      <c r="G36" s="533">
        <f>G34*(G32-H35)^2</f>
        <v>0.95623497708424599</v>
      </c>
      <c r="H36" s="503">
        <f>SUM(E36:G36)/(E39-1)</f>
        <v>4.5611698330373578</v>
      </c>
      <c r="J36" t="str">
        <f>[1]!FTEXT(E36)</f>
        <v>=E34*(E32-H35)^2</v>
      </c>
      <c r="L36" t="str">
        <f>[1]!FTEXT(H36)</f>
        <v>=SUM(E36:G36)/(E39-1)</v>
      </c>
    </row>
    <row r="37" spans="4:12" x14ac:dyDescent="0.25">
      <c r="D37" t="s">
        <v>42</v>
      </c>
      <c r="E37" s="409">
        <f>(1-E34/H34)^2/(E31-1)</f>
        <v>3.548302742008454E-3</v>
      </c>
      <c r="F37" s="762">
        <f>(1-F34/H34)^2/(F31-1)</f>
        <v>9.2755755417625332E-2</v>
      </c>
      <c r="G37" s="417">
        <f>(1-G34/H34)^2/(G31-1)</f>
        <v>0.13162317768978643</v>
      </c>
      <c r="H37" s="420">
        <f>SUM(E37:G37)</f>
        <v>0.22792723584942021</v>
      </c>
      <c r="J37" t="str">
        <f>[1]!FTEXT(E37)</f>
        <v>=(1-E34/H34)^2/(E31-1)</v>
      </c>
      <c r="L37" t="str">
        <f>[1]!FTEXT(H37)</f>
        <v>=SUM(E37:G37)</v>
      </c>
    </row>
    <row r="38" spans="4:12" ht="3.75" customHeight="1" x14ac:dyDescent="0.25"/>
    <row r="39" spans="4:12" x14ac:dyDescent="0.25">
      <c r="D39" s="132" t="s">
        <v>56</v>
      </c>
      <c r="E39" s="868">
        <f>COUNT(E20:G20)</f>
        <v>3</v>
      </c>
      <c r="J39" t="str">
        <f>[1]!FTEXT(E39)</f>
        <v>=COUNT(E20:G20)</v>
      </c>
    </row>
    <row r="40" spans="4:12" x14ac:dyDescent="0.25">
      <c r="D40" t="s">
        <v>135</v>
      </c>
      <c r="E40" s="503">
        <f>H36/(1+2*H37*(E39-2)/(E39^2-1))</f>
        <v>4.3152775141088604</v>
      </c>
      <c r="J40" t="str">
        <f>[1]!FTEXT(E40)</f>
        <v>=H36/(1+2*H37*(E39-2)/(E39^2-1))</v>
      </c>
    </row>
    <row r="41" spans="4:12" x14ac:dyDescent="0.25">
      <c r="D41" t="s">
        <v>421</v>
      </c>
      <c r="E41" s="503">
        <f>E39-1</f>
        <v>2</v>
      </c>
      <c r="J41" t="str">
        <f>[1]!FTEXT(E41)</f>
        <v>=E39-1</v>
      </c>
    </row>
    <row r="42" spans="4:12" x14ac:dyDescent="0.25">
      <c r="D42" t="s">
        <v>422</v>
      </c>
      <c r="E42" s="503">
        <f>(E39^2-1)/(3*H37)</f>
        <v>11.699640267775615</v>
      </c>
      <c r="J42" t="str">
        <f>[1]!FTEXT(E42)</f>
        <v>=(E39^2-1)/(3*H37)</v>
      </c>
    </row>
    <row r="43" spans="4:12" x14ac:dyDescent="0.25">
      <c r="D43" t="s">
        <v>67</v>
      </c>
      <c r="E43" s="420">
        <f>FDIST(E40,E41,E42)</f>
        <v>4.1355243712043348E-2</v>
      </c>
      <c r="J43" t="str">
        <f>[1]!FTEXT(E43)</f>
        <v>=FDIST(E40,E41,E42)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5"/>
  <dimension ref="A1:I29"/>
  <sheetViews>
    <sheetView workbookViewId="0"/>
  </sheetViews>
  <sheetFormatPr defaultRowHeight="15" x14ac:dyDescent="0.25"/>
  <sheetData>
    <row r="1" spans="1:9" x14ac:dyDescent="0.25">
      <c r="A1" s="1" t="s">
        <v>2174</v>
      </c>
    </row>
    <row r="3" spans="1:9" x14ac:dyDescent="0.25">
      <c r="A3" s="990" t="s">
        <v>75</v>
      </c>
      <c r="B3" s="991">
        <v>50</v>
      </c>
      <c r="D3" t="s">
        <v>1673</v>
      </c>
    </row>
    <row r="4" spans="1:9" x14ac:dyDescent="0.25">
      <c r="A4" s="992" t="s">
        <v>75</v>
      </c>
      <c r="B4" s="993">
        <v>39</v>
      </c>
    </row>
    <row r="5" spans="1:9" x14ac:dyDescent="0.25">
      <c r="A5" s="992" t="s">
        <v>75</v>
      </c>
      <c r="B5" s="993">
        <v>42</v>
      </c>
      <c r="D5" t="str">
        <f t="array" ref="D5:F15">[1]!StdAnova1(A3:B29)</f>
        <v>Control</v>
      </c>
      <c r="E5" t="str">
        <v>New</v>
      </c>
      <c r="F5" t="str">
        <v>Old</v>
      </c>
      <c r="H5" t="s">
        <v>2166</v>
      </c>
    </row>
    <row r="6" spans="1:9" x14ac:dyDescent="0.25">
      <c r="A6" s="992" t="s">
        <v>75</v>
      </c>
      <c r="B6" s="993">
        <v>45</v>
      </c>
      <c r="D6" s="865">
        <v>16</v>
      </c>
      <c r="E6" s="798">
        <v>50</v>
      </c>
      <c r="F6" s="866">
        <v>44</v>
      </c>
    </row>
    <row r="7" spans="1:9" x14ac:dyDescent="0.25">
      <c r="A7" s="992" t="s">
        <v>75</v>
      </c>
      <c r="B7" s="993">
        <v>38</v>
      </c>
      <c r="D7" s="501">
        <v>60</v>
      </c>
      <c r="E7" s="7">
        <v>39</v>
      </c>
      <c r="F7" s="57">
        <v>31</v>
      </c>
      <c r="H7" t="s">
        <v>34</v>
      </c>
      <c r="I7" s="805">
        <v>0.05</v>
      </c>
    </row>
    <row r="8" spans="1:9" x14ac:dyDescent="0.25">
      <c r="A8" s="992" t="s">
        <v>75</v>
      </c>
      <c r="B8" s="993">
        <v>44</v>
      </c>
      <c r="D8" s="501">
        <v>24</v>
      </c>
      <c r="E8" s="7">
        <v>42</v>
      </c>
      <c r="F8" s="57">
        <v>50</v>
      </c>
    </row>
    <row r="9" spans="1:9" x14ac:dyDescent="0.25">
      <c r="A9" s="992" t="s">
        <v>75</v>
      </c>
      <c r="B9" s="993">
        <v>40</v>
      </c>
      <c r="D9" s="501">
        <v>19</v>
      </c>
      <c r="E9" s="7">
        <v>45</v>
      </c>
      <c r="F9" s="57">
        <v>22</v>
      </c>
      <c r="H9" t="str">
        <f t="array" ref="H9:I12">[1]!WELCH_TEST(D6:F15,TRUE)</f>
        <v>F-stat</v>
      </c>
      <c r="I9" s="970">
        <v>4.3152775141088595</v>
      </c>
    </row>
    <row r="10" spans="1:9" x14ac:dyDescent="0.25">
      <c r="A10" s="992" t="s">
        <v>75</v>
      </c>
      <c r="B10" s="993">
        <v>49</v>
      </c>
      <c r="D10" s="501">
        <v>31</v>
      </c>
      <c r="E10" s="7">
        <v>38</v>
      </c>
      <c r="F10" s="57">
        <v>30</v>
      </c>
      <c r="H10" t="str">
        <v>df1</v>
      </c>
      <c r="I10" s="680">
        <v>2</v>
      </c>
    </row>
    <row r="11" spans="1:9" x14ac:dyDescent="0.25">
      <c r="A11" s="992" t="s">
        <v>75</v>
      </c>
      <c r="B11" s="993">
        <v>42</v>
      </c>
      <c r="D11" s="501">
        <v>37</v>
      </c>
      <c r="E11" s="7">
        <v>44</v>
      </c>
      <c r="F11" s="57">
        <v>27</v>
      </c>
      <c r="H11" t="str">
        <v>df2</v>
      </c>
      <c r="I11" s="680">
        <v>11.699640267775615</v>
      </c>
    </row>
    <row r="12" spans="1:9" x14ac:dyDescent="0.25">
      <c r="A12" s="992" t="s">
        <v>75</v>
      </c>
      <c r="B12" s="993">
        <v>41</v>
      </c>
      <c r="D12" s="501">
        <v>44</v>
      </c>
      <c r="E12" s="7">
        <v>40</v>
      </c>
      <c r="F12" s="57">
        <v>32</v>
      </c>
      <c r="H12" t="str">
        <v>p-value</v>
      </c>
      <c r="I12" s="680">
        <v>4.1355243712043403E-2</v>
      </c>
    </row>
    <row r="13" spans="1:9" x14ac:dyDescent="0.25">
      <c r="A13" s="992" t="s">
        <v>76</v>
      </c>
      <c r="B13" s="993">
        <v>44</v>
      </c>
      <c r="D13" s="501">
        <v>55</v>
      </c>
      <c r="E13" s="7">
        <v>49</v>
      </c>
      <c r="F13" s="57">
        <v>25</v>
      </c>
      <c r="H13" t="s">
        <v>527</v>
      </c>
      <c r="I13" s="758" t="str">
        <f>IF(I12&lt;I7,"yes","no")</f>
        <v>yes</v>
      </c>
    </row>
    <row r="14" spans="1:9" x14ac:dyDescent="0.25">
      <c r="A14" s="992" t="s">
        <v>76</v>
      </c>
      <c r="B14" s="993">
        <v>31</v>
      </c>
      <c r="D14" s="501" t="str">
        <v/>
      </c>
      <c r="E14" s="7">
        <v>42</v>
      </c>
      <c r="F14" s="57">
        <v>40</v>
      </c>
    </row>
    <row r="15" spans="1:9" x14ac:dyDescent="0.25">
      <c r="A15" s="992" t="s">
        <v>76</v>
      </c>
      <c r="B15" s="993">
        <v>50</v>
      </c>
      <c r="D15" s="759" t="str">
        <v/>
      </c>
      <c r="E15" s="760">
        <v>41</v>
      </c>
      <c r="F15" s="761" t="str">
        <v/>
      </c>
    </row>
    <row r="16" spans="1:9" x14ac:dyDescent="0.25">
      <c r="A16" s="992" t="s">
        <v>76</v>
      </c>
      <c r="B16" s="993">
        <v>22</v>
      </c>
    </row>
    <row r="17" spans="1:2" x14ac:dyDescent="0.25">
      <c r="A17" s="992" t="s">
        <v>76</v>
      </c>
      <c r="B17" s="993">
        <v>30</v>
      </c>
    </row>
    <row r="18" spans="1:2" x14ac:dyDescent="0.25">
      <c r="A18" s="992" t="s">
        <v>76</v>
      </c>
      <c r="B18" s="993">
        <v>27</v>
      </c>
    </row>
    <row r="19" spans="1:2" x14ac:dyDescent="0.25">
      <c r="A19" s="992" t="s">
        <v>76</v>
      </c>
      <c r="B19" s="993">
        <v>32</v>
      </c>
    </row>
    <row r="20" spans="1:2" x14ac:dyDescent="0.25">
      <c r="A20" s="992" t="s">
        <v>76</v>
      </c>
      <c r="B20" s="993">
        <v>25</v>
      </c>
    </row>
    <row r="21" spans="1:2" x14ac:dyDescent="0.25">
      <c r="A21" s="992" t="s">
        <v>76</v>
      </c>
      <c r="B21" s="993">
        <v>40</v>
      </c>
    </row>
    <row r="22" spans="1:2" x14ac:dyDescent="0.25">
      <c r="A22" s="992" t="s">
        <v>91</v>
      </c>
      <c r="B22" s="993">
        <v>16</v>
      </c>
    </row>
    <row r="23" spans="1:2" x14ac:dyDescent="0.25">
      <c r="A23" s="992" t="s">
        <v>91</v>
      </c>
      <c r="B23" s="993">
        <v>60</v>
      </c>
    </row>
    <row r="24" spans="1:2" x14ac:dyDescent="0.25">
      <c r="A24" s="992" t="s">
        <v>91</v>
      </c>
      <c r="B24" s="993">
        <v>24</v>
      </c>
    </row>
    <row r="25" spans="1:2" x14ac:dyDescent="0.25">
      <c r="A25" s="992" t="s">
        <v>91</v>
      </c>
      <c r="B25" s="993">
        <v>19</v>
      </c>
    </row>
    <row r="26" spans="1:2" x14ac:dyDescent="0.25">
      <c r="A26" s="992" t="s">
        <v>91</v>
      </c>
      <c r="B26" s="993">
        <v>31</v>
      </c>
    </row>
    <row r="27" spans="1:2" x14ac:dyDescent="0.25">
      <c r="A27" s="992" t="s">
        <v>91</v>
      </c>
      <c r="B27" s="993">
        <v>37</v>
      </c>
    </row>
    <row r="28" spans="1:2" x14ac:dyDescent="0.25">
      <c r="A28" s="992" t="s">
        <v>91</v>
      </c>
      <c r="B28" s="993">
        <v>44</v>
      </c>
    </row>
    <row r="29" spans="1:2" x14ac:dyDescent="0.25">
      <c r="A29" s="994" t="s">
        <v>91</v>
      </c>
      <c r="B29" s="995">
        <v>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4"/>
  <dimension ref="A1:Z37"/>
  <sheetViews>
    <sheetView workbookViewId="0"/>
  </sheetViews>
  <sheetFormatPr defaultRowHeight="15" x14ac:dyDescent="0.25"/>
  <sheetData>
    <row r="1" spans="1:26" x14ac:dyDescent="0.25">
      <c r="A1" s="1" t="s">
        <v>2166</v>
      </c>
    </row>
    <row r="3" spans="1:26" x14ac:dyDescent="0.25">
      <c r="A3" s="131" t="s">
        <v>453</v>
      </c>
      <c r="B3" s="131" t="s">
        <v>454</v>
      </c>
      <c r="C3" s="131" t="s">
        <v>455</v>
      </c>
      <c r="E3" t="s">
        <v>457</v>
      </c>
      <c r="O3" t="s">
        <v>2166</v>
      </c>
      <c r="T3" s="179" t="s">
        <v>39</v>
      </c>
      <c r="U3" s="179" t="s">
        <v>40</v>
      </c>
      <c r="V3" s="179" t="s">
        <v>46</v>
      </c>
      <c r="W3" s="179" t="s">
        <v>47</v>
      </c>
      <c r="Y3" s="132" t="s">
        <v>2166</v>
      </c>
    </row>
    <row r="4" spans="1:26" x14ac:dyDescent="0.25">
      <c r="A4" s="129">
        <v>13</v>
      </c>
      <c r="B4" s="129">
        <v>12</v>
      </c>
      <c r="C4" s="983">
        <v>7</v>
      </c>
      <c r="T4" s="179">
        <v>51</v>
      </c>
      <c r="U4" s="179">
        <v>82</v>
      </c>
      <c r="V4" s="179">
        <v>79</v>
      </c>
      <c r="W4" s="179">
        <v>85</v>
      </c>
    </row>
    <row r="5" spans="1:26" ht="15.75" thickBot="1" x14ac:dyDescent="0.3">
      <c r="A5" s="984">
        <v>17</v>
      </c>
      <c r="B5" s="984">
        <v>8</v>
      </c>
      <c r="C5" s="983">
        <v>19</v>
      </c>
      <c r="E5" t="s">
        <v>458</v>
      </c>
      <c r="J5" t="s">
        <v>34</v>
      </c>
      <c r="K5">
        <v>0.05</v>
      </c>
      <c r="O5" t="str">
        <f t="array" ref="O5:P8">[1]!WELCH_TEST(A4:C13,TRUE)</f>
        <v>F-stat</v>
      </c>
      <c r="P5" s="868">
        <v>1.9069762287077521</v>
      </c>
      <c r="T5" s="984">
        <v>87</v>
      </c>
      <c r="U5" s="984">
        <v>91</v>
      </c>
      <c r="V5" s="984">
        <v>84</v>
      </c>
      <c r="W5" s="984">
        <v>80</v>
      </c>
      <c r="Y5" t="str">
        <f t="array" ref="Y5:Z8">[1]!WELCH_TEST(T4:W11,TRUE)</f>
        <v>F-stat</v>
      </c>
      <c r="Z5" s="868">
        <v>2.5859487255625568</v>
      </c>
    </row>
    <row r="6" spans="1:26" ht="15.75" thickTop="1" x14ac:dyDescent="0.25">
      <c r="A6" s="984">
        <v>19</v>
      </c>
      <c r="B6" s="984">
        <v>6</v>
      </c>
      <c r="C6" s="983">
        <v>15</v>
      </c>
      <c r="E6" s="826" t="s">
        <v>79</v>
      </c>
      <c r="F6" s="826" t="s">
        <v>22</v>
      </c>
      <c r="G6" s="826" t="s">
        <v>21</v>
      </c>
      <c r="H6" s="826" t="s">
        <v>10</v>
      </c>
      <c r="I6" s="826" t="s">
        <v>80</v>
      </c>
      <c r="J6" s="826" t="s">
        <v>219</v>
      </c>
      <c r="K6" s="826" t="s">
        <v>59</v>
      </c>
      <c r="L6" s="826" t="s">
        <v>343</v>
      </c>
      <c r="M6" s="826" t="s">
        <v>344</v>
      </c>
      <c r="O6" t="str">
        <v>df1</v>
      </c>
      <c r="P6" s="503">
        <v>2</v>
      </c>
      <c r="T6" s="984">
        <v>50</v>
      </c>
      <c r="U6" s="984">
        <v>92</v>
      </c>
      <c r="V6" s="984">
        <v>74</v>
      </c>
      <c r="W6" s="984">
        <v>65</v>
      </c>
      <c r="Y6" t="str">
        <v>df1</v>
      </c>
      <c r="Z6" s="503">
        <v>3</v>
      </c>
    </row>
    <row r="7" spans="1:26" x14ac:dyDescent="0.25">
      <c r="A7" s="984">
        <v>11</v>
      </c>
      <c r="B7" s="984">
        <v>16</v>
      </c>
      <c r="C7" s="983">
        <v>14</v>
      </c>
      <c r="E7" t="str">
        <f>A3</f>
        <v>Flavor 1</v>
      </c>
      <c r="F7">
        <f>COUNT(A4:A13)</f>
        <v>10</v>
      </c>
      <c r="G7">
        <f>SUM(A4:A13)</f>
        <v>150</v>
      </c>
      <c r="H7">
        <f>AVERAGE(A4:A13)</f>
        <v>15</v>
      </c>
      <c r="I7">
        <f>VAR(A4:A13)</f>
        <v>13.333333333333334</v>
      </c>
      <c r="J7">
        <f>DEVSQ(A4:A13)</f>
        <v>120</v>
      </c>
      <c r="K7">
        <f>SQRT(H14/F7)</f>
        <v>1.1548609023184149</v>
      </c>
      <c r="L7">
        <f>H7-K7*TINV(K5,F7-1)</f>
        <v>12.3875231377848</v>
      </c>
      <c r="M7">
        <f>H7+K7*TINV(K5,F7-1)</f>
        <v>17.6124768622152</v>
      </c>
      <c r="O7" t="str">
        <v>df2</v>
      </c>
      <c r="P7" s="503">
        <v>17.991323813192135</v>
      </c>
      <c r="T7" s="984">
        <v>48</v>
      </c>
      <c r="U7" s="984">
        <v>80</v>
      </c>
      <c r="V7" s="984">
        <v>98</v>
      </c>
      <c r="W7" s="984">
        <v>71</v>
      </c>
      <c r="Y7" t="str">
        <v>df2</v>
      </c>
      <c r="Z7" s="503">
        <v>15.533196170228784</v>
      </c>
    </row>
    <row r="8" spans="1:26" x14ac:dyDescent="0.25">
      <c r="A8" s="984">
        <v>20</v>
      </c>
      <c r="B8" s="984">
        <v>12</v>
      </c>
      <c r="C8" s="983">
        <v>10</v>
      </c>
      <c r="E8" t="str">
        <f>B3</f>
        <v>Flavor 2</v>
      </c>
      <c r="F8">
        <f>COUNT(B4:B13)</f>
        <v>10</v>
      </c>
      <c r="G8">
        <f>SUM(B4:B13)</f>
        <v>118</v>
      </c>
      <c r="H8">
        <f>AVERAGE(B4:B13)</f>
        <v>11.8</v>
      </c>
      <c r="I8">
        <f>VAR(B4:B13)</f>
        <v>12.622222222222213</v>
      </c>
      <c r="J8">
        <f>DEVSQ(B4:B13)</f>
        <v>113.60000000000002</v>
      </c>
      <c r="K8">
        <f>SQRT(H14/F8)</f>
        <v>1.1548609023184149</v>
      </c>
      <c r="L8">
        <f>H8-K8*TINV(K5,F8-1)</f>
        <v>9.187523137784801</v>
      </c>
      <c r="M8">
        <f>H8+K8*TINV(K5,F8-1)</f>
        <v>14.4124768622152</v>
      </c>
      <c r="O8" t="str">
        <v>p-value</v>
      </c>
      <c r="P8" s="420">
        <v>0.17897900394080904</v>
      </c>
      <c r="T8" s="984">
        <v>79</v>
      </c>
      <c r="U8" s="984">
        <v>52</v>
      </c>
      <c r="V8" s="984">
        <v>63</v>
      </c>
      <c r="W8" s="984">
        <v>67</v>
      </c>
      <c r="Y8" t="str">
        <v>p-value</v>
      </c>
      <c r="Z8" s="420">
        <v>9.1714967532443611E-2</v>
      </c>
    </row>
    <row r="9" spans="1:26" x14ac:dyDescent="0.25">
      <c r="A9" s="984">
        <v>15</v>
      </c>
      <c r="B9" s="984">
        <v>14</v>
      </c>
      <c r="C9" s="983">
        <v>16</v>
      </c>
      <c r="E9" t="str">
        <f>C3</f>
        <v>Flavor 3</v>
      </c>
      <c r="F9">
        <f>COUNT(C4:C13)</f>
        <v>10</v>
      </c>
      <c r="G9">
        <f>SUM(C4:C13)</f>
        <v>135</v>
      </c>
      <c r="H9">
        <f>AVERAGE(C4:C13)</f>
        <v>13.5</v>
      </c>
      <c r="I9">
        <f>VAR(C4:C13)</f>
        <v>14.055555555555555</v>
      </c>
      <c r="J9">
        <f>DEVSQ(C4:C13)</f>
        <v>126.5</v>
      </c>
      <c r="K9">
        <f>SQRT(H14/F9)</f>
        <v>1.1548609023184149</v>
      </c>
      <c r="L9">
        <f>H9-K9*TINV(K5,F9-1)</f>
        <v>10.8875231377848</v>
      </c>
      <c r="M9">
        <f>H9+K9*TINV(K5,F9-1)</f>
        <v>16.1124768622152</v>
      </c>
      <c r="T9" s="984">
        <v>61</v>
      </c>
      <c r="U9" s="984">
        <v>79</v>
      </c>
      <c r="V9" s="984">
        <v>83</v>
      </c>
      <c r="W9" s="984">
        <v>51</v>
      </c>
    </row>
    <row r="10" spans="1:26" x14ac:dyDescent="0.25">
      <c r="A10" s="984">
        <v>18</v>
      </c>
      <c r="B10" s="984">
        <v>10</v>
      </c>
      <c r="C10" s="983">
        <v>18</v>
      </c>
      <c r="E10" s="827"/>
      <c r="F10" s="827"/>
      <c r="G10" s="827"/>
      <c r="H10" s="827"/>
      <c r="I10" s="827"/>
      <c r="J10" s="827"/>
      <c r="K10" s="827"/>
      <c r="L10" s="827"/>
      <c r="M10" s="827"/>
      <c r="T10" s="984">
        <v>53</v>
      </c>
      <c r="U10" s="984">
        <v>73</v>
      </c>
      <c r="V10" s="984">
        <v>85</v>
      </c>
      <c r="W10" s="984">
        <v>63</v>
      </c>
    </row>
    <row r="11" spans="1:26" ht="15.75" thickBot="1" x14ac:dyDescent="0.3">
      <c r="A11" s="984">
        <v>9</v>
      </c>
      <c r="B11" s="984">
        <v>18</v>
      </c>
      <c r="C11" s="983">
        <v>11</v>
      </c>
      <c r="E11" t="s">
        <v>294</v>
      </c>
      <c r="T11" s="985">
        <v>54</v>
      </c>
      <c r="U11" s="985">
        <v>74</v>
      </c>
      <c r="V11" s="985">
        <v>58</v>
      </c>
      <c r="W11" s="985">
        <v>93</v>
      </c>
    </row>
    <row r="12" spans="1:26" ht="15.75" thickTop="1" x14ac:dyDescent="0.25">
      <c r="A12" s="984">
        <v>12</v>
      </c>
      <c r="B12" s="984">
        <v>11</v>
      </c>
      <c r="C12" s="983">
        <v>14</v>
      </c>
      <c r="E12" s="826" t="s">
        <v>459</v>
      </c>
      <c r="F12" s="826" t="s">
        <v>219</v>
      </c>
      <c r="G12" s="826" t="s">
        <v>60</v>
      </c>
      <c r="H12" s="826" t="s">
        <v>240</v>
      </c>
      <c r="I12" s="826" t="s">
        <v>135</v>
      </c>
      <c r="J12" s="826" t="s">
        <v>460</v>
      </c>
      <c r="K12" s="826" t="s">
        <v>467</v>
      </c>
      <c r="L12" s="826" t="s">
        <v>1231</v>
      </c>
      <c r="M12" s="826" t="s">
        <v>1232</v>
      </c>
      <c r="S12" t="s">
        <v>7</v>
      </c>
      <c r="T12" s="983">
        <f t="array" ref="T12:W12">[1]!MEANCOL(T4:W11)</f>
        <v>60.375</v>
      </c>
      <c r="U12" s="983">
        <v>77.875</v>
      </c>
      <c r="V12" s="983">
        <v>78</v>
      </c>
      <c r="W12" s="983">
        <v>71.875</v>
      </c>
    </row>
    <row r="13" spans="1:26" x14ac:dyDescent="0.25">
      <c r="A13" s="986">
        <v>16</v>
      </c>
      <c r="B13" s="986">
        <v>11</v>
      </c>
      <c r="C13" s="986">
        <v>11</v>
      </c>
      <c r="E13" t="s">
        <v>462</v>
      </c>
      <c r="F13">
        <f>F15-F14</f>
        <v>51.266666666666538</v>
      </c>
      <c r="G13">
        <f>COUNTA(E7:E9)-1</f>
        <v>2</v>
      </c>
      <c r="H13">
        <f>F13/G13</f>
        <v>25.633333333333269</v>
      </c>
      <c r="I13">
        <f>H13/H14</f>
        <v>1.9219661205220724</v>
      </c>
      <c r="J13">
        <f>FDIST(I13,G13,G14)</f>
        <v>0.16581328408696724</v>
      </c>
      <c r="K13">
        <f>FINV(K5,G13,G14)</f>
        <v>3.3541308285291991</v>
      </c>
      <c r="L13">
        <f>SQRT(DEVSQ(H7:H9)/(H14*G13))</f>
        <v>0.43840234038176351</v>
      </c>
      <c r="M13">
        <f>(F15-G15*H14)/(F15+H14)</f>
        <v>5.7905293450771569E-2</v>
      </c>
      <c r="S13" t="s">
        <v>1064</v>
      </c>
      <c r="T13" s="983">
        <f t="array" ref="T13:W13">[1]!VARCOL(T4:W11)</f>
        <v>214.26785714285714</v>
      </c>
      <c r="U13" s="983">
        <v>157.55357142857142</v>
      </c>
      <c r="V13" s="983">
        <v>164.57142857142858</v>
      </c>
      <c r="W13" s="983">
        <v>181.55357142857142</v>
      </c>
    </row>
    <row r="14" spans="1:26" x14ac:dyDescent="0.25">
      <c r="E14" t="s">
        <v>463</v>
      </c>
      <c r="F14">
        <f>SUM(J7:J9)</f>
        <v>360.1</v>
      </c>
      <c r="G14">
        <f>G15-G13</f>
        <v>27</v>
      </c>
      <c r="H14">
        <f>F14/G14</f>
        <v>13.337037037037037</v>
      </c>
    </row>
    <row r="15" spans="1:26" x14ac:dyDescent="0.25">
      <c r="E15" s="762" t="s">
        <v>1</v>
      </c>
      <c r="F15" s="762">
        <f>DEVSQ(A4:C13)</f>
        <v>411.36666666666656</v>
      </c>
      <c r="G15" s="762">
        <f>COUNT(A4:C13)-1</f>
        <v>29</v>
      </c>
      <c r="H15" s="762">
        <f>F15/G15</f>
        <v>14.185057471264365</v>
      </c>
      <c r="I15" s="762"/>
      <c r="J15" s="762"/>
      <c r="K15" s="762"/>
      <c r="L15" s="762"/>
      <c r="M15" s="762"/>
    </row>
    <row r="19" spans="4:10" x14ac:dyDescent="0.25">
      <c r="E19" s="25" t="s">
        <v>453</v>
      </c>
      <c r="F19" s="25" t="s">
        <v>454</v>
      </c>
      <c r="G19" s="25" t="s">
        <v>455</v>
      </c>
    </row>
    <row r="20" spans="4:10" x14ac:dyDescent="0.25">
      <c r="E20" s="875">
        <v>13</v>
      </c>
      <c r="F20" s="881">
        <v>12</v>
      </c>
      <c r="G20" s="876">
        <v>7</v>
      </c>
      <c r="I20" s="132" t="s">
        <v>56</v>
      </c>
      <c r="J20" s="868">
        <f>COUNT(E20:G20)</f>
        <v>3</v>
      </c>
    </row>
    <row r="21" spans="4:10" x14ac:dyDescent="0.25">
      <c r="E21" s="578">
        <v>17</v>
      </c>
      <c r="F21" s="25">
        <v>8</v>
      </c>
      <c r="G21" s="602">
        <v>19</v>
      </c>
      <c r="I21" t="s">
        <v>135</v>
      </c>
      <c r="J21" s="503">
        <f>H35/(1+2*H36*(J20-2)/(J20^2-1))</f>
        <v>1.9069762287077523</v>
      </c>
    </row>
    <row r="22" spans="4:10" x14ac:dyDescent="0.25">
      <c r="E22" s="578">
        <v>19</v>
      </c>
      <c r="F22" s="25">
        <v>6</v>
      </c>
      <c r="G22" s="602">
        <v>15</v>
      </c>
      <c r="I22" t="s">
        <v>421</v>
      </c>
      <c r="J22" s="503">
        <f>J20-1</f>
        <v>2</v>
      </c>
    </row>
    <row r="23" spans="4:10" x14ac:dyDescent="0.25">
      <c r="E23" s="578">
        <v>11</v>
      </c>
      <c r="F23" s="25">
        <v>16</v>
      </c>
      <c r="G23" s="602">
        <v>14</v>
      </c>
      <c r="I23" t="s">
        <v>422</v>
      </c>
      <c r="J23" s="503">
        <f>(J20^2-1)/(3*H36)</f>
        <v>17.991323813192135</v>
      </c>
    </row>
    <row r="24" spans="4:10" x14ac:dyDescent="0.25">
      <c r="E24" s="578">
        <v>20</v>
      </c>
      <c r="F24" s="25">
        <v>12</v>
      </c>
      <c r="G24" s="602">
        <v>10</v>
      </c>
      <c r="I24" t="s">
        <v>67</v>
      </c>
      <c r="J24" s="420">
        <f>FDIST(J21,J22,J23)</f>
        <v>0.17897900394080904</v>
      </c>
    </row>
    <row r="25" spans="4:10" x14ac:dyDescent="0.25">
      <c r="E25" s="578">
        <v>15</v>
      </c>
      <c r="F25" s="25">
        <v>14</v>
      </c>
      <c r="G25" s="602">
        <v>16</v>
      </c>
    </row>
    <row r="26" spans="4:10" x14ac:dyDescent="0.25">
      <c r="E26" s="578">
        <v>18</v>
      </c>
      <c r="F26" s="25">
        <v>10</v>
      </c>
      <c r="G26" s="602">
        <v>18</v>
      </c>
    </row>
    <row r="27" spans="4:10" x14ac:dyDescent="0.25">
      <c r="E27" s="578">
        <v>9</v>
      </c>
      <c r="F27" s="25">
        <v>18</v>
      </c>
      <c r="G27" s="602">
        <v>11</v>
      </c>
    </row>
    <row r="28" spans="4:10" x14ac:dyDescent="0.25">
      <c r="E28" s="578">
        <v>12</v>
      </c>
      <c r="F28" s="25">
        <v>11</v>
      </c>
      <c r="G28" s="602">
        <v>14</v>
      </c>
    </row>
    <row r="29" spans="4:10" x14ac:dyDescent="0.25">
      <c r="E29" s="877">
        <v>16</v>
      </c>
      <c r="F29" s="880">
        <v>11</v>
      </c>
      <c r="G29" s="878">
        <v>11</v>
      </c>
    </row>
    <row r="30" spans="4:10" x14ac:dyDescent="0.25">
      <c r="D30" t="s">
        <v>216</v>
      </c>
      <c r="E30" s="869">
        <f>COUNT(E20:E29)</f>
        <v>10</v>
      </c>
      <c r="F30" s="827">
        <f>COUNT(F20:F29)</f>
        <v>10</v>
      </c>
      <c r="G30" s="870">
        <f>COUNT(G20:G29)</f>
        <v>10</v>
      </c>
    </row>
    <row r="31" spans="4:10" x14ac:dyDescent="0.25">
      <c r="D31" t="s">
        <v>7</v>
      </c>
      <c r="E31" s="532">
        <f>AVERAGE(E20:E29)</f>
        <v>15</v>
      </c>
      <c r="F31" s="7">
        <f>AVERAGE(F20:F29)</f>
        <v>11.8</v>
      </c>
      <c r="G31" s="533">
        <f>AVERAGE(G20:G29)</f>
        <v>13.5</v>
      </c>
    </row>
    <row r="32" spans="4:10" x14ac:dyDescent="0.25">
      <c r="D32" t="s">
        <v>1064</v>
      </c>
      <c r="E32" s="409">
        <f>VAR(E20:E29)</f>
        <v>13.333333333333334</v>
      </c>
      <c r="F32" s="762">
        <f>VAR(F20:F29)</f>
        <v>12.622222222222213</v>
      </c>
      <c r="G32" s="417">
        <f>VAR(G20:G29)</f>
        <v>14.055555555555555</v>
      </c>
    </row>
    <row r="33" spans="4:8" x14ac:dyDescent="0.25">
      <c r="D33" t="s">
        <v>1853</v>
      </c>
      <c r="E33" s="532">
        <f>E30/E32</f>
        <v>0.75</v>
      </c>
      <c r="F33" s="7">
        <f>F30/F32</f>
        <v>0.79225352112676117</v>
      </c>
      <c r="G33" s="533">
        <f>G30/G32</f>
        <v>0.71146245059288538</v>
      </c>
      <c r="H33" s="868">
        <f>SUM(E33:G33)</f>
        <v>2.2537159717196467</v>
      </c>
    </row>
    <row r="34" spans="4:8" x14ac:dyDescent="0.25">
      <c r="D34" t="s">
        <v>2168</v>
      </c>
      <c r="E34" s="532">
        <f>E33*E31</f>
        <v>11.25</v>
      </c>
      <c r="F34" s="7">
        <f>F33*F31</f>
        <v>9.348591549295783</v>
      </c>
      <c r="G34" s="533">
        <f>G33*G31</f>
        <v>9.6047430830039531</v>
      </c>
      <c r="H34" s="503">
        <f>SUM(E34:G34)/H33</f>
        <v>13.401571010411649</v>
      </c>
    </row>
    <row r="35" spans="4:8" x14ac:dyDescent="0.25">
      <c r="D35" t="s">
        <v>41</v>
      </c>
      <c r="E35" s="532">
        <f>E33*(E31-$H34)^2</f>
        <v>1.9162314260673274</v>
      </c>
      <c r="F35" s="7">
        <f>F33*(F31-$H34)^2</f>
        <v>2.0321538127217349</v>
      </c>
      <c r="G35" s="533">
        <f>G33*(G31-$H34)^2</f>
        <v>6.892837464225564E-3</v>
      </c>
      <c r="H35" s="503">
        <f>SUM(E35:G35)/(J20-1)</f>
        <v>1.977639038126644</v>
      </c>
    </row>
    <row r="36" spans="4:8" x14ac:dyDescent="0.25">
      <c r="D36" t="s">
        <v>42</v>
      </c>
      <c r="E36" s="409">
        <f>(1-E33/$H33)^2/(E30-1)</f>
        <v>4.9464172816856396E-2</v>
      </c>
      <c r="F36" s="762">
        <f>(1-F33/$H33)^2/(F30-1)</f>
        <v>4.6723401108145123E-2</v>
      </c>
      <c r="G36" s="417">
        <f>(1-G33/$H33)^2/(G30-1)</f>
        <v>5.2032017604518623E-2</v>
      </c>
      <c r="H36" s="420">
        <f>SUM(E36:G36)</f>
        <v>0.14821959152952013</v>
      </c>
    </row>
    <row r="37" spans="4:8" x14ac:dyDescent="0.25">
      <c r="E37" s="7"/>
      <c r="F37" s="7"/>
      <c r="G37" s="7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/>
  <dimension ref="A1:AC25"/>
  <sheetViews>
    <sheetView workbookViewId="0"/>
  </sheetViews>
  <sheetFormatPr defaultRowHeight="15" x14ac:dyDescent="0.25"/>
  <cols>
    <col min="5" max="5" width="4.42578125" customWidth="1"/>
    <col min="6" max="6" width="16" customWidth="1"/>
    <col min="8" max="8" width="6.28515625" customWidth="1"/>
    <col min="18" max="18" width="4" customWidth="1"/>
    <col min="19" max="19" width="31.5703125" customWidth="1"/>
    <col min="23" max="23" width="4.140625" customWidth="1"/>
    <col min="24" max="24" width="29.42578125" customWidth="1"/>
    <col min="26" max="26" width="12.42578125" customWidth="1"/>
    <col min="27" max="27" width="9.140625" customWidth="1"/>
    <col min="28" max="28" width="3.42578125" customWidth="1"/>
    <col min="29" max="29" width="39.7109375" customWidth="1"/>
  </cols>
  <sheetData>
    <row r="1" spans="1:29" x14ac:dyDescent="0.25">
      <c r="A1" s="1" t="s">
        <v>2092</v>
      </c>
    </row>
    <row r="3" spans="1:29" x14ac:dyDescent="0.25">
      <c r="A3" s="179" t="s">
        <v>39</v>
      </c>
      <c r="B3" s="179" t="s">
        <v>40</v>
      </c>
      <c r="C3" s="179" t="s">
        <v>46</v>
      </c>
      <c r="D3" s="179" t="s">
        <v>47</v>
      </c>
      <c r="F3" t="s">
        <v>457</v>
      </c>
      <c r="P3" t="s">
        <v>33</v>
      </c>
      <c r="U3" t="s">
        <v>740</v>
      </c>
      <c r="Z3" s="833" t="s">
        <v>2292</v>
      </c>
      <c r="AB3" s="1043"/>
      <c r="AC3" s="1043"/>
    </row>
    <row r="4" spans="1:29" x14ac:dyDescent="0.25">
      <c r="A4" s="179">
        <v>51</v>
      </c>
      <c r="B4" s="179">
        <v>82</v>
      </c>
      <c r="C4" s="179">
        <v>79</v>
      </c>
      <c r="D4" s="179">
        <v>85</v>
      </c>
    </row>
    <row r="5" spans="1:29" ht="15.75" thickBot="1" x14ac:dyDescent="0.3">
      <c r="A5" s="960">
        <v>87</v>
      </c>
      <c r="B5" s="960">
        <v>91</v>
      </c>
      <c r="C5" s="960">
        <v>84</v>
      </c>
      <c r="D5" s="960">
        <v>80</v>
      </c>
      <c r="F5" t="s">
        <v>458</v>
      </c>
      <c r="K5" t="s">
        <v>34</v>
      </c>
      <c r="L5">
        <v>0.05</v>
      </c>
      <c r="P5" s="371" t="s">
        <v>563</v>
      </c>
      <c r="Q5" s="868">
        <f>H14</f>
        <v>3</v>
      </c>
      <c r="R5" s="7"/>
      <c r="S5" s="7" t="s">
        <v>2094</v>
      </c>
      <c r="U5" s="371" t="s">
        <v>563</v>
      </c>
      <c r="V5" s="868">
        <f>V8-1</f>
        <v>3</v>
      </c>
      <c r="X5" t="s">
        <v>2107</v>
      </c>
      <c r="Z5" s="30" t="s">
        <v>135</v>
      </c>
      <c r="AA5" s="1041">
        <f>J14</f>
        <v>3.0556481366330885</v>
      </c>
      <c r="AC5" t="str">
        <f>[1]!FTEXT(AA5)</f>
        <v>=J14</v>
      </c>
    </row>
    <row r="6" spans="1:29" ht="15.75" thickTop="1" x14ac:dyDescent="0.25">
      <c r="A6" s="960">
        <v>50</v>
      </c>
      <c r="B6" s="960">
        <v>92</v>
      </c>
      <c r="C6" s="960">
        <v>74</v>
      </c>
      <c r="D6" s="960">
        <v>65</v>
      </c>
      <c r="F6" s="826" t="s">
        <v>79</v>
      </c>
      <c r="G6" s="826" t="s">
        <v>22</v>
      </c>
      <c r="H6" s="826" t="s">
        <v>21</v>
      </c>
      <c r="I6" s="826" t="s">
        <v>10</v>
      </c>
      <c r="J6" s="826" t="s">
        <v>80</v>
      </c>
      <c r="K6" s="826" t="s">
        <v>219</v>
      </c>
      <c r="L6" s="826" t="s">
        <v>59</v>
      </c>
      <c r="M6" s="826" t="s">
        <v>343</v>
      </c>
      <c r="N6" s="826" t="s">
        <v>344</v>
      </c>
      <c r="P6" s="30" t="s">
        <v>753</v>
      </c>
      <c r="Q6" s="503">
        <f>H15</f>
        <v>28</v>
      </c>
      <c r="R6" s="7"/>
      <c r="S6" s="7" t="s">
        <v>2095</v>
      </c>
      <c r="U6" s="30" t="s">
        <v>753</v>
      </c>
      <c r="V6" s="503">
        <f>V7-V8</f>
        <v>120.86610708920045</v>
      </c>
      <c r="X6" t="s">
        <v>2108</v>
      </c>
      <c r="Z6" s="371" t="s">
        <v>563</v>
      </c>
      <c r="AA6" s="503">
        <f>H14</f>
        <v>3</v>
      </c>
      <c r="AC6" t="str">
        <f>[1]!FTEXT(AA6)</f>
        <v>=H14</v>
      </c>
    </row>
    <row r="7" spans="1:29" x14ac:dyDescent="0.25">
      <c r="A7" s="960">
        <v>48</v>
      </c>
      <c r="B7" s="960">
        <v>80</v>
      </c>
      <c r="C7" s="960">
        <v>98</v>
      </c>
      <c r="D7" s="960">
        <v>71</v>
      </c>
      <c r="F7" t="str">
        <f>A3</f>
        <v>Method 1</v>
      </c>
      <c r="G7">
        <f>COUNT(A4:A11)</f>
        <v>8</v>
      </c>
      <c r="H7">
        <f>SUM(A4:A11)</f>
        <v>483</v>
      </c>
      <c r="I7">
        <f>AVERAGE(A4:A11)</f>
        <v>60.375</v>
      </c>
      <c r="J7">
        <f>VAR(A4:A11)</f>
        <v>214.26785714285714</v>
      </c>
      <c r="K7">
        <f>DEVSQ(A4:A11)</f>
        <v>1499.875</v>
      </c>
      <c r="L7">
        <f>SQRT(I15/G7)</f>
        <v>4.7366471150864875</v>
      </c>
      <c r="M7">
        <f>I7-L7*TINV(L5,G7-1)</f>
        <v>49.174609360429493</v>
      </c>
      <c r="N7">
        <f>I7+L7*TINV(L5,G7-1)</f>
        <v>71.575390639570514</v>
      </c>
      <c r="P7" t="s">
        <v>2093</v>
      </c>
      <c r="Q7" s="503">
        <f>G14</f>
        <v>1645.34375</v>
      </c>
      <c r="R7" s="7"/>
      <c r="S7" s="7" t="s">
        <v>2096</v>
      </c>
      <c r="U7" t="s">
        <v>31</v>
      </c>
      <c r="V7" s="503">
        <v>124.86610708920045</v>
      </c>
      <c r="Z7" s="372" t="s">
        <v>753</v>
      </c>
      <c r="AA7" s="503">
        <f>H15</f>
        <v>28</v>
      </c>
      <c r="AC7" t="str">
        <f>[1]!FTEXT(AA7)</f>
        <v>=H15</v>
      </c>
    </row>
    <row r="8" spans="1:29" x14ac:dyDescent="0.25">
      <c r="A8" s="960">
        <v>79</v>
      </c>
      <c r="B8" s="960">
        <v>52</v>
      </c>
      <c r="C8" s="960">
        <v>63</v>
      </c>
      <c r="D8" s="960">
        <v>67</v>
      </c>
      <c r="F8" t="str">
        <f>B3</f>
        <v>Method 2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L8">
        <f>SQRT(I15/G8)</f>
        <v>4.7366471150864875</v>
      </c>
      <c r="M8">
        <f>I8-L8*TINV(L5,G8-1)</f>
        <v>66.674609360429486</v>
      </c>
      <c r="N8">
        <f>I8+L8*TINV(L5,G8-1)</f>
        <v>89.075390639570514</v>
      </c>
      <c r="P8" t="s">
        <v>755</v>
      </c>
      <c r="Q8" s="503">
        <f>I15</f>
        <v>179.48660714285714</v>
      </c>
      <c r="R8" s="7"/>
      <c r="S8" s="7" t="s">
        <v>2097</v>
      </c>
      <c r="U8" t="s">
        <v>56</v>
      </c>
      <c r="V8" s="503">
        <v>4</v>
      </c>
      <c r="Z8" s="372" t="s">
        <v>2093</v>
      </c>
      <c r="AA8" s="503">
        <f>G14</f>
        <v>1645.34375</v>
      </c>
      <c r="AC8" t="str">
        <f>[1]!FTEXT(AA8)</f>
        <v>=G14</v>
      </c>
    </row>
    <row r="9" spans="1:29" x14ac:dyDescent="0.25">
      <c r="A9" s="960">
        <v>61</v>
      </c>
      <c r="B9" s="960">
        <v>79</v>
      </c>
      <c r="C9" s="960">
        <v>83</v>
      </c>
      <c r="D9" s="960">
        <v>51</v>
      </c>
      <c r="F9" t="str">
        <f>C3</f>
        <v>Method 3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L9">
        <f>SQRT(I15/G9)</f>
        <v>4.7366471150864875</v>
      </c>
      <c r="M9">
        <f>I9-L9*TINV(L5,G9-1)</f>
        <v>66.799609360429486</v>
      </c>
      <c r="N9">
        <f>I9+L9*TINV(L5,G9-1)</f>
        <v>89.200390639570514</v>
      </c>
      <c r="P9" t="s">
        <v>31</v>
      </c>
      <c r="Q9" s="503">
        <f>Q6+Q5+1</f>
        <v>32</v>
      </c>
      <c r="R9" s="7"/>
      <c r="S9" s="7" t="s">
        <v>2098</v>
      </c>
      <c r="U9" s="371" t="s">
        <v>5</v>
      </c>
      <c r="V9" s="503">
        <v>0.3</v>
      </c>
      <c r="Z9" s="372" t="s">
        <v>755</v>
      </c>
      <c r="AA9" s="503">
        <f>I15</f>
        <v>179.48660714285714</v>
      </c>
      <c r="AC9" t="str">
        <f>[1]!FTEXT(AA9)</f>
        <v>=I15</v>
      </c>
    </row>
    <row r="10" spans="1:29" x14ac:dyDescent="0.25">
      <c r="A10" s="960">
        <v>53</v>
      </c>
      <c r="B10" s="960">
        <v>73</v>
      </c>
      <c r="C10" s="960">
        <v>85</v>
      </c>
      <c r="D10" s="960">
        <v>63</v>
      </c>
      <c r="F10" t="str">
        <f>D3</f>
        <v>Method 4</v>
      </c>
      <c r="G10">
        <f>COUNT(D4:D11)</f>
        <v>8</v>
      </c>
      <c r="H10">
        <f>SUM(D4:D11)</f>
        <v>575</v>
      </c>
      <c r="I10">
        <f>AVERAGE(D4:D11)</f>
        <v>71.875</v>
      </c>
      <c r="J10">
        <f>VAR(D4:D11)</f>
        <v>181.55357142857142</v>
      </c>
      <c r="K10">
        <f>DEVSQ(D4:D11)</f>
        <v>1270.875</v>
      </c>
      <c r="L10">
        <f>SQRT(I15/G10)</f>
        <v>4.7366471150864875</v>
      </c>
      <c r="M10">
        <f>I10-L10*TINV(L5,G10-1)</f>
        <v>60.674609360429493</v>
      </c>
      <c r="N10">
        <f>I10+L10*TINV(L5,G10-1)</f>
        <v>83.075390639570514</v>
      </c>
      <c r="P10" t="s">
        <v>56</v>
      </c>
      <c r="Q10" s="503">
        <f>Q5+1</f>
        <v>4</v>
      </c>
      <c r="R10" s="7"/>
      <c r="S10" s="7" t="s">
        <v>2099</v>
      </c>
      <c r="U10" t="s">
        <v>1231</v>
      </c>
      <c r="V10" s="503">
        <f>V9*SQRT(V8/(V8-1))</f>
        <v>0.34641016151377541</v>
      </c>
      <c r="X10" t="s">
        <v>2109</v>
      </c>
      <c r="Z10" s="372" t="s">
        <v>56</v>
      </c>
      <c r="AA10" s="503">
        <f>AA6+1</f>
        <v>4</v>
      </c>
      <c r="AC10" t="str">
        <f>[1]!FTEXT(AA10)</f>
        <v>=AA6+1</v>
      </c>
    </row>
    <row r="11" spans="1:29" x14ac:dyDescent="0.25">
      <c r="A11" s="961">
        <v>54</v>
      </c>
      <c r="B11" s="961">
        <v>74</v>
      </c>
      <c r="C11" s="961">
        <v>58</v>
      </c>
      <c r="D11" s="961">
        <v>93</v>
      </c>
      <c r="F11" s="827"/>
      <c r="G11" s="827"/>
      <c r="H11" s="827"/>
      <c r="I11" s="827"/>
      <c r="J11" s="827"/>
      <c r="K11" s="827"/>
      <c r="L11" s="827"/>
      <c r="M11" s="827"/>
      <c r="N11" s="827"/>
      <c r="P11" s="371" t="s">
        <v>5</v>
      </c>
      <c r="Q11" s="503">
        <f>SQRT(Q7/(Q8*Q9))</f>
        <v>0.5352261324051284</v>
      </c>
      <c r="R11" s="7"/>
      <c r="S11" s="7" t="s">
        <v>2100</v>
      </c>
      <c r="U11" s="30" t="s">
        <v>981</v>
      </c>
      <c r="V11" s="420">
        <f>V9^2*V7</f>
        <v>11.23794963802804</v>
      </c>
      <c r="X11" t="s">
        <v>2110</v>
      </c>
      <c r="Z11" t="s">
        <v>31</v>
      </c>
      <c r="AA11" s="503">
        <f>AA6+AA7+1</f>
        <v>32</v>
      </c>
      <c r="AC11" t="str">
        <f>[1]!FTEXT(AA11)</f>
        <v>=AA6+AA7+1</v>
      </c>
    </row>
    <row r="12" spans="1:29" ht="15.75" thickBot="1" x14ac:dyDescent="0.3">
      <c r="F12" t="s">
        <v>294</v>
      </c>
      <c r="P12" t="s">
        <v>1231</v>
      </c>
      <c r="Q12" s="503">
        <f>Q11*SQRT(Q10/(Q10-1))</f>
        <v>0.61802590324284634</v>
      </c>
      <c r="R12" s="7"/>
      <c r="S12" s="7" t="s">
        <v>2101</v>
      </c>
      <c r="X12" t="s">
        <v>1297</v>
      </c>
      <c r="Z12" t="s">
        <v>106</v>
      </c>
      <c r="AA12" s="1041">
        <v>0.05</v>
      </c>
    </row>
    <row r="13" spans="1:29" ht="15.75" thickTop="1" x14ac:dyDescent="0.25">
      <c r="F13" s="826" t="s">
        <v>459</v>
      </c>
      <c r="G13" s="826" t="s">
        <v>219</v>
      </c>
      <c r="H13" s="826" t="s">
        <v>60</v>
      </c>
      <c r="I13" s="826" t="s">
        <v>240</v>
      </c>
      <c r="J13" s="826" t="s">
        <v>135</v>
      </c>
      <c r="K13" s="826" t="s">
        <v>460</v>
      </c>
      <c r="L13" s="826" t="s">
        <v>467</v>
      </c>
      <c r="M13" s="826" t="s">
        <v>1231</v>
      </c>
      <c r="N13" s="826" t="s">
        <v>1232</v>
      </c>
      <c r="P13" s="30" t="s">
        <v>981</v>
      </c>
      <c r="Q13" s="420">
        <f>Q11^2*Q9</f>
        <v>9.1669444098992656</v>
      </c>
      <c r="R13" s="7"/>
      <c r="S13" s="7" t="s">
        <v>2102</v>
      </c>
      <c r="U13" s="30" t="s">
        <v>48</v>
      </c>
      <c r="V13" s="868">
        <f>L5</f>
        <v>0.05</v>
      </c>
      <c r="X13" t="s">
        <v>2103</v>
      </c>
      <c r="Z13" s="974" t="s">
        <v>981</v>
      </c>
      <c r="AA13" s="503">
        <f>AA16^2*AA11</f>
        <v>9.1669444098992656</v>
      </c>
      <c r="AC13" t="str">
        <f>[1]!FTEXT(AA13)</f>
        <v>=AA16^2*AA11</v>
      </c>
    </row>
    <row r="14" spans="1:29" x14ac:dyDescent="0.25">
      <c r="F14" t="s">
        <v>462</v>
      </c>
      <c r="G14">
        <f>G16-G15</f>
        <v>1645.34375</v>
      </c>
      <c r="H14">
        <f>COUNTA(F7:F10)-1</f>
        <v>3</v>
      </c>
      <c r="I14">
        <f>G14/H14</f>
        <v>548.44791666666663</v>
      </c>
      <c r="J14">
        <f>I14/I15</f>
        <v>3.0556481366330885</v>
      </c>
      <c r="K14">
        <f>FDIST(J14,H14,H15)</f>
        <v>4.4662597948147184E-2</v>
      </c>
      <c r="L14">
        <f>FINV(L5,H14,H15)</f>
        <v>2.9466852660172647</v>
      </c>
      <c r="M14">
        <f>SQRT(DEVSQ(I7:I10)/(I15*H14))</f>
        <v>0.61802590324284634</v>
      </c>
      <c r="N14">
        <f>(G16-H16*I15)/(G16+I15)</f>
        <v>0.16157815369416265</v>
      </c>
      <c r="S14" s="7" t="s">
        <v>1297</v>
      </c>
      <c r="U14" s="30" t="s">
        <v>246</v>
      </c>
      <c r="V14" s="503">
        <f>FINV(V13,V5,V6)</f>
        <v>2.6801675698502416</v>
      </c>
      <c r="X14" t="s">
        <v>2111</v>
      </c>
      <c r="Z14" s="974" t="s">
        <v>2293</v>
      </c>
      <c r="AA14" s="503">
        <f>[1]!NF_NCP(1-AA12/2,AA6,AA7,AA5)</f>
        <v>1.4551915228366852E-11</v>
      </c>
      <c r="AC14" t="str">
        <f>[1]!FTEXT(AA14)</f>
        <v>=NF_NCP(1-AA12/2,AA6,AA7,AA5)</v>
      </c>
    </row>
    <row r="15" spans="1:29" x14ac:dyDescent="0.25">
      <c r="F15" t="s">
        <v>463</v>
      </c>
      <c r="G15">
        <f>SUM(K7:K10)</f>
        <v>5025.625</v>
      </c>
      <c r="H15">
        <f>H16-H14</f>
        <v>28</v>
      </c>
      <c r="I15">
        <f>G15/H15</f>
        <v>179.48660714285714</v>
      </c>
      <c r="P15" s="30" t="s">
        <v>48</v>
      </c>
      <c r="Q15" s="868">
        <f>L5</f>
        <v>0.05</v>
      </c>
      <c r="R15" s="7"/>
      <c r="S15" s="7" t="s">
        <v>2103</v>
      </c>
      <c r="U15" s="372" t="s">
        <v>1230</v>
      </c>
      <c r="V15" s="503">
        <f>[1]!NF_DIST(V14,V5,V6,V11,TRUE)</f>
        <v>0.20099213173473759</v>
      </c>
      <c r="X15" t="s">
        <v>2112</v>
      </c>
      <c r="Z15" s="974" t="s">
        <v>2294</v>
      </c>
      <c r="AA15" s="420">
        <f>[1]!NF_NCP(AA12/2,AA6,AA7,AA5)</f>
        <v>23.675606213466381</v>
      </c>
      <c r="AC15" t="str">
        <f>[1]!FTEXT(AA15)</f>
        <v>=NF_NCP(AA12/2,AA6,AA7,AA5)</v>
      </c>
    </row>
    <row r="16" spans="1:29" x14ac:dyDescent="0.25">
      <c r="F16" s="762" t="s">
        <v>1</v>
      </c>
      <c r="G16" s="762">
        <f>DEVSQ(A4:D11)</f>
        <v>6670.96875</v>
      </c>
      <c r="H16" s="762">
        <f>COUNT(A4:D11)-1</f>
        <v>31</v>
      </c>
      <c r="I16" s="762">
        <f>G16/H16</f>
        <v>215.19254032258064</v>
      </c>
      <c r="J16" s="762"/>
      <c r="K16" s="762"/>
      <c r="L16" s="762"/>
      <c r="M16" s="762"/>
      <c r="N16" s="762"/>
      <c r="P16" s="30" t="s">
        <v>246</v>
      </c>
      <c r="Q16" s="503">
        <f>FINV(Q15,Q5,Q6)</f>
        <v>2.9466852660172647</v>
      </c>
      <c r="R16" s="7"/>
      <c r="S16" s="7" t="s">
        <v>2104</v>
      </c>
      <c r="U16" s="372" t="s">
        <v>2089</v>
      </c>
      <c r="V16" s="420">
        <f>1-V15</f>
        <v>0.79900786826526238</v>
      </c>
      <c r="X16" t="s">
        <v>2113</v>
      </c>
      <c r="Z16" s="974" t="s">
        <v>5</v>
      </c>
      <c r="AA16" s="1041">
        <f>SQRT(AA8/(AA9*AA11))</f>
        <v>0.5352261324051284</v>
      </c>
      <c r="AC16" t="str">
        <f>[1]!FTEXT(AA16)</f>
        <v>=SQRT(AA8/(AA9*AA11))</v>
      </c>
    </row>
    <row r="17" spans="16:29" x14ac:dyDescent="0.25">
      <c r="P17" s="372" t="s">
        <v>1230</v>
      </c>
      <c r="Q17" s="503">
        <f>[1]!NF_DIST(Q16,Q5,Q6,Q13,TRUE)</f>
        <v>0.3474183405836247</v>
      </c>
      <c r="R17" s="7"/>
      <c r="S17" s="7" t="s">
        <v>2105</v>
      </c>
      <c r="Z17" s="974" t="s">
        <v>2297</v>
      </c>
      <c r="AA17" s="503">
        <f>SQRT(AA14/AA11)</f>
        <v>6.7434957617430455E-7</v>
      </c>
      <c r="AC17" t="str">
        <f>[1]!FTEXT(AA17)</f>
        <v>=SQRT(AA14/AA11)</v>
      </c>
    </row>
    <row r="18" spans="16:29" x14ac:dyDescent="0.25">
      <c r="P18" s="372" t="s">
        <v>2089</v>
      </c>
      <c r="Q18" s="420">
        <f>1-Q17</f>
        <v>0.65258165941637536</v>
      </c>
      <c r="R18" s="7"/>
      <c r="S18" s="7" t="s">
        <v>2106</v>
      </c>
      <c r="U18" t="s">
        <v>2090</v>
      </c>
      <c r="V18" s="580">
        <f>[1]!ANOVA1_SIZE(V9,V8)</f>
        <v>128</v>
      </c>
      <c r="X18" s="16" t="s">
        <v>2114</v>
      </c>
      <c r="Z18" s="974" t="s">
        <v>2298</v>
      </c>
      <c r="AA18" s="503">
        <f>SQRT(AA15/AA11)</f>
        <v>0.86015271560974826</v>
      </c>
      <c r="AC18" t="str">
        <f>[1]!FTEXT(AA18)</f>
        <v>=SQRT(AA15/AA11)</v>
      </c>
    </row>
    <row r="19" spans="16:29" x14ac:dyDescent="0.25">
      <c r="Z19" s="974" t="s">
        <v>1231</v>
      </c>
      <c r="AA19" s="1041">
        <f>AA16*SQRT(AA10/AA6)</f>
        <v>0.61802590324284634</v>
      </c>
      <c r="AC19" t="str">
        <f>[1]!FTEXT(AA19)</f>
        <v>=AA16*SQRT(AA10/AA6)</v>
      </c>
    </row>
    <row r="20" spans="16:29" x14ac:dyDescent="0.25">
      <c r="P20" t="s">
        <v>2090</v>
      </c>
      <c r="Q20" s="868">
        <f>[1]!ANOVA1_POWER(Q11,Q9,Q10)</f>
        <v>0.65258165941637536</v>
      </c>
      <c r="S20" t="s">
        <v>2115</v>
      </c>
      <c r="Z20" s="974" t="s">
        <v>2295</v>
      </c>
      <c r="AA20" s="503">
        <f>AA17*SQRT(AA10/AA6)</f>
        <v>7.7867181866428951E-7</v>
      </c>
      <c r="AC20" t="str">
        <f>[1]!FTEXT(AA20)</f>
        <v>=AA17*SQRT(AA10/AA6)</v>
      </c>
    </row>
    <row r="21" spans="16:29" x14ac:dyDescent="0.25">
      <c r="Q21" s="503">
        <f>[1]!ANOVA1_POWER(Q12,Q9,Q10,2)</f>
        <v>0.65258165941637536</v>
      </c>
      <c r="S21" t="s">
        <v>2116</v>
      </c>
      <c r="Z21" s="974" t="s">
        <v>2296</v>
      </c>
      <c r="AA21" s="420">
        <f>AA18*SQRT(AA10/AA6)</f>
        <v>0.99321880380295147</v>
      </c>
      <c r="AC21" t="str">
        <f>[1]!FTEXT(AA21)</f>
        <v>=AA18*SQRT(AA10/AA6)</v>
      </c>
    </row>
    <row r="22" spans="16:29" x14ac:dyDescent="0.25">
      <c r="Q22" s="420">
        <f>[1]!ANOVA1_POWER(Q13,Q9,Q10,0)</f>
        <v>0.65258165941637536</v>
      </c>
      <c r="S22" t="s">
        <v>2117</v>
      </c>
      <c r="Z22" s="974" t="s">
        <v>48</v>
      </c>
      <c r="AA22" s="1041">
        <v>0.05</v>
      </c>
    </row>
    <row r="23" spans="16:29" x14ac:dyDescent="0.25">
      <c r="Z23" t="s">
        <v>2126</v>
      </c>
      <c r="AA23" s="503">
        <f>[1]!ANOVA1_POWER(AA16,AA11,AA10,,AA22)</f>
        <v>0.65258165941637536</v>
      </c>
      <c r="AC23" t="str">
        <f>[1]!FTEXT(AA23)</f>
        <v>=ANOVA1_POWER(AA16,AA11,AA10,,AA22)</v>
      </c>
    </row>
    <row r="24" spans="16:29" x14ac:dyDescent="0.25">
      <c r="Z24" t="s">
        <v>2290</v>
      </c>
      <c r="AA24" s="503">
        <f>[1]!ANOVA1_POWER(AA17,AA11,AA10,,AA22)</f>
        <v>5.0000000000742562E-2</v>
      </c>
      <c r="AC24" t="str">
        <f>[1]!FTEXT(AA24)</f>
        <v>=ANOVA1_POWER(AA17,AA11,AA10,,AA22)</v>
      </c>
    </row>
    <row r="25" spans="16:29" x14ac:dyDescent="0.25">
      <c r="Z25" t="s">
        <v>2291</v>
      </c>
      <c r="AA25" s="420">
        <f>[1]!ANOVA1_POWER(AA18,AA11,AA10,,AA22)</f>
        <v>0.97814554085102945</v>
      </c>
      <c r="AC25" t="str">
        <f>[1]!FTEXT(AA25)</f>
        <v>=ANOVA1_POWER(AA18,AA11,AA10,,AA22)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5"/>
  <dimension ref="A1:AM44"/>
  <sheetViews>
    <sheetView workbookViewId="0"/>
  </sheetViews>
  <sheetFormatPr defaultRowHeight="15" x14ac:dyDescent="0.25"/>
  <sheetData>
    <row r="1" spans="1:39" x14ac:dyDescent="0.25">
      <c r="A1" s="1" t="s">
        <v>2339</v>
      </c>
    </row>
    <row r="3" spans="1:39" x14ac:dyDescent="0.25">
      <c r="A3" s="1044" t="s">
        <v>75</v>
      </c>
      <c r="B3" s="1044" t="s">
        <v>76</v>
      </c>
      <c r="C3" s="1044" t="s">
        <v>91</v>
      </c>
      <c r="E3" t="s">
        <v>457</v>
      </c>
      <c r="O3" t="s">
        <v>2340</v>
      </c>
      <c r="AC3" t="s">
        <v>2340</v>
      </c>
      <c r="AI3" t="s">
        <v>2345</v>
      </c>
    </row>
    <row r="4" spans="1:39" ht="15.75" thickBot="1" x14ac:dyDescent="0.3">
      <c r="A4" s="616">
        <v>50</v>
      </c>
      <c r="B4" s="617">
        <v>44</v>
      </c>
      <c r="C4" s="618">
        <v>16</v>
      </c>
    </row>
    <row r="5" spans="1:39" ht="16.5" thickTop="1" thickBot="1" x14ac:dyDescent="0.3">
      <c r="A5" s="540">
        <v>39</v>
      </c>
      <c r="B5" s="1045">
        <v>31</v>
      </c>
      <c r="C5" s="494">
        <v>60</v>
      </c>
      <c r="E5" t="s">
        <v>458</v>
      </c>
      <c r="J5" t="s">
        <v>34</v>
      </c>
      <c r="K5">
        <v>0.05</v>
      </c>
      <c r="O5" s="826" t="s">
        <v>2333</v>
      </c>
      <c r="P5" s="826" t="s">
        <v>28</v>
      </c>
      <c r="Q5" s="826" t="s">
        <v>1736</v>
      </c>
      <c r="R5" s="826" t="s">
        <v>1225</v>
      </c>
      <c r="S5" s="826" t="s">
        <v>2334</v>
      </c>
      <c r="AC5" s="826" t="s">
        <v>2333</v>
      </c>
      <c r="AD5" s="826" t="s">
        <v>28</v>
      </c>
      <c r="AE5" s="826" t="s">
        <v>1736</v>
      </c>
      <c r="AF5" s="826" t="s">
        <v>1225</v>
      </c>
      <c r="AG5" s="826" t="s">
        <v>2334</v>
      </c>
      <c r="AI5" s="826" t="s">
        <v>2333</v>
      </c>
      <c r="AJ5" s="826" t="s">
        <v>28</v>
      </c>
      <c r="AK5" s="826" t="s">
        <v>1736</v>
      </c>
      <c r="AL5" s="826" t="s">
        <v>1225</v>
      </c>
      <c r="AM5" s="826" t="s">
        <v>2334</v>
      </c>
    </row>
    <row r="6" spans="1:39" ht="15.75" thickTop="1" x14ac:dyDescent="0.25">
      <c r="A6" s="540">
        <v>42</v>
      </c>
      <c r="B6" s="1045">
        <v>50</v>
      </c>
      <c r="C6" s="494">
        <v>24</v>
      </c>
      <c r="E6" s="826" t="s">
        <v>79</v>
      </c>
      <c r="F6" s="826" t="s">
        <v>22</v>
      </c>
      <c r="G6" s="826" t="s">
        <v>21</v>
      </c>
      <c r="H6" s="826" t="s">
        <v>10</v>
      </c>
      <c r="I6" s="826" t="s">
        <v>80</v>
      </c>
      <c r="J6" s="826" t="s">
        <v>219</v>
      </c>
      <c r="K6" s="826" t="s">
        <v>59</v>
      </c>
      <c r="L6" s="826" t="s">
        <v>343</v>
      </c>
      <c r="M6" s="826" t="s">
        <v>344</v>
      </c>
      <c r="O6">
        <v>0</v>
      </c>
      <c r="P6">
        <v>0</v>
      </c>
      <c r="Q6">
        <f>P6</f>
        <v>0</v>
      </c>
      <c r="R6">
        <f>P6/P$20</f>
        <v>0</v>
      </c>
      <c r="S6">
        <f>Q6/P$20</f>
        <v>0</v>
      </c>
      <c r="AC6">
        <v>0</v>
      </c>
      <c r="AD6">
        <v>0</v>
      </c>
      <c r="AE6">
        <f>AD6</f>
        <v>0</v>
      </c>
      <c r="AF6">
        <f>AD6/AD$38</f>
        <v>0</v>
      </c>
      <c r="AG6">
        <f>AE6/AD$38</f>
        <v>0</v>
      </c>
      <c r="AI6">
        <v>0</v>
      </c>
      <c r="AJ6">
        <v>0</v>
      </c>
      <c r="AK6">
        <f>AJ6</f>
        <v>0</v>
      </c>
      <c r="AL6">
        <f>AJ6/AJ$20</f>
        <v>0</v>
      </c>
      <c r="AM6">
        <f>AK6/AJ$20</f>
        <v>0</v>
      </c>
    </row>
    <row r="7" spans="1:39" x14ac:dyDescent="0.25">
      <c r="A7" s="540">
        <v>45</v>
      </c>
      <c r="B7" s="1045">
        <v>22</v>
      </c>
      <c r="C7" s="494">
        <v>19</v>
      </c>
      <c r="E7" t="str">
        <f>A3</f>
        <v>New</v>
      </c>
      <c r="F7">
        <f>COUNT(A4:A13)</f>
        <v>10</v>
      </c>
      <c r="G7">
        <f>SUM(A4:A13)</f>
        <v>430</v>
      </c>
      <c r="H7">
        <f>AVERAGE(A4:A13)</f>
        <v>43</v>
      </c>
      <c r="I7">
        <f>VAR(A4:A13)</f>
        <v>16.222222222222221</v>
      </c>
      <c r="J7">
        <f>DEVSQ(A4:A13)</f>
        <v>146</v>
      </c>
      <c r="K7">
        <f>SQRT(H14/F7)</f>
        <v>3.3526868716388143</v>
      </c>
      <c r="L7">
        <f>H7-K7*TINV(K5,F7-1)</f>
        <v>35.41569537870275</v>
      </c>
      <c r="M7">
        <f>H7+K7*TINV(K5,F7-1)</f>
        <v>50.58430462129725</v>
      </c>
      <c r="O7">
        <f>O6+0.5</f>
        <v>0.5</v>
      </c>
      <c r="P7">
        <v>3873</v>
      </c>
      <c r="Q7">
        <f>Q6+P7</f>
        <v>3873</v>
      </c>
      <c r="R7">
        <f t="shared" ref="R7:R19" si="0">P7/P$20</f>
        <v>0.38729999999999998</v>
      </c>
      <c r="S7">
        <f t="shared" ref="S7:S19" si="1">Q7/P$20</f>
        <v>0.38729999999999998</v>
      </c>
      <c r="AC7">
        <f>AC6+0.2</f>
        <v>0.2</v>
      </c>
      <c r="AD7">
        <v>1749</v>
      </c>
      <c r="AE7">
        <f>AE6+AD7</f>
        <v>1749</v>
      </c>
      <c r="AF7">
        <f t="shared" ref="AF7:AF37" si="2">AD7/AD$38</f>
        <v>0.1749</v>
      </c>
      <c r="AG7">
        <f t="shared" ref="AG7:AG37" si="3">AE7/AD$38</f>
        <v>0.1749</v>
      </c>
      <c r="AI7">
        <f>AI6+0.5</f>
        <v>0.5</v>
      </c>
      <c r="AJ7">
        <v>3901</v>
      </c>
      <c r="AK7">
        <f>AK6+AJ7</f>
        <v>3901</v>
      </c>
      <c r="AL7">
        <f t="shared" ref="AL7:AL19" si="4">AJ7/AJ$20</f>
        <v>0.3901</v>
      </c>
      <c r="AM7">
        <f t="shared" ref="AM7:AM19" si="5">AK7/AJ$20</f>
        <v>0.3901</v>
      </c>
    </row>
    <row r="8" spans="1:39" x14ac:dyDescent="0.25">
      <c r="A8" s="540">
        <v>38</v>
      </c>
      <c r="B8" s="1045">
        <v>30</v>
      </c>
      <c r="C8" s="494">
        <v>31</v>
      </c>
      <c r="E8" t="str">
        <f>B3</f>
        <v>Old</v>
      </c>
      <c r="F8">
        <f>COUNT(B4:B13)</f>
        <v>9</v>
      </c>
      <c r="G8">
        <f>SUM(B4:B13)</f>
        <v>301</v>
      </c>
      <c r="H8">
        <f>AVERAGE(B4:B13)</f>
        <v>33.444444444444443</v>
      </c>
      <c r="I8">
        <f>VAR(B4:B13)</f>
        <v>86.527777777777828</v>
      </c>
      <c r="J8">
        <f>DEVSQ(B4:B13)</f>
        <v>692.22222222222217</v>
      </c>
      <c r="K8">
        <f>SQRT(H14/F8)</f>
        <v>3.5340422652410779</v>
      </c>
      <c r="L8">
        <f>H8-K8*TINV(K5,F8-1)</f>
        <v>25.294928366812215</v>
      </c>
      <c r="M8">
        <f>H8+K8*TINV(K5,F8-1)</f>
        <v>41.593960522076671</v>
      </c>
      <c r="O8">
        <f t="shared" ref="O8:O18" si="6">O7+0.5</f>
        <v>1</v>
      </c>
      <c r="P8">
        <v>2266</v>
      </c>
      <c r="Q8">
        <f t="shared" ref="Q8:Q19" si="7">Q7+P8</f>
        <v>6139</v>
      </c>
      <c r="R8">
        <f t="shared" si="0"/>
        <v>0.2266</v>
      </c>
      <c r="S8">
        <f t="shared" si="1"/>
        <v>0.6139</v>
      </c>
      <c r="AC8">
        <f t="shared" ref="AC8:AC36" si="8">AC7+0.2</f>
        <v>0.4</v>
      </c>
      <c r="AD8">
        <v>1502</v>
      </c>
      <c r="AE8">
        <f t="shared" ref="AE8:AE37" si="9">AE7+AD8</f>
        <v>3251</v>
      </c>
      <c r="AF8">
        <f t="shared" si="2"/>
        <v>0.1502</v>
      </c>
      <c r="AG8">
        <f t="shared" si="3"/>
        <v>0.3251</v>
      </c>
      <c r="AI8">
        <f t="shared" ref="AI8:AI18" si="10">AI7+0.5</f>
        <v>1</v>
      </c>
      <c r="AJ8">
        <v>2296</v>
      </c>
      <c r="AK8">
        <f t="shared" ref="AK8:AK19" si="11">AK7+AJ8</f>
        <v>6197</v>
      </c>
      <c r="AL8">
        <f t="shared" si="4"/>
        <v>0.2296</v>
      </c>
      <c r="AM8">
        <f t="shared" si="5"/>
        <v>0.61970000000000003</v>
      </c>
    </row>
    <row r="9" spans="1:39" x14ac:dyDescent="0.25">
      <c r="A9" s="540">
        <v>44</v>
      </c>
      <c r="B9" s="1045">
        <v>27</v>
      </c>
      <c r="C9" s="494">
        <v>37</v>
      </c>
      <c r="E9" t="str">
        <f>C3</f>
        <v>Control</v>
      </c>
      <c r="F9">
        <f>COUNT(C4:C13)</f>
        <v>8</v>
      </c>
      <c r="G9">
        <f>SUM(C4:C13)</f>
        <v>286</v>
      </c>
      <c r="H9">
        <f>AVERAGE(C4:C13)</f>
        <v>35.75</v>
      </c>
      <c r="I9">
        <f>VAR(C4:C13)</f>
        <v>265.64285714285717</v>
      </c>
      <c r="J9">
        <f>DEVSQ(C4:C13)</f>
        <v>1859.5</v>
      </c>
      <c r="K9">
        <f>SQRT(H14/F9)</f>
        <v>3.7484178761277502</v>
      </c>
      <c r="L9">
        <f>H9-K9*TINV(K5,F9-1)</f>
        <v>26.886400185004405</v>
      </c>
      <c r="M9">
        <f>H9+K9*TINV(K5,F9-1)</f>
        <v>44.613599814995595</v>
      </c>
      <c r="O9">
        <f t="shared" si="6"/>
        <v>1.5</v>
      </c>
      <c r="P9">
        <v>1392</v>
      </c>
      <c r="Q9">
        <f t="shared" si="7"/>
        <v>7531</v>
      </c>
      <c r="R9">
        <f t="shared" si="0"/>
        <v>0.13919999999999999</v>
      </c>
      <c r="S9">
        <f t="shared" si="1"/>
        <v>0.75309999999999999</v>
      </c>
      <c r="AC9">
        <f t="shared" si="8"/>
        <v>0.60000000000000009</v>
      </c>
      <c r="AD9">
        <v>1219</v>
      </c>
      <c r="AE9">
        <f t="shared" si="9"/>
        <v>4470</v>
      </c>
      <c r="AF9">
        <f t="shared" si="2"/>
        <v>0.12189999999999999</v>
      </c>
      <c r="AG9">
        <f t="shared" si="3"/>
        <v>0.44700000000000001</v>
      </c>
      <c r="AI9">
        <f t="shared" si="10"/>
        <v>1.5</v>
      </c>
      <c r="AJ9">
        <v>1361</v>
      </c>
      <c r="AK9">
        <f t="shared" si="11"/>
        <v>7558</v>
      </c>
      <c r="AL9">
        <f t="shared" si="4"/>
        <v>0.1361</v>
      </c>
      <c r="AM9">
        <f t="shared" si="5"/>
        <v>0.75580000000000003</v>
      </c>
    </row>
    <row r="10" spans="1:39" x14ac:dyDescent="0.25">
      <c r="A10" s="540">
        <v>40</v>
      </c>
      <c r="B10" s="1045">
        <v>32</v>
      </c>
      <c r="C10" s="494">
        <v>44</v>
      </c>
      <c r="E10" s="867"/>
      <c r="F10" s="867"/>
      <c r="G10" s="867"/>
      <c r="H10" s="867"/>
      <c r="I10" s="867"/>
      <c r="J10" s="867"/>
      <c r="K10" s="867"/>
      <c r="L10" s="867"/>
      <c r="M10" s="867"/>
      <c r="O10">
        <f t="shared" si="6"/>
        <v>2</v>
      </c>
      <c r="P10">
        <v>863</v>
      </c>
      <c r="Q10">
        <f t="shared" si="7"/>
        <v>8394</v>
      </c>
      <c r="R10">
        <f t="shared" si="0"/>
        <v>8.6300000000000002E-2</v>
      </c>
      <c r="S10">
        <f t="shared" si="1"/>
        <v>0.83940000000000003</v>
      </c>
      <c r="AC10">
        <f t="shared" si="8"/>
        <v>0.8</v>
      </c>
      <c r="AD10">
        <v>997</v>
      </c>
      <c r="AE10">
        <f t="shared" si="9"/>
        <v>5467</v>
      </c>
      <c r="AF10">
        <f t="shared" si="2"/>
        <v>9.9699999999999997E-2</v>
      </c>
      <c r="AG10">
        <f t="shared" si="3"/>
        <v>0.54669999999999996</v>
      </c>
      <c r="AI10">
        <f t="shared" si="10"/>
        <v>2</v>
      </c>
      <c r="AJ10">
        <v>885</v>
      </c>
      <c r="AK10">
        <f t="shared" si="11"/>
        <v>8443</v>
      </c>
      <c r="AL10">
        <f t="shared" si="4"/>
        <v>8.8499999999999995E-2</v>
      </c>
      <c r="AM10">
        <f t="shared" si="5"/>
        <v>0.84430000000000005</v>
      </c>
    </row>
    <row r="11" spans="1:39" ht="15.75" thickBot="1" x14ac:dyDescent="0.3">
      <c r="A11" s="540">
        <v>49</v>
      </c>
      <c r="B11" s="1045">
        <v>25</v>
      </c>
      <c r="C11" s="494">
        <v>55</v>
      </c>
      <c r="E11" t="s">
        <v>294</v>
      </c>
      <c r="O11">
        <f t="shared" si="6"/>
        <v>2.5</v>
      </c>
      <c r="P11">
        <v>578</v>
      </c>
      <c r="Q11">
        <f t="shared" si="7"/>
        <v>8972</v>
      </c>
      <c r="R11">
        <f t="shared" si="0"/>
        <v>5.7799999999999997E-2</v>
      </c>
      <c r="S11">
        <f t="shared" si="1"/>
        <v>0.8972</v>
      </c>
      <c r="AC11">
        <f t="shared" si="8"/>
        <v>1</v>
      </c>
      <c r="AD11">
        <v>771</v>
      </c>
      <c r="AE11">
        <f t="shared" si="9"/>
        <v>6238</v>
      </c>
      <c r="AF11">
        <f t="shared" si="2"/>
        <v>7.7100000000000002E-2</v>
      </c>
      <c r="AG11">
        <f t="shared" si="3"/>
        <v>0.62380000000000002</v>
      </c>
      <c r="AI11">
        <f t="shared" si="10"/>
        <v>2.5</v>
      </c>
      <c r="AJ11">
        <v>535</v>
      </c>
      <c r="AK11">
        <f t="shared" si="11"/>
        <v>8978</v>
      </c>
      <c r="AL11">
        <f t="shared" si="4"/>
        <v>5.3499999999999999E-2</v>
      </c>
      <c r="AM11">
        <f t="shared" si="5"/>
        <v>0.89780000000000004</v>
      </c>
    </row>
    <row r="12" spans="1:39" ht="15.75" thickTop="1" x14ac:dyDescent="0.25">
      <c r="A12" s="540">
        <v>42</v>
      </c>
      <c r="B12" s="1045">
        <v>40</v>
      </c>
      <c r="C12" s="494"/>
      <c r="E12" s="826" t="s">
        <v>459</v>
      </c>
      <c r="F12" s="826" t="s">
        <v>219</v>
      </c>
      <c r="G12" s="826" t="s">
        <v>60</v>
      </c>
      <c r="H12" s="826" t="s">
        <v>240</v>
      </c>
      <c r="I12" s="826" t="s">
        <v>135</v>
      </c>
      <c r="J12" s="826" t="s">
        <v>460</v>
      </c>
      <c r="K12" s="826" t="s">
        <v>467</v>
      </c>
      <c r="L12" s="826" t="s">
        <v>1231</v>
      </c>
      <c r="M12" s="826" t="s">
        <v>1232</v>
      </c>
      <c r="O12">
        <f t="shared" si="6"/>
        <v>3</v>
      </c>
      <c r="P12">
        <v>350</v>
      </c>
      <c r="Q12">
        <f t="shared" si="7"/>
        <v>9322</v>
      </c>
      <c r="R12">
        <f t="shared" si="0"/>
        <v>3.5000000000000003E-2</v>
      </c>
      <c r="S12">
        <f t="shared" si="1"/>
        <v>0.93220000000000003</v>
      </c>
      <c r="AC12">
        <f t="shared" si="8"/>
        <v>1.2</v>
      </c>
      <c r="AD12">
        <v>572</v>
      </c>
      <c r="AE12">
        <f t="shared" si="9"/>
        <v>6810</v>
      </c>
      <c r="AF12">
        <f t="shared" si="2"/>
        <v>5.7200000000000001E-2</v>
      </c>
      <c r="AG12">
        <f t="shared" si="3"/>
        <v>0.68100000000000005</v>
      </c>
      <c r="AI12">
        <f t="shared" si="10"/>
        <v>3</v>
      </c>
      <c r="AJ12">
        <v>326</v>
      </c>
      <c r="AK12">
        <f t="shared" si="11"/>
        <v>9304</v>
      </c>
      <c r="AL12">
        <f t="shared" si="4"/>
        <v>3.2599999999999997E-2</v>
      </c>
      <c r="AM12">
        <f t="shared" si="5"/>
        <v>0.9304</v>
      </c>
    </row>
    <row r="13" spans="1:39" x14ac:dyDescent="0.25">
      <c r="A13" s="436">
        <v>41</v>
      </c>
      <c r="B13" s="1046"/>
      <c r="C13" s="38"/>
      <c r="E13" t="s">
        <v>462</v>
      </c>
      <c r="F13">
        <f>F15-F14</f>
        <v>474.27777777777828</v>
      </c>
      <c r="G13">
        <f>COUNTA(E7:E9)-1</f>
        <v>2</v>
      </c>
      <c r="H13">
        <f>F13/G13</f>
        <v>237.13888888888914</v>
      </c>
      <c r="I13">
        <f>H13/H14</f>
        <v>2.1096810066105172</v>
      </c>
      <c r="J13">
        <f>FDIST(I13,G13,G14)</f>
        <v>0.14320843844209949</v>
      </c>
      <c r="K13">
        <f>FINV(K5,G13,G14)</f>
        <v>3.4028261053501945</v>
      </c>
      <c r="L13">
        <f>SQRT(DEVSQ(H7:H9)/(H14*G13))</f>
        <v>0.47032328011464403</v>
      </c>
      <c r="M13">
        <f>(F15-G15*H14)/(F15+H14)</f>
        <v>7.5955183833816359E-2</v>
      </c>
      <c r="O13">
        <f t="shared" si="6"/>
        <v>3.5</v>
      </c>
      <c r="P13">
        <v>205</v>
      </c>
      <c r="Q13">
        <f t="shared" si="7"/>
        <v>9527</v>
      </c>
      <c r="R13">
        <f t="shared" si="0"/>
        <v>2.0500000000000001E-2</v>
      </c>
      <c r="S13">
        <f t="shared" si="1"/>
        <v>0.95269999999999999</v>
      </c>
      <c r="AC13">
        <f t="shared" si="8"/>
        <v>1.4</v>
      </c>
      <c r="AD13">
        <v>491</v>
      </c>
      <c r="AE13">
        <f t="shared" si="9"/>
        <v>7301</v>
      </c>
      <c r="AF13">
        <f t="shared" si="2"/>
        <v>4.9099999999999998E-2</v>
      </c>
      <c r="AG13">
        <f t="shared" si="3"/>
        <v>0.73009999999999997</v>
      </c>
      <c r="AI13">
        <f t="shared" si="10"/>
        <v>3.5</v>
      </c>
      <c r="AJ13">
        <v>212</v>
      </c>
      <c r="AK13">
        <f t="shared" si="11"/>
        <v>9516</v>
      </c>
      <c r="AL13">
        <f t="shared" si="4"/>
        <v>2.12E-2</v>
      </c>
      <c r="AM13">
        <f t="shared" si="5"/>
        <v>0.9516</v>
      </c>
    </row>
    <row r="14" spans="1:39" x14ac:dyDescent="0.25">
      <c r="E14" t="s">
        <v>463</v>
      </c>
      <c r="F14">
        <f>SUM(J7:J9)</f>
        <v>2697.7222222222222</v>
      </c>
      <c r="G14">
        <f>G15-G13</f>
        <v>24</v>
      </c>
      <c r="H14">
        <f>F14/G14</f>
        <v>112.4050925925926</v>
      </c>
      <c r="O14">
        <f t="shared" si="6"/>
        <v>4</v>
      </c>
      <c r="P14">
        <v>160</v>
      </c>
      <c r="Q14">
        <f t="shared" si="7"/>
        <v>9687</v>
      </c>
      <c r="R14">
        <f t="shared" si="0"/>
        <v>1.6E-2</v>
      </c>
      <c r="S14">
        <f t="shared" si="1"/>
        <v>0.96870000000000001</v>
      </c>
      <c r="AC14">
        <f t="shared" si="8"/>
        <v>1.5999999999999999</v>
      </c>
      <c r="AD14">
        <v>439</v>
      </c>
      <c r="AE14">
        <f t="shared" si="9"/>
        <v>7740</v>
      </c>
      <c r="AF14">
        <f t="shared" si="2"/>
        <v>4.3900000000000002E-2</v>
      </c>
      <c r="AG14">
        <f t="shared" si="3"/>
        <v>0.77400000000000002</v>
      </c>
      <c r="AI14">
        <f t="shared" si="10"/>
        <v>4</v>
      </c>
      <c r="AJ14">
        <v>168</v>
      </c>
      <c r="AK14">
        <f t="shared" si="11"/>
        <v>9684</v>
      </c>
      <c r="AL14">
        <f t="shared" si="4"/>
        <v>1.6799999999999999E-2</v>
      </c>
      <c r="AM14">
        <f t="shared" si="5"/>
        <v>0.96840000000000004</v>
      </c>
    </row>
    <row r="15" spans="1:39" x14ac:dyDescent="0.25">
      <c r="E15" s="762" t="s">
        <v>1</v>
      </c>
      <c r="F15" s="762">
        <f>DEVSQ(A4:C13)</f>
        <v>3172.0000000000005</v>
      </c>
      <c r="G15" s="762">
        <f>COUNT(A4:C13)-1</f>
        <v>26</v>
      </c>
      <c r="H15" s="762">
        <f>F15/G15</f>
        <v>122.00000000000001</v>
      </c>
      <c r="I15" s="762"/>
      <c r="J15" s="762"/>
      <c r="K15" s="762"/>
      <c r="L15" s="762"/>
      <c r="M15" s="762"/>
      <c r="O15">
        <f t="shared" si="6"/>
        <v>4.5</v>
      </c>
      <c r="P15">
        <v>98</v>
      </c>
      <c r="Q15">
        <f t="shared" si="7"/>
        <v>9785</v>
      </c>
      <c r="R15">
        <f t="shared" si="0"/>
        <v>9.7999999999999997E-3</v>
      </c>
      <c r="S15">
        <f t="shared" si="1"/>
        <v>0.97850000000000004</v>
      </c>
      <c r="AC15">
        <f t="shared" si="8"/>
        <v>1.7999999999999998</v>
      </c>
      <c r="AD15">
        <v>369</v>
      </c>
      <c r="AE15">
        <f t="shared" si="9"/>
        <v>8109</v>
      </c>
      <c r="AF15">
        <f t="shared" si="2"/>
        <v>3.6900000000000002E-2</v>
      </c>
      <c r="AG15">
        <f t="shared" si="3"/>
        <v>0.81089999999999995</v>
      </c>
      <c r="AI15">
        <f t="shared" si="10"/>
        <v>4.5</v>
      </c>
      <c r="AJ15">
        <v>85</v>
      </c>
      <c r="AK15">
        <f t="shared" si="11"/>
        <v>9769</v>
      </c>
      <c r="AL15">
        <f t="shared" si="4"/>
        <v>8.5000000000000006E-3</v>
      </c>
      <c r="AM15">
        <f t="shared" si="5"/>
        <v>0.97689999999999999</v>
      </c>
    </row>
    <row r="16" spans="1:39" x14ac:dyDescent="0.25">
      <c r="O16">
        <f t="shared" si="6"/>
        <v>5</v>
      </c>
      <c r="P16">
        <v>67</v>
      </c>
      <c r="Q16">
        <f t="shared" si="7"/>
        <v>9852</v>
      </c>
      <c r="R16">
        <f t="shared" si="0"/>
        <v>6.7000000000000002E-3</v>
      </c>
      <c r="S16">
        <f t="shared" si="1"/>
        <v>0.98519999999999996</v>
      </c>
      <c r="AC16">
        <f t="shared" si="8"/>
        <v>1.9999999999999998</v>
      </c>
      <c r="AD16">
        <v>263</v>
      </c>
      <c r="AE16">
        <f t="shared" si="9"/>
        <v>8372</v>
      </c>
      <c r="AF16">
        <f t="shared" si="2"/>
        <v>2.63E-2</v>
      </c>
      <c r="AG16">
        <f t="shared" si="3"/>
        <v>0.83720000000000006</v>
      </c>
      <c r="AI16">
        <f t="shared" si="10"/>
        <v>5</v>
      </c>
      <c r="AJ16">
        <v>62</v>
      </c>
      <c r="AK16">
        <f t="shared" si="11"/>
        <v>9831</v>
      </c>
      <c r="AL16">
        <f t="shared" si="4"/>
        <v>6.1999999999999998E-3</v>
      </c>
      <c r="AM16">
        <f t="shared" si="5"/>
        <v>0.98309999999999997</v>
      </c>
    </row>
    <row r="17" spans="5:39" x14ac:dyDescent="0.25">
      <c r="O17">
        <f t="shared" si="6"/>
        <v>5.5</v>
      </c>
      <c r="P17">
        <v>38</v>
      </c>
      <c r="Q17">
        <f t="shared" si="7"/>
        <v>9890</v>
      </c>
      <c r="R17">
        <f t="shared" si="0"/>
        <v>3.8E-3</v>
      </c>
      <c r="S17">
        <f t="shared" si="1"/>
        <v>0.98899999999999999</v>
      </c>
      <c r="AC17">
        <f t="shared" si="8"/>
        <v>2.1999999999999997</v>
      </c>
      <c r="AD17">
        <v>239</v>
      </c>
      <c r="AE17">
        <f t="shared" si="9"/>
        <v>8611</v>
      </c>
      <c r="AF17">
        <f t="shared" si="2"/>
        <v>2.3900000000000001E-2</v>
      </c>
      <c r="AG17">
        <f t="shared" si="3"/>
        <v>0.86109999999999998</v>
      </c>
      <c r="AI17">
        <f t="shared" si="10"/>
        <v>5.5</v>
      </c>
      <c r="AJ17">
        <v>56</v>
      </c>
      <c r="AK17">
        <f t="shared" si="11"/>
        <v>9887</v>
      </c>
      <c r="AL17">
        <f t="shared" si="4"/>
        <v>5.5999999999999999E-3</v>
      </c>
      <c r="AM17">
        <f t="shared" si="5"/>
        <v>0.98870000000000002</v>
      </c>
    </row>
    <row r="18" spans="5:39" x14ac:dyDescent="0.25">
      <c r="E18" s="580">
        <f>[1]!ANOVA1(A4:C13)</f>
        <v>2.1096810066105172</v>
      </c>
      <c r="F18" t="str">
        <f>[1]!FTEXT(E18)</f>
        <v>=ANOVA1(A4:C13)</v>
      </c>
      <c r="O18">
        <f t="shared" si="6"/>
        <v>6</v>
      </c>
      <c r="P18">
        <v>32</v>
      </c>
      <c r="Q18">
        <f t="shared" si="7"/>
        <v>9922</v>
      </c>
      <c r="R18">
        <f t="shared" si="0"/>
        <v>3.2000000000000002E-3</v>
      </c>
      <c r="S18">
        <f t="shared" si="1"/>
        <v>0.99219999999999997</v>
      </c>
      <c r="AC18">
        <f t="shared" si="8"/>
        <v>2.4</v>
      </c>
      <c r="AD18">
        <v>185</v>
      </c>
      <c r="AE18">
        <f t="shared" si="9"/>
        <v>8796</v>
      </c>
      <c r="AF18">
        <f t="shared" si="2"/>
        <v>1.8499999999999999E-2</v>
      </c>
      <c r="AG18">
        <f t="shared" si="3"/>
        <v>0.87960000000000005</v>
      </c>
      <c r="AI18">
        <f t="shared" si="10"/>
        <v>6</v>
      </c>
      <c r="AJ18">
        <v>23</v>
      </c>
      <c r="AK18">
        <f t="shared" si="11"/>
        <v>9910</v>
      </c>
      <c r="AL18">
        <f t="shared" si="4"/>
        <v>2.3E-3</v>
      </c>
      <c r="AM18">
        <f t="shared" si="5"/>
        <v>0.99099999999999999</v>
      </c>
    </row>
    <row r="19" spans="5:39" x14ac:dyDescent="0.25">
      <c r="O19" s="762" t="s">
        <v>32</v>
      </c>
      <c r="P19" s="762">
        <v>78</v>
      </c>
      <c r="Q19" s="762">
        <f t="shared" si="7"/>
        <v>10000</v>
      </c>
      <c r="R19" s="762">
        <f t="shared" si="0"/>
        <v>7.7999999999999996E-3</v>
      </c>
      <c r="S19" s="762">
        <f t="shared" si="1"/>
        <v>1</v>
      </c>
      <c r="AC19">
        <f t="shared" si="8"/>
        <v>2.6</v>
      </c>
      <c r="AD19">
        <v>177</v>
      </c>
      <c r="AE19">
        <f t="shared" si="9"/>
        <v>8973</v>
      </c>
      <c r="AF19">
        <f t="shared" si="2"/>
        <v>1.77E-2</v>
      </c>
      <c r="AG19">
        <f t="shared" si="3"/>
        <v>0.89729999999999999</v>
      </c>
      <c r="AI19" s="762" t="s">
        <v>32</v>
      </c>
      <c r="AJ19" s="762">
        <v>90</v>
      </c>
      <c r="AK19" s="762">
        <f t="shared" si="11"/>
        <v>10000</v>
      </c>
      <c r="AL19" s="762">
        <f t="shared" si="4"/>
        <v>8.9999999999999993E-3</v>
      </c>
      <c r="AM19" s="762">
        <f t="shared" si="5"/>
        <v>1</v>
      </c>
    </row>
    <row r="20" spans="5:39" x14ac:dyDescent="0.25">
      <c r="P20">
        <f>SUM(P6:P19)</f>
        <v>10000</v>
      </c>
      <c r="AC20">
        <f t="shared" si="8"/>
        <v>2.8000000000000003</v>
      </c>
      <c r="AD20">
        <v>169</v>
      </c>
      <c r="AE20">
        <f t="shared" si="9"/>
        <v>9142</v>
      </c>
      <c r="AF20">
        <f t="shared" si="2"/>
        <v>1.6899999999999998E-2</v>
      </c>
      <c r="AG20">
        <f t="shared" si="3"/>
        <v>0.91420000000000001</v>
      </c>
      <c r="AJ20">
        <f>SUM(AJ6:AJ19)</f>
        <v>10000</v>
      </c>
    </row>
    <row r="21" spans="5:39" x14ac:dyDescent="0.25">
      <c r="AC21">
        <f t="shared" si="8"/>
        <v>3.0000000000000004</v>
      </c>
      <c r="AD21">
        <v>125</v>
      </c>
      <c r="AE21">
        <f t="shared" si="9"/>
        <v>9267</v>
      </c>
      <c r="AF21">
        <f t="shared" si="2"/>
        <v>1.2500000000000001E-2</v>
      </c>
      <c r="AG21">
        <f t="shared" si="3"/>
        <v>0.92669999999999997</v>
      </c>
    </row>
    <row r="22" spans="5:39" x14ac:dyDescent="0.25">
      <c r="O22" t="s">
        <v>2341</v>
      </c>
      <c r="AC22">
        <f t="shared" si="8"/>
        <v>3.2000000000000006</v>
      </c>
      <c r="AD22">
        <v>95</v>
      </c>
      <c r="AE22">
        <f t="shared" si="9"/>
        <v>9362</v>
      </c>
      <c r="AF22">
        <f t="shared" si="2"/>
        <v>9.4999999999999998E-3</v>
      </c>
      <c r="AG22">
        <f t="shared" si="3"/>
        <v>0.93620000000000003</v>
      </c>
      <c r="AI22" t="s">
        <v>2341</v>
      </c>
    </row>
    <row r="23" spans="5:39" x14ac:dyDescent="0.25">
      <c r="AC23">
        <f t="shared" si="8"/>
        <v>3.4000000000000008</v>
      </c>
      <c r="AD23">
        <v>87</v>
      </c>
      <c r="AE23">
        <f t="shared" si="9"/>
        <v>9449</v>
      </c>
      <c r="AF23">
        <f t="shared" si="2"/>
        <v>8.6999999999999994E-3</v>
      </c>
      <c r="AG23">
        <f t="shared" si="3"/>
        <v>0.94489999999999996</v>
      </c>
    </row>
    <row r="24" spans="5:39" x14ac:dyDescent="0.25">
      <c r="O24" t="s">
        <v>106</v>
      </c>
      <c r="P24" s="1037">
        <v>0.05</v>
      </c>
      <c r="AC24">
        <f t="shared" si="8"/>
        <v>3.600000000000001</v>
      </c>
      <c r="AD24">
        <v>81</v>
      </c>
      <c r="AE24">
        <f t="shared" si="9"/>
        <v>9530</v>
      </c>
      <c r="AF24">
        <f t="shared" si="2"/>
        <v>8.0999999999999996E-3</v>
      </c>
      <c r="AG24">
        <f t="shared" si="3"/>
        <v>0.95299999999999996</v>
      </c>
      <c r="AI24" t="s">
        <v>106</v>
      </c>
      <c r="AJ24" s="1037">
        <v>0.05</v>
      </c>
    </row>
    <row r="25" spans="5:39" x14ac:dyDescent="0.25">
      <c r="O25" t="s">
        <v>2342</v>
      </c>
      <c r="P25" s="680">
        <v>2.1096810066105172</v>
      </c>
      <c r="AC25">
        <f t="shared" si="8"/>
        <v>3.8000000000000012</v>
      </c>
      <c r="AD25">
        <v>75</v>
      </c>
      <c r="AE25">
        <f t="shared" si="9"/>
        <v>9605</v>
      </c>
      <c r="AF25">
        <f t="shared" si="2"/>
        <v>7.4999999999999997E-3</v>
      </c>
      <c r="AG25">
        <f t="shared" si="3"/>
        <v>0.96050000000000002</v>
      </c>
      <c r="AI25" t="s">
        <v>2342</v>
      </c>
      <c r="AJ25" s="680">
        <v>2.1096810066105172</v>
      </c>
    </row>
    <row r="26" spans="5:39" x14ac:dyDescent="0.25">
      <c r="O26" t="s">
        <v>67</v>
      </c>
      <c r="P26" s="757">
        <v>0.1452</v>
      </c>
      <c r="AC26">
        <f t="shared" si="8"/>
        <v>4.0000000000000009</v>
      </c>
      <c r="AD26">
        <v>51</v>
      </c>
      <c r="AE26">
        <f t="shared" si="9"/>
        <v>9656</v>
      </c>
      <c r="AF26">
        <f t="shared" si="2"/>
        <v>5.1000000000000004E-3</v>
      </c>
      <c r="AG26">
        <f t="shared" si="3"/>
        <v>0.96560000000000001</v>
      </c>
      <c r="AI26" t="s">
        <v>67</v>
      </c>
      <c r="AJ26" s="757">
        <v>0.1396</v>
      </c>
    </row>
    <row r="27" spans="5:39" x14ac:dyDescent="0.25">
      <c r="AC27">
        <f t="shared" si="8"/>
        <v>4.2000000000000011</v>
      </c>
      <c r="AD27">
        <v>53</v>
      </c>
      <c r="AE27">
        <f t="shared" si="9"/>
        <v>9709</v>
      </c>
      <c r="AF27">
        <f t="shared" si="2"/>
        <v>5.3E-3</v>
      </c>
      <c r="AG27">
        <f t="shared" si="3"/>
        <v>0.97089999999999999</v>
      </c>
    </row>
    <row r="28" spans="5:39" x14ac:dyDescent="0.25">
      <c r="AC28">
        <f t="shared" si="8"/>
        <v>4.4000000000000012</v>
      </c>
      <c r="AD28">
        <v>39</v>
      </c>
      <c r="AE28">
        <f t="shared" si="9"/>
        <v>9748</v>
      </c>
      <c r="AF28">
        <f t="shared" si="2"/>
        <v>3.8999999999999998E-3</v>
      </c>
      <c r="AG28">
        <f t="shared" si="3"/>
        <v>0.9748</v>
      </c>
    </row>
    <row r="29" spans="5:39" x14ac:dyDescent="0.25">
      <c r="AC29">
        <f t="shared" si="8"/>
        <v>4.6000000000000014</v>
      </c>
      <c r="AD29">
        <v>28</v>
      </c>
      <c r="AE29">
        <f t="shared" si="9"/>
        <v>9776</v>
      </c>
      <c r="AF29">
        <f t="shared" si="2"/>
        <v>2.8E-3</v>
      </c>
      <c r="AG29">
        <f t="shared" si="3"/>
        <v>0.97760000000000002</v>
      </c>
    </row>
    <row r="30" spans="5:39" x14ac:dyDescent="0.25">
      <c r="AC30">
        <f t="shared" si="8"/>
        <v>4.8000000000000016</v>
      </c>
      <c r="AD30">
        <v>31</v>
      </c>
      <c r="AE30">
        <f t="shared" si="9"/>
        <v>9807</v>
      </c>
      <c r="AF30">
        <f t="shared" si="2"/>
        <v>3.0999999999999999E-3</v>
      </c>
      <c r="AG30">
        <f t="shared" si="3"/>
        <v>0.98070000000000002</v>
      </c>
    </row>
    <row r="31" spans="5:39" x14ac:dyDescent="0.25">
      <c r="AC31">
        <f t="shared" si="8"/>
        <v>5.0000000000000018</v>
      </c>
      <c r="AD31">
        <v>30</v>
      </c>
      <c r="AE31">
        <f t="shared" si="9"/>
        <v>9837</v>
      </c>
      <c r="AF31">
        <f t="shared" si="2"/>
        <v>3.0000000000000001E-3</v>
      </c>
      <c r="AG31">
        <f t="shared" si="3"/>
        <v>0.98370000000000002</v>
      </c>
    </row>
    <row r="32" spans="5:39" x14ac:dyDescent="0.25">
      <c r="AC32">
        <f t="shared" si="8"/>
        <v>5.200000000000002</v>
      </c>
      <c r="AD32">
        <v>26</v>
      </c>
      <c r="AE32">
        <f t="shared" si="9"/>
        <v>9863</v>
      </c>
      <c r="AF32">
        <f t="shared" si="2"/>
        <v>2.5999999999999999E-3</v>
      </c>
      <c r="AG32">
        <f t="shared" si="3"/>
        <v>0.98629999999999995</v>
      </c>
    </row>
    <row r="33" spans="29:33" x14ac:dyDescent="0.25">
      <c r="AC33">
        <f t="shared" si="8"/>
        <v>5.4000000000000021</v>
      </c>
      <c r="AD33">
        <v>24</v>
      </c>
      <c r="AE33">
        <f t="shared" si="9"/>
        <v>9887</v>
      </c>
      <c r="AF33">
        <f t="shared" si="2"/>
        <v>2.3999999999999998E-3</v>
      </c>
      <c r="AG33">
        <f t="shared" si="3"/>
        <v>0.98870000000000002</v>
      </c>
    </row>
    <row r="34" spans="29:33" x14ac:dyDescent="0.25">
      <c r="AC34">
        <f t="shared" si="8"/>
        <v>5.6000000000000023</v>
      </c>
      <c r="AD34">
        <v>16</v>
      </c>
      <c r="AE34">
        <f t="shared" si="9"/>
        <v>9903</v>
      </c>
      <c r="AF34">
        <f t="shared" si="2"/>
        <v>1.6000000000000001E-3</v>
      </c>
      <c r="AG34">
        <f t="shared" si="3"/>
        <v>0.99029999999999996</v>
      </c>
    </row>
    <row r="35" spans="29:33" x14ac:dyDescent="0.25">
      <c r="AC35">
        <f t="shared" si="8"/>
        <v>5.8000000000000025</v>
      </c>
      <c r="AD35">
        <v>12</v>
      </c>
      <c r="AE35">
        <f t="shared" si="9"/>
        <v>9915</v>
      </c>
      <c r="AF35">
        <f t="shared" si="2"/>
        <v>1.1999999999999999E-3</v>
      </c>
      <c r="AG35">
        <f t="shared" si="3"/>
        <v>0.99150000000000005</v>
      </c>
    </row>
    <row r="36" spans="29:33" x14ac:dyDescent="0.25">
      <c r="AC36">
        <f t="shared" si="8"/>
        <v>6.0000000000000027</v>
      </c>
      <c r="AD36">
        <v>4</v>
      </c>
      <c r="AE36">
        <f t="shared" si="9"/>
        <v>9919</v>
      </c>
      <c r="AF36">
        <f t="shared" si="2"/>
        <v>4.0000000000000002E-4</v>
      </c>
      <c r="AG36">
        <f t="shared" si="3"/>
        <v>0.9919</v>
      </c>
    </row>
    <row r="37" spans="29:33" x14ac:dyDescent="0.25">
      <c r="AC37" s="762" t="s">
        <v>32</v>
      </c>
      <c r="AD37" s="762">
        <v>81</v>
      </c>
      <c r="AE37" s="762">
        <f t="shared" si="9"/>
        <v>10000</v>
      </c>
      <c r="AF37" s="762">
        <f t="shared" si="2"/>
        <v>8.0999999999999996E-3</v>
      </c>
      <c r="AG37" s="762">
        <f t="shared" si="3"/>
        <v>1</v>
      </c>
    </row>
    <row r="38" spans="29:33" x14ac:dyDescent="0.25">
      <c r="AD38">
        <f>SUM(AD6:AD37)</f>
        <v>10000</v>
      </c>
    </row>
    <row r="40" spans="29:33" x14ac:dyDescent="0.25">
      <c r="AC40" t="s">
        <v>2341</v>
      </c>
    </row>
    <row r="42" spans="29:33" x14ac:dyDescent="0.25">
      <c r="AC42" t="s">
        <v>106</v>
      </c>
      <c r="AD42" s="1037">
        <v>0.05</v>
      </c>
    </row>
    <row r="43" spans="29:33" x14ac:dyDescent="0.25">
      <c r="AC43" t="s">
        <v>2342</v>
      </c>
      <c r="AD43" s="680">
        <v>2.1096810066105172</v>
      </c>
    </row>
    <row r="44" spans="29:33" x14ac:dyDescent="0.25">
      <c r="AC44" t="s">
        <v>67</v>
      </c>
      <c r="AD44" s="757">
        <v>0.15079999999999999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6"/>
  <dimension ref="A1:AF94"/>
  <sheetViews>
    <sheetView zoomScale="97" zoomScaleNormal="97" workbookViewId="0"/>
  </sheetViews>
  <sheetFormatPr defaultRowHeight="15" x14ac:dyDescent="0.25"/>
  <sheetData>
    <row r="1" spans="1:29" x14ac:dyDescent="0.25">
      <c r="A1" s="1" t="s">
        <v>2346</v>
      </c>
    </row>
    <row r="3" spans="1:29" x14ac:dyDescent="0.25">
      <c r="A3" s="1044" t="s">
        <v>75</v>
      </c>
      <c r="B3" s="1044" t="s">
        <v>76</v>
      </c>
      <c r="C3" s="1044" t="s">
        <v>91</v>
      </c>
      <c r="E3" t="s">
        <v>2343</v>
      </c>
      <c r="S3" t="s">
        <v>2344</v>
      </c>
      <c r="Y3" t="s">
        <v>2344</v>
      </c>
    </row>
    <row r="4" spans="1:29" ht="15.75" thickBot="1" x14ac:dyDescent="0.3">
      <c r="A4" s="616">
        <v>50</v>
      </c>
      <c r="B4" s="617">
        <v>44</v>
      </c>
      <c r="C4" s="618">
        <v>16</v>
      </c>
    </row>
    <row r="5" spans="1:29" ht="15.75" thickTop="1" x14ac:dyDescent="0.25">
      <c r="A5" s="540">
        <v>39</v>
      </c>
      <c r="B5" s="1045">
        <v>31</v>
      </c>
      <c r="C5" s="494">
        <v>60</v>
      </c>
      <c r="E5" s="826" t="s">
        <v>2333</v>
      </c>
      <c r="F5" s="826" t="s">
        <v>28</v>
      </c>
      <c r="G5" s="826" t="s">
        <v>1736</v>
      </c>
      <c r="H5" s="826" t="s">
        <v>1225</v>
      </c>
      <c r="I5" s="826" t="s">
        <v>2334</v>
      </c>
      <c r="S5" s="826" t="s">
        <v>2333</v>
      </c>
      <c r="T5" s="826" t="s">
        <v>28</v>
      </c>
      <c r="U5" s="826" t="s">
        <v>1736</v>
      </c>
      <c r="V5" s="826" t="s">
        <v>1225</v>
      </c>
      <c r="W5" s="826" t="s">
        <v>2334</v>
      </c>
      <c r="Y5" s="826" t="s">
        <v>2333</v>
      </c>
      <c r="Z5" s="826" t="s">
        <v>28</v>
      </c>
      <c r="AA5" s="826" t="s">
        <v>1736</v>
      </c>
      <c r="AB5" s="826" t="s">
        <v>1225</v>
      </c>
      <c r="AC5" s="826" t="s">
        <v>2334</v>
      </c>
    </row>
    <row r="6" spans="1:29" x14ac:dyDescent="0.25">
      <c r="A6" s="540">
        <v>42</v>
      </c>
      <c r="B6" s="1045">
        <v>50</v>
      </c>
      <c r="C6" s="494">
        <v>24</v>
      </c>
      <c r="E6">
        <v>0</v>
      </c>
      <c r="F6">
        <v>0</v>
      </c>
      <c r="G6">
        <f>F6</f>
        <v>0</v>
      </c>
      <c r="H6">
        <f>F6/F$38</f>
        <v>0</v>
      </c>
      <c r="I6">
        <f>G6/F$38</f>
        <v>0</v>
      </c>
      <c r="S6">
        <v>0</v>
      </c>
      <c r="T6">
        <v>0</v>
      </c>
      <c r="U6">
        <f>T6</f>
        <v>0</v>
      </c>
      <c r="V6">
        <f>T6/T$88</f>
        <v>0</v>
      </c>
      <c r="W6">
        <f>U6/T$88</f>
        <v>0</v>
      </c>
      <c r="Y6" s="15">
        <v>0</v>
      </c>
      <c r="Z6">
        <v>0</v>
      </c>
      <c r="AA6">
        <f>Z6</f>
        <v>0</v>
      </c>
      <c r="AB6">
        <f>Z6/Z$28</f>
        <v>0</v>
      </c>
      <c r="AC6">
        <f>AA6/Z$28</f>
        <v>0</v>
      </c>
    </row>
    <row r="7" spans="1:29" x14ac:dyDescent="0.25">
      <c r="A7" s="540">
        <v>45</v>
      </c>
      <c r="B7" s="1045">
        <v>22</v>
      </c>
      <c r="C7" s="494">
        <v>19</v>
      </c>
      <c r="E7">
        <f>E6+0.2</f>
        <v>0.2</v>
      </c>
      <c r="F7">
        <v>1752</v>
      </c>
      <c r="G7">
        <f>G6+F7</f>
        <v>1752</v>
      </c>
      <c r="H7">
        <f t="shared" ref="H7:H37" si="0">F7/F$38</f>
        <v>0.17519999999999999</v>
      </c>
      <c r="I7">
        <f t="shared" ref="I7:I37" si="1">G7/F$38</f>
        <v>0.17519999999999999</v>
      </c>
      <c r="S7">
        <f>S6+0.1</f>
        <v>0.1</v>
      </c>
      <c r="T7">
        <v>960</v>
      </c>
      <c r="U7">
        <f>U6+T7</f>
        <v>960</v>
      </c>
      <c r="V7">
        <f t="shared" ref="V7:V70" si="2">T7/T$88</f>
        <v>9.6000000000000002E-2</v>
      </c>
      <c r="W7">
        <f t="shared" ref="W7:W70" si="3">U7/T$88</f>
        <v>9.6000000000000002E-2</v>
      </c>
      <c r="Y7" s="15">
        <f>Y6+0.25</f>
        <v>0.25</v>
      </c>
      <c r="Z7">
        <v>2180</v>
      </c>
      <c r="AA7">
        <f>AA6+Z7</f>
        <v>2180</v>
      </c>
      <c r="AB7">
        <f t="shared" ref="AB7:AB27" si="4">Z7/Z$28</f>
        <v>0.218</v>
      </c>
      <c r="AC7">
        <f t="shared" ref="AC7:AC27" si="5">AA7/Z$28</f>
        <v>0.218</v>
      </c>
    </row>
    <row r="8" spans="1:29" x14ac:dyDescent="0.25">
      <c r="A8" s="540">
        <v>38</v>
      </c>
      <c r="B8" s="1045">
        <v>30</v>
      </c>
      <c r="C8" s="494">
        <v>31</v>
      </c>
      <c r="E8">
        <f t="shared" ref="E8:E36" si="6">E7+0.2</f>
        <v>0.4</v>
      </c>
      <c r="F8">
        <v>1463</v>
      </c>
      <c r="G8">
        <f t="shared" ref="G8:G37" si="7">G7+F8</f>
        <v>3215</v>
      </c>
      <c r="H8">
        <f t="shared" si="0"/>
        <v>0.14630000000000001</v>
      </c>
      <c r="I8">
        <f t="shared" si="1"/>
        <v>0.32150000000000001</v>
      </c>
      <c r="S8">
        <f t="shared" ref="S8:S71" si="8">S7+0.1</f>
        <v>0.2</v>
      </c>
      <c r="T8">
        <v>821</v>
      </c>
      <c r="U8">
        <f t="shared" ref="U8:U71" si="9">U7+T8</f>
        <v>1781</v>
      </c>
      <c r="V8">
        <f t="shared" si="2"/>
        <v>8.2100000000000006E-2</v>
      </c>
      <c r="W8">
        <f t="shared" si="3"/>
        <v>0.17810000000000001</v>
      </c>
      <c r="Y8" s="15">
        <f t="shared" ref="Y8:Y26" si="10">Y7+0.25</f>
        <v>0.5</v>
      </c>
      <c r="Z8">
        <v>1635</v>
      </c>
      <c r="AA8">
        <f t="shared" ref="AA8:AA27" si="11">AA7+Z8</f>
        <v>3815</v>
      </c>
      <c r="AB8">
        <f t="shared" si="4"/>
        <v>0.16350000000000001</v>
      </c>
      <c r="AC8">
        <f t="shared" si="5"/>
        <v>0.38150000000000001</v>
      </c>
    </row>
    <row r="9" spans="1:29" x14ac:dyDescent="0.25">
      <c r="A9" s="540">
        <v>44</v>
      </c>
      <c r="B9" s="1045">
        <v>27</v>
      </c>
      <c r="C9" s="494">
        <v>37</v>
      </c>
      <c r="E9">
        <f t="shared" si="6"/>
        <v>0.60000000000000009</v>
      </c>
      <c r="F9">
        <v>1188</v>
      </c>
      <c r="G9">
        <f t="shared" si="7"/>
        <v>4403</v>
      </c>
      <c r="H9">
        <f t="shared" si="0"/>
        <v>0.1188</v>
      </c>
      <c r="I9">
        <f t="shared" si="1"/>
        <v>0.44030000000000002</v>
      </c>
      <c r="S9">
        <f t="shared" si="8"/>
        <v>0.30000000000000004</v>
      </c>
      <c r="T9">
        <v>765</v>
      </c>
      <c r="U9">
        <f t="shared" si="9"/>
        <v>2546</v>
      </c>
      <c r="V9">
        <f t="shared" si="2"/>
        <v>7.6499999999999999E-2</v>
      </c>
      <c r="W9">
        <f t="shared" si="3"/>
        <v>0.25459999999999999</v>
      </c>
      <c r="Y9" s="15">
        <f t="shared" si="10"/>
        <v>0.75</v>
      </c>
      <c r="Z9">
        <v>1252</v>
      </c>
      <c r="AA9">
        <f t="shared" si="11"/>
        <v>5067</v>
      </c>
      <c r="AB9">
        <f t="shared" si="4"/>
        <v>0.12520000000000001</v>
      </c>
      <c r="AC9">
        <f t="shared" si="5"/>
        <v>0.50670000000000004</v>
      </c>
    </row>
    <row r="10" spans="1:29" x14ac:dyDescent="0.25">
      <c r="A10" s="540">
        <v>40</v>
      </c>
      <c r="B10" s="1045">
        <v>32</v>
      </c>
      <c r="C10" s="494">
        <v>44</v>
      </c>
      <c r="E10">
        <f t="shared" si="6"/>
        <v>0.8</v>
      </c>
      <c r="F10">
        <v>964</v>
      </c>
      <c r="G10">
        <f t="shared" si="7"/>
        <v>5367</v>
      </c>
      <c r="H10">
        <f t="shared" si="0"/>
        <v>9.64E-2</v>
      </c>
      <c r="I10">
        <f t="shared" si="1"/>
        <v>0.53669999999999995</v>
      </c>
      <c r="S10">
        <f t="shared" si="8"/>
        <v>0.4</v>
      </c>
      <c r="T10">
        <v>672</v>
      </c>
      <c r="U10">
        <f t="shared" si="9"/>
        <v>3218</v>
      </c>
      <c r="V10">
        <f t="shared" si="2"/>
        <v>6.7199999999999996E-2</v>
      </c>
      <c r="W10">
        <f t="shared" si="3"/>
        <v>0.32179999999999997</v>
      </c>
      <c r="Y10" s="15">
        <f t="shared" si="10"/>
        <v>1</v>
      </c>
      <c r="Z10">
        <v>1058</v>
      </c>
      <c r="AA10">
        <f t="shared" si="11"/>
        <v>6125</v>
      </c>
      <c r="AB10">
        <f t="shared" si="4"/>
        <v>0.10580000000000001</v>
      </c>
      <c r="AC10">
        <f t="shared" si="5"/>
        <v>0.61250000000000004</v>
      </c>
    </row>
    <row r="11" spans="1:29" x14ac:dyDescent="0.25">
      <c r="A11" s="540">
        <v>49</v>
      </c>
      <c r="B11" s="1045">
        <v>25</v>
      </c>
      <c r="C11" s="494">
        <v>55</v>
      </c>
      <c r="E11">
        <f t="shared" si="6"/>
        <v>1</v>
      </c>
      <c r="F11">
        <v>806</v>
      </c>
      <c r="G11">
        <f t="shared" si="7"/>
        <v>6173</v>
      </c>
      <c r="H11">
        <f t="shared" si="0"/>
        <v>8.0600000000000005E-2</v>
      </c>
      <c r="I11">
        <f t="shared" si="1"/>
        <v>0.61729999999999996</v>
      </c>
      <c r="S11">
        <f t="shared" si="8"/>
        <v>0.5</v>
      </c>
      <c r="T11">
        <v>613</v>
      </c>
      <c r="U11">
        <f t="shared" si="9"/>
        <v>3831</v>
      </c>
      <c r="V11">
        <f t="shared" si="2"/>
        <v>6.13E-2</v>
      </c>
      <c r="W11">
        <f t="shared" si="3"/>
        <v>0.3831</v>
      </c>
      <c r="Y11" s="15">
        <f t="shared" si="10"/>
        <v>1.25</v>
      </c>
      <c r="Z11">
        <v>748</v>
      </c>
      <c r="AA11">
        <f t="shared" si="11"/>
        <v>6873</v>
      </c>
      <c r="AB11">
        <f t="shared" si="4"/>
        <v>7.4800000000000005E-2</v>
      </c>
      <c r="AC11">
        <f t="shared" si="5"/>
        <v>0.68730000000000002</v>
      </c>
    </row>
    <row r="12" spans="1:29" x14ac:dyDescent="0.25">
      <c r="A12" s="540">
        <v>42</v>
      </c>
      <c r="B12" s="1045">
        <v>40</v>
      </c>
      <c r="C12" s="494"/>
      <c r="E12">
        <f t="shared" si="6"/>
        <v>1.2</v>
      </c>
      <c r="F12">
        <v>665</v>
      </c>
      <c r="G12">
        <f t="shared" si="7"/>
        <v>6838</v>
      </c>
      <c r="H12">
        <f t="shared" si="0"/>
        <v>6.6500000000000004E-2</v>
      </c>
      <c r="I12">
        <f t="shared" si="1"/>
        <v>0.68379999999999996</v>
      </c>
      <c r="S12">
        <f t="shared" si="8"/>
        <v>0.6</v>
      </c>
      <c r="T12">
        <v>566</v>
      </c>
      <c r="U12">
        <f t="shared" si="9"/>
        <v>4397</v>
      </c>
      <c r="V12">
        <f t="shared" si="2"/>
        <v>5.6599999999999998E-2</v>
      </c>
      <c r="W12">
        <f t="shared" si="3"/>
        <v>0.43969999999999998</v>
      </c>
      <c r="Y12" s="15">
        <f t="shared" si="10"/>
        <v>1.5</v>
      </c>
      <c r="Z12">
        <v>604</v>
      </c>
      <c r="AA12">
        <f t="shared" si="11"/>
        <v>7477</v>
      </c>
      <c r="AB12">
        <f t="shared" si="4"/>
        <v>6.0400000000000002E-2</v>
      </c>
      <c r="AC12">
        <f t="shared" si="5"/>
        <v>0.74770000000000003</v>
      </c>
    </row>
    <row r="13" spans="1:29" x14ac:dyDescent="0.25">
      <c r="A13" s="436">
        <v>41</v>
      </c>
      <c r="B13" s="1046"/>
      <c r="C13" s="38"/>
      <c r="E13">
        <f t="shared" si="6"/>
        <v>1.4</v>
      </c>
      <c r="F13">
        <v>523</v>
      </c>
      <c r="G13">
        <f t="shared" si="7"/>
        <v>7361</v>
      </c>
      <c r="H13">
        <f t="shared" si="0"/>
        <v>5.2299999999999999E-2</v>
      </c>
      <c r="I13">
        <f t="shared" si="1"/>
        <v>0.73609999999999998</v>
      </c>
      <c r="S13">
        <f t="shared" si="8"/>
        <v>0.7</v>
      </c>
      <c r="T13">
        <v>475</v>
      </c>
      <c r="U13">
        <f t="shared" si="9"/>
        <v>4872</v>
      </c>
      <c r="V13">
        <f t="shared" si="2"/>
        <v>4.7500000000000001E-2</v>
      </c>
      <c r="W13">
        <f t="shared" si="3"/>
        <v>0.48720000000000002</v>
      </c>
      <c r="Y13" s="15">
        <f t="shared" si="10"/>
        <v>1.75</v>
      </c>
      <c r="Z13">
        <v>482</v>
      </c>
      <c r="AA13">
        <f t="shared" si="11"/>
        <v>7959</v>
      </c>
      <c r="AB13">
        <f t="shared" si="4"/>
        <v>4.82E-2</v>
      </c>
      <c r="AC13">
        <f t="shared" si="5"/>
        <v>0.79590000000000005</v>
      </c>
    </row>
    <row r="14" spans="1:29" x14ac:dyDescent="0.25">
      <c r="E14">
        <f t="shared" si="6"/>
        <v>1.5999999999999999</v>
      </c>
      <c r="F14">
        <v>474</v>
      </c>
      <c r="G14">
        <f t="shared" si="7"/>
        <v>7835</v>
      </c>
      <c r="H14">
        <f t="shared" si="0"/>
        <v>4.7399999999999998E-2</v>
      </c>
      <c r="I14">
        <f t="shared" si="1"/>
        <v>0.78349999999999997</v>
      </c>
      <c r="S14">
        <f t="shared" si="8"/>
        <v>0.79999999999999993</v>
      </c>
      <c r="T14">
        <v>464</v>
      </c>
      <c r="U14">
        <f t="shared" si="9"/>
        <v>5336</v>
      </c>
      <c r="V14">
        <f t="shared" si="2"/>
        <v>4.6399999999999997E-2</v>
      </c>
      <c r="W14">
        <f t="shared" si="3"/>
        <v>0.53359999999999996</v>
      </c>
      <c r="Y14" s="15">
        <f t="shared" si="10"/>
        <v>2</v>
      </c>
      <c r="Z14">
        <v>394</v>
      </c>
      <c r="AA14">
        <f t="shared" si="11"/>
        <v>8353</v>
      </c>
      <c r="AB14">
        <f t="shared" si="4"/>
        <v>3.9399999999999998E-2</v>
      </c>
      <c r="AC14">
        <f t="shared" si="5"/>
        <v>0.83530000000000004</v>
      </c>
    </row>
    <row r="15" spans="1:29" x14ac:dyDescent="0.25">
      <c r="E15">
        <f t="shared" si="6"/>
        <v>1.7999999999999998</v>
      </c>
      <c r="F15">
        <v>363</v>
      </c>
      <c r="G15">
        <f t="shared" si="7"/>
        <v>8198</v>
      </c>
      <c r="H15">
        <f t="shared" si="0"/>
        <v>3.6299999999999999E-2</v>
      </c>
      <c r="I15">
        <f t="shared" si="1"/>
        <v>0.81979999999999997</v>
      </c>
      <c r="S15">
        <f t="shared" si="8"/>
        <v>0.89999999999999991</v>
      </c>
      <c r="T15">
        <v>431</v>
      </c>
      <c r="U15">
        <f t="shared" si="9"/>
        <v>5767</v>
      </c>
      <c r="V15">
        <f t="shared" si="2"/>
        <v>4.3099999999999999E-2</v>
      </c>
      <c r="W15">
        <f t="shared" si="3"/>
        <v>0.57669999999999999</v>
      </c>
      <c r="Y15" s="15">
        <f t="shared" si="10"/>
        <v>2.25</v>
      </c>
      <c r="Z15">
        <v>335</v>
      </c>
      <c r="AA15">
        <f t="shared" si="11"/>
        <v>8688</v>
      </c>
      <c r="AB15">
        <f t="shared" si="4"/>
        <v>3.3500000000000002E-2</v>
      </c>
      <c r="AC15">
        <f t="shared" si="5"/>
        <v>0.86880000000000002</v>
      </c>
    </row>
    <row r="16" spans="1:29" x14ac:dyDescent="0.25">
      <c r="E16">
        <f t="shared" si="6"/>
        <v>1.9999999999999998</v>
      </c>
      <c r="F16">
        <v>296</v>
      </c>
      <c r="G16">
        <f t="shared" si="7"/>
        <v>8494</v>
      </c>
      <c r="H16">
        <f t="shared" si="0"/>
        <v>2.9600000000000001E-2</v>
      </c>
      <c r="I16">
        <f t="shared" si="1"/>
        <v>0.84940000000000004</v>
      </c>
      <c r="S16">
        <f t="shared" si="8"/>
        <v>0.99999999999999989</v>
      </c>
      <c r="T16">
        <v>381</v>
      </c>
      <c r="U16">
        <f t="shared" si="9"/>
        <v>6148</v>
      </c>
      <c r="V16">
        <f t="shared" si="2"/>
        <v>3.8100000000000002E-2</v>
      </c>
      <c r="W16">
        <f t="shared" si="3"/>
        <v>0.61480000000000001</v>
      </c>
      <c r="Y16" s="15">
        <f t="shared" si="10"/>
        <v>2.5</v>
      </c>
      <c r="Z16">
        <v>273</v>
      </c>
      <c r="AA16">
        <f t="shared" si="11"/>
        <v>8961</v>
      </c>
      <c r="AB16">
        <f t="shared" si="4"/>
        <v>2.7300000000000001E-2</v>
      </c>
      <c r="AC16">
        <f t="shared" si="5"/>
        <v>0.89610000000000001</v>
      </c>
    </row>
    <row r="17" spans="5:32" x14ac:dyDescent="0.25">
      <c r="E17">
        <f t="shared" si="6"/>
        <v>2.1999999999999997</v>
      </c>
      <c r="F17">
        <v>240</v>
      </c>
      <c r="G17">
        <f t="shared" si="7"/>
        <v>8734</v>
      </c>
      <c r="H17">
        <f t="shared" si="0"/>
        <v>2.4E-2</v>
      </c>
      <c r="I17">
        <f t="shared" si="1"/>
        <v>0.87339999999999995</v>
      </c>
      <c r="S17">
        <f t="shared" si="8"/>
        <v>1.0999999999999999</v>
      </c>
      <c r="T17">
        <v>342</v>
      </c>
      <c r="U17">
        <f t="shared" si="9"/>
        <v>6490</v>
      </c>
      <c r="V17">
        <f t="shared" si="2"/>
        <v>3.4200000000000001E-2</v>
      </c>
      <c r="W17">
        <f t="shared" si="3"/>
        <v>0.64900000000000002</v>
      </c>
      <c r="Y17" s="15">
        <f t="shared" si="10"/>
        <v>2.75</v>
      </c>
      <c r="Z17">
        <v>211</v>
      </c>
      <c r="AA17">
        <f t="shared" si="11"/>
        <v>9172</v>
      </c>
      <c r="AB17">
        <f t="shared" si="4"/>
        <v>2.1100000000000001E-2</v>
      </c>
      <c r="AC17">
        <f t="shared" si="5"/>
        <v>0.91720000000000002</v>
      </c>
    </row>
    <row r="18" spans="5:32" x14ac:dyDescent="0.25">
      <c r="E18">
        <f t="shared" si="6"/>
        <v>2.4</v>
      </c>
      <c r="F18">
        <v>186</v>
      </c>
      <c r="G18">
        <f t="shared" si="7"/>
        <v>8920</v>
      </c>
      <c r="H18">
        <f t="shared" si="0"/>
        <v>1.8599999999999998E-2</v>
      </c>
      <c r="I18">
        <f t="shared" si="1"/>
        <v>0.89200000000000002</v>
      </c>
      <c r="S18">
        <f t="shared" si="8"/>
        <v>1.2</v>
      </c>
      <c r="T18">
        <v>319</v>
      </c>
      <c r="U18">
        <f t="shared" si="9"/>
        <v>6809</v>
      </c>
      <c r="V18">
        <f t="shared" si="2"/>
        <v>3.1899999999999998E-2</v>
      </c>
      <c r="W18">
        <f t="shared" si="3"/>
        <v>0.68089999999999995</v>
      </c>
      <c r="Y18" s="15">
        <f t="shared" si="10"/>
        <v>3</v>
      </c>
      <c r="Z18">
        <v>147</v>
      </c>
      <c r="AA18">
        <f t="shared" si="11"/>
        <v>9319</v>
      </c>
      <c r="AB18">
        <f t="shared" si="4"/>
        <v>1.47E-2</v>
      </c>
      <c r="AC18">
        <f t="shared" si="5"/>
        <v>0.93189999999999995</v>
      </c>
    </row>
    <row r="19" spans="5:32" x14ac:dyDescent="0.25">
      <c r="E19">
        <f t="shared" si="6"/>
        <v>2.6</v>
      </c>
      <c r="F19">
        <v>181</v>
      </c>
      <c r="G19">
        <f t="shared" si="7"/>
        <v>9101</v>
      </c>
      <c r="H19">
        <f t="shared" si="0"/>
        <v>1.8100000000000002E-2</v>
      </c>
      <c r="I19">
        <f t="shared" si="1"/>
        <v>0.91010000000000002</v>
      </c>
      <c r="S19">
        <f t="shared" si="8"/>
        <v>1.3</v>
      </c>
      <c r="T19">
        <v>256</v>
      </c>
      <c r="U19">
        <f t="shared" si="9"/>
        <v>7065</v>
      </c>
      <c r="V19">
        <f t="shared" si="2"/>
        <v>2.5600000000000001E-2</v>
      </c>
      <c r="W19">
        <f t="shared" si="3"/>
        <v>0.70650000000000002</v>
      </c>
      <c r="Y19" s="15">
        <f t="shared" si="10"/>
        <v>3.25</v>
      </c>
      <c r="Z19">
        <v>119</v>
      </c>
      <c r="AA19">
        <f t="shared" si="11"/>
        <v>9438</v>
      </c>
      <c r="AB19">
        <f t="shared" si="4"/>
        <v>1.1900000000000001E-2</v>
      </c>
      <c r="AC19">
        <f t="shared" si="5"/>
        <v>0.94379999999999997</v>
      </c>
    </row>
    <row r="20" spans="5:32" x14ac:dyDescent="0.25">
      <c r="E20">
        <f t="shared" si="6"/>
        <v>2.8000000000000003</v>
      </c>
      <c r="F20">
        <v>162</v>
      </c>
      <c r="G20">
        <f t="shared" si="7"/>
        <v>9263</v>
      </c>
      <c r="H20">
        <f t="shared" si="0"/>
        <v>1.6199999999999999E-2</v>
      </c>
      <c r="I20">
        <f t="shared" si="1"/>
        <v>0.92630000000000001</v>
      </c>
      <c r="S20">
        <f t="shared" si="8"/>
        <v>1.4000000000000001</v>
      </c>
      <c r="T20">
        <v>247</v>
      </c>
      <c r="U20">
        <f t="shared" si="9"/>
        <v>7312</v>
      </c>
      <c r="V20">
        <f t="shared" si="2"/>
        <v>2.47E-2</v>
      </c>
      <c r="W20">
        <f t="shared" si="3"/>
        <v>0.73119999999999996</v>
      </c>
      <c r="Y20" s="15">
        <f t="shared" si="10"/>
        <v>3.5</v>
      </c>
      <c r="Z20">
        <v>105</v>
      </c>
      <c r="AA20">
        <f t="shared" si="11"/>
        <v>9543</v>
      </c>
      <c r="AB20">
        <f t="shared" si="4"/>
        <v>1.0500000000000001E-2</v>
      </c>
      <c r="AC20">
        <f t="shared" si="5"/>
        <v>0.95430000000000004</v>
      </c>
    </row>
    <row r="21" spans="5:32" x14ac:dyDescent="0.25">
      <c r="E21">
        <f t="shared" si="6"/>
        <v>3.0000000000000004</v>
      </c>
      <c r="F21">
        <v>117</v>
      </c>
      <c r="G21">
        <f t="shared" si="7"/>
        <v>9380</v>
      </c>
      <c r="H21">
        <f t="shared" si="0"/>
        <v>1.17E-2</v>
      </c>
      <c r="I21">
        <f t="shared" si="1"/>
        <v>0.93799999999999994</v>
      </c>
      <c r="S21">
        <f t="shared" si="8"/>
        <v>1.5000000000000002</v>
      </c>
      <c r="T21">
        <v>235</v>
      </c>
      <c r="U21">
        <f t="shared" si="9"/>
        <v>7547</v>
      </c>
      <c r="V21">
        <f t="shared" si="2"/>
        <v>2.35E-2</v>
      </c>
      <c r="W21">
        <f t="shared" si="3"/>
        <v>0.75470000000000004</v>
      </c>
      <c r="Y21" s="15">
        <f t="shared" si="10"/>
        <v>3.75</v>
      </c>
      <c r="Z21">
        <v>88</v>
      </c>
      <c r="AA21">
        <f t="shared" si="11"/>
        <v>9631</v>
      </c>
      <c r="AB21">
        <f t="shared" si="4"/>
        <v>8.8000000000000005E-3</v>
      </c>
      <c r="AC21">
        <f t="shared" si="5"/>
        <v>0.96309999999999996</v>
      </c>
      <c r="AE21" t="s">
        <v>2341</v>
      </c>
    </row>
    <row r="22" spans="5:32" x14ac:dyDescent="0.25">
      <c r="E22">
        <f t="shared" si="6"/>
        <v>3.2000000000000006</v>
      </c>
      <c r="F22">
        <v>95</v>
      </c>
      <c r="G22">
        <f t="shared" si="7"/>
        <v>9475</v>
      </c>
      <c r="H22">
        <f t="shared" si="0"/>
        <v>9.4999999999999998E-3</v>
      </c>
      <c r="I22">
        <f t="shared" si="1"/>
        <v>0.94750000000000001</v>
      </c>
      <c r="S22">
        <f t="shared" si="8"/>
        <v>1.6000000000000003</v>
      </c>
      <c r="T22">
        <v>243</v>
      </c>
      <c r="U22">
        <f t="shared" si="9"/>
        <v>7790</v>
      </c>
      <c r="V22">
        <f t="shared" si="2"/>
        <v>2.4299999999999999E-2</v>
      </c>
      <c r="W22">
        <f t="shared" si="3"/>
        <v>0.77900000000000003</v>
      </c>
      <c r="Y22" s="15">
        <f t="shared" si="10"/>
        <v>4</v>
      </c>
      <c r="Z22">
        <v>67</v>
      </c>
      <c r="AA22">
        <f t="shared" si="11"/>
        <v>9698</v>
      </c>
      <c r="AB22">
        <f t="shared" si="4"/>
        <v>6.7000000000000002E-3</v>
      </c>
      <c r="AC22">
        <f t="shared" si="5"/>
        <v>0.9698</v>
      </c>
    </row>
    <row r="23" spans="5:32" x14ac:dyDescent="0.25">
      <c r="E23">
        <f t="shared" si="6"/>
        <v>3.4000000000000008</v>
      </c>
      <c r="F23">
        <v>79</v>
      </c>
      <c r="G23">
        <f t="shared" si="7"/>
        <v>9554</v>
      </c>
      <c r="H23">
        <f t="shared" si="0"/>
        <v>7.9000000000000008E-3</v>
      </c>
      <c r="I23">
        <f t="shared" si="1"/>
        <v>0.95540000000000003</v>
      </c>
      <c r="S23">
        <f t="shared" si="8"/>
        <v>1.7000000000000004</v>
      </c>
      <c r="T23">
        <v>190</v>
      </c>
      <c r="U23">
        <f t="shared" si="9"/>
        <v>7980</v>
      </c>
      <c r="V23">
        <f t="shared" si="2"/>
        <v>1.9E-2</v>
      </c>
      <c r="W23">
        <f t="shared" si="3"/>
        <v>0.79800000000000004</v>
      </c>
      <c r="Y23" s="15">
        <f t="shared" si="10"/>
        <v>4.25</v>
      </c>
      <c r="Z23">
        <v>54</v>
      </c>
      <c r="AA23">
        <f t="shared" si="11"/>
        <v>9752</v>
      </c>
      <c r="AB23">
        <f t="shared" si="4"/>
        <v>5.4000000000000003E-3</v>
      </c>
      <c r="AC23">
        <f t="shared" si="5"/>
        <v>0.97519999999999996</v>
      </c>
      <c r="AE23" t="s">
        <v>106</v>
      </c>
      <c r="AF23" s="1037">
        <v>0.05</v>
      </c>
    </row>
    <row r="24" spans="5:32" x14ac:dyDescent="0.25">
      <c r="E24">
        <f t="shared" si="6"/>
        <v>3.600000000000001</v>
      </c>
      <c r="F24">
        <v>60</v>
      </c>
      <c r="G24">
        <f t="shared" si="7"/>
        <v>9614</v>
      </c>
      <c r="H24">
        <f t="shared" si="0"/>
        <v>6.0000000000000001E-3</v>
      </c>
      <c r="I24">
        <f t="shared" si="1"/>
        <v>0.96140000000000003</v>
      </c>
      <c r="S24">
        <f t="shared" si="8"/>
        <v>1.8000000000000005</v>
      </c>
      <c r="T24">
        <v>193</v>
      </c>
      <c r="U24">
        <f t="shared" si="9"/>
        <v>8173</v>
      </c>
      <c r="V24">
        <f t="shared" si="2"/>
        <v>1.9300000000000001E-2</v>
      </c>
      <c r="W24">
        <f t="shared" si="3"/>
        <v>0.81730000000000003</v>
      </c>
      <c r="Y24" s="15">
        <f t="shared" si="10"/>
        <v>4.5</v>
      </c>
      <c r="Z24">
        <v>47</v>
      </c>
      <c r="AA24">
        <f t="shared" si="11"/>
        <v>9799</v>
      </c>
      <c r="AB24">
        <f t="shared" si="4"/>
        <v>4.7000000000000002E-3</v>
      </c>
      <c r="AC24">
        <f t="shared" si="5"/>
        <v>0.97989999999999999</v>
      </c>
      <c r="AE24" t="s">
        <v>2342</v>
      </c>
      <c r="AF24" s="680">
        <v>2.1096810066105172</v>
      </c>
    </row>
    <row r="25" spans="5:32" x14ac:dyDescent="0.25">
      <c r="E25">
        <f t="shared" si="6"/>
        <v>3.8000000000000012</v>
      </c>
      <c r="F25">
        <v>68</v>
      </c>
      <c r="G25">
        <f t="shared" si="7"/>
        <v>9682</v>
      </c>
      <c r="H25">
        <f t="shared" si="0"/>
        <v>6.7999999999999996E-3</v>
      </c>
      <c r="I25">
        <f t="shared" si="1"/>
        <v>0.96819999999999995</v>
      </c>
      <c r="S25">
        <f t="shared" si="8"/>
        <v>1.9000000000000006</v>
      </c>
      <c r="T25">
        <v>132</v>
      </c>
      <c r="U25">
        <f t="shared" si="9"/>
        <v>8305</v>
      </c>
      <c r="V25">
        <f t="shared" si="2"/>
        <v>1.32E-2</v>
      </c>
      <c r="W25">
        <f t="shared" si="3"/>
        <v>0.83050000000000002</v>
      </c>
      <c r="Y25" s="15">
        <f t="shared" si="10"/>
        <v>4.75</v>
      </c>
      <c r="Z25">
        <v>27</v>
      </c>
      <c r="AA25">
        <f t="shared" si="11"/>
        <v>9826</v>
      </c>
      <c r="AB25">
        <f t="shared" si="4"/>
        <v>2.7000000000000001E-3</v>
      </c>
      <c r="AC25">
        <f t="shared" si="5"/>
        <v>0.98260000000000003</v>
      </c>
      <c r="AE25" t="s">
        <v>67</v>
      </c>
      <c r="AF25" s="757">
        <v>0.1477</v>
      </c>
    </row>
    <row r="26" spans="5:32" x14ac:dyDescent="0.25">
      <c r="E26">
        <f t="shared" si="6"/>
        <v>4.0000000000000009</v>
      </c>
      <c r="F26">
        <v>40</v>
      </c>
      <c r="G26">
        <f t="shared" si="7"/>
        <v>9722</v>
      </c>
      <c r="H26">
        <f t="shared" si="0"/>
        <v>4.0000000000000001E-3</v>
      </c>
      <c r="I26">
        <f t="shared" si="1"/>
        <v>0.97219999999999995</v>
      </c>
      <c r="S26">
        <f t="shared" si="8"/>
        <v>2.0000000000000004</v>
      </c>
      <c r="T26">
        <v>149</v>
      </c>
      <c r="U26">
        <f t="shared" si="9"/>
        <v>8454</v>
      </c>
      <c r="V26">
        <f t="shared" si="2"/>
        <v>1.49E-2</v>
      </c>
      <c r="W26">
        <f t="shared" si="3"/>
        <v>0.84540000000000004</v>
      </c>
      <c r="Y26" s="15">
        <f t="shared" si="10"/>
        <v>5</v>
      </c>
      <c r="Z26">
        <v>26</v>
      </c>
      <c r="AA26">
        <f t="shared" si="11"/>
        <v>9852</v>
      </c>
      <c r="AB26">
        <f t="shared" si="4"/>
        <v>2.5999999999999999E-3</v>
      </c>
      <c r="AC26">
        <f t="shared" si="5"/>
        <v>0.98519999999999996</v>
      </c>
    </row>
    <row r="27" spans="5:32" x14ac:dyDescent="0.25">
      <c r="E27">
        <f t="shared" si="6"/>
        <v>4.2000000000000011</v>
      </c>
      <c r="F27">
        <v>36</v>
      </c>
      <c r="G27">
        <f t="shared" si="7"/>
        <v>9758</v>
      </c>
      <c r="H27">
        <f t="shared" si="0"/>
        <v>3.5999999999999999E-3</v>
      </c>
      <c r="I27">
        <f t="shared" si="1"/>
        <v>0.9758</v>
      </c>
      <c r="S27">
        <f t="shared" si="8"/>
        <v>2.1000000000000005</v>
      </c>
      <c r="T27">
        <v>122</v>
      </c>
      <c r="U27">
        <f t="shared" si="9"/>
        <v>8576</v>
      </c>
      <c r="V27">
        <f t="shared" si="2"/>
        <v>1.2200000000000001E-2</v>
      </c>
      <c r="W27">
        <f t="shared" si="3"/>
        <v>0.85760000000000003</v>
      </c>
      <c r="Y27" s="762" t="s">
        <v>32</v>
      </c>
      <c r="Z27" s="762">
        <v>148</v>
      </c>
      <c r="AA27" s="762">
        <f t="shared" si="11"/>
        <v>10000</v>
      </c>
      <c r="AB27" s="762">
        <f t="shared" si="4"/>
        <v>1.4800000000000001E-2</v>
      </c>
      <c r="AC27" s="762">
        <f t="shared" si="5"/>
        <v>1</v>
      </c>
    </row>
    <row r="28" spans="5:32" x14ac:dyDescent="0.25">
      <c r="E28">
        <f t="shared" si="6"/>
        <v>4.4000000000000012</v>
      </c>
      <c r="F28">
        <v>24</v>
      </c>
      <c r="G28">
        <f t="shared" si="7"/>
        <v>9782</v>
      </c>
      <c r="H28">
        <f t="shared" si="0"/>
        <v>2.3999999999999998E-3</v>
      </c>
      <c r="I28">
        <f t="shared" si="1"/>
        <v>0.97819999999999996</v>
      </c>
      <c r="S28">
        <f t="shared" si="8"/>
        <v>2.2000000000000006</v>
      </c>
      <c r="T28">
        <v>110</v>
      </c>
      <c r="U28">
        <f t="shared" si="9"/>
        <v>8686</v>
      </c>
      <c r="V28">
        <f t="shared" si="2"/>
        <v>1.0999999999999999E-2</v>
      </c>
      <c r="W28">
        <f t="shared" si="3"/>
        <v>0.86860000000000004</v>
      </c>
      <c r="Z28">
        <f>SUM(Z6:Z27)</f>
        <v>10000</v>
      </c>
    </row>
    <row r="29" spans="5:32" x14ac:dyDescent="0.25">
      <c r="E29">
        <f t="shared" si="6"/>
        <v>4.6000000000000014</v>
      </c>
      <c r="F29">
        <v>24</v>
      </c>
      <c r="G29">
        <f t="shared" si="7"/>
        <v>9806</v>
      </c>
      <c r="H29">
        <f t="shared" si="0"/>
        <v>2.3999999999999998E-3</v>
      </c>
      <c r="I29">
        <f t="shared" si="1"/>
        <v>0.98060000000000003</v>
      </c>
      <c r="S29">
        <f t="shared" si="8"/>
        <v>2.3000000000000007</v>
      </c>
      <c r="T29">
        <v>103</v>
      </c>
      <c r="U29">
        <f t="shared" si="9"/>
        <v>8789</v>
      </c>
      <c r="V29">
        <f t="shared" si="2"/>
        <v>1.03E-2</v>
      </c>
      <c r="W29">
        <f t="shared" si="3"/>
        <v>0.87890000000000001</v>
      </c>
    </row>
    <row r="30" spans="5:32" x14ac:dyDescent="0.25">
      <c r="E30">
        <f t="shared" si="6"/>
        <v>4.8000000000000016</v>
      </c>
      <c r="F30">
        <v>27</v>
      </c>
      <c r="G30">
        <f t="shared" si="7"/>
        <v>9833</v>
      </c>
      <c r="H30">
        <f t="shared" si="0"/>
        <v>2.7000000000000001E-3</v>
      </c>
      <c r="I30">
        <f t="shared" si="1"/>
        <v>0.98329999999999995</v>
      </c>
      <c r="S30">
        <f t="shared" si="8"/>
        <v>2.4000000000000008</v>
      </c>
      <c r="T30">
        <v>110</v>
      </c>
      <c r="U30">
        <f t="shared" si="9"/>
        <v>8899</v>
      </c>
      <c r="V30">
        <f t="shared" si="2"/>
        <v>1.0999999999999999E-2</v>
      </c>
      <c r="W30">
        <f t="shared" si="3"/>
        <v>0.88990000000000002</v>
      </c>
    </row>
    <row r="31" spans="5:32" x14ac:dyDescent="0.25">
      <c r="E31">
        <f t="shared" si="6"/>
        <v>5.0000000000000018</v>
      </c>
      <c r="F31">
        <v>13</v>
      </c>
      <c r="G31">
        <f t="shared" si="7"/>
        <v>9846</v>
      </c>
      <c r="H31">
        <f t="shared" si="0"/>
        <v>1.2999999999999999E-3</v>
      </c>
      <c r="I31">
        <f t="shared" si="1"/>
        <v>0.98460000000000003</v>
      </c>
      <c r="S31">
        <f t="shared" si="8"/>
        <v>2.5000000000000009</v>
      </c>
      <c r="T31">
        <v>82</v>
      </c>
      <c r="U31">
        <f t="shared" si="9"/>
        <v>8981</v>
      </c>
      <c r="V31">
        <f t="shared" si="2"/>
        <v>8.2000000000000007E-3</v>
      </c>
      <c r="W31">
        <f t="shared" si="3"/>
        <v>0.89810000000000001</v>
      </c>
    </row>
    <row r="32" spans="5:32" x14ac:dyDescent="0.25">
      <c r="E32">
        <f t="shared" si="6"/>
        <v>5.200000000000002</v>
      </c>
      <c r="F32">
        <v>21</v>
      </c>
      <c r="G32">
        <f t="shared" si="7"/>
        <v>9867</v>
      </c>
      <c r="H32">
        <f t="shared" si="0"/>
        <v>2.0999999999999999E-3</v>
      </c>
      <c r="I32">
        <f t="shared" si="1"/>
        <v>0.98670000000000002</v>
      </c>
      <c r="S32">
        <f t="shared" si="8"/>
        <v>2.600000000000001</v>
      </c>
      <c r="T32">
        <v>83</v>
      </c>
      <c r="U32">
        <f t="shared" si="9"/>
        <v>9064</v>
      </c>
      <c r="V32">
        <f t="shared" si="2"/>
        <v>8.3000000000000001E-3</v>
      </c>
      <c r="W32">
        <f t="shared" si="3"/>
        <v>0.90639999999999998</v>
      </c>
    </row>
    <row r="33" spans="5:23" x14ac:dyDescent="0.25">
      <c r="E33">
        <f t="shared" si="6"/>
        <v>5.4000000000000021</v>
      </c>
      <c r="F33">
        <v>21</v>
      </c>
      <c r="G33">
        <f t="shared" si="7"/>
        <v>9888</v>
      </c>
      <c r="H33">
        <f t="shared" si="0"/>
        <v>2.0999999999999999E-3</v>
      </c>
      <c r="I33">
        <f t="shared" si="1"/>
        <v>0.98880000000000001</v>
      </c>
      <c r="S33">
        <f t="shared" si="8"/>
        <v>2.7000000000000011</v>
      </c>
      <c r="T33">
        <v>74</v>
      </c>
      <c r="U33">
        <f t="shared" si="9"/>
        <v>9138</v>
      </c>
      <c r="V33">
        <f t="shared" si="2"/>
        <v>7.4000000000000003E-3</v>
      </c>
      <c r="W33">
        <f t="shared" si="3"/>
        <v>0.91379999999999995</v>
      </c>
    </row>
    <row r="34" spans="5:23" x14ac:dyDescent="0.25">
      <c r="E34">
        <f t="shared" si="6"/>
        <v>5.6000000000000023</v>
      </c>
      <c r="F34">
        <v>14</v>
      </c>
      <c r="G34">
        <f t="shared" si="7"/>
        <v>9902</v>
      </c>
      <c r="H34">
        <f t="shared" si="0"/>
        <v>1.4E-3</v>
      </c>
      <c r="I34">
        <f t="shared" si="1"/>
        <v>0.99019999999999997</v>
      </c>
      <c r="S34">
        <f t="shared" si="8"/>
        <v>2.8000000000000012</v>
      </c>
      <c r="T34">
        <v>72</v>
      </c>
      <c r="U34">
        <f t="shared" si="9"/>
        <v>9210</v>
      </c>
      <c r="V34">
        <f t="shared" si="2"/>
        <v>7.1999999999999998E-3</v>
      </c>
      <c r="W34">
        <f t="shared" si="3"/>
        <v>0.92100000000000004</v>
      </c>
    </row>
    <row r="35" spans="5:23" x14ac:dyDescent="0.25">
      <c r="E35">
        <f t="shared" si="6"/>
        <v>5.8000000000000025</v>
      </c>
      <c r="F35">
        <v>10</v>
      </c>
      <c r="G35">
        <f t="shared" si="7"/>
        <v>9912</v>
      </c>
      <c r="H35">
        <f t="shared" si="0"/>
        <v>1E-3</v>
      </c>
      <c r="I35">
        <f t="shared" si="1"/>
        <v>0.99119999999999997</v>
      </c>
      <c r="S35">
        <f t="shared" si="8"/>
        <v>2.9000000000000012</v>
      </c>
      <c r="T35">
        <v>57</v>
      </c>
      <c r="U35">
        <f t="shared" si="9"/>
        <v>9267</v>
      </c>
      <c r="V35">
        <f t="shared" si="2"/>
        <v>5.7000000000000002E-3</v>
      </c>
      <c r="W35">
        <f t="shared" si="3"/>
        <v>0.92669999999999997</v>
      </c>
    </row>
    <row r="36" spans="5:23" x14ac:dyDescent="0.25">
      <c r="E36">
        <f t="shared" si="6"/>
        <v>6.0000000000000027</v>
      </c>
      <c r="F36">
        <v>5</v>
      </c>
      <c r="G36">
        <f t="shared" si="7"/>
        <v>9917</v>
      </c>
      <c r="H36">
        <f t="shared" si="0"/>
        <v>5.0000000000000001E-4</v>
      </c>
      <c r="I36">
        <f t="shared" si="1"/>
        <v>0.99170000000000003</v>
      </c>
      <c r="S36">
        <f t="shared" si="8"/>
        <v>3.0000000000000013</v>
      </c>
      <c r="T36">
        <v>62</v>
      </c>
      <c r="U36">
        <f t="shared" si="9"/>
        <v>9329</v>
      </c>
      <c r="V36">
        <f t="shared" si="2"/>
        <v>6.1999999999999998E-3</v>
      </c>
      <c r="W36">
        <f t="shared" si="3"/>
        <v>0.93289999999999995</v>
      </c>
    </row>
    <row r="37" spans="5:23" x14ac:dyDescent="0.25">
      <c r="E37" s="762" t="s">
        <v>32</v>
      </c>
      <c r="F37" s="762">
        <v>83</v>
      </c>
      <c r="G37" s="762">
        <f t="shared" si="7"/>
        <v>10000</v>
      </c>
      <c r="H37" s="762">
        <f t="shared" si="0"/>
        <v>8.3000000000000001E-3</v>
      </c>
      <c r="I37" s="762">
        <f t="shared" si="1"/>
        <v>1</v>
      </c>
      <c r="S37">
        <f t="shared" si="8"/>
        <v>3.1000000000000014</v>
      </c>
      <c r="T37">
        <v>58</v>
      </c>
      <c r="U37">
        <f t="shared" si="9"/>
        <v>9387</v>
      </c>
      <c r="V37">
        <f t="shared" si="2"/>
        <v>5.7999999999999996E-3</v>
      </c>
      <c r="W37">
        <f t="shared" si="3"/>
        <v>0.93869999999999998</v>
      </c>
    </row>
    <row r="38" spans="5:23" x14ac:dyDescent="0.25">
      <c r="F38">
        <f>SUM(F6:F37)</f>
        <v>10000</v>
      </c>
      <c r="S38">
        <f t="shared" si="8"/>
        <v>3.2000000000000015</v>
      </c>
      <c r="T38">
        <v>45</v>
      </c>
      <c r="U38">
        <f t="shared" si="9"/>
        <v>9432</v>
      </c>
      <c r="V38">
        <f t="shared" si="2"/>
        <v>4.4999999999999997E-3</v>
      </c>
      <c r="W38">
        <f t="shared" si="3"/>
        <v>0.94320000000000004</v>
      </c>
    </row>
    <row r="39" spans="5:23" x14ac:dyDescent="0.25">
      <c r="S39">
        <f t="shared" si="8"/>
        <v>3.3000000000000016</v>
      </c>
      <c r="T39">
        <v>44</v>
      </c>
      <c r="U39">
        <f t="shared" si="9"/>
        <v>9476</v>
      </c>
      <c r="V39">
        <f t="shared" si="2"/>
        <v>4.4000000000000003E-3</v>
      </c>
      <c r="W39">
        <f t="shared" si="3"/>
        <v>0.9476</v>
      </c>
    </row>
    <row r="40" spans="5:23" x14ac:dyDescent="0.25">
      <c r="E40" t="s">
        <v>2341</v>
      </c>
      <c r="S40">
        <f t="shared" si="8"/>
        <v>3.4000000000000017</v>
      </c>
      <c r="T40">
        <v>48</v>
      </c>
      <c r="U40">
        <f t="shared" si="9"/>
        <v>9524</v>
      </c>
      <c r="V40">
        <f t="shared" si="2"/>
        <v>4.7999999999999996E-3</v>
      </c>
      <c r="W40">
        <f t="shared" si="3"/>
        <v>0.95240000000000002</v>
      </c>
    </row>
    <row r="41" spans="5:23" x14ac:dyDescent="0.25">
      <c r="S41">
        <f t="shared" si="8"/>
        <v>3.5000000000000018</v>
      </c>
      <c r="T41">
        <v>37</v>
      </c>
      <c r="U41">
        <f t="shared" si="9"/>
        <v>9561</v>
      </c>
      <c r="V41">
        <f t="shared" si="2"/>
        <v>3.7000000000000002E-3</v>
      </c>
      <c r="W41">
        <f t="shared" si="3"/>
        <v>0.95609999999999995</v>
      </c>
    </row>
    <row r="42" spans="5:23" x14ac:dyDescent="0.25">
      <c r="E42" t="s">
        <v>106</v>
      </c>
      <c r="F42" s="1037">
        <v>0.05</v>
      </c>
      <c r="S42">
        <f t="shared" si="8"/>
        <v>3.6000000000000019</v>
      </c>
      <c r="T42">
        <v>21</v>
      </c>
      <c r="U42">
        <f t="shared" si="9"/>
        <v>9582</v>
      </c>
      <c r="V42">
        <f t="shared" si="2"/>
        <v>2.0999999999999999E-3</v>
      </c>
      <c r="W42">
        <f t="shared" si="3"/>
        <v>0.95820000000000005</v>
      </c>
    </row>
    <row r="43" spans="5:23" x14ac:dyDescent="0.25">
      <c r="E43" t="s">
        <v>2342</v>
      </c>
      <c r="F43" s="680">
        <v>2.1096810066105172</v>
      </c>
      <c r="S43">
        <f t="shared" si="8"/>
        <v>3.700000000000002</v>
      </c>
      <c r="T43">
        <v>34</v>
      </c>
      <c r="U43">
        <f t="shared" si="9"/>
        <v>9616</v>
      </c>
      <c r="V43">
        <f t="shared" si="2"/>
        <v>3.3999999999999998E-3</v>
      </c>
      <c r="W43">
        <f t="shared" si="3"/>
        <v>0.96160000000000001</v>
      </c>
    </row>
    <row r="44" spans="5:23" x14ac:dyDescent="0.25">
      <c r="E44" t="s">
        <v>67</v>
      </c>
      <c r="F44" s="757">
        <v>0.13639999999999999</v>
      </c>
      <c r="S44">
        <f t="shared" si="8"/>
        <v>3.800000000000002</v>
      </c>
      <c r="T44">
        <v>30</v>
      </c>
      <c r="U44">
        <f t="shared" si="9"/>
        <v>9646</v>
      </c>
      <c r="V44">
        <f t="shared" si="2"/>
        <v>3.0000000000000001E-3</v>
      </c>
      <c r="W44">
        <f t="shared" si="3"/>
        <v>0.96460000000000001</v>
      </c>
    </row>
    <row r="45" spans="5:23" x14ac:dyDescent="0.25">
      <c r="S45">
        <f t="shared" si="8"/>
        <v>3.9000000000000021</v>
      </c>
      <c r="T45">
        <v>20</v>
      </c>
      <c r="U45">
        <f t="shared" si="9"/>
        <v>9666</v>
      </c>
      <c r="V45">
        <f t="shared" si="2"/>
        <v>2E-3</v>
      </c>
      <c r="W45">
        <f t="shared" si="3"/>
        <v>0.96660000000000001</v>
      </c>
    </row>
    <row r="46" spans="5:23" x14ac:dyDescent="0.25">
      <c r="S46">
        <f t="shared" si="8"/>
        <v>4.0000000000000018</v>
      </c>
      <c r="T46">
        <v>26</v>
      </c>
      <c r="U46">
        <f t="shared" si="9"/>
        <v>9692</v>
      </c>
      <c r="V46">
        <f t="shared" si="2"/>
        <v>2.5999999999999999E-3</v>
      </c>
      <c r="W46">
        <f t="shared" si="3"/>
        <v>0.96919999999999995</v>
      </c>
    </row>
    <row r="47" spans="5:23" x14ac:dyDescent="0.25">
      <c r="S47">
        <f t="shared" si="8"/>
        <v>4.1000000000000014</v>
      </c>
      <c r="T47">
        <v>23</v>
      </c>
      <c r="U47">
        <f t="shared" si="9"/>
        <v>9715</v>
      </c>
      <c r="V47">
        <f t="shared" si="2"/>
        <v>2.3E-3</v>
      </c>
      <c r="W47">
        <f t="shared" si="3"/>
        <v>0.97150000000000003</v>
      </c>
    </row>
    <row r="48" spans="5:23" x14ac:dyDescent="0.25">
      <c r="S48">
        <f t="shared" si="8"/>
        <v>4.2000000000000011</v>
      </c>
      <c r="T48">
        <v>20</v>
      </c>
      <c r="U48">
        <f t="shared" si="9"/>
        <v>9735</v>
      </c>
      <c r="V48">
        <f t="shared" si="2"/>
        <v>2E-3</v>
      </c>
      <c r="W48">
        <f t="shared" si="3"/>
        <v>0.97350000000000003</v>
      </c>
    </row>
    <row r="49" spans="19:23" x14ac:dyDescent="0.25">
      <c r="S49">
        <f t="shared" si="8"/>
        <v>4.3000000000000007</v>
      </c>
      <c r="T49">
        <v>26</v>
      </c>
      <c r="U49">
        <f t="shared" si="9"/>
        <v>9761</v>
      </c>
      <c r="V49">
        <f t="shared" si="2"/>
        <v>2.5999999999999999E-3</v>
      </c>
      <c r="W49">
        <f t="shared" si="3"/>
        <v>0.97609999999999997</v>
      </c>
    </row>
    <row r="50" spans="19:23" x14ac:dyDescent="0.25">
      <c r="S50">
        <f t="shared" si="8"/>
        <v>4.4000000000000004</v>
      </c>
      <c r="T50">
        <v>15</v>
      </c>
      <c r="U50">
        <f t="shared" si="9"/>
        <v>9776</v>
      </c>
      <c r="V50">
        <f t="shared" si="2"/>
        <v>1.5E-3</v>
      </c>
      <c r="W50">
        <f t="shared" si="3"/>
        <v>0.97760000000000002</v>
      </c>
    </row>
    <row r="51" spans="19:23" x14ac:dyDescent="0.25">
      <c r="S51">
        <f t="shared" si="8"/>
        <v>4.5</v>
      </c>
      <c r="T51">
        <v>12</v>
      </c>
      <c r="U51">
        <f t="shared" si="9"/>
        <v>9788</v>
      </c>
      <c r="V51">
        <f t="shared" si="2"/>
        <v>1.1999999999999999E-3</v>
      </c>
      <c r="W51">
        <f t="shared" si="3"/>
        <v>0.9788</v>
      </c>
    </row>
    <row r="52" spans="19:23" x14ac:dyDescent="0.25">
      <c r="S52">
        <f t="shared" si="8"/>
        <v>4.5999999999999996</v>
      </c>
      <c r="T52">
        <v>18</v>
      </c>
      <c r="U52">
        <f t="shared" si="9"/>
        <v>9806</v>
      </c>
      <c r="V52">
        <f t="shared" si="2"/>
        <v>1.8E-3</v>
      </c>
      <c r="W52">
        <f t="shared" si="3"/>
        <v>0.98060000000000003</v>
      </c>
    </row>
    <row r="53" spans="19:23" x14ac:dyDescent="0.25">
      <c r="S53">
        <f t="shared" si="8"/>
        <v>4.6999999999999993</v>
      </c>
      <c r="T53">
        <v>18</v>
      </c>
      <c r="U53">
        <f t="shared" si="9"/>
        <v>9824</v>
      </c>
      <c r="V53">
        <f t="shared" si="2"/>
        <v>1.8E-3</v>
      </c>
      <c r="W53">
        <f t="shared" si="3"/>
        <v>0.98240000000000005</v>
      </c>
    </row>
    <row r="54" spans="19:23" x14ac:dyDescent="0.25">
      <c r="S54">
        <f t="shared" si="8"/>
        <v>4.7999999999999989</v>
      </c>
      <c r="T54">
        <v>18</v>
      </c>
      <c r="U54">
        <f t="shared" si="9"/>
        <v>9842</v>
      </c>
      <c r="V54">
        <f t="shared" si="2"/>
        <v>1.8E-3</v>
      </c>
      <c r="W54">
        <f t="shared" si="3"/>
        <v>0.98419999999999996</v>
      </c>
    </row>
    <row r="55" spans="19:23" x14ac:dyDescent="0.25">
      <c r="S55">
        <f t="shared" si="8"/>
        <v>4.8999999999999986</v>
      </c>
      <c r="T55">
        <v>9</v>
      </c>
      <c r="U55">
        <f t="shared" si="9"/>
        <v>9851</v>
      </c>
      <c r="V55">
        <f t="shared" si="2"/>
        <v>8.9999999999999998E-4</v>
      </c>
      <c r="W55">
        <f t="shared" si="3"/>
        <v>0.98509999999999998</v>
      </c>
    </row>
    <row r="56" spans="19:23" x14ac:dyDescent="0.25">
      <c r="S56">
        <f t="shared" si="8"/>
        <v>4.9999999999999982</v>
      </c>
      <c r="T56">
        <v>10</v>
      </c>
      <c r="U56">
        <f t="shared" si="9"/>
        <v>9861</v>
      </c>
      <c r="V56">
        <f t="shared" si="2"/>
        <v>1E-3</v>
      </c>
      <c r="W56">
        <f t="shared" si="3"/>
        <v>0.98609999999999998</v>
      </c>
    </row>
    <row r="57" spans="19:23" x14ac:dyDescent="0.25">
      <c r="S57">
        <f t="shared" si="8"/>
        <v>5.0999999999999979</v>
      </c>
      <c r="T57">
        <v>9</v>
      </c>
      <c r="U57">
        <f t="shared" si="9"/>
        <v>9870</v>
      </c>
      <c r="V57">
        <f t="shared" si="2"/>
        <v>8.9999999999999998E-4</v>
      </c>
      <c r="W57">
        <f t="shared" si="3"/>
        <v>0.98699999999999999</v>
      </c>
    </row>
    <row r="58" spans="19:23" x14ac:dyDescent="0.25">
      <c r="S58">
        <f t="shared" si="8"/>
        <v>5.1999999999999975</v>
      </c>
      <c r="T58">
        <v>8</v>
      </c>
      <c r="U58">
        <f t="shared" si="9"/>
        <v>9878</v>
      </c>
      <c r="V58">
        <f t="shared" si="2"/>
        <v>8.0000000000000004E-4</v>
      </c>
      <c r="W58">
        <f t="shared" si="3"/>
        <v>0.98780000000000001</v>
      </c>
    </row>
    <row r="59" spans="19:23" x14ac:dyDescent="0.25">
      <c r="S59">
        <f t="shared" si="8"/>
        <v>5.2999999999999972</v>
      </c>
      <c r="T59">
        <v>9</v>
      </c>
      <c r="U59">
        <f t="shared" si="9"/>
        <v>9887</v>
      </c>
      <c r="V59">
        <f t="shared" si="2"/>
        <v>8.9999999999999998E-4</v>
      </c>
      <c r="W59">
        <f t="shared" si="3"/>
        <v>0.98870000000000002</v>
      </c>
    </row>
    <row r="60" spans="19:23" x14ac:dyDescent="0.25">
      <c r="S60">
        <f t="shared" si="8"/>
        <v>5.3999999999999968</v>
      </c>
      <c r="T60">
        <v>7</v>
      </c>
      <c r="U60">
        <f t="shared" si="9"/>
        <v>9894</v>
      </c>
      <c r="V60">
        <f t="shared" si="2"/>
        <v>6.9999999999999999E-4</v>
      </c>
      <c r="W60">
        <f t="shared" si="3"/>
        <v>0.98939999999999995</v>
      </c>
    </row>
    <row r="61" spans="19:23" x14ac:dyDescent="0.25">
      <c r="S61">
        <f t="shared" si="8"/>
        <v>5.4999999999999964</v>
      </c>
      <c r="T61">
        <v>13</v>
      </c>
      <c r="U61">
        <f t="shared" si="9"/>
        <v>9907</v>
      </c>
      <c r="V61">
        <f t="shared" si="2"/>
        <v>1.2999999999999999E-3</v>
      </c>
      <c r="W61">
        <f t="shared" si="3"/>
        <v>0.99070000000000003</v>
      </c>
    </row>
    <row r="62" spans="19:23" x14ac:dyDescent="0.25">
      <c r="S62">
        <f t="shared" si="8"/>
        <v>5.5999999999999961</v>
      </c>
      <c r="T62">
        <v>5</v>
      </c>
      <c r="U62">
        <f t="shared" si="9"/>
        <v>9912</v>
      </c>
      <c r="V62">
        <f t="shared" si="2"/>
        <v>5.0000000000000001E-4</v>
      </c>
      <c r="W62">
        <f t="shared" si="3"/>
        <v>0.99119999999999997</v>
      </c>
    </row>
    <row r="63" spans="19:23" x14ac:dyDescent="0.25">
      <c r="S63">
        <f t="shared" si="8"/>
        <v>5.6999999999999957</v>
      </c>
      <c r="T63">
        <v>3</v>
      </c>
      <c r="U63">
        <f t="shared" si="9"/>
        <v>9915</v>
      </c>
      <c r="V63">
        <f t="shared" si="2"/>
        <v>2.9999999999999997E-4</v>
      </c>
      <c r="W63">
        <f t="shared" si="3"/>
        <v>0.99150000000000005</v>
      </c>
    </row>
    <row r="64" spans="19:23" x14ac:dyDescent="0.25">
      <c r="S64">
        <f t="shared" si="8"/>
        <v>5.7999999999999954</v>
      </c>
      <c r="T64">
        <v>6</v>
      </c>
      <c r="U64">
        <f t="shared" si="9"/>
        <v>9921</v>
      </c>
      <c r="V64">
        <f t="shared" si="2"/>
        <v>5.9999999999999995E-4</v>
      </c>
      <c r="W64">
        <f t="shared" si="3"/>
        <v>0.99209999999999998</v>
      </c>
    </row>
    <row r="65" spans="19:23" x14ac:dyDescent="0.25">
      <c r="S65">
        <f t="shared" si="8"/>
        <v>5.899999999999995</v>
      </c>
      <c r="T65">
        <v>9</v>
      </c>
      <c r="U65">
        <f t="shared" si="9"/>
        <v>9930</v>
      </c>
      <c r="V65">
        <f t="shared" si="2"/>
        <v>8.9999999999999998E-4</v>
      </c>
      <c r="W65">
        <f t="shared" si="3"/>
        <v>0.99299999999999999</v>
      </c>
    </row>
    <row r="66" spans="19:23" x14ac:dyDescent="0.25">
      <c r="S66">
        <f t="shared" si="8"/>
        <v>5.9999999999999947</v>
      </c>
      <c r="T66">
        <v>4</v>
      </c>
      <c r="U66">
        <f t="shared" si="9"/>
        <v>9934</v>
      </c>
      <c r="V66">
        <f t="shared" si="2"/>
        <v>4.0000000000000002E-4</v>
      </c>
      <c r="W66">
        <f t="shared" si="3"/>
        <v>0.99339999999999995</v>
      </c>
    </row>
    <row r="67" spans="19:23" x14ac:dyDescent="0.25">
      <c r="S67">
        <f t="shared" si="8"/>
        <v>6.0999999999999943</v>
      </c>
      <c r="T67">
        <v>6</v>
      </c>
      <c r="U67">
        <f t="shared" si="9"/>
        <v>9940</v>
      </c>
      <c r="V67">
        <f t="shared" si="2"/>
        <v>5.9999999999999995E-4</v>
      </c>
      <c r="W67">
        <f t="shared" si="3"/>
        <v>0.99399999999999999</v>
      </c>
    </row>
    <row r="68" spans="19:23" x14ac:dyDescent="0.25">
      <c r="S68">
        <f t="shared" si="8"/>
        <v>6.199999999999994</v>
      </c>
      <c r="T68">
        <v>2</v>
      </c>
      <c r="U68">
        <f t="shared" si="9"/>
        <v>9942</v>
      </c>
      <c r="V68">
        <f t="shared" si="2"/>
        <v>2.0000000000000001E-4</v>
      </c>
      <c r="W68">
        <f t="shared" si="3"/>
        <v>0.99419999999999997</v>
      </c>
    </row>
    <row r="69" spans="19:23" x14ac:dyDescent="0.25">
      <c r="S69">
        <f t="shared" si="8"/>
        <v>6.2999999999999936</v>
      </c>
      <c r="T69">
        <v>3</v>
      </c>
      <c r="U69">
        <f t="shared" si="9"/>
        <v>9945</v>
      </c>
      <c r="V69">
        <f t="shared" si="2"/>
        <v>2.9999999999999997E-4</v>
      </c>
      <c r="W69">
        <f t="shared" si="3"/>
        <v>0.99450000000000005</v>
      </c>
    </row>
    <row r="70" spans="19:23" x14ac:dyDescent="0.25">
      <c r="S70">
        <f t="shared" si="8"/>
        <v>6.3999999999999932</v>
      </c>
      <c r="T70">
        <v>1</v>
      </c>
      <c r="U70">
        <f t="shared" si="9"/>
        <v>9946</v>
      </c>
      <c r="V70">
        <f t="shared" si="2"/>
        <v>1E-4</v>
      </c>
      <c r="W70">
        <f t="shared" si="3"/>
        <v>0.99460000000000004</v>
      </c>
    </row>
    <row r="71" spans="19:23" x14ac:dyDescent="0.25">
      <c r="S71">
        <f t="shared" si="8"/>
        <v>6.4999999999999929</v>
      </c>
      <c r="T71">
        <v>4</v>
      </c>
      <c r="U71">
        <f t="shared" si="9"/>
        <v>9950</v>
      </c>
      <c r="V71">
        <f t="shared" ref="V71:V87" si="12">T71/T$88</f>
        <v>4.0000000000000002E-4</v>
      </c>
      <c r="W71">
        <f t="shared" ref="W71:W87" si="13">U71/T$88</f>
        <v>0.995</v>
      </c>
    </row>
    <row r="72" spans="19:23" x14ac:dyDescent="0.25">
      <c r="S72">
        <f t="shared" ref="S72:S86" si="14">S71+0.1</f>
        <v>6.5999999999999925</v>
      </c>
      <c r="T72">
        <v>4</v>
      </c>
      <c r="U72">
        <f t="shared" ref="U72:U87" si="15">U71+T72</f>
        <v>9954</v>
      </c>
      <c r="V72">
        <f t="shared" si="12"/>
        <v>4.0000000000000002E-4</v>
      </c>
      <c r="W72">
        <f t="shared" si="13"/>
        <v>0.99539999999999995</v>
      </c>
    </row>
    <row r="73" spans="19:23" x14ac:dyDescent="0.25">
      <c r="S73">
        <f t="shared" si="14"/>
        <v>6.6999999999999922</v>
      </c>
      <c r="T73">
        <v>4</v>
      </c>
      <c r="U73">
        <f t="shared" si="15"/>
        <v>9958</v>
      </c>
      <c r="V73">
        <f t="shared" si="12"/>
        <v>4.0000000000000002E-4</v>
      </c>
      <c r="W73">
        <f t="shared" si="13"/>
        <v>0.99580000000000002</v>
      </c>
    </row>
    <row r="74" spans="19:23" x14ac:dyDescent="0.25">
      <c r="S74">
        <f t="shared" si="14"/>
        <v>6.7999999999999918</v>
      </c>
      <c r="T74">
        <v>2</v>
      </c>
      <c r="U74">
        <f t="shared" si="15"/>
        <v>9960</v>
      </c>
      <c r="V74">
        <f t="shared" si="12"/>
        <v>2.0000000000000001E-4</v>
      </c>
      <c r="W74">
        <f t="shared" si="13"/>
        <v>0.996</v>
      </c>
    </row>
    <row r="75" spans="19:23" x14ac:dyDescent="0.25">
      <c r="S75">
        <f t="shared" si="14"/>
        <v>6.8999999999999915</v>
      </c>
      <c r="T75">
        <v>5</v>
      </c>
      <c r="U75">
        <f t="shared" si="15"/>
        <v>9965</v>
      </c>
      <c r="V75">
        <f t="shared" si="12"/>
        <v>5.0000000000000001E-4</v>
      </c>
      <c r="W75">
        <f t="shared" si="13"/>
        <v>0.99650000000000005</v>
      </c>
    </row>
    <row r="76" spans="19:23" x14ac:dyDescent="0.25">
      <c r="S76">
        <f t="shared" si="14"/>
        <v>6.9999999999999911</v>
      </c>
      <c r="T76">
        <v>2</v>
      </c>
      <c r="U76">
        <f t="shared" si="15"/>
        <v>9967</v>
      </c>
      <c r="V76">
        <f t="shared" si="12"/>
        <v>2.0000000000000001E-4</v>
      </c>
      <c r="W76">
        <f t="shared" si="13"/>
        <v>0.99670000000000003</v>
      </c>
    </row>
    <row r="77" spans="19:23" x14ac:dyDescent="0.25">
      <c r="S77">
        <f t="shared" si="14"/>
        <v>7.0999999999999908</v>
      </c>
      <c r="T77">
        <v>2</v>
      </c>
      <c r="U77">
        <f t="shared" si="15"/>
        <v>9969</v>
      </c>
      <c r="V77">
        <f t="shared" si="12"/>
        <v>2.0000000000000001E-4</v>
      </c>
      <c r="W77">
        <f t="shared" si="13"/>
        <v>0.99690000000000001</v>
      </c>
    </row>
    <row r="78" spans="19:23" x14ac:dyDescent="0.25">
      <c r="S78">
        <f t="shared" si="14"/>
        <v>7.1999999999999904</v>
      </c>
      <c r="T78">
        <v>0</v>
      </c>
      <c r="U78">
        <f t="shared" si="15"/>
        <v>9969</v>
      </c>
      <c r="V78">
        <f t="shared" si="12"/>
        <v>0</v>
      </c>
      <c r="W78">
        <f t="shared" si="13"/>
        <v>0.99690000000000001</v>
      </c>
    </row>
    <row r="79" spans="19:23" x14ac:dyDescent="0.25">
      <c r="S79">
        <f t="shared" si="14"/>
        <v>7.2999999999999901</v>
      </c>
      <c r="T79">
        <v>3</v>
      </c>
      <c r="U79">
        <f t="shared" si="15"/>
        <v>9972</v>
      </c>
      <c r="V79">
        <f t="shared" si="12"/>
        <v>2.9999999999999997E-4</v>
      </c>
      <c r="W79">
        <f t="shared" si="13"/>
        <v>0.99719999999999998</v>
      </c>
    </row>
    <row r="80" spans="19:23" x14ac:dyDescent="0.25">
      <c r="S80">
        <f t="shared" si="14"/>
        <v>7.3999999999999897</v>
      </c>
      <c r="T80">
        <v>3</v>
      </c>
      <c r="U80">
        <f t="shared" si="15"/>
        <v>9975</v>
      </c>
      <c r="V80">
        <f t="shared" si="12"/>
        <v>2.9999999999999997E-4</v>
      </c>
      <c r="W80">
        <f t="shared" si="13"/>
        <v>0.99750000000000005</v>
      </c>
    </row>
    <row r="81" spans="19:23" x14ac:dyDescent="0.25">
      <c r="S81">
        <f t="shared" si="14"/>
        <v>7.4999999999999893</v>
      </c>
      <c r="T81">
        <v>4</v>
      </c>
      <c r="U81">
        <f t="shared" si="15"/>
        <v>9979</v>
      </c>
      <c r="V81">
        <f t="shared" si="12"/>
        <v>4.0000000000000002E-4</v>
      </c>
      <c r="W81">
        <f t="shared" si="13"/>
        <v>0.99790000000000001</v>
      </c>
    </row>
    <row r="82" spans="19:23" x14ac:dyDescent="0.25">
      <c r="S82">
        <f t="shared" si="14"/>
        <v>7.599999999999989</v>
      </c>
      <c r="T82">
        <v>1</v>
      </c>
      <c r="U82">
        <f t="shared" si="15"/>
        <v>9980</v>
      </c>
      <c r="V82">
        <f t="shared" si="12"/>
        <v>1E-4</v>
      </c>
      <c r="W82">
        <f t="shared" si="13"/>
        <v>0.998</v>
      </c>
    </row>
    <row r="83" spans="19:23" x14ac:dyDescent="0.25">
      <c r="S83">
        <f t="shared" si="14"/>
        <v>7.6999999999999886</v>
      </c>
      <c r="T83">
        <v>1</v>
      </c>
      <c r="U83">
        <f t="shared" si="15"/>
        <v>9981</v>
      </c>
      <c r="V83">
        <f t="shared" si="12"/>
        <v>1E-4</v>
      </c>
      <c r="W83">
        <f t="shared" si="13"/>
        <v>0.99809999999999999</v>
      </c>
    </row>
    <row r="84" spans="19:23" x14ac:dyDescent="0.25">
      <c r="S84">
        <f t="shared" si="14"/>
        <v>7.7999999999999883</v>
      </c>
      <c r="T84">
        <v>2</v>
      </c>
      <c r="U84">
        <f t="shared" si="15"/>
        <v>9983</v>
      </c>
      <c r="V84">
        <f t="shared" si="12"/>
        <v>2.0000000000000001E-4</v>
      </c>
      <c r="W84">
        <f t="shared" si="13"/>
        <v>0.99829999999999997</v>
      </c>
    </row>
    <row r="85" spans="19:23" x14ac:dyDescent="0.25">
      <c r="S85">
        <f t="shared" si="14"/>
        <v>7.8999999999999879</v>
      </c>
      <c r="T85">
        <v>0</v>
      </c>
      <c r="U85">
        <f t="shared" si="15"/>
        <v>9983</v>
      </c>
      <c r="V85">
        <f t="shared" si="12"/>
        <v>0</v>
      </c>
      <c r="W85">
        <f t="shared" si="13"/>
        <v>0.99829999999999997</v>
      </c>
    </row>
    <row r="86" spans="19:23" x14ac:dyDescent="0.25">
      <c r="S86">
        <f t="shared" si="14"/>
        <v>7.9999999999999876</v>
      </c>
      <c r="T86">
        <v>1</v>
      </c>
      <c r="U86">
        <f t="shared" si="15"/>
        <v>9984</v>
      </c>
      <c r="V86">
        <f t="shared" si="12"/>
        <v>1E-4</v>
      </c>
      <c r="W86">
        <f t="shared" si="13"/>
        <v>0.99839999999999995</v>
      </c>
    </row>
    <row r="87" spans="19:23" x14ac:dyDescent="0.25">
      <c r="S87" s="762" t="s">
        <v>32</v>
      </c>
      <c r="T87" s="762">
        <v>16</v>
      </c>
      <c r="U87" s="762">
        <f t="shared" si="15"/>
        <v>10000</v>
      </c>
      <c r="V87" s="762">
        <f t="shared" si="12"/>
        <v>1.6000000000000001E-3</v>
      </c>
      <c r="W87" s="762">
        <f t="shared" si="13"/>
        <v>1</v>
      </c>
    </row>
    <row r="88" spans="19:23" x14ac:dyDescent="0.25">
      <c r="T88">
        <f>SUM(T6:T87)</f>
        <v>10000</v>
      </c>
    </row>
    <row r="90" spans="19:23" x14ac:dyDescent="0.25">
      <c r="S90" t="s">
        <v>2341</v>
      </c>
    </row>
    <row r="92" spans="19:23" x14ac:dyDescent="0.25">
      <c r="S92" t="s">
        <v>106</v>
      </c>
      <c r="T92" s="1037">
        <v>0.05</v>
      </c>
    </row>
    <row r="93" spans="19:23" x14ac:dyDescent="0.25">
      <c r="S93" t="s">
        <v>2342</v>
      </c>
      <c r="T93" s="680">
        <v>2.1096810066105172</v>
      </c>
    </row>
    <row r="94" spans="19:23" x14ac:dyDescent="0.25">
      <c r="S94" t="s">
        <v>67</v>
      </c>
      <c r="T94" s="757">
        <v>0.14119999999999999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7"/>
  <dimension ref="A1:N13"/>
  <sheetViews>
    <sheetView workbookViewId="0"/>
  </sheetViews>
  <sheetFormatPr defaultRowHeight="15" x14ac:dyDescent="0.25"/>
  <cols>
    <col min="4" max="4" width="6.7109375" customWidth="1"/>
    <col min="5" max="5" width="10.5703125" customWidth="1"/>
    <col min="9" max="9" width="3.5703125" customWidth="1"/>
    <col min="10" max="10" width="26.140625" customWidth="1"/>
    <col min="11" max="11" width="10.140625" customWidth="1"/>
  </cols>
  <sheetData>
    <row r="1" spans="1:14" x14ac:dyDescent="0.25">
      <c r="A1" s="1" t="s">
        <v>2131</v>
      </c>
      <c r="M1" t="s">
        <v>1933</v>
      </c>
    </row>
    <row r="3" spans="1:14" x14ac:dyDescent="0.25">
      <c r="A3" s="971" t="s">
        <v>75</v>
      </c>
      <c r="B3" s="971" t="s">
        <v>76</v>
      </c>
      <c r="C3" s="971" t="s">
        <v>91</v>
      </c>
      <c r="E3" t="s">
        <v>12</v>
      </c>
      <c r="F3" s="580">
        <f>MEDIAN(A4:C13)</f>
        <v>38</v>
      </c>
      <c r="J3" t="str">
        <f>[1]!FTEXT(F3)</f>
        <v>=MEDIAN(A4:C13)</v>
      </c>
      <c r="M3" t="s">
        <v>2288</v>
      </c>
    </row>
    <row r="4" spans="1:14" x14ac:dyDescent="0.25">
      <c r="A4" s="33">
        <v>46</v>
      </c>
      <c r="B4" s="864">
        <v>44</v>
      </c>
      <c r="C4" s="34">
        <v>26</v>
      </c>
    </row>
    <row r="5" spans="1:14" x14ac:dyDescent="0.25">
      <c r="A5" s="540">
        <v>32</v>
      </c>
      <c r="B5" s="972">
        <v>31</v>
      </c>
      <c r="C5" s="494">
        <v>49</v>
      </c>
      <c r="F5" s="971" t="s">
        <v>75</v>
      </c>
      <c r="G5" s="971" t="s">
        <v>76</v>
      </c>
      <c r="H5" s="971" t="s">
        <v>91</v>
      </c>
      <c r="M5" t="s">
        <v>34</v>
      </c>
      <c r="N5" s="1036">
        <v>0.05</v>
      </c>
    </row>
    <row r="6" spans="1:14" x14ac:dyDescent="0.25">
      <c r="A6" s="540">
        <v>42</v>
      </c>
      <c r="B6" s="972">
        <v>25</v>
      </c>
      <c r="C6" s="494">
        <v>33</v>
      </c>
      <c r="E6" t="s">
        <v>2132</v>
      </c>
      <c r="F6" s="3">
        <f>COUNTIF(A4:A13,"&gt;"&amp;$F$3)</f>
        <v>7</v>
      </c>
      <c r="G6" s="827">
        <f>COUNTIF(B4:B13,"&gt;"&amp;$F$3)</f>
        <v>2</v>
      </c>
      <c r="H6" s="5">
        <f>COUNTIF(C4:C13,"&gt;"&amp;$F$3)</f>
        <v>3</v>
      </c>
      <c r="J6" t="str">
        <f>[1]!FTEXT(F6)</f>
        <v>=COUNTIF(A4:A13,"&gt;"&amp;$F$3)</v>
      </c>
    </row>
    <row r="7" spans="1:14" x14ac:dyDescent="0.25">
      <c r="A7" s="540">
        <v>45</v>
      </c>
      <c r="B7" s="972">
        <v>22</v>
      </c>
      <c r="C7" s="494">
        <v>19</v>
      </c>
      <c r="E7" t="s">
        <v>2133</v>
      </c>
      <c r="F7" s="409">
        <f>COUNT(A4:A13)-F6</f>
        <v>3</v>
      </c>
      <c r="G7" s="762">
        <f>COUNT(B4:B13)-G6</f>
        <v>7</v>
      </c>
      <c r="H7" s="417">
        <f>COUNT(C4:C13)-H6</f>
        <v>5</v>
      </c>
      <c r="J7" t="str">
        <f>[1]!FTEXT(F7)</f>
        <v>=COUNT(A4:A13)-F6</v>
      </c>
      <c r="M7" t="s">
        <v>12</v>
      </c>
      <c r="N7" s="1037">
        <f>MEDIAN(A4:C13)</f>
        <v>38</v>
      </c>
    </row>
    <row r="8" spans="1:14" x14ac:dyDescent="0.25">
      <c r="A8" s="540">
        <v>37</v>
      </c>
      <c r="B8" s="972">
        <v>30</v>
      </c>
      <c r="C8" s="494">
        <v>31</v>
      </c>
      <c r="J8" t="str">
        <f>[1]!FTEXT(F8)</f>
        <v/>
      </c>
      <c r="M8" t="s">
        <v>220</v>
      </c>
      <c r="N8" s="680">
        <f>[1]!MOODS_STAT(A4:C13)</f>
        <v>4.6012499999999994</v>
      </c>
    </row>
    <row r="9" spans="1:14" x14ac:dyDescent="0.25">
      <c r="A9" s="540">
        <v>44</v>
      </c>
      <c r="B9" s="972">
        <v>30</v>
      </c>
      <c r="C9" s="494">
        <v>38</v>
      </c>
      <c r="E9" t="s">
        <v>220</v>
      </c>
      <c r="F9" s="28">
        <f>[1]!CHI_STAT(F6:H7)</f>
        <v>4.6012499999999994</v>
      </c>
      <c r="J9" s="16" t="s">
        <v>2135</v>
      </c>
      <c r="K9" s="16"/>
      <c r="M9" t="s">
        <v>60</v>
      </c>
      <c r="N9" s="680">
        <f>COUNT(A4:C4)-1</f>
        <v>2</v>
      </c>
    </row>
    <row r="10" spans="1:14" x14ac:dyDescent="0.25">
      <c r="A10" s="540">
        <v>38</v>
      </c>
      <c r="B10" s="972">
        <v>32</v>
      </c>
      <c r="C10" s="494">
        <v>44</v>
      </c>
      <c r="E10" t="s">
        <v>67</v>
      </c>
      <c r="F10" s="420">
        <f>[1]!CHI_TESt(F6:H7)</f>
        <v>0.10019620152320352</v>
      </c>
      <c r="J10" s="16" t="s">
        <v>2136</v>
      </c>
      <c r="K10" s="16"/>
      <c r="M10" t="s">
        <v>67</v>
      </c>
      <c r="N10" s="680">
        <f>CHIDIST(N8,N9)</f>
        <v>0.10019620152320352</v>
      </c>
    </row>
    <row r="11" spans="1:14" x14ac:dyDescent="0.25">
      <c r="A11" s="540">
        <v>47</v>
      </c>
      <c r="B11" s="972">
        <v>19</v>
      </c>
      <c r="C11" s="494">
        <v>50</v>
      </c>
      <c r="M11" t="s">
        <v>527</v>
      </c>
      <c r="N11" s="758" t="str">
        <f>IF(N10&lt;N5,"yes","no")</f>
        <v>no</v>
      </c>
    </row>
    <row r="12" spans="1:14" x14ac:dyDescent="0.25">
      <c r="A12" s="540">
        <v>49</v>
      </c>
      <c r="B12" s="972">
        <v>40</v>
      </c>
      <c r="C12" s="494"/>
      <c r="E12" t="s">
        <v>220</v>
      </c>
      <c r="F12" s="28">
        <f>[1]!MOODS_STAT(A4:C13)</f>
        <v>4.6012499999999994</v>
      </c>
      <c r="J12" s="16" t="str">
        <f>[1]!FTEXT(F12)</f>
        <v>=MOODS_STAT(A4:C13)</v>
      </c>
      <c r="K12" s="16"/>
    </row>
    <row r="13" spans="1:14" x14ac:dyDescent="0.25">
      <c r="A13" s="436">
        <v>41</v>
      </c>
      <c r="B13" s="860"/>
      <c r="C13" s="412"/>
      <c r="E13" t="s">
        <v>67</v>
      </c>
      <c r="F13" s="420">
        <f>[1]!MOODS_TEST(A4:C13)</f>
        <v>0.10019620152320352</v>
      </c>
      <c r="J13" s="16" t="str">
        <f>[1]!FTEXT(F13)</f>
        <v>=MOODS_TEST(A4:C13)</v>
      </c>
      <c r="K13" s="1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AI24"/>
  <sheetViews>
    <sheetView zoomScaleNormal="100" workbookViewId="0"/>
  </sheetViews>
  <sheetFormatPr defaultRowHeight="15" x14ac:dyDescent="0.25"/>
  <cols>
    <col min="2" max="5" width="7" customWidth="1"/>
    <col min="7" max="7" width="16.7109375" customWidth="1"/>
    <col min="15" max="15" width="18.140625" customWidth="1"/>
  </cols>
  <sheetData>
    <row r="1" spans="1:35" x14ac:dyDescent="0.25">
      <c r="A1" s="1" t="s">
        <v>597</v>
      </c>
      <c r="V1" t="s">
        <v>2320</v>
      </c>
    </row>
    <row r="3" spans="1:35" x14ac:dyDescent="0.25">
      <c r="B3" s="13" t="s">
        <v>590</v>
      </c>
      <c r="C3" s="13" t="s">
        <v>591</v>
      </c>
      <c r="D3" s="13" t="s">
        <v>592</v>
      </c>
      <c r="E3" s="13" t="s">
        <v>596</v>
      </c>
      <c r="G3" t="s">
        <v>587</v>
      </c>
      <c r="V3" t="s">
        <v>27</v>
      </c>
      <c r="AC3" t="s">
        <v>1670</v>
      </c>
    </row>
    <row r="4" spans="1:35" ht="15.75" thickBot="1" x14ac:dyDescent="0.3">
      <c r="A4" t="s">
        <v>593</v>
      </c>
      <c r="B4" s="266">
        <v>123</v>
      </c>
      <c r="C4" s="267">
        <v>138</v>
      </c>
      <c r="D4" s="267">
        <v>110</v>
      </c>
      <c r="E4" s="268">
        <v>151</v>
      </c>
    </row>
    <row r="5" spans="1:35" ht="15.75" thickBot="1" x14ac:dyDescent="0.3">
      <c r="A5" t="s">
        <v>594</v>
      </c>
      <c r="B5" s="6">
        <v>145</v>
      </c>
      <c r="C5" s="7">
        <v>165</v>
      </c>
      <c r="D5" s="7">
        <v>140</v>
      </c>
      <c r="E5" s="8">
        <v>167</v>
      </c>
      <c r="G5" s="259" t="s">
        <v>62</v>
      </c>
      <c r="H5" s="259" t="s">
        <v>22</v>
      </c>
      <c r="I5" s="259" t="s">
        <v>21</v>
      </c>
      <c r="J5" s="259" t="s">
        <v>465</v>
      </c>
      <c r="K5" s="259" t="s">
        <v>80</v>
      </c>
      <c r="V5" t="s">
        <v>1666</v>
      </c>
      <c r="AC5" t="s">
        <v>294</v>
      </c>
      <c r="AG5" s="792" t="s">
        <v>34</v>
      </c>
      <c r="AH5" s="792">
        <v>0.05</v>
      </c>
    </row>
    <row r="6" spans="1:35" ht="15.75" thickTop="1" x14ac:dyDescent="0.25">
      <c r="A6" t="s">
        <v>595</v>
      </c>
      <c r="B6" s="134">
        <v>156</v>
      </c>
      <c r="C6" s="10">
        <v>176</v>
      </c>
      <c r="D6" s="10">
        <v>185</v>
      </c>
      <c r="E6" s="11">
        <v>175</v>
      </c>
      <c r="G6" s="19" t="s">
        <v>593</v>
      </c>
      <c r="H6" s="19">
        <f>COUNT(B4:E4)</f>
        <v>4</v>
      </c>
      <c r="I6" s="19">
        <f>SUM(B4:E4)</f>
        <v>522</v>
      </c>
      <c r="J6" s="19">
        <f>AVERAGE(B4:E4)</f>
        <v>130.5</v>
      </c>
      <c r="K6" s="19">
        <f>VAR(B4:E4)</f>
        <v>317.66666666666669</v>
      </c>
      <c r="W6" s="792" t="str">
        <f>B3</f>
        <v>Wheat</v>
      </c>
      <c r="X6" s="792" t="str">
        <f>C3</f>
        <v>Corn</v>
      </c>
      <c r="Y6" s="792" t="str">
        <f>D3</f>
        <v>Soy</v>
      </c>
      <c r="Z6" s="792" t="str">
        <f>E3</f>
        <v>Rice</v>
      </c>
      <c r="AC6" s="754"/>
      <c r="AD6" s="754" t="s">
        <v>219</v>
      </c>
      <c r="AE6" s="754" t="s">
        <v>60</v>
      </c>
      <c r="AF6" s="754" t="s">
        <v>240</v>
      </c>
      <c r="AG6" s="754" t="s">
        <v>135</v>
      </c>
      <c r="AH6" s="754" t="s">
        <v>67</v>
      </c>
      <c r="AI6" s="754" t="s">
        <v>527</v>
      </c>
    </row>
    <row r="7" spans="1:35" x14ac:dyDescent="0.25">
      <c r="G7" s="19" t="s">
        <v>594</v>
      </c>
      <c r="H7" s="19">
        <f>COUNT(B5:E5)</f>
        <v>4</v>
      </c>
      <c r="I7" s="19">
        <f>SUM(B5:E5)</f>
        <v>617</v>
      </c>
      <c r="J7" s="19">
        <f>AVERAGE(B5:E5)</f>
        <v>154.25</v>
      </c>
      <c r="K7" s="19">
        <f>VAR(B5:E5)</f>
        <v>188.91666666666666</v>
      </c>
      <c r="V7" t="str">
        <f>A4</f>
        <v>Blend X</v>
      </c>
      <c r="W7" s="797">
        <f t="shared" ref="W7:Z9" si="0">COUNT(B4)</f>
        <v>1</v>
      </c>
      <c r="X7" s="798">
        <f t="shared" si="0"/>
        <v>1</v>
      </c>
      <c r="Y7" s="798">
        <f t="shared" si="0"/>
        <v>1</v>
      </c>
      <c r="Z7" s="799">
        <f t="shared" si="0"/>
        <v>1</v>
      </c>
      <c r="AA7">
        <f>COUNT(B4:E4)</f>
        <v>4</v>
      </c>
      <c r="AC7" t="s">
        <v>136</v>
      </c>
      <c r="AD7">
        <f>DEVSQ(AA14:AA16)*AA7</f>
        <v>3629.166666666667</v>
      </c>
      <c r="AE7">
        <f>COUNT(AA14:AA16)-1</f>
        <v>2</v>
      </c>
      <c r="AF7">
        <f>AD7/AE7</f>
        <v>1814.5833333333335</v>
      </c>
      <c r="AG7">
        <f>AF7/AF9</f>
        <v>12.826428431179759</v>
      </c>
      <c r="AH7">
        <f>FDIST(AG7,AE7,AE9)</f>
        <v>6.8110647607708659E-3</v>
      </c>
      <c r="AI7" s="792" t="str">
        <f>IF(AH7&lt;AH5,"yes","no")</f>
        <v>yes</v>
      </c>
    </row>
    <row r="8" spans="1:35" x14ac:dyDescent="0.25">
      <c r="G8" s="19" t="s">
        <v>595</v>
      </c>
      <c r="H8" s="19">
        <f>COUNT(B6:E6)</f>
        <v>4</v>
      </c>
      <c r="I8" s="19">
        <f>SUM(B6:E6)</f>
        <v>692</v>
      </c>
      <c r="J8" s="19">
        <f>AVERAGE(B6:E6)</f>
        <v>173</v>
      </c>
      <c r="K8" s="19">
        <f>VAR(B6:E6)</f>
        <v>148.66666666666666</v>
      </c>
      <c r="V8" t="str">
        <f>A5</f>
        <v>Blend Y</v>
      </c>
      <c r="W8" s="501">
        <f t="shared" si="0"/>
        <v>1</v>
      </c>
      <c r="X8" s="7">
        <f t="shared" si="0"/>
        <v>1</v>
      </c>
      <c r="Y8" s="7">
        <f t="shared" si="0"/>
        <v>1</v>
      </c>
      <c r="Z8" s="57">
        <f t="shared" si="0"/>
        <v>1</v>
      </c>
      <c r="AA8">
        <f>COUNT(B5:E5)</f>
        <v>4</v>
      </c>
      <c r="AC8" t="s">
        <v>589</v>
      </c>
      <c r="AD8">
        <f>DEVSQ(W17:Z17)*W10</f>
        <v>1116.9166666666663</v>
      </c>
      <c r="AE8">
        <f>COUNT(W17:Z17)-1</f>
        <v>3</v>
      </c>
      <c r="AF8">
        <f>AD8/AE8</f>
        <v>372.30555555555543</v>
      </c>
      <c r="AG8">
        <f>AF8/AF9</f>
        <v>2.6316512860788706</v>
      </c>
      <c r="AH8">
        <f>FDIST(AG8,AE8,AE9)</f>
        <v>0.14456121517442636</v>
      </c>
      <c r="AI8" s="792" t="str">
        <f>IF(AH8&lt;AH5,"yes","no")</f>
        <v>no</v>
      </c>
    </row>
    <row r="9" spans="1:35" x14ac:dyDescent="0.25">
      <c r="G9" s="19"/>
      <c r="H9" s="19"/>
      <c r="I9" s="19"/>
      <c r="J9" s="19"/>
      <c r="K9" s="19"/>
      <c r="V9" t="str">
        <f>A6</f>
        <v>Blend Z</v>
      </c>
      <c r="W9" s="759">
        <f t="shared" si="0"/>
        <v>1</v>
      </c>
      <c r="X9" s="760">
        <f t="shared" si="0"/>
        <v>1</v>
      </c>
      <c r="Y9" s="760">
        <f t="shared" si="0"/>
        <v>1</v>
      </c>
      <c r="Z9" s="761">
        <f t="shared" si="0"/>
        <v>1</v>
      </c>
      <c r="AA9">
        <f>COUNT(B6:E6)</f>
        <v>4</v>
      </c>
      <c r="AC9" t="s">
        <v>588</v>
      </c>
      <c r="AD9">
        <f>AD11-AD7-AD8</f>
        <v>848.83333333335281</v>
      </c>
      <c r="AE9">
        <f>AE8*AE7</f>
        <v>6</v>
      </c>
      <c r="AF9">
        <f>AD9/AE9</f>
        <v>141.47222222222547</v>
      </c>
    </row>
    <row r="10" spans="1:35" x14ac:dyDescent="0.25">
      <c r="G10" s="19" t="s">
        <v>590</v>
      </c>
      <c r="H10" s="19">
        <f>COUNT(B4:B6)</f>
        <v>3</v>
      </c>
      <c r="I10" s="19">
        <f>SUM(B4:B6)</f>
        <v>424</v>
      </c>
      <c r="J10" s="19">
        <f>AVERAGE(B4:B6)</f>
        <v>141.33333333333334</v>
      </c>
      <c r="K10" s="19">
        <f>VAR(B4:B6)</f>
        <v>282.33333333333337</v>
      </c>
      <c r="W10">
        <f>COUNT(B4:B6)</f>
        <v>3</v>
      </c>
      <c r="X10">
        <f>COUNT(C4:C6)</f>
        <v>3</v>
      </c>
      <c r="Y10">
        <f>COUNT(D4:D6)</f>
        <v>3</v>
      </c>
      <c r="Z10">
        <f>COUNT(E4:E6)</f>
        <v>3</v>
      </c>
      <c r="AA10">
        <f>COUNT(B4:E6)</f>
        <v>12</v>
      </c>
    </row>
    <row r="11" spans="1:35" x14ac:dyDescent="0.25">
      <c r="G11" s="19" t="s">
        <v>591</v>
      </c>
      <c r="H11" s="19">
        <f>COUNT(C4:C6)</f>
        <v>3</v>
      </c>
      <c r="I11" s="19">
        <f>SUM(C4:C6)</f>
        <v>479</v>
      </c>
      <c r="J11" s="19">
        <f>AVERAGE(C4:C6)</f>
        <v>159.66666666666666</v>
      </c>
      <c r="K11" s="19">
        <f>VAR(C4:C6)</f>
        <v>382.33333333333337</v>
      </c>
      <c r="AC11" s="762" t="s">
        <v>1</v>
      </c>
      <c r="AD11" s="762">
        <f>AF11*AE11</f>
        <v>5594.9166666666861</v>
      </c>
      <c r="AE11" s="762">
        <f>AA10-1</f>
        <v>11</v>
      </c>
      <c r="AF11" s="762">
        <f>AA24</f>
        <v>508.62878787878964</v>
      </c>
      <c r="AG11" s="762"/>
      <c r="AH11" s="762"/>
      <c r="AI11" s="762"/>
    </row>
    <row r="12" spans="1:35" x14ac:dyDescent="0.25">
      <c r="G12" s="19" t="s">
        <v>592</v>
      </c>
      <c r="H12" s="19">
        <f>COUNT(D4:D6)</f>
        <v>3</v>
      </c>
      <c r="I12" s="19">
        <f>SUM(D4:D6)</f>
        <v>435</v>
      </c>
      <c r="J12" s="19">
        <f>AVERAGE(D4:D6)</f>
        <v>145</v>
      </c>
      <c r="K12" s="19">
        <f>VAR(D4:D6)</f>
        <v>1425</v>
      </c>
      <c r="V12" t="s">
        <v>610</v>
      </c>
    </row>
    <row r="13" spans="1:35" ht="15.75" thickBot="1" x14ac:dyDescent="0.3">
      <c r="G13" s="20" t="s">
        <v>596</v>
      </c>
      <c r="H13" s="20">
        <f>COUNT(E4:E6)</f>
        <v>3</v>
      </c>
      <c r="I13" s="20">
        <f>SUM(E4:E6)</f>
        <v>493</v>
      </c>
      <c r="J13" s="20">
        <f>AVERAGE(E4:E6)</f>
        <v>164.33333333333334</v>
      </c>
      <c r="K13" s="20">
        <f>VAR(E4:E6)</f>
        <v>149.33333333333331</v>
      </c>
      <c r="W13" s="792" t="str">
        <f>B3</f>
        <v>Wheat</v>
      </c>
      <c r="X13" s="792" t="str">
        <f>C3</f>
        <v>Corn</v>
      </c>
      <c r="Y13" s="792" t="str">
        <f>D3</f>
        <v>Soy</v>
      </c>
      <c r="Z13" s="792" t="str">
        <f>E3</f>
        <v>Rice</v>
      </c>
    </row>
    <row r="14" spans="1:35" x14ac:dyDescent="0.25">
      <c r="O14" t="s">
        <v>2316</v>
      </c>
      <c r="V14" t="str">
        <f>A4</f>
        <v>Blend X</v>
      </c>
      <c r="W14" s="797">
        <f t="shared" ref="W14:Z16" si="1">AVERAGE(B4)</f>
        <v>123</v>
      </c>
      <c r="X14" s="798">
        <f t="shared" si="1"/>
        <v>138</v>
      </c>
      <c r="Y14" s="798">
        <f t="shared" si="1"/>
        <v>110</v>
      </c>
      <c r="Z14" s="799">
        <f t="shared" si="1"/>
        <v>151</v>
      </c>
      <c r="AA14">
        <f>AVERAGE(B4:E4)</f>
        <v>130.5</v>
      </c>
    </row>
    <row r="15" spans="1:35" x14ac:dyDescent="0.25">
      <c r="V15" t="str">
        <f>A5</f>
        <v>Blend Y</v>
      </c>
      <c r="W15" s="501">
        <f t="shared" si="1"/>
        <v>145</v>
      </c>
      <c r="X15" s="7">
        <f t="shared" si="1"/>
        <v>165</v>
      </c>
      <c r="Y15" s="7">
        <f t="shared" si="1"/>
        <v>140</v>
      </c>
      <c r="Z15" s="57">
        <f t="shared" si="1"/>
        <v>167</v>
      </c>
      <c r="AA15">
        <f>AVERAGE(B5:E5)</f>
        <v>154.25</v>
      </c>
    </row>
    <row r="16" spans="1:35" ht="15.75" thickBot="1" x14ac:dyDescent="0.3">
      <c r="G16" t="s">
        <v>294</v>
      </c>
      <c r="O16" t="s">
        <v>294</v>
      </c>
      <c r="V16" t="str">
        <f>A6</f>
        <v>Blend Z</v>
      </c>
      <c r="W16" s="759">
        <f t="shared" si="1"/>
        <v>156</v>
      </c>
      <c r="X16" s="760">
        <f t="shared" si="1"/>
        <v>176</v>
      </c>
      <c r="Y16" s="760">
        <f t="shared" si="1"/>
        <v>185</v>
      </c>
      <c r="Z16" s="761">
        <f t="shared" si="1"/>
        <v>175</v>
      </c>
      <c r="AA16">
        <f>AVERAGE(B6:E6)</f>
        <v>173</v>
      </c>
    </row>
    <row r="17" spans="7:27" x14ac:dyDescent="0.25">
      <c r="G17" s="259" t="s">
        <v>466</v>
      </c>
      <c r="H17" s="259" t="s">
        <v>219</v>
      </c>
      <c r="I17" s="259" t="s">
        <v>60</v>
      </c>
      <c r="J17" s="259" t="s">
        <v>240</v>
      </c>
      <c r="K17" s="259" t="s">
        <v>135</v>
      </c>
      <c r="L17" s="259" t="s">
        <v>119</v>
      </c>
      <c r="M17" s="259" t="s">
        <v>467</v>
      </c>
      <c r="O17" s="689" t="s">
        <v>466</v>
      </c>
      <c r="P17" s="689" t="s">
        <v>219</v>
      </c>
      <c r="Q17" s="689" t="s">
        <v>60</v>
      </c>
      <c r="R17" s="689" t="s">
        <v>240</v>
      </c>
      <c r="S17" s="689" t="s">
        <v>135</v>
      </c>
      <c r="T17" s="689" t="s">
        <v>119</v>
      </c>
      <c r="W17">
        <f>AVERAGE(B4:B6)</f>
        <v>141.33333333333334</v>
      </c>
      <c r="X17">
        <f>AVERAGE(C4:C6)</f>
        <v>159.66666666666666</v>
      </c>
      <c r="Y17">
        <f>AVERAGE(D4:D6)</f>
        <v>145</v>
      </c>
      <c r="Z17">
        <f>AVERAGE(E4:E6)</f>
        <v>164.33333333333334</v>
      </c>
      <c r="AA17">
        <f>AVERAGE(B4:E6)</f>
        <v>152.58333333333334</v>
      </c>
    </row>
    <row r="18" spans="7:27" x14ac:dyDescent="0.25">
      <c r="G18" s="19" t="s">
        <v>136</v>
      </c>
      <c r="H18" s="19">
        <f>DEVSQ(J6:J8)*H6</f>
        <v>3629.166666666667</v>
      </c>
      <c r="I18" s="19">
        <f>H10-1</f>
        <v>2</v>
      </c>
      <c r="J18" s="19">
        <f>H18/I18</f>
        <v>1814.5833333333335</v>
      </c>
      <c r="K18" s="19">
        <f>J18/J20</f>
        <v>12.826428431180046</v>
      </c>
      <c r="L18" s="19">
        <f>FDIST(K18,I18,I20)</f>
        <v>6.8110647607704912E-3</v>
      </c>
      <c r="M18" s="19">
        <f>FINV(0.05,I18,I20)</f>
        <v>5.1432528497847176</v>
      </c>
      <c r="O18" s="19" t="s">
        <v>136</v>
      </c>
      <c r="P18" s="19">
        <f>[1]!ssrow(B4:E6,1)</f>
        <v>3629.166666666667</v>
      </c>
      <c r="Q18" s="19">
        <f>[1]!dfrow(B4:E6,1)</f>
        <v>2</v>
      </c>
      <c r="R18" s="19">
        <f>[1]!msrow(B4:E6,1)</f>
        <v>1814.5833333333335</v>
      </c>
      <c r="S18" s="19">
        <f>[1]!ANOVARow(B4:E6,1)</f>
        <v>12.826428431180053</v>
      </c>
      <c r="T18" s="19">
        <f>[1]!Atestrow(B4:E6,1)</f>
        <v>6.8110647607704912E-3</v>
      </c>
    </row>
    <row r="19" spans="7:27" x14ac:dyDescent="0.25">
      <c r="G19" s="19" t="s">
        <v>589</v>
      </c>
      <c r="H19" s="19">
        <f>DEVSQ(J10:J13)*H10</f>
        <v>1116.9166666666663</v>
      </c>
      <c r="I19" s="19">
        <f>H6-1</f>
        <v>3</v>
      </c>
      <c r="J19" s="19">
        <f>H19/I19</f>
        <v>372.30555555555543</v>
      </c>
      <c r="K19" s="19">
        <f>J19/J20</f>
        <v>2.6316512860789296</v>
      </c>
      <c r="L19" s="19">
        <f>FDIST(K19,I19,I20)</f>
        <v>0.14456121517442133</v>
      </c>
      <c r="M19" s="19">
        <f>FINV(0.05,I19,I20)</f>
        <v>4.7570626630894131</v>
      </c>
      <c r="O19" s="19" t="s">
        <v>589</v>
      </c>
      <c r="P19" s="19">
        <f>[1]!sscol(B4:E6,1)</f>
        <v>1116.9166666666667</v>
      </c>
      <c r="Q19" s="19">
        <f>[1]!dfcol(B4:E6,1)</f>
        <v>3</v>
      </c>
      <c r="R19" s="19">
        <f>[1]!mscol(B4:E6,1)</f>
        <v>372.3055555555556</v>
      </c>
      <c r="S19" s="19">
        <f>[1]!ANOVACol(B4:E6,1)</f>
        <v>2.6316512860789327</v>
      </c>
      <c r="T19" s="19">
        <f>[1]!AtestCol(B4:E6,1)</f>
        <v>0.14456121517442103</v>
      </c>
      <c r="V19" t="s">
        <v>1667</v>
      </c>
    </row>
    <row r="20" spans="7:27" x14ac:dyDescent="0.25">
      <c r="G20" s="19" t="s">
        <v>588</v>
      </c>
      <c r="H20" s="19">
        <f>H22-H18-H19</f>
        <v>848.83333333333371</v>
      </c>
      <c r="I20" s="19">
        <f>I18*I19</f>
        <v>6</v>
      </c>
      <c r="J20" s="19">
        <f>H20/I20</f>
        <v>141.47222222222229</v>
      </c>
      <c r="K20" s="19"/>
      <c r="L20" s="19"/>
      <c r="M20" s="19"/>
      <c r="O20" s="19" t="s">
        <v>588</v>
      </c>
      <c r="P20" s="19">
        <f>[1]!SSWF(B4:E6,1)</f>
        <v>848.83333333333326</v>
      </c>
      <c r="Q20" s="19">
        <f>[1]!dfWF(B4:E6,1)</f>
        <v>6</v>
      </c>
      <c r="R20" s="19">
        <f>[1]!MSWF(B4:E6,1)</f>
        <v>141.4722222222222</v>
      </c>
      <c r="S20" s="19"/>
      <c r="T20" s="19"/>
      <c r="W20" s="792" t="str">
        <f>B3</f>
        <v>Wheat</v>
      </c>
      <c r="X20" s="792" t="str">
        <f>C3</f>
        <v>Corn</v>
      </c>
      <c r="Y20" s="792" t="str">
        <f>D3</f>
        <v>Soy</v>
      </c>
      <c r="Z20" s="792" t="str">
        <f>E3</f>
        <v>Rice</v>
      </c>
    </row>
    <row r="21" spans="7:27" x14ac:dyDescent="0.25">
      <c r="V21" t="str">
        <f>A4</f>
        <v>Blend X</v>
      </c>
      <c r="W21" s="797" t="e">
        <f t="shared" ref="W21:Z23" si="2">VAR(B4)</f>
        <v>#DIV/0!</v>
      </c>
      <c r="X21" s="798" t="e">
        <f t="shared" si="2"/>
        <v>#DIV/0!</v>
      </c>
      <c r="Y21" s="798" t="e">
        <f t="shared" si="2"/>
        <v>#DIV/0!</v>
      </c>
      <c r="Z21" s="799" t="e">
        <f t="shared" si="2"/>
        <v>#DIV/0!</v>
      </c>
      <c r="AA21">
        <f>VAR(B4:E4)</f>
        <v>317.66666666666669</v>
      </c>
    </row>
    <row r="22" spans="7:27" ht="15.75" thickBot="1" x14ac:dyDescent="0.3">
      <c r="G22" s="20" t="s">
        <v>1</v>
      </c>
      <c r="H22" s="20">
        <f>DEVSQ(B4:E6)</f>
        <v>5594.916666666667</v>
      </c>
      <c r="I22" s="20">
        <f>H6*H10-1</f>
        <v>11</v>
      </c>
      <c r="J22" s="20"/>
      <c r="K22" s="20"/>
      <c r="L22" s="20"/>
      <c r="M22" s="20"/>
      <c r="O22" s="20" t="s">
        <v>1</v>
      </c>
      <c r="P22" s="20">
        <f>[1]!sstot(B4:E6,1)</f>
        <v>5594.916666666667</v>
      </c>
      <c r="Q22" s="20">
        <f>[1]!dftot(B4:E6,1)</f>
        <v>11</v>
      </c>
      <c r="R22" s="20"/>
      <c r="S22" s="20"/>
      <c r="T22" s="20"/>
      <c r="V22" t="str">
        <f>A5</f>
        <v>Blend Y</v>
      </c>
      <c r="W22" s="501" t="e">
        <f t="shared" si="2"/>
        <v>#DIV/0!</v>
      </c>
      <c r="X22" s="7" t="e">
        <f t="shared" si="2"/>
        <v>#DIV/0!</v>
      </c>
      <c r="Y22" s="7" t="e">
        <f t="shared" si="2"/>
        <v>#DIV/0!</v>
      </c>
      <c r="Z22" s="57" t="e">
        <f t="shared" si="2"/>
        <v>#DIV/0!</v>
      </c>
      <c r="AA22">
        <f>VAR(B5:E5)</f>
        <v>188.91666666666666</v>
      </c>
    </row>
    <row r="23" spans="7:27" x14ac:dyDescent="0.25">
      <c r="V23" t="str">
        <f>A6</f>
        <v>Blend Z</v>
      </c>
      <c r="W23" s="759" t="e">
        <f t="shared" si="2"/>
        <v>#DIV/0!</v>
      </c>
      <c r="X23" s="760" t="e">
        <f t="shared" si="2"/>
        <v>#DIV/0!</v>
      </c>
      <c r="Y23" s="760" t="e">
        <f t="shared" si="2"/>
        <v>#DIV/0!</v>
      </c>
      <c r="Z23" s="761" t="e">
        <f t="shared" si="2"/>
        <v>#DIV/0!</v>
      </c>
      <c r="AA23">
        <f>VAR(B6:E6)</f>
        <v>148.66666666666666</v>
      </c>
    </row>
    <row r="24" spans="7:27" x14ac:dyDescent="0.25">
      <c r="W24">
        <f>VAR(B4:B6)</f>
        <v>282.33333333333337</v>
      </c>
      <c r="X24">
        <f>VAR(C4:C6)</f>
        <v>382.33333333333337</v>
      </c>
      <c r="Y24">
        <f>VAR(D4:D6)</f>
        <v>1425</v>
      </c>
      <c r="Z24">
        <f>VAR(E4:E6)</f>
        <v>149.33333333333331</v>
      </c>
      <c r="AA24">
        <f>VAR(B4:E6)</f>
        <v>508.62878787878964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U47"/>
  <sheetViews>
    <sheetView zoomScaleNormal="100" workbookViewId="0"/>
  </sheetViews>
  <sheetFormatPr defaultRowHeight="15" x14ac:dyDescent="0.25"/>
  <cols>
    <col min="7" max="7" width="17.28515625" customWidth="1"/>
  </cols>
  <sheetData>
    <row r="1" spans="1:15" x14ac:dyDescent="0.25">
      <c r="A1" s="1" t="s">
        <v>661</v>
      </c>
      <c r="G1" t="s">
        <v>599</v>
      </c>
      <c r="O1" t="s">
        <v>437</v>
      </c>
    </row>
    <row r="3" spans="1:15" x14ac:dyDescent="0.25">
      <c r="B3" s="1288" t="s">
        <v>601</v>
      </c>
      <c r="C3" s="1289"/>
      <c r="D3" s="1289"/>
      <c r="E3" s="1290"/>
      <c r="G3" t="s">
        <v>62</v>
      </c>
      <c r="H3" s="245" t="s">
        <v>590</v>
      </c>
      <c r="I3" s="245" t="s">
        <v>591</v>
      </c>
      <c r="J3" s="245" t="s">
        <v>592</v>
      </c>
      <c r="K3" s="245" t="s">
        <v>596</v>
      </c>
      <c r="L3" s="245" t="s">
        <v>1</v>
      </c>
    </row>
    <row r="4" spans="1:15" ht="15.75" thickBot="1" x14ac:dyDescent="0.3">
      <c r="A4" s="269" t="s">
        <v>602</v>
      </c>
      <c r="B4" s="270" t="s">
        <v>590</v>
      </c>
      <c r="C4" s="270" t="s">
        <v>591</v>
      </c>
      <c r="D4" s="270" t="s">
        <v>592</v>
      </c>
      <c r="E4" s="270" t="s">
        <v>596</v>
      </c>
      <c r="G4" s="274" t="s">
        <v>593</v>
      </c>
      <c r="H4" s="274"/>
      <c r="I4" s="274"/>
      <c r="J4" s="274"/>
      <c r="K4" s="274"/>
      <c r="L4" s="274"/>
    </row>
    <row r="5" spans="1:15" x14ac:dyDescent="0.25">
      <c r="A5" s="266" t="s">
        <v>593</v>
      </c>
      <c r="B5" s="271">
        <v>123</v>
      </c>
      <c r="C5" s="271">
        <v>128</v>
      </c>
      <c r="D5" s="271">
        <v>166</v>
      </c>
      <c r="E5" s="271">
        <v>151</v>
      </c>
      <c r="G5" s="19" t="s">
        <v>22</v>
      </c>
      <c r="H5">
        <f>COUNT(B5:B9)</f>
        <v>5</v>
      </c>
      <c r="I5">
        <f>COUNT(C5:C9)</f>
        <v>5</v>
      </c>
      <c r="J5">
        <f>COUNT(D5:D9)</f>
        <v>5</v>
      </c>
      <c r="K5">
        <f>COUNT(E5:E9)</f>
        <v>5</v>
      </c>
      <c r="L5" s="19">
        <f>SUM(H5:K5)</f>
        <v>20</v>
      </c>
    </row>
    <row r="6" spans="1:15" x14ac:dyDescent="0.25">
      <c r="A6" s="6"/>
      <c r="B6" s="272">
        <v>156</v>
      </c>
      <c r="C6" s="272">
        <v>150</v>
      </c>
      <c r="D6" s="272">
        <v>178</v>
      </c>
      <c r="E6" s="272">
        <v>125</v>
      </c>
      <c r="G6" s="19" t="s">
        <v>21</v>
      </c>
      <c r="H6" s="19">
        <f>SUM(B5:B9)</f>
        <v>659</v>
      </c>
      <c r="I6" s="19">
        <f>SUM(C5:C9)</f>
        <v>677</v>
      </c>
      <c r="J6" s="19">
        <f>SUM(D5:D9)</f>
        <v>879</v>
      </c>
      <c r="K6" s="19">
        <f>SUM(E5:E9)</f>
        <v>706</v>
      </c>
      <c r="L6" s="19">
        <f>SUM(B5:E9)</f>
        <v>2921</v>
      </c>
    </row>
    <row r="7" spans="1:15" x14ac:dyDescent="0.25">
      <c r="A7" s="273"/>
      <c r="B7" s="272">
        <v>112</v>
      </c>
      <c r="C7" s="272">
        <v>174</v>
      </c>
      <c r="D7" s="272">
        <v>187</v>
      </c>
      <c r="E7" s="272">
        <v>117</v>
      </c>
      <c r="G7" s="19" t="s">
        <v>465</v>
      </c>
      <c r="H7" s="19">
        <f>AVERAGE(B5:B9)</f>
        <v>131.80000000000001</v>
      </c>
      <c r="I7" s="19">
        <f>AVERAGE(C5:C9)</f>
        <v>135.4</v>
      </c>
      <c r="J7" s="19">
        <f>AVERAGE(D5:D9)</f>
        <v>175.8</v>
      </c>
      <c r="K7" s="19">
        <f>AVERAGE(E5:E9)</f>
        <v>141.19999999999999</v>
      </c>
      <c r="L7" s="19">
        <f>AVERAGE(B5:E9)</f>
        <v>146.05000000000001</v>
      </c>
    </row>
    <row r="8" spans="1:15" x14ac:dyDescent="0.25">
      <c r="A8" s="273"/>
      <c r="B8" s="272">
        <v>100</v>
      </c>
      <c r="C8" s="272">
        <v>116</v>
      </c>
      <c r="D8" s="272">
        <v>153</v>
      </c>
      <c r="E8" s="272">
        <v>155</v>
      </c>
      <c r="G8" s="19" t="s">
        <v>80</v>
      </c>
      <c r="H8" s="19">
        <f>VAR(B5:B9)</f>
        <v>844.20000000000073</v>
      </c>
      <c r="I8" s="19">
        <f>VAR(C5:C9)</f>
        <v>707.79999999999927</v>
      </c>
      <c r="J8" s="19">
        <f>VAR(D5:D9)</f>
        <v>278.7</v>
      </c>
      <c r="K8" s="19">
        <f>VAR(E5:E9)</f>
        <v>354.20000000000073</v>
      </c>
      <c r="L8" s="19">
        <f>VAR(B5:E9)</f>
        <v>782.3657894736848</v>
      </c>
    </row>
    <row r="9" spans="1:15" x14ac:dyDescent="0.25">
      <c r="A9" s="273"/>
      <c r="B9" s="24">
        <v>168</v>
      </c>
      <c r="C9" s="24">
        <v>109</v>
      </c>
      <c r="D9" s="24">
        <v>195</v>
      </c>
      <c r="E9" s="24">
        <v>158</v>
      </c>
      <c r="G9" s="19"/>
      <c r="H9" s="19"/>
      <c r="I9" s="19"/>
      <c r="J9" s="19"/>
      <c r="K9" s="19"/>
      <c r="L9" s="19"/>
    </row>
    <row r="10" spans="1:15" ht="15.75" thickBot="1" x14ac:dyDescent="0.3">
      <c r="A10" s="266" t="s">
        <v>594</v>
      </c>
      <c r="B10" s="271">
        <v>135</v>
      </c>
      <c r="C10" s="271">
        <v>175</v>
      </c>
      <c r="D10" s="271">
        <v>140</v>
      </c>
      <c r="E10" s="271">
        <v>167</v>
      </c>
      <c r="G10" s="274" t="s">
        <v>594</v>
      </c>
      <c r="H10" s="274"/>
      <c r="I10" s="274"/>
      <c r="J10" s="274"/>
      <c r="K10" s="274"/>
      <c r="L10" s="274"/>
    </row>
    <row r="11" spans="1:15" x14ac:dyDescent="0.25">
      <c r="A11" s="273"/>
      <c r="B11" s="272">
        <v>130</v>
      </c>
      <c r="C11" s="272">
        <v>132</v>
      </c>
      <c r="D11" s="272">
        <v>145</v>
      </c>
      <c r="E11" s="272">
        <v>183</v>
      </c>
      <c r="G11" s="19" t="s">
        <v>22</v>
      </c>
      <c r="H11" s="278">
        <f>COUNT(B10:B14)</f>
        <v>5</v>
      </c>
      <c r="I11" s="278">
        <f>COUNT(C10:C14)</f>
        <v>5</v>
      </c>
      <c r="J11" s="278">
        <f>COUNT(D10:D14)</f>
        <v>5</v>
      </c>
      <c r="K11" s="278">
        <f>COUNT(E10:E14)</f>
        <v>5</v>
      </c>
      <c r="L11" s="19">
        <f>SUM(H11:K11)</f>
        <v>20</v>
      </c>
    </row>
    <row r="12" spans="1:15" x14ac:dyDescent="0.25">
      <c r="A12" s="273"/>
      <c r="B12" s="272">
        <v>176</v>
      </c>
      <c r="C12" s="272">
        <v>120</v>
      </c>
      <c r="D12" s="272">
        <v>159</v>
      </c>
      <c r="E12" s="272">
        <v>142</v>
      </c>
      <c r="G12" s="19" t="s">
        <v>21</v>
      </c>
      <c r="H12" s="19">
        <f>SUM(B10:B14)</f>
        <v>716</v>
      </c>
      <c r="I12" s="19">
        <f>SUM(C10:C14)</f>
        <v>798</v>
      </c>
      <c r="J12" s="19">
        <f>SUM(D10:D14)</f>
        <v>701</v>
      </c>
      <c r="K12" s="19">
        <f>SUM(E10:E14)</f>
        <v>827</v>
      </c>
      <c r="L12" s="19">
        <f>SUM(B10:E14)</f>
        <v>3042</v>
      </c>
    </row>
    <row r="13" spans="1:15" x14ac:dyDescent="0.25">
      <c r="A13" s="273"/>
      <c r="B13" s="272">
        <v>120</v>
      </c>
      <c r="C13" s="272">
        <v>187</v>
      </c>
      <c r="D13" s="272">
        <v>131</v>
      </c>
      <c r="E13" s="272">
        <v>167</v>
      </c>
      <c r="G13" s="19" t="s">
        <v>465</v>
      </c>
      <c r="H13" s="19">
        <f>AVERAGE(B10:B14)</f>
        <v>143.19999999999999</v>
      </c>
      <c r="I13" s="19">
        <f>AVERAGE(C10:C14)</f>
        <v>159.6</v>
      </c>
      <c r="J13" s="19">
        <f>AVERAGE(D10:D14)</f>
        <v>140.19999999999999</v>
      </c>
      <c r="K13" s="19">
        <f>AVERAGE(E10:E14)</f>
        <v>165.4</v>
      </c>
      <c r="L13" s="19">
        <f>AVERAGE(B10:E14)</f>
        <v>152.1</v>
      </c>
    </row>
    <row r="14" spans="1:15" x14ac:dyDescent="0.25">
      <c r="A14" s="273"/>
      <c r="B14" s="24">
        <v>155</v>
      </c>
      <c r="C14" s="24">
        <v>184</v>
      </c>
      <c r="D14" s="24">
        <v>126</v>
      </c>
      <c r="E14" s="24">
        <v>168</v>
      </c>
      <c r="G14" s="19" t="s">
        <v>80</v>
      </c>
      <c r="H14" s="19">
        <f>VAR(B10:B14)</f>
        <v>498.70000000000073</v>
      </c>
      <c r="I14" s="19">
        <f>VAR(C10:C14)</f>
        <v>978.29999999999927</v>
      </c>
      <c r="J14" s="19">
        <f>VAR(D10:D14)</f>
        <v>165.7</v>
      </c>
      <c r="K14" s="19">
        <f>VAR(E10:E14)</f>
        <v>217.3</v>
      </c>
      <c r="L14" s="19">
        <f>VAR(B10:E14)</f>
        <v>511.04210526315728</v>
      </c>
    </row>
    <row r="15" spans="1:15" x14ac:dyDescent="0.25">
      <c r="A15" s="266" t="s">
        <v>595</v>
      </c>
      <c r="B15" s="271">
        <v>156</v>
      </c>
      <c r="C15" s="271">
        <v>186</v>
      </c>
      <c r="D15" s="271">
        <v>185</v>
      </c>
      <c r="E15" s="271">
        <v>175</v>
      </c>
      <c r="G15" s="19"/>
      <c r="H15" s="19"/>
      <c r="I15" s="19"/>
      <c r="J15" s="19"/>
      <c r="K15" s="19"/>
      <c r="L15" s="19"/>
    </row>
    <row r="16" spans="1:15" ht="15.75" thickBot="1" x14ac:dyDescent="0.3">
      <c r="A16" s="273"/>
      <c r="B16" s="272">
        <v>180</v>
      </c>
      <c r="C16" s="272">
        <v>138</v>
      </c>
      <c r="D16" s="272">
        <v>206</v>
      </c>
      <c r="E16" s="272">
        <v>173</v>
      </c>
      <c r="G16" s="274" t="s">
        <v>595</v>
      </c>
      <c r="H16" s="274"/>
      <c r="I16" s="274"/>
      <c r="J16" s="274"/>
      <c r="K16" s="274"/>
      <c r="L16" s="274"/>
    </row>
    <row r="17" spans="1:21" x14ac:dyDescent="0.25">
      <c r="A17" s="273"/>
      <c r="B17" s="272">
        <v>147</v>
      </c>
      <c r="C17" s="272">
        <v>178</v>
      </c>
      <c r="D17" s="272">
        <v>188</v>
      </c>
      <c r="E17" s="272">
        <v>154</v>
      </c>
      <c r="G17" s="19" t="s">
        <v>22</v>
      </c>
      <c r="H17" s="19">
        <f>COUNT(B15:B19)</f>
        <v>5</v>
      </c>
      <c r="I17" s="19">
        <f>COUNT(C15:C19)</f>
        <v>5</v>
      </c>
      <c r="J17" s="19">
        <f>COUNT(D15:D19)</f>
        <v>5</v>
      </c>
      <c r="K17" s="19">
        <f>COUNT(E15:E19)</f>
        <v>5</v>
      </c>
      <c r="L17" s="19">
        <f>SUM(H17:K17)</f>
        <v>20</v>
      </c>
    </row>
    <row r="18" spans="1:21" x14ac:dyDescent="0.25">
      <c r="A18" s="273"/>
      <c r="B18" s="272">
        <v>146</v>
      </c>
      <c r="C18" s="272">
        <v>176</v>
      </c>
      <c r="D18" s="272">
        <v>165</v>
      </c>
      <c r="E18" s="272">
        <v>191</v>
      </c>
      <c r="G18" s="19" t="s">
        <v>21</v>
      </c>
      <c r="H18" s="19">
        <f>SUM(B15:B19)</f>
        <v>822</v>
      </c>
      <c r="I18" s="19">
        <f>SUM(C15:C19)</f>
        <v>868</v>
      </c>
      <c r="J18" s="19">
        <f>SUM(D15:D19)</f>
        <v>932</v>
      </c>
      <c r="K18" s="19">
        <f>SUM(E15:E19)</f>
        <v>862</v>
      </c>
      <c r="L18" s="19">
        <f>SUM(B15:E19)</f>
        <v>3484</v>
      </c>
    </row>
    <row r="19" spans="1:21" x14ac:dyDescent="0.25">
      <c r="A19" s="9"/>
      <c r="B19" s="24">
        <v>193</v>
      </c>
      <c r="C19" s="24">
        <v>190</v>
      </c>
      <c r="D19" s="24">
        <v>188</v>
      </c>
      <c r="E19" s="24">
        <v>169</v>
      </c>
      <c r="G19" s="19" t="s">
        <v>465</v>
      </c>
      <c r="H19" s="19">
        <f>AVERAGE(B15:B19)</f>
        <v>164.4</v>
      </c>
      <c r="I19" s="19">
        <f>AVERAGE(C15:C19)</f>
        <v>173.6</v>
      </c>
      <c r="J19" s="19">
        <f>AVERAGE(D15:D19)</f>
        <v>186.4</v>
      </c>
      <c r="K19" s="19">
        <f>AVERAGE(E15:E19)</f>
        <v>172.4</v>
      </c>
      <c r="L19" s="19">
        <f>AVERAGE(B15:E19)</f>
        <v>174.2</v>
      </c>
    </row>
    <row r="20" spans="1:21" x14ac:dyDescent="0.25">
      <c r="G20" s="19" t="s">
        <v>80</v>
      </c>
      <c r="H20" s="19">
        <f>VAR(B15:B19)</f>
        <v>443.30000000000291</v>
      </c>
      <c r="I20" s="19">
        <f>VAR(C15:C19)</f>
        <v>428.80000000000291</v>
      </c>
      <c r="J20" s="19">
        <f>VAR(D15:D19)</f>
        <v>212.3</v>
      </c>
      <c r="K20" s="19">
        <f>VAR(E15:E19)</f>
        <v>175.8</v>
      </c>
      <c r="L20" s="19">
        <f>VAR(B15:E19)</f>
        <v>330.69473684210283</v>
      </c>
    </row>
    <row r="22" spans="1:21" ht="15.75" thickBot="1" x14ac:dyDescent="0.3">
      <c r="G22" s="274" t="s">
        <v>1</v>
      </c>
      <c r="H22" s="274"/>
      <c r="I22" s="274"/>
      <c r="J22" s="274"/>
      <c r="K22" s="274"/>
      <c r="L22" s="274"/>
    </row>
    <row r="23" spans="1:21" x14ac:dyDescent="0.25">
      <c r="G23" s="19" t="s">
        <v>22</v>
      </c>
      <c r="H23" s="19">
        <f>COUNT(B5:B19)</f>
        <v>15</v>
      </c>
      <c r="I23" s="19">
        <f>COUNT(C5:C19)</f>
        <v>15</v>
      </c>
      <c r="J23" s="19">
        <f>COUNT(D5:D19)</f>
        <v>15</v>
      </c>
      <c r="K23" s="19">
        <f>COUNT(E5:E19)</f>
        <v>15</v>
      </c>
      <c r="L23">
        <f>SUM(H23:K23)</f>
        <v>60</v>
      </c>
    </row>
    <row r="24" spans="1:21" x14ac:dyDescent="0.25">
      <c r="G24" s="19" t="s">
        <v>21</v>
      </c>
      <c r="H24" s="19">
        <f>SUM(B5:B19)</f>
        <v>2197</v>
      </c>
      <c r="I24" s="19">
        <f>SUM(C5:C19)</f>
        <v>2343</v>
      </c>
      <c r="J24" s="19">
        <f>SUM(D5:D19)</f>
        <v>2512</v>
      </c>
      <c r="K24" s="19">
        <f>SUM(E5:E19)</f>
        <v>2395</v>
      </c>
      <c r="L24">
        <f>SUM(H24:K24)</f>
        <v>9447</v>
      </c>
    </row>
    <row r="25" spans="1:21" x14ac:dyDescent="0.25">
      <c r="G25" s="19" t="s">
        <v>465</v>
      </c>
      <c r="H25" s="19">
        <f>AVERAGE(B5:B19)</f>
        <v>146.46666666666667</v>
      </c>
      <c r="I25" s="19">
        <f>AVERAGE(C5:C19)</f>
        <v>156.19999999999999</v>
      </c>
      <c r="J25" s="19">
        <f>AVERAGE(D5:D19)</f>
        <v>167.46666666666667</v>
      </c>
      <c r="K25" s="19">
        <f>AVERAGE(E5:E19)</f>
        <v>159.66666666666666</v>
      </c>
      <c r="L25">
        <f>AVERAGE(B5:E19)</f>
        <v>157.44999999999999</v>
      </c>
    </row>
    <row r="26" spans="1:21" x14ac:dyDescent="0.25">
      <c r="G26" s="19" t="s">
        <v>80</v>
      </c>
      <c r="H26" s="19">
        <f>VAR(B5:B19)</f>
        <v>705.83809523809555</v>
      </c>
      <c r="I26" s="19">
        <f>VAR(C5:C19)</f>
        <v>871.02857142857306</v>
      </c>
      <c r="J26" s="19">
        <f>VAR(D5:D19)</f>
        <v>605.98095238095266</v>
      </c>
      <c r="K26" s="19">
        <f>VAR(E5:E19)</f>
        <v>404.95238095237954</v>
      </c>
      <c r="L26">
        <f>VAR(B5:E19)</f>
        <v>671.87881355932359</v>
      </c>
      <c r="P26" t="s">
        <v>2316</v>
      </c>
    </row>
    <row r="27" spans="1:21" x14ac:dyDescent="0.25">
      <c r="G27" s="19"/>
      <c r="H27" s="19"/>
      <c r="I27" s="19"/>
      <c r="J27" s="19"/>
    </row>
    <row r="28" spans="1:21" ht="15.75" thickBot="1" x14ac:dyDescent="0.3">
      <c r="G28" t="s">
        <v>294</v>
      </c>
      <c r="P28" t="s">
        <v>294</v>
      </c>
    </row>
    <row r="29" spans="1:21" x14ac:dyDescent="0.25">
      <c r="G29" s="259" t="s">
        <v>466</v>
      </c>
      <c r="H29" s="259" t="s">
        <v>219</v>
      </c>
      <c r="I29" s="259" t="s">
        <v>60</v>
      </c>
      <c r="J29" s="259" t="s">
        <v>240</v>
      </c>
      <c r="K29" s="259" t="s">
        <v>135</v>
      </c>
      <c r="L29" s="259" t="s">
        <v>119</v>
      </c>
      <c r="M29" s="259" t="s">
        <v>467</v>
      </c>
      <c r="P29" s="668" t="s">
        <v>1317</v>
      </c>
      <c r="Q29" s="668" t="s">
        <v>219</v>
      </c>
      <c r="R29" s="668" t="s">
        <v>60</v>
      </c>
      <c r="S29" s="668" t="s">
        <v>240</v>
      </c>
      <c r="T29" s="668" t="s">
        <v>135</v>
      </c>
      <c r="U29" s="668" t="s">
        <v>119</v>
      </c>
    </row>
    <row r="30" spans="1:21" x14ac:dyDescent="0.25">
      <c r="G30" s="19" t="s">
        <v>605</v>
      </c>
      <c r="H30" s="19">
        <f>DEVSQ(H39:H41)/L5</f>
        <v>8782.9</v>
      </c>
      <c r="I30" s="19">
        <f>COUNTA(G39:G41)-1</f>
        <v>2</v>
      </c>
      <c r="J30" s="19">
        <f>H30/I30</f>
        <v>4391.45</v>
      </c>
      <c r="K30" s="19">
        <f>J30/J$33</f>
        <v>9.9333471565097717</v>
      </c>
      <c r="L30">
        <f>FDIST(K30,I30,I$33)</f>
        <v>2.4548728137133413E-4</v>
      </c>
      <c r="M30">
        <f>FINV(0.05,I30,I$33)</f>
        <v>3.1907273359284987</v>
      </c>
      <c r="P30" s="19" t="s">
        <v>602</v>
      </c>
      <c r="Q30" s="19">
        <f>[1]!ssrow(B5:E19,5)</f>
        <v>8782.9</v>
      </c>
      <c r="R30" s="19">
        <f>[1]!dfrow(B5:E19,5)</f>
        <v>2</v>
      </c>
      <c r="S30" s="19">
        <f>[1]!msrow(B5:E19,5)</f>
        <v>4391.45</v>
      </c>
      <c r="T30" s="19">
        <f>[1]!ANOVARow(B5:E19,5)</f>
        <v>9.9333471565097717</v>
      </c>
      <c r="U30">
        <f>[1]!Atestrow(B5:E19,5)</f>
        <v>2.4548728137133413E-4</v>
      </c>
    </row>
    <row r="31" spans="1:21" x14ac:dyDescent="0.25">
      <c r="G31" s="19" t="s">
        <v>606</v>
      </c>
      <c r="H31" s="19">
        <f>DEVSQ(H44:H47)/H23</f>
        <v>3411.65</v>
      </c>
      <c r="I31" s="19">
        <f>COUNTA(G44:G47)-1</f>
        <v>3</v>
      </c>
      <c r="J31" s="19">
        <f>H31/I31</f>
        <v>1137.2166666666667</v>
      </c>
      <c r="K31" s="19">
        <f>J31/J$33</f>
        <v>2.5723549037718416</v>
      </c>
      <c r="L31">
        <f>FDIST(K31,I31,I$33)</f>
        <v>6.4943822161567036E-2</v>
      </c>
      <c r="M31">
        <f>FINV(0.05,I31,I$33)</f>
        <v>2.7980606354356103</v>
      </c>
      <c r="P31" s="19" t="s">
        <v>1318</v>
      </c>
      <c r="Q31" s="19">
        <f>[1]!sscol(B5:E19,5)</f>
        <v>3411.65</v>
      </c>
      <c r="R31" s="19">
        <f>[1]!dfcol(B5:E19,5)</f>
        <v>3</v>
      </c>
      <c r="S31" s="19">
        <f>[1]!mscol(B5:E19,5)</f>
        <v>1137.2166666666667</v>
      </c>
      <c r="T31" s="19">
        <f>[1]!ANOVACol(B5:E19,5)</f>
        <v>2.5723549037718416</v>
      </c>
      <c r="U31">
        <f>[1]!AtestCol(B5:E19,5)</f>
        <v>6.4943822161567036E-2</v>
      </c>
    </row>
    <row r="32" spans="1:21" x14ac:dyDescent="0.25">
      <c r="G32" s="19" t="s">
        <v>437</v>
      </c>
      <c r="H32" s="19">
        <f>H35-H30-H31-H33</f>
        <v>6225.899999999976</v>
      </c>
      <c r="I32" s="19">
        <f>I30*I31</f>
        <v>6</v>
      </c>
      <c r="J32" s="19">
        <f>H32/I32</f>
        <v>1037.649999999996</v>
      </c>
      <c r="K32" s="19">
        <f>J32/J$33</f>
        <v>2.3471376599875495</v>
      </c>
      <c r="L32">
        <f>FDIST(K32,I32,I$33)</f>
        <v>4.5555492136473183E-2</v>
      </c>
      <c r="M32">
        <f>FINV(0.05,I32,I$33)</f>
        <v>2.29460131347063</v>
      </c>
      <c r="P32" s="19" t="s">
        <v>1319</v>
      </c>
      <c r="Q32" s="19">
        <f>[1]!SSInt(B5:E19,5)</f>
        <v>6225.8999999999796</v>
      </c>
      <c r="R32" s="19">
        <f>[1]!dfint(B5:E19,5)</f>
        <v>6</v>
      </c>
      <c r="S32" s="19">
        <f>[1]!msint(B5:E19,5)</f>
        <v>1037.6499999999967</v>
      </c>
      <c r="T32" s="19">
        <f>[1]!Anovaint(B5:E19,5)</f>
        <v>2.3471376599875513</v>
      </c>
      <c r="U32">
        <f>[1]!Atestint(B5:E19,5)</f>
        <v>4.5555492136473058E-2</v>
      </c>
    </row>
    <row r="33" spans="5:21" x14ac:dyDescent="0.25">
      <c r="G33" s="19" t="s">
        <v>600</v>
      </c>
      <c r="H33" s="19">
        <f>SUM(K39:N41)</f>
        <v>21220.400000000005</v>
      </c>
      <c r="I33" s="19">
        <f>COUNT(B5:E19)-COUNTA(G39:G41)*COUNTA(G44:G47)</f>
        <v>48</v>
      </c>
      <c r="J33" s="19">
        <f>H33/I33</f>
        <v>442.09166666666675</v>
      </c>
      <c r="K33" s="19"/>
      <c r="L33" s="19"/>
      <c r="M33" s="19"/>
      <c r="P33" s="19" t="s">
        <v>600</v>
      </c>
      <c r="Q33" s="19">
        <f>[1]!SSWF(B5:E19,5)</f>
        <v>21220.400000000005</v>
      </c>
      <c r="R33" s="19">
        <f>[1]!dfWF(B5:E19,5)</f>
        <v>48</v>
      </c>
      <c r="S33" s="19">
        <f>[1]!MSWF(B5:E19,5)</f>
        <v>442.09166666666675</v>
      </c>
      <c r="T33" s="19"/>
      <c r="U33" s="19"/>
    </row>
    <row r="34" spans="5:21" ht="15.75" thickBot="1" x14ac:dyDescent="0.3">
      <c r="G34" s="19"/>
      <c r="H34" s="19"/>
      <c r="I34" s="19"/>
      <c r="J34" s="19"/>
      <c r="K34" s="19"/>
      <c r="L34" s="19"/>
      <c r="M34" s="19"/>
      <c r="P34" s="20" t="s">
        <v>1</v>
      </c>
      <c r="Q34" s="20">
        <f>[1]!sstot(B5:E19,5)</f>
        <v>39640.849999999984</v>
      </c>
      <c r="R34" s="20">
        <f>[1]!dftot(B5:E19,5)</f>
        <v>59</v>
      </c>
      <c r="S34" s="20">
        <f>[1]!mstot(B5:E19,5)</f>
        <v>671.87881355932177</v>
      </c>
      <c r="T34" s="20"/>
      <c r="U34" s="20"/>
    </row>
    <row r="35" spans="5:21" ht="15.75" thickBot="1" x14ac:dyDescent="0.3">
      <c r="G35" s="20" t="s">
        <v>1</v>
      </c>
      <c r="H35" s="20">
        <f>DEVSQ(B5:E19)</f>
        <v>39640.849999999984</v>
      </c>
      <c r="I35" s="20">
        <f>COUNT(B5:E19)-1</f>
        <v>59</v>
      </c>
      <c r="J35" s="20"/>
      <c r="K35" s="20"/>
      <c r="L35" s="20"/>
      <c r="M35" s="20"/>
    </row>
    <row r="37" spans="5:21" ht="15.75" thickBot="1" x14ac:dyDescent="0.3">
      <c r="E37" s="13"/>
      <c r="P37" s="282" t="s">
        <v>617</v>
      </c>
    </row>
    <row r="38" spans="5:21" x14ac:dyDescent="0.25">
      <c r="G38" s="259" t="s">
        <v>604</v>
      </c>
      <c r="H38" s="259" t="s">
        <v>21</v>
      </c>
      <c r="J38" s="245" t="s">
        <v>608</v>
      </c>
      <c r="K38" s="190" t="s">
        <v>590</v>
      </c>
      <c r="L38" s="190" t="s">
        <v>591</v>
      </c>
      <c r="M38" s="190" t="s">
        <v>592</v>
      </c>
      <c r="N38" s="190" t="s">
        <v>596</v>
      </c>
    </row>
    <row r="39" spans="5:21" x14ac:dyDescent="0.25">
      <c r="G39" t="s">
        <v>593</v>
      </c>
      <c r="H39">
        <f>SUM(B5:E9)</f>
        <v>2921</v>
      </c>
      <c r="J39" t="s">
        <v>593</v>
      </c>
      <c r="K39" s="266">
        <f>DEVSQ(B5:B9)</f>
        <v>3376.7999999999997</v>
      </c>
      <c r="L39" s="267">
        <f>DEVSQ(C5:C9)</f>
        <v>2831.2</v>
      </c>
      <c r="M39" s="267">
        <f>DEVSQ(D5:D9)</f>
        <v>1114.8</v>
      </c>
      <c r="N39" s="268">
        <f>DEVSQ(E5:E9)</f>
        <v>1416.8000000000002</v>
      </c>
      <c r="P39" t="s">
        <v>618</v>
      </c>
      <c r="Q39" s="664">
        <f>DEVSQ(K44:N46)*H5</f>
        <v>18420.450000000004</v>
      </c>
    </row>
    <row r="40" spans="5:21" x14ac:dyDescent="0.25">
      <c r="G40" s="53" t="s">
        <v>594</v>
      </c>
      <c r="H40">
        <f>SUM(B10:E14)</f>
        <v>3042</v>
      </c>
      <c r="J40" t="s">
        <v>594</v>
      </c>
      <c r="K40" s="273">
        <f>DEVSQ(B10:B14)</f>
        <v>1994.8000000000002</v>
      </c>
      <c r="L40" s="7">
        <f>DEVSQ(C10:C14)</f>
        <v>3913.2</v>
      </c>
      <c r="M40" s="7">
        <f>DEVSQ(D10:D14)</f>
        <v>662.8</v>
      </c>
      <c r="N40" s="8">
        <f>DEVSQ(E10:E14)</f>
        <v>869.2</v>
      </c>
      <c r="P40" t="s">
        <v>619</v>
      </c>
      <c r="Q40" s="503">
        <f>H35</f>
        <v>39640.849999999984</v>
      </c>
    </row>
    <row r="41" spans="5:21" ht="15.75" thickBot="1" x14ac:dyDescent="0.3">
      <c r="G41" s="20" t="s">
        <v>595</v>
      </c>
      <c r="H41" s="20">
        <f>SUM(B15:E19)</f>
        <v>3484</v>
      </c>
      <c r="J41" t="s">
        <v>595</v>
      </c>
      <c r="K41" s="9">
        <f>DEVSQ(B15:B19)</f>
        <v>1773.1999999999998</v>
      </c>
      <c r="L41" s="10">
        <f>DEVSQ(C15:C19)</f>
        <v>1715.2000000000003</v>
      </c>
      <c r="M41" s="10">
        <f>DEVSQ(D15:D19)</f>
        <v>849.2</v>
      </c>
      <c r="N41" s="11">
        <f>DEVSQ(E15:E19)</f>
        <v>703.2</v>
      </c>
      <c r="P41" t="s">
        <v>608</v>
      </c>
      <c r="Q41" s="420">
        <f>Q40-Q39</f>
        <v>21220.39999999998</v>
      </c>
    </row>
    <row r="42" spans="5:21" ht="15.75" thickBot="1" x14ac:dyDescent="0.3"/>
    <row r="43" spans="5:21" x14ac:dyDescent="0.25">
      <c r="G43" s="259" t="s">
        <v>603</v>
      </c>
      <c r="H43" s="259" t="s">
        <v>21</v>
      </c>
      <c r="J43" s="245" t="s">
        <v>609</v>
      </c>
      <c r="K43" s="190" t="s">
        <v>590</v>
      </c>
      <c r="L43" s="190" t="s">
        <v>591</v>
      </c>
      <c r="M43" s="190" t="s">
        <v>592</v>
      </c>
      <c r="N43" s="190" t="s">
        <v>596</v>
      </c>
    </row>
    <row r="44" spans="5:21" x14ac:dyDescent="0.25">
      <c r="G44" t="s">
        <v>590</v>
      </c>
      <c r="H44">
        <f>SUM(B5:B19)</f>
        <v>2197</v>
      </c>
      <c r="J44" t="s">
        <v>593</v>
      </c>
      <c r="K44" s="266">
        <f>AVERAGE(B5:B9)</f>
        <v>131.80000000000001</v>
      </c>
      <c r="L44" s="267">
        <f>AVERAGE(C5:C9)</f>
        <v>135.4</v>
      </c>
      <c r="M44" s="267">
        <f>AVERAGE(D5:D9)</f>
        <v>175.8</v>
      </c>
      <c r="N44" s="268">
        <f>AVERAGE(E5:E9)</f>
        <v>141.19999999999999</v>
      </c>
    </row>
    <row r="45" spans="5:21" x14ac:dyDescent="0.25">
      <c r="G45" s="53" t="s">
        <v>591</v>
      </c>
      <c r="H45">
        <f>SUM(C5:C19)</f>
        <v>2343</v>
      </c>
      <c r="J45" t="s">
        <v>594</v>
      </c>
      <c r="K45" s="273">
        <f>AVERAGE(B10:B14)</f>
        <v>143.19999999999999</v>
      </c>
      <c r="L45" s="7">
        <f>AVERAGE(C10:C14)</f>
        <v>159.6</v>
      </c>
      <c r="M45" s="7">
        <f>AVERAGE(D10:D14)</f>
        <v>140.19999999999999</v>
      </c>
      <c r="N45" s="8">
        <f>AVERAGE(E10:E14)</f>
        <v>165.4</v>
      </c>
    </row>
    <row r="46" spans="5:21" x14ac:dyDescent="0.25">
      <c r="G46" t="s">
        <v>592</v>
      </c>
      <c r="H46">
        <f>SUM(D5:D19)</f>
        <v>2512</v>
      </c>
      <c r="J46" t="s">
        <v>595</v>
      </c>
      <c r="K46" s="9">
        <f>AVERAGE(B15:B19)</f>
        <v>164.4</v>
      </c>
      <c r="L46" s="10">
        <f>AVERAGE(C15:C19)</f>
        <v>173.6</v>
      </c>
      <c r="M46" s="10">
        <f>AVERAGE(D15:D19)</f>
        <v>186.4</v>
      </c>
      <c r="N46" s="11">
        <f>AVERAGE(E15:E19)</f>
        <v>172.4</v>
      </c>
    </row>
    <row r="47" spans="5:21" ht="15.75" thickBot="1" x14ac:dyDescent="0.3">
      <c r="G47" s="20" t="s">
        <v>596</v>
      </c>
      <c r="H47" s="20">
        <f>SUM(E5:E19)</f>
        <v>2395</v>
      </c>
      <c r="K47" s="13"/>
    </row>
  </sheetData>
  <mergeCells count="1">
    <mergeCell ref="B3:E3"/>
  </mergeCells>
  <pageMargins left="0.7" right="0.7" top="0.75" bottom="0.75" header="0.3" footer="0.3"/>
  <ignoredErrors>
    <ignoredError sqref="H5 K40:M41 H6:K8 H12:K14 H18:K20 I5:K5 H11:K11 H17:K17 N39:N41 K39:M39 K44:N46" formulaRange="1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/>
  <dimension ref="A1:Y23"/>
  <sheetViews>
    <sheetView workbookViewId="0"/>
  </sheetViews>
  <sheetFormatPr defaultRowHeight="15" x14ac:dyDescent="0.25"/>
  <cols>
    <col min="1" max="1" width="8.5703125" customWidth="1"/>
    <col min="2" max="5" width="7.5703125" customWidth="1"/>
    <col min="6" max="6" width="4.85546875" customWidth="1"/>
    <col min="13" max="13" width="4.85546875" customWidth="1"/>
    <col min="16" max="16" width="6.28515625" customWidth="1"/>
    <col min="20" max="20" width="7.85546875" customWidth="1"/>
  </cols>
  <sheetData>
    <row r="1" spans="1:25" x14ac:dyDescent="0.25">
      <c r="A1" s="1" t="s">
        <v>2321</v>
      </c>
      <c r="G1" t="s">
        <v>27</v>
      </c>
      <c r="N1" t="s">
        <v>1670</v>
      </c>
      <c r="V1" t="s">
        <v>1669</v>
      </c>
    </row>
    <row r="3" spans="1:25" ht="15.75" thickBot="1" x14ac:dyDescent="0.3">
      <c r="B3" s="1288" t="s">
        <v>601</v>
      </c>
      <c r="C3" s="1289"/>
      <c r="D3" s="1289"/>
      <c r="E3" s="1290"/>
      <c r="G3" t="s">
        <v>1666</v>
      </c>
      <c r="H3" t="str">
        <f>IF(COUNTIF(H5:K7,H5)=COUNT(H5:K7),"balanced","unbalanced")</f>
        <v>balanced</v>
      </c>
      <c r="N3" t="s">
        <v>294</v>
      </c>
      <c r="R3" s="771" t="s">
        <v>34</v>
      </c>
      <c r="S3" s="771">
        <v>0.05</v>
      </c>
      <c r="W3" s="776" t="str">
        <f>A5</f>
        <v>Blend X</v>
      </c>
      <c r="X3" s="776" t="str">
        <f>A10</f>
        <v>Blend Y</v>
      </c>
      <c r="Y3" s="776" t="str">
        <f>A15</f>
        <v>Blend Z</v>
      </c>
    </row>
    <row r="4" spans="1:25" ht="15.75" thickTop="1" x14ac:dyDescent="0.25">
      <c r="A4" s="269" t="s">
        <v>602</v>
      </c>
      <c r="B4" s="270" t="s">
        <v>590</v>
      </c>
      <c r="C4" s="270" t="s">
        <v>591</v>
      </c>
      <c r="D4" s="270" t="s">
        <v>592</v>
      </c>
      <c r="E4" s="270" t="s">
        <v>596</v>
      </c>
      <c r="H4" s="771" t="str">
        <f>B4</f>
        <v>Wheat</v>
      </c>
      <c r="I4" s="771" t="str">
        <f>C4</f>
        <v>Corn</v>
      </c>
      <c r="J4" s="771" t="str">
        <f>D4</f>
        <v>Soy</v>
      </c>
      <c r="K4" s="771" t="str">
        <f>E4</f>
        <v>Rice</v>
      </c>
      <c r="N4" s="754"/>
      <c r="O4" s="754" t="s">
        <v>219</v>
      </c>
      <c r="P4" s="754" t="s">
        <v>60</v>
      </c>
      <c r="Q4" s="754" t="s">
        <v>240</v>
      </c>
      <c r="R4" s="754" t="s">
        <v>135</v>
      </c>
      <c r="S4" s="754" t="s">
        <v>67</v>
      </c>
      <c r="T4" s="754" t="s">
        <v>527</v>
      </c>
      <c r="V4" s="775" t="str">
        <f>B4</f>
        <v>Wheat</v>
      </c>
      <c r="W4" s="775">
        <f>IF(B5="","",B5)</f>
        <v>123</v>
      </c>
      <c r="X4" s="775">
        <f>IF(B10="","",B10)</f>
        <v>135</v>
      </c>
      <c r="Y4" s="775">
        <f>IF(B15="","",B15)</f>
        <v>156</v>
      </c>
    </row>
    <row r="5" spans="1:25" x14ac:dyDescent="0.25">
      <c r="A5" s="266" t="s">
        <v>593</v>
      </c>
      <c r="B5" s="271">
        <v>123</v>
      </c>
      <c r="C5" s="271">
        <v>128</v>
      </c>
      <c r="D5" s="271">
        <v>166</v>
      </c>
      <c r="E5" s="271">
        <v>151</v>
      </c>
      <c r="G5" t="str">
        <f>A5</f>
        <v>Blend X</v>
      </c>
      <c r="H5" s="772">
        <f>COUNT(B5:B9)</f>
        <v>5</v>
      </c>
      <c r="I5" s="773">
        <f>COUNT(C5:C9)</f>
        <v>5</v>
      </c>
      <c r="J5" s="773">
        <f>COUNT(D5:D9)</f>
        <v>5</v>
      </c>
      <c r="K5" s="774">
        <f>COUNT(E5:E9)</f>
        <v>5</v>
      </c>
      <c r="L5">
        <f>COUNT(B5:E9)</f>
        <v>20</v>
      </c>
      <c r="N5" t="s">
        <v>136</v>
      </c>
      <c r="O5">
        <f>DEVSQ(L12:L14)*L5</f>
        <v>8782.8999999999887</v>
      </c>
      <c r="P5">
        <f>COUNT(L12:L14)-1</f>
        <v>2</v>
      </c>
      <c r="Q5">
        <f>O5/P5</f>
        <v>4391.4499999999944</v>
      </c>
      <c r="R5">
        <f>Q5/Q8</f>
        <v>9.9333471565097486</v>
      </c>
      <c r="S5">
        <f>FDIST(R5,P5,P8)</f>
        <v>2.4548728137133846E-4</v>
      </c>
      <c r="T5" s="771" t="str">
        <f>IF(S5&lt;S3,"yes","no")</f>
        <v>yes</v>
      </c>
      <c r="V5" s="680"/>
      <c r="W5" s="680">
        <f>IF(B6="","",B6)</f>
        <v>156</v>
      </c>
      <c r="X5" s="680">
        <f>IF(B11="","",B11)</f>
        <v>130</v>
      </c>
      <c r="Y5" s="680">
        <f>IF(B16="","",B16)</f>
        <v>180</v>
      </c>
    </row>
    <row r="6" spans="1:25" x14ac:dyDescent="0.25">
      <c r="A6" s="6"/>
      <c r="B6" s="272">
        <v>156</v>
      </c>
      <c r="C6" s="272">
        <v>150</v>
      </c>
      <c r="D6" s="272">
        <v>178</v>
      </c>
      <c r="E6" s="272">
        <v>125</v>
      </c>
      <c r="G6" t="str">
        <f>A10</f>
        <v>Blend Y</v>
      </c>
      <c r="H6" s="501">
        <f>COUNT(B10:B14)</f>
        <v>5</v>
      </c>
      <c r="I6" s="7">
        <f>COUNT(C10:C14)</f>
        <v>5</v>
      </c>
      <c r="J6" s="7">
        <f>COUNT(D10:D14)</f>
        <v>5</v>
      </c>
      <c r="K6" s="57">
        <f>COUNT(E10:E14)</f>
        <v>5</v>
      </c>
      <c r="L6">
        <f>COUNT(B10:E14)</f>
        <v>20</v>
      </c>
      <c r="N6" t="s">
        <v>589</v>
      </c>
      <c r="O6">
        <f>DEVSQ(H15:K15)*H8</f>
        <v>3411.65</v>
      </c>
      <c r="P6">
        <f>COUNT(H15:K15)-1</f>
        <v>3</v>
      </c>
      <c r="Q6">
        <f>O6/P6</f>
        <v>1137.2166666666667</v>
      </c>
      <c r="R6">
        <f>Q6/Q8</f>
        <v>2.572354903771839</v>
      </c>
      <c r="S6">
        <f>FDIST(R6,P6,P8)</f>
        <v>6.4943822161567188E-2</v>
      </c>
      <c r="T6" s="771" t="str">
        <f>IF(S6&lt;S3,"yes","no")</f>
        <v>no</v>
      </c>
      <c r="V6" s="680"/>
      <c r="W6" s="680">
        <f>IF(B7="","",B7)</f>
        <v>112</v>
      </c>
      <c r="X6" s="680">
        <f>IF(B12="","",B12)</f>
        <v>176</v>
      </c>
      <c r="Y6" s="680">
        <f>IF(B17="","",B17)</f>
        <v>147</v>
      </c>
    </row>
    <row r="7" spans="1:25" x14ac:dyDescent="0.25">
      <c r="A7" s="273"/>
      <c r="B7" s="272">
        <v>112</v>
      </c>
      <c r="C7" s="272">
        <v>174</v>
      </c>
      <c r="D7" s="272">
        <v>187</v>
      </c>
      <c r="E7" s="272">
        <v>117</v>
      </c>
      <c r="G7" t="str">
        <f>A15</f>
        <v>Blend Z</v>
      </c>
      <c r="H7" s="759">
        <f>COUNT(B15:B19)</f>
        <v>5</v>
      </c>
      <c r="I7" s="760">
        <f>COUNT(C15:C19)</f>
        <v>5</v>
      </c>
      <c r="J7" s="760">
        <f>COUNT(D15:D19)</f>
        <v>5</v>
      </c>
      <c r="K7" s="761">
        <f>COUNT(E15:E19)</f>
        <v>5</v>
      </c>
      <c r="L7">
        <f>COUNT(B15:E19)</f>
        <v>20</v>
      </c>
      <c r="N7" t="s">
        <v>1319</v>
      </c>
      <c r="O7">
        <f>O9-O5-O6-O8</f>
        <v>6225.9000000000779</v>
      </c>
      <c r="P7">
        <f>P6*P5</f>
        <v>6</v>
      </c>
      <c r="Q7">
        <f>O7/P7</f>
        <v>1037.6500000000131</v>
      </c>
      <c r="R7">
        <f>Q7/Q8</f>
        <v>2.3471376599875859</v>
      </c>
      <c r="S7">
        <f>FDIST(R7,P7,P8)</f>
        <v>4.5555492136470324E-2</v>
      </c>
      <c r="T7" s="771" t="str">
        <f>IF(S7&lt;S3,"yes","no")</f>
        <v>yes</v>
      </c>
      <c r="V7" s="680"/>
      <c r="W7" s="680">
        <f>IF(B8="","",B8)</f>
        <v>100</v>
      </c>
      <c r="X7" s="680">
        <f>IF(B13="","",B13)</f>
        <v>120</v>
      </c>
      <c r="Y7" s="680">
        <f>IF(B18="","",B18)</f>
        <v>146</v>
      </c>
    </row>
    <row r="8" spans="1:25" x14ac:dyDescent="0.25">
      <c r="A8" s="273"/>
      <c r="B8" s="272">
        <v>100</v>
      </c>
      <c r="C8" s="272">
        <v>116</v>
      </c>
      <c r="D8" s="272">
        <v>153</v>
      </c>
      <c r="E8" s="272">
        <v>155</v>
      </c>
      <c r="H8">
        <f>COUNT(B5:B19)</f>
        <v>15</v>
      </c>
      <c r="I8">
        <f>COUNT(C5:C19)</f>
        <v>15</v>
      </c>
      <c r="J8">
        <f>COUNT(D5:D19)</f>
        <v>15</v>
      </c>
      <c r="K8">
        <f>COUNT(E5:E19)</f>
        <v>15</v>
      </c>
      <c r="L8">
        <f>COUNT(B5:E19)</f>
        <v>60</v>
      </c>
      <c r="N8" t="s">
        <v>600</v>
      </c>
      <c r="O8">
        <f>SUM(H19:K21)*(H5-1)</f>
        <v>21220.400000000027</v>
      </c>
      <c r="P8">
        <f>P9-P5-P6-P7</f>
        <v>48</v>
      </c>
      <c r="Q8">
        <f>O8/P8</f>
        <v>442.09166666666721</v>
      </c>
      <c r="V8" s="757"/>
      <c r="W8" s="757">
        <f>IF(B9="","",B9)</f>
        <v>168</v>
      </c>
      <c r="X8" s="757">
        <f>IF(B14="","",B14)</f>
        <v>155</v>
      </c>
      <c r="Y8" s="757">
        <f>IF(B19="","",B19)</f>
        <v>193</v>
      </c>
    </row>
    <row r="9" spans="1:25" x14ac:dyDescent="0.25">
      <c r="A9" s="273"/>
      <c r="B9" s="24">
        <v>168</v>
      </c>
      <c r="C9" s="24">
        <v>109</v>
      </c>
      <c r="D9" s="24">
        <v>195</v>
      </c>
      <c r="E9" s="24">
        <v>158</v>
      </c>
      <c r="N9" s="762" t="s">
        <v>1</v>
      </c>
      <c r="O9" s="762">
        <f>Q9*P9</f>
        <v>39640.850000000093</v>
      </c>
      <c r="P9" s="762">
        <f>L8-1</f>
        <v>59</v>
      </c>
      <c r="Q9" s="762">
        <f>L22</f>
        <v>671.87881355932359</v>
      </c>
      <c r="R9" s="762"/>
      <c r="S9" s="762"/>
      <c r="T9" s="762"/>
      <c r="V9" s="775" t="str">
        <f>C4</f>
        <v>Corn</v>
      </c>
      <c r="W9" s="775">
        <f>IF(C5="","",C5)</f>
        <v>128</v>
      </c>
      <c r="X9" s="775">
        <f>IF(C10="","",C10)</f>
        <v>175</v>
      </c>
      <c r="Y9" s="775">
        <f>IF(C15="","",C15)</f>
        <v>186</v>
      </c>
    </row>
    <row r="10" spans="1:25" x14ac:dyDescent="0.25">
      <c r="A10" s="266" t="s">
        <v>594</v>
      </c>
      <c r="B10" s="271">
        <v>135</v>
      </c>
      <c r="C10" s="271">
        <v>175</v>
      </c>
      <c r="D10" s="271">
        <v>140</v>
      </c>
      <c r="E10" s="271">
        <v>167</v>
      </c>
      <c r="G10" t="s">
        <v>610</v>
      </c>
      <c r="V10" s="680"/>
      <c r="W10" s="680">
        <f>IF(C6="","",C6)</f>
        <v>150</v>
      </c>
      <c r="X10" s="680">
        <f>IF(C11="","",C11)</f>
        <v>132</v>
      </c>
      <c r="Y10" s="680">
        <f>IF(C16="","",C16)</f>
        <v>138</v>
      </c>
    </row>
    <row r="11" spans="1:25" x14ac:dyDescent="0.25">
      <c r="A11" s="273"/>
      <c r="B11" s="272">
        <v>130</v>
      </c>
      <c r="C11" s="272">
        <v>132</v>
      </c>
      <c r="D11" s="272">
        <v>145</v>
      </c>
      <c r="E11" s="272">
        <v>183</v>
      </c>
      <c r="H11" s="771" t="str">
        <f>B4</f>
        <v>Wheat</v>
      </c>
      <c r="I11" s="771" t="str">
        <f>C4</f>
        <v>Corn</v>
      </c>
      <c r="J11" s="771" t="str">
        <f>D4</f>
        <v>Soy</v>
      </c>
      <c r="K11" s="771" t="str">
        <f>E4</f>
        <v>Rice</v>
      </c>
      <c r="V11" s="680"/>
      <c r="W11" s="680">
        <f>IF(C7="","",C7)</f>
        <v>174</v>
      </c>
      <c r="X11" s="680">
        <f>IF(C12="","",C12)</f>
        <v>120</v>
      </c>
      <c r="Y11" s="680">
        <f>IF(C17="","",C17)</f>
        <v>178</v>
      </c>
    </row>
    <row r="12" spans="1:25" x14ac:dyDescent="0.25">
      <c r="A12" s="273"/>
      <c r="B12" s="272">
        <v>176</v>
      </c>
      <c r="C12" s="272">
        <v>120</v>
      </c>
      <c r="D12" s="272">
        <v>159</v>
      </c>
      <c r="E12" s="272">
        <v>142</v>
      </c>
      <c r="G12" t="str">
        <f>A5</f>
        <v>Blend X</v>
      </c>
      <c r="H12" s="772">
        <f>AVERAGE(B5:B9)</f>
        <v>131.80000000000001</v>
      </c>
      <c r="I12" s="773">
        <f>AVERAGE(C5:C9)</f>
        <v>135.4</v>
      </c>
      <c r="J12" s="773">
        <f>AVERAGE(D5:D9)</f>
        <v>175.8</v>
      </c>
      <c r="K12" s="774">
        <f>AVERAGE(E5:E9)</f>
        <v>141.19999999999999</v>
      </c>
      <c r="L12">
        <f>AVERAGE(B5:E9)</f>
        <v>146.05000000000001</v>
      </c>
      <c r="V12" s="680"/>
      <c r="W12" s="680">
        <f>IF(C8="","",C8)</f>
        <v>116</v>
      </c>
      <c r="X12" s="680">
        <f>IF(C13="","",C13)</f>
        <v>187</v>
      </c>
      <c r="Y12" s="680">
        <f>IF(C18="","",C18)</f>
        <v>176</v>
      </c>
    </row>
    <row r="13" spans="1:25" x14ac:dyDescent="0.25">
      <c r="A13" s="273"/>
      <c r="B13" s="272">
        <v>120</v>
      </c>
      <c r="C13" s="272">
        <v>187</v>
      </c>
      <c r="D13" s="272">
        <v>131</v>
      </c>
      <c r="E13" s="272">
        <v>167</v>
      </c>
      <c r="G13" t="str">
        <f>A10</f>
        <v>Blend Y</v>
      </c>
      <c r="H13" s="501">
        <f>AVERAGE(B10:B14)</f>
        <v>143.19999999999999</v>
      </c>
      <c r="I13" s="7">
        <f>AVERAGE(C10:C14)</f>
        <v>159.6</v>
      </c>
      <c r="J13" s="7">
        <f>AVERAGE(D10:D14)</f>
        <v>140.19999999999999</v>
      </c>
      <c r="K13" s="57">
        <f>AVERAGE(E10:E14)</f>
        <v>165.4</v>
      </c>
      <c r="L13">
        <f>AVERAGE(B10:E14)</f>
        <v>152.1</v>
      </c>
      <c r="V13" s="757"/>
      <c r="W13" s="757">
        <f>IF(C9="","",C9)</f>
        <v>109</v>
      </c>
      <c r="X13" s="757">
        <f>IF(C14="","",C14)</f>
        <v>184</v>
      </c>
      <c r="Y13" s="757">
        <f>IF(C19="","",C19)</f>
        <v>190</v>
      </c>
    </row>
    <row r="14" spans="1:25" x14ac:dyDescent="0.25">
      <c r="A14" s="273"/>
      <c r="B14" s="24">
        <v>155</v>
      </c>
      <c r="C14" s="24">
        <v>184</v>
      </c>
      <c r="D14" s="24">
        <v>126</v>
      </c>
      <c r="E14" s="24">
        <v>168</v>
      </c>
      <c r="G14" t="str">
        <f>A15</f>
        <v>Blend Z</v>
      </c>
      <c r="H14" s="759">
        <f>AVERAGE(B15:B19)</f>
        <v>164.4</v>
      </c>
      <c r="I14" s="760">
        <f>AVERAGE(C15:C19)</f>
        <v>173.6</v>
      </c>
      <c r="J14" s="760">
        <f>AVERAGE(D15:D19)</f>
        <v>186.4</v>
      </c>
      <c r="K14" s="761">
        <f>AVERAGE(E15:E19)</f>
        <v>172.4</v>
      </c>
      <c r="L14">
        <f>AVERAGE(B15:E19)</f>
        <v>174.2</v>
      </c>
      <c r="V14" s="775" t="str">
        <f>D4</f>
        <v>Soy</v>
      </c>
      <c r="W14" s="775">
        <f>IF(D5="","",D5)</f>
        <v>166</v>
      </c>
      <c r="X14" s="775">
        <f>IF(D10="","",D10)</f>
        <v>140</v>
      </c>
      <c r="Y14" s="775">
        <f>IF(D15="","",D15)</f>
        <v>185</v>
      </c>
    </row>
    <row r="15" spans="1:25" x14ac:dyDescent="0.25">
      <c r="A15" s="266" t="s">
        <v>595</v>
      </c>
      <c r="B15" s="271">
        <v>156</v>
      </c>
      <c r="C15" s="271">
        <v>186</v>
      </c>
      <c r="D15" s="271">
        <v>185</v>
      </c>
      <c r="E15" s="271">
        <v>175</v>
      </c>
      <c r="H15">
        <f>AVERAGE(B5:B19)</f>
        <v>146.46666666666667</v>
      </c>
      <c r="I15">
        <f>AVERAGE(C5:C19)</f>
        <v>156.19999999999999</v>
      </c>
      <c r="J15">
        <f>AVERAGE(D5:D19)</f>
        <v>167.46666666666667</v>
      </c>
      <c r="K15">
        <f>AVERAGE(E5:E19)</f>
        <v>159.66666666666666</v>
      </c>
      <c r="L15">
        <f>AVERAGE(B5:E19)</f>
        <v>157.44999999999999</v>
      </c>
      <c r="V15" s="680"/>
      <c r="W15" s="680">
        <f>IF(D6="","",D6)</f>
        <v>178</v>
      </c>
      <c r="X15" s="680">
        <f>IF(D11="","",D11)</f>
        <v>145</v>
      </c>
      <c r="Y15" s="680">
        <f>IF(D16="","",D16)</f>
        <v>206</v>
      </c>
    </row>
    <row r="16" spans="1:25" x14ac:dyDescent="0.25">
      <c r="A16" s="273"/>
      <c r="B16" s="272">
        <v>180</v>
      </c>
      <c r="C16" s="272">
        <v>138</v>
      </c>
      <c r="D16" s="272">
        <v>206</v>
      </c>
      <c r="E16" s="272">
        <v>173</v>
      </c>
      <c r="V16" s="680"/>
      <c r="W16" s="680">
        <f>IF(D7="","",D7)</f>
        <v>187</v>
      </c>
      <c r="X16" s="680">
        <f>IF(D12="","",D12)</f>
        <v>159</v>
      </c>
      <c r="Y16" s="680">
        <f>IF(D17="","",D17)</f>
        <v>188</v>
      </c>
    </row>
    <row r="17" spans="1:25" x14ac:dyDescent="0.25">
      <c r="A17" s="273"/>
      <c r="B17" s="272">
        <v>147</v>
      </c>
      <c r="C17" s="272">
        <v>178</v>
      </c>
      <c r="D17" s="272">
        <v>188</v>
      </c>
      <c r="E17" s="272">
        <v>154</v>
      </c>
      <c r="G17" t="s">
        <v>1667</v>
      </c>
      <c r="V17" s="680"/>
      <c r="W17" s="680">
        <f>IF(D8="","",D8)</f>
        <v>153</v>
      </c>
      <c r="X17" s="680">
        <f>IF(D13="","",D13)</f>
        <v>131</v>
      </c>
      <c r="Y17" s="680">
        <f>IF(D18="","",D18)</f>
        <v>165</v>
      </c>
    </row>
    <row r="18" spans="1:25" x14ac:dyDescent="0.25">
      <c r="A18" s="273"/>
      <c r="B18" s="272">
        <v>146</v>
      </c>
      <c r="C18" s="272">
        <v>176</v>
      </c>
      <c r="D18" s="272">
        <v>165</v>
      </c>
      <c r="E18" s="272">
        <v>191</v>
      </c>
      <c r="H18" s="771" t="str">
        <f>B4</f>
        <v>Wheat</v>
      </c>
      <c r="I18" s="771" t="str">
        <f>C4</f>
        <v>Corn</v>
      </c>
      <c r="J18" s="771" t="str">
        <f>D4</f>
        <v>Soy</v>
      </c>
      <c r="K18" s="771" t="str">
        <f>E4</f>
        <v>Rice</v>
      </c>
      <c r="V18" s="757"/>
      <c r="W18" s="757">
        <f>IF(D9="","",D9)</f>
        <v>195</v>
      </c>
      <c r="X18" s="757">
        <f>IF(D14="","",D14)</f>
        <v>126</v>
      </c>
      <c r="Y18" s="757">
        <f>IF(D19="","",D19)</f>
        <v>188</v>
      </c>
    </row>
    <row r="19" spans="1:25" x14ac:dyDescent="0.25">
      <c r="A19" s="9"/>
      <c r="B19" s="24">
        <v>193</v>
      </c>
      <c r="C19" s="24">
        <v>190</v>
      </c>
      <c r="D19" s="24">
        <v>188</v>
      </c>
      <c r="E19" s="24">
        <v>169</v>
      </c>
      <c r="G19" t="str">
        <f>A5</f>
        <v>Blend X</v>
      </c>
      <c r="H19" s="772">
        <f>VAR(B5:B9)</f>
        <v>844.20000000000073</v>
      </c>
      <c r="I19" s="773">
        <f>VAR(C5:C9)</f>
        <v>707.79999999999927</v>
      </c>
      <c r="J19" s="773">
        <f>VAR(D5:D9)</f>
        <v>278.7</v>
      </c>
      <c r="K19" s="774">
        <f>VAR(E5:E9)</f>
        <v>354.20000000000073</v>
      </c>
      <c r="L19">
        <f>VAR(B5:E9)</f>
        <v>782.3657894736848</v>
      </c>
      <c r="V19" s="775" t="str">
        <f>E4</f>
        <v>Rice</v>
      </c>
      <c r="W19" s="775">
        <f>IF(E5="","",E5)</f>
        <v>151</v>
      </c>
      <c r="X19" s="775">
        <f>IF(E10="","",E10)</f>
        <v>167</v>
      </c>
      <c r="Y19" s="775">
        <f>IF(E15="","",E15)</f>
        <v>175</v>
      </c>
    </row>
    <row r="20" spans="1:25" x14ac:dyDescent="0.25">
      <c r="G20" t="str">
        <f>A10</f>
        <v>Blend Y</v>
      </c>
      <c r="H20" s="501">
        <f>VAR(B10:B14)</f>
        <v>498.70000000000073</v>
      </c>
      <c r="I20" s="7">
        <f>VAR(C10:C14)</f>
        <v>978.29999999999927</v>
      </c>
      <c r="J20" s="7">
        <f>VAR(D10:D14)</f>
        <v>165.7</v>
      </c>
      <c r="K20" s="57">
        <f>VAR(E10:E14)</f>
        <v>217.3</v>
      </c>
      <c r="L20">
        <f>VAR(B10:E14)</f>
        <v>511.04210526315728</v>
      </c>
      <c r="V20" s="680"/>
      <c r="W20" s="680">
        <f>IF(E6="","",E6)</f>
        <v>125</v>
      </c>
      <c r="X20" s="680">
        <f>IF(E11="","",E11)</f>
        <v>183</v>
      </c>
      <c r="Y20" s="680">
        <f>IF(E16="","",E16)</f>
        <v>173</v>
      </c>
    </row>
    <row r="21" spans="1:25" x14ac:dyDescent="0.25">
      <c r="G21" t="str">
        <f>A15</f>
        <v>Blend Z</v>
      </c>
      <c r="H21" s="759">
        <f>VAR(B15:B19)</f>
        <v>443.30000000000291</v>
      </c>
      <c r="I21" s="760">
        <f>VAR(C15:C19)</f>
        <v>428.80000000000291</v>
      </c>
      <c r="J21" s="760">
        <f>VAR(D15:D19)</f>
        <v>212.3</v>
      </c>
      <c r="K21" s="761">
        <f>VAR(E15:E19)</f>
        <v>175.8</v>
      </c>
      <c r="L21">
        <f>VAR(B15:E19)</f>
        <v>330.69473684210283</v>
      </c>
      <c r="V21" s="680"/>
      <c r="W21" s="680">
        <f>IF(E7="","",E7)</f>
        <v>117</v>
      </c>
      <c r="X21" s="680">
        <f>IF(E12="","",E12)</f>
        <v>142</v>
      </c>
      <c r="Y21" s="680">
        <f>IF(E17="","",E17)</f>
        <v>154</v>
      </c>
    </row>
    <row r="22" spans="1:25" x14ac:dyDescent="0.25">
      <c r="H22">
        <f>VAR(B5:B19)</f>
        <v>705.83809523809555</v>
      </c>
      <c r="I22">
        <f>VAR(C5:C19)</f>
        <v>871.02857142857306</v>
      </c>
      <c r="J22">
        <f>VAR(D5:D19)</f>
        <v>605.98095238095266</v>
      </c>
      <c r="K22">
        <f>VAR(E5:E19)</f>
        <v>404.95238095237954</v>
      </c>
      <c r="L22">
        <f>VAR(B5:E19)</f>
        <v>671.87881355932359</v>
      </c>
      <c r="V22" s="680"/>
      <c r="W22" s="680">
        <f>IF(E8="","",E8)</f>
        <v>155</v>
      </c>
      <c r="X22" s="680">
        <f>IF(E13="","",E13)</f>
        <v>167</v>
      </c>
      <c r="Y22" s="680">
        <f>IF(E18="","",E18)</f>
        <v>191</v>
      </c>
    </row>
    <row r="23" spans="1:25" x14ac:dyDescent="0.25">
      <c r="V23" s="757"/>
      <c r="W23" s="757">
        <f>IF(E9="","",E9)</f>
        <v>158</v>
      </c>
      <c r="X23" s="757">
        <f>IF(E14="","",E14)</f>
        <v>168</v>
      </c>
      <c r="Y23" s="757">
        <f>IF(E19="","",E19)</f>
        <v>169</v>
      </c>
    </row>
  </sheetData>
  <mergeCells count="1">
    <mergeCell ref="B3:E3"/>
  </mergeCells>
  <pageMargins left="0.7" right="0.7" top="0.75" bottom="0.75" header="0.3" footer="0.3"/>
  <ignoredErrors>
    <ignoredError sqref="H5:K7 H12:K14 H19:K2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X29"/>
  <sheetViews>
    <sheetView workbookViewId="0"/>
  </sheetViews>
  <sheetFormatPr defaultRowHeight="15" x14ac:dyDescent="0.25"/>
  <cols>
    <col min="3" max="3" width="7.5703125" customWidth="1"/>
    <col min="15" max="15" width="17.28515625" customWidth="1"/>
    <col min="22" max="22" width="9.140625" customWidth="1"/>
    <col min="23" max="23" width="18.140625" customWidth="1"/>
    <col min="24" max="24" width="22.140625" customWidth="1"/>
  </cols>
  <sheetData>
    <row r="1" spans="1:24" x14ac:dyDescent="0.25">
      <c r="A1" s="1" t="s">
        <v>598</v>
      </c>
      <c r="B1" s="1"/>
      <c r="O1" t="s">
        <v>599</v>
      </c>
    </row>
    <row r="3" spans="1:24" ht="15.75" thickBot="1" x14ac:dyDescent="0.3">
      <c r="A3" s="279" t="s">
        <v>602</v>
      </c>
      <c r="B3" s="269" t="s">
        <v>601</v>
      </c>
      <c r="C3" s="1289" t="s">
        <v>607</v>
      </c>
      <c r="D3" s="1289"/>
      <c r="E3" s="1289"/>
      <c r="F3" s="1289"/>
      <c r="G3" s="1290"/>
      <c r="H3" s="50"/>
      <c r="I3" s="275" t="s">
        <v>22</v>
      </c>
      <c r="J3" s="276" t="s">
        <v>21</v>
      </c>
      <c r="K3" s="276" t="s">
        <v>10</v>
      </c>
      <c r="L3" s="277" t="s">
        <v>80</v>
      </c>
      <c r="M3" s="281" t="s">
        <v>219</v>
      </c>
      <c r="O3" t="s">
        <v>294</v>
      </c>
      <c r="W3" t="s">
        <v>611</v>
      </c>
    </row>
    <row r="4" spans="1:24" x14ac:dyDescent="0.25">
      <c r="A4" s="266" t="s">
        <v>593</v>
      </c>
      <c r="B4" s="272" t="s">
        <v>590</v>
      </c>
      <c r="C4" s="266">
        <v>123</v>
      </c>
      <c r="D4" s="267">
        <v>156</v>
      </c>
      <c r="E4" s="267">
        <v>112</v>
      </c>
      <c r="F4" s="267">
        <v>100</v>
      </c>
      <c r="G4" s="268">
        <v>168</v>
      </c>
      <c r="H4" s="7"/>
      <c r="I4" s="266">
        <f>COUNT(C4:G4)</f>
        <v>5</v>
      </c>
      <c r="J4" s="267">
        <f>SUM(C4:G4)</f>
        <v>659</v>
      </c>
      <c r="K4" s="267">
        <f>AVERAGE(C4:G4)</f>
        <v>131.80000000000001</v>
      </c>
      <c r="L4" s="267">
        <f>VAR(C4:G4)</f>
        <v>844.20000000000073</v>
      </c>
      <c r="M4" s="268">
        <f>DEVSQ(C4:G4)</f>
        <v>3376.7999999999997</v>
      </c>
      <c r="O4" s="259" t="s">
        <v>466</v>
      </c>
      <c r="P4" s="259" t="s">
        <v>219</v>
      </c>
      <c r="Q4" s="259" t="s">
        <v>60</v>
      </c>
      <c r="R4" s="259" t="s">
        <v>240</v>
      </c>
      <c r="S4" s="259" t="s">
        <v>135</v>
      </c>
      <c r="T4" s="259" t="s">
        <v>119</v>
      </c>
      <c r="U4" s="259" t="s">
        <v>467</v>
      </c>
    </row>
    <row r="5" spans="1:24" x14ac:dyDescent="0.25">
      <c r="A5" s="273" t="s">
        <v>593</v>
      </c>
      <c r="B5" s="272" t="s">
        <v>591</v>
      </c>
      <c r="C5" s="273">
        <v>128</v>
      </c>
      <c r="D5" s="7">
        <v>150</v>
      </c>
      <c r="E5" s="7">
        <v>174</v>
      </c>
      <c r="F5" s="7">
        <v>116</v>
      </c>
      <c r="G5" s="8">
        <v>109</v>
      </c>
      <c r="H5" s="7"/>
      <c r="I5" s="273">
        <f t="shared" ref="I5:I15" si="0">COUNT(C5:G5)</f>
        <v>5</v>
      </c>
      <c r="J5" s="7">
        <f t="shared" ref="J5:J15" si="1">SUM(C5:G5)</f>
        <v>677</v>
      </c>
      <c r="K5" s="7">
        <f t="shared" ref="K5:K15" si="2">AVERAGE(C5:G5)</f>
        <v>135.4</v>
      </c>
      <c r="L5" s="7">
        <f t="shared" ref="L5:L15" si="3">VAR(C5:G5)</f>
        <v>707.79999999999927</v>
      </c>
      <c r="M5" s="8">
        <f t="shared" ref="M5:M15" si="4">DEVSQ(C5:G5)</f>
        <v>2831.2</v>
      </c>
      <c r="O5" s="19" t="s">
        <v>605</v>
      </c>
      <c r="P5" s="19">
        <f>DEVSQ(J17:J19)/I17</f>
        <v>8782.9</v>
      </c>
      <c r="Q5" s="19">
        <f>COUNTA(H17:H19)-1</f>
        <v>2</v>
      </c>
      <c r="R5" s="19">
        <f>P5/Q5</f>
        <v>4391.45</v>
      </c>
      <c r="S5" s="19">
        <f>R5/R$8</f>
        <v>9.9333471565097717</v>
      </c>
      <c r="T5">
        <f>FDIST(S5,Q5,Q$8)</f>
        <v>2.4548728137133413E-4</v>
      </c>
      <c r="U5">
        <f>FINV(0.05,Q5,Q$8)</f>
        <v>3.1907273359284987</v>
      </c>
      <c r="W5" s="19" t="s">
        <v>605</v>
      </c>
      <c r="X5" s="16" t="s">
        <v>612</v>
      </c>
    </row>
    <row r="6" spans="1:24" x14ac:dyDescent="0.25">
      <c r="A6" s="273" t="s">
        <v>593</v>
      </c>
      <c r="B6" s="272" t="s">
        <v>592</v>
      </c>
      <c r="C6" s="273">
        <v>166</v>
      </c>
      <c r="D6" s="7">
        <v>178</v>
      </c>
      <c r="E6" s="7">
        <v>187</v>
      </c>
      <c r="F6" s="7">
        <v>153</v>
      </c>
      <c r="G6" s="8">
        <v>195</v>
      </c>
      <c r="H6" s="7"/>
      <c r="I6" s="273">
        <f t="shared" si="0"/>
        <v>5</v>
      </c>
      <c r="J6" s="7">
        <f t="shared" si="1"/>
        <v>879</v>
      </c>
      <c r="K6" s="7">
        <f t="shared" si="2"/>
        <v>175.8</v>
      </c>
      <c r="L6" s="7">
        <f t="shared" si="3"/>
        <v>278.7</v>
      </c>
      <c r="M6" s="8">
        <f t="shared" si="4"/>
        <v>1114.8</v>
      </c>
      <c r="O6" s="19" t="s">
        <v>606</v>
      </c>
      <c r="P6" s="19">
        <f>DEVSQ(J21:J24)/I21</f>
        <v>3411.65</v>
      </c>
      <c r="Q6" s="19">
        <f>COUNTA(H21:H24)-1</f>
        <v>3</v>
      </c>
      <c r="R6" s="19">
        <f>P6/Q6</f>
        <v>1137.2166666666667</v>
      </c>
      <c r="S6" s="19">
        <f>R6/R$8</f>
        <v>2.5723549037718416</v>
      </c>
      <c r="T6">
        <f>FDIST(S6,Q6,Q$8)</f>
        <v>6.4943822161567036E-2</v>
      </c>
      <c r="U6">
        <f>FINV(0.05,Q6,Q$8)</f>
        <v>2.7980606354356103</v>
      </c>
      <c r="W6" s="19" t="s">
        <v>606</v>
      </c>
      <c r="X6" s="16" t="s">
        <v>613</v>
      </c>
    </row>
    <row r="7" spans="1:24" x14ac:dyDescent="0.25">
      <c r="A7" s="273" t="s">
        <v>593</v>
      </c>
      <c r="B7" s="280" t="s">
        <v>596</v>
      </c>
      <c r="C7" s="273">
        <v>151</v>
      </c>
      <c r="D7" s="7">
        <v>125</v>
      </c>
      <c r="E7" s="7">
        <v>117</v>
      </c>
      <c r="F7" s="7">
        <v>155</v>
      </c>
      <c r="G7" s="8">
        <v>158</v>
      </c>
      <c r="H7" s="7"/>
      <c r="I7" s="273">
        <f t="shared" si="0"/>
        <v>5</v>
      </c>
      <c r="J7" s="7">
        <f t="shared" si="1"/>
        <v>706</v>
      </c>
      <c r="K7" s="7">
        <f t="shared" si="2"/>
        <v>141.19999999999999</v>
      </c>
      <c r="L7" s="7">
        <f t="shared" si="3"/>
        <v>354.20000000000073</v>
      </c>
      <c r="M7" s="8">
        <f t="shared" si="4"/>
        <v>1416.8000000000002</v>
      </c>
      <c r="O7" s="19" t="s">
        <v>437</v>
      </c>
      <c r="P7" s="19">
        <f>P10-P5-P6-P8</f>
        <v>6225.8999999999905</v>
      </c>
      <c r="Q7" s="19">
        <f>Q5*Q6</f>
        <v>6</v>
      </c>
      <c r="R7" s="19">
        <f>P7/Q7</f>
        <v>1037.6499999999985</v>
      </c>
      <c r="S7" s="19">
        <f>R7/R$8</f>
        <v>2.3471376599875553</v>
      </c>
      <c r="T7">
        <f>FDIST(S7,Q7,Q$8)</f>
        <v>4.5555492136472767E-2</v>
      </c>
      <c r="U7">
        <f>FINV(0.05,Q7,Q$8)</f>
        <v>2.29460131347063</v>
      </c>
      <c r="W7" s="19" t="s">
        <v>437</v>
      </c>
      <c r="X7" s="16" t="s">
        <v>614</v>
      </c>
    </row>
    <row r="8" spans="1:24" x14ac:dyDescent="0.25">
      <c r="A8" s="273" t="s">
        <v>594</v>
      </c>
      <c r="B8" s="272" t="s">
        <v>590</v>
      </c>
      <c r="C8" s="273">
        <v>135</v>
      </c>
      <c r="D8" s="7">
        <v>130</v>
      </c>
      <c r="E8" s="7">
        <v>176</v>
      </c>
      <c r="F8" s="7">
        <v>120</v>
      </c>
      <c r="G8" s="8">
        <v>155</v>
      </c>
      <c r="H8" s="7"/>
      <c r="I8" s="273">
        <f t="shared" si="0"/>
        <v>5</v>
      </c>
      <c r="J8" s="7">
        <f t="shared" si="1"/>
        <v>716</v>
      </c>
      <c r="K8" s="7">
        <f t="shared" si="2"/>
        <v>143.19999999999999</v>
      </c>
      <c r="L8" s="7">
        <f t="shared" si="3"/>
        <v>498.70000000000073</v>
      </c>
      <c r="M8" s="8">
        <f t="shared" si="4"/>
        <v>1994.8000000000002</v>
      </c>
      <c r="O8" s="19" t="s">
        <v>600</v>
      </c>
      <c r="P8" s="19">
        <f>SUM(M4:M15)</f>
        <v>21220.400000000005</v>
      </c>
      <c r="Q8" s="19">
        <f>COUNT(C4:G15)-COUNTA(H17:H19)*COUNTA(H21:H24)</f>
        <v>48</v>
      </c>
      <c r="R8" s="19">
        <f>P8/Q8</f>
        <v>442.09166666666675</v>
      </c>
      <c r="S8" s="19"/>
      <c r="T8" s="19"/>
      <c r="W8" s="19" t="s">
        <v>600</v>
      </c>
      <c r="X8" s="16" t="s">
        <v>615</v>
      </c>
    </row>
    <row r="9" spans="1:24" x14ac:dyDescent="0.25">
      <c r="A9" s="273" t="s">
        <v>594</v>
      </c>
      <c r="B9" s="272" t="s">
        <v>591</v>
      </c>
      <c r="C9" s="273">
        <v>175</v>
      </c>
      <c r="D9" s="7">
        <v>132</v>
      </c>
      <c r="E9" s="7">
        <v>120</v>
      </c>
      <c r="F9" s="7">
        <v>187</v>
      </c>
      <c r="G9" s="8">
        <v>184</v>
      </c>
      <c r="H9" s="7"/>
      <c r="I9" s="273">
        <f t="shared" si="0"/>
        <v>5</v>
      </c>
      <c r="J9" s="7">
        <f t="shared" si="1"/>
        <v>798</v>
      </c>
      <c r="K9" s="7">
        <f t="shared" si="2"/>
        <v>159.6</v>
      </c>
      <c r="L9" s="7">
        <f t="shared" si="3"/>
        <v>978.29999999999927</v>
      </c>
      <c r="M9" s="8">
        <f t="shared" si="4"/>
        <v>3913.2</v>
      </c>
      <c r="O9" s="19"/>
      <c r="P9" s="19"/>
      <c r="Q9" s="19"/>
      <c r="R9" s="19"/>
      <c r="S9" s="19"/>
      <c r="T9" s="19"/>
      <c r="W9" s="19" t="s">
        <v>1</v>
      </c>
      <c r="X9" s="16" t="s">
        <v>616</v>
      </c>
    </row>
    <row r="10" spans="1:24" ht="15.75" thickBot="1" x14ac:dyDescent="0.3">
      <c r="A10" s="273" t="s">
        <v>594</v>
      </c>
      <c r="B10" s="272" t="s">
        <v>592</v>
      </c>
      <c r="C10" s="273">
        <v>140</v>
      </c>
      <c r="D10" s="7">
        <v>145</v>
      </c>
      <c r="E10" s="7">
        <v>159</v>
      </c>
      <c r="F10" s="7">
        <v>131</v>
      </c>
      <c r="G10" s="8">
        <v>126</v>
      </c>
      <c r="H10" s="7"/>
      <c r="I10" s="273">
        <f t="shared" si="0"/>
        <v>5</v>
      </c>
      <c r="J10" s="7">
        <f t="shared" si="1"/>
        <v>701</v>
      </c>
      <c r="K10" s="7">
        <f t="shared" si="2"/>
        <v>140.19999999999999</v>
      </c>
      <c r="L10" s="7">
        <f t="shared" si="3"/>
        <v>165.7</v>
      </c>
      <c r="M10" s="8">
        <f t="shared" si="4"/>
        <v>662.8</v>
      </c>
      <c r="O10" s="20" t="s">
        <v>1</v>
      </c>
      <c r="P10" s="20">
        <f>DEVSQ(C4:G15)</f>
        <v>39640.85</v>
      </c>
      <c r="Q10" s="20">
        <f>COUNT(C4:G15)-1</f>
        <v>59</v>
      </c>
      <c r="R10" s="20"/>
      <c r="S10" s="20"/>
      <c r="T10" s="20"/>
      <c r="U10" s="20"/>
    </row>
    <row r="11" spans="1:24" x14ac:dyDescent="0.25">
      <c r="A11" s="273" t="s">
        <v>594</v>
      </c>
      <c r="B11" s="280" t="s">
        <v>596</v>
      </c>
      <c r="C11" s="273">
        <v>167</v>
      </c>
      <c r="D11" s="7">
        <v>183</v>
      </c>
      <c r="E11" s="7">
        <v>142</v>
      </c>
      <c r="F11" s="7">
        <v>167</v>
      </c>
      <c r="G11" s="8">
        <v>168</v>
      </c>
      <c r="H11" s="7"/>
      <c r="I11" s="273">
        <f t="shared" si="0"/>
        <v>5</v>
      </c>
      <c r="J11" s="7">
        <f t="shared" si="1"/>
        <v>827</v>
      </c>
      <c r="K11" s="7">
        <f t="shared" si="2"/>
        <v>165.4</v>
      </c>
      <c r="L11" s="7">
        <f t="shared" si="3"/>
        <v>217.3</v>
      </c>
      <c r="M11" s="8">
        <f t="shared" si="4"/>
        <v>869.2</v>
      </c>
    </row>
    <row r="12" spans="1:24" x14ac:dyDescent="0.25">
      <c r="A12" s="273" t="s">
        <v>595</v>
      </c>
      <c r="B12" s="272" t="s">
        <v>590</v>
      </c>
      <c r="C12" s="273">
        <v>156</v>
      </c>
      <c r="D12" s="7">
        <v>180</v>
      </c>
      <c r="E12" s="7">
        <v>147</v>
      </c>
      <c r="F12" s="7">
        <v>146</v>
      </c>
      <c r="G12" s="8">
        <v>193</v>
      </c>
      <c r="H12" s="7"/>
      <c r="I12" s="273">
        <f t="shared" si="0"/>
        <v>5</v>
      </c>
      <c r="J12" s="7">
        <f t="shared" si="1"/>
        <v>822</v>
      </c>
      <c r="K12" s="7">
        <f t="shared" si="2"/>
        <v>164.4</v>
      </c>
      <c r="L12" s="7">
        <f t="shared" si="3"/>
        <v>443.30000000000291</v>
      </c>
      <c r="M12" s="8">
        <f t="shared" si="4"/>
        <v>1773.1999999999998</v>
      </c>
    </row>
    <row r="13" spans="1:24" x14ac:dyDescent="0.25">
      <c r="A13" s="273" t="s">
        <v>595</v>
      </c>
      <c r="B13" s="272" t="s">
        <v>591</v>
      </c>
      <c r="C13" s="273">
        <v>186</v>
      </c>
      <c r="D13" s="7">
        <v>138</v>
      </c>
      <c r="E13" s="7">
        <v>178</v>
      </c>
      <c r="F13" s="7">
        <v>176</v>
      </c>
      <c r="G13" s="8">
        <v>190</v>
      </c>
      <c r="H13" s="7"/>
      <c r="I13" s="273">
        <f t="shared" si="0"/>
        <v>5</v>
      </c>
      <c r="J13" s="7">
        <f t="shared" si="1"/>
        <v>868</v>
      </c>
      <c r="K13" s="7">
        <f t="shared" si="2"/>
        <v>173.6</v>
      </c>
      <c r="L13" s="7">
        <f t="shared" si="3"/>
        <v>428.80000000000291</v>
      </c>
      <c r="M13" s="8">
        <f t="shared" si="4"/>
        <v>1715.2000000000003</v>
      </c>
    </row>
    <row r="14" spans="1:24" x14ac:dyDescent="0.25">
      <c r="A14" s="273" t="s">
        <v>595</v>
      </c>
      <c r="B14" s="272" t="s">
        <v>592</v>
      </c>
      <c r="C14" s="273">
        <v>185</v>
      </c>
      <c r="D14" s="7">
        <v>206</v>
      </c>
      <c r="E14" s="7">
        <v>188</v>
      </c>
      <c r="F14" s="7">
        <v>165</v>
      </c>
      <c r="G14" s="8">
        <v>188</v>
      </c>
      <c r="H14" s="7"/>
      <c r="I14" s="273">
        <f t="shared" si="0"/>
        <v>5</v>
      </c>
      <c r="J14" s="7">
        <f t="shared" si="1"/>
        <v>932</v>
      </c>
      <c r="K14" s="7">
        <f t="shared" si="2"/>
        <v>186.4</v>
      </c>
      <c r="L14" s="7">
        <f t="shared" si="3"/>
        <v>212.3</v>
      </c>
      <c r="M14" s="8">
        <f t="shared" si="4"/>
        <v>849.2</v>
      </c>
    </row>
    <row r="15" spans="1:24" x14ac:dyDescent="0.25">
      <c r="A15" s="9" t="s">
        <v>595</v>
      </c>
      <c r="B15" s="94" t="s">
        <v>596</v>
      </c>
      <c r="C15" s="9">
        <v>175</v>
      </c>
      <c r="D15" s="10">
        <v>173</v>
      </c>
      <c r="E15" s="10">
        <v>154</v>
      </c>
      <c r="F15" s="10">
        <v>191</v>
      </c>
      <c r="G15" s="11">
        <v>169</v>
      </c>
      <c r="H15" s="7"/>
      <c r="I15" s="9">
        <f t="shared" si="0"/>
        <v>5</v>
      </c>
      <c r="J15" s="10">
        <f t="shared" si="1"/>
        <v>862</v>
      </c>
      <c r="K15" s="10">
        <f t="shared" si="2"/>
        <v>172.4</v>
      </c>
      <c r="L15" s="10">
        <f t="shared" si="3"/>
        <v>175.8</v>
      </c>
      <c r="M15" s="11">
        <f t="shared" si="4"/>
        <v>703.2</v>
      </c>
    </row>
    <row r="17" spans="8:12" x14ac:dyDescent="0.25">
      <c r="H17" t="s">
        <v>593</v>
      </c>
      <c r="I17" s="266">
        <f>SUMIF($A$4:$A$15,H17,$I$4:$I$15)</f>
        <v>20</v>
      </c>
      <c r="J17" s="267">
        <f>SUMIF($A$4:$A$15,H17,$J$4:$J$15)</f>
        <v>2921</v>
      </c>
      <c r="K17" s="268">
        <f>J17/I17</f>
        <v>146.05000000000001</v>
      </c>
    </row>
    <row r="18" spans="8:12" x14ac:dyDescent="0.25">
      <c r="H18" t="s">
        <v>594</v>
      </c>
      <c r="I18" s="273">
        <f>SUMIF($A$4:$A$15,H18,$I$4:$I$15)</f>
        <v>20</v>
      </c>
      <c r="J18" s="7">
        <f>SUMIF($A$4:$A$15,H18,$J$4:$J$15)</f>
        <v>3042</v>
      </c>
      <c r="K18" s="8">
        <f>J18/I18</f>
        <v>152.1</v>
      </c>
    </row>
    <row r="19" spans="8:12" x14ac:dyDescent="0.25">
      <c r="H19" t="s">
        <v>595</v>
      </c>
      <c r="I19" s="9">
        <f>SUMIF($A$4:$A$15,H19,$I$4:$I$15)</f>
        <v>20</v>
      </c>
      <c r="J19" s="10">
        <f>SUMIF($A$4:$A$15,H19,$J$4:$J$15)</f>
        <v>3484</v>
      </c>
      <c r="K19" s="11">
        <f>J19/I19</f>
        <v>174.2</v>
      </c>
    </row>
    <row r="21" spans="8:12" x14ac:dyDescent="0.25">
      <c r="H21" s="8" t="s">
        <v>590</v>
      </c>
      <c r="I21" s="266">
        <f>SUMIF($B$4:$B$15,H21,$I$4:$I$15)</f>
        <v>15</v>
      </c>
      <c r="J21" s="267">
        <f>SUMIF($B$4:$B$15,H21,$J$4:$J$15)</f>
        <v>2197</v>
      </c>
      <c r="K21" s="268">
        <f>J21/I21</f>
        <v>146.46666666666667</v>
      </c>
    </row>
    <row r="22" spans="8:12" x14ac:dyDescent="0.25">
      <c r="H22" s="8" t="s">
        <v>591</v>
      </c>
      <c r="I22" s="273">
        <f>SUMIF($B$4:$B$15,H22,$I$4:$I$15)</f>
        <v>15</v>
      </c>
      <c r="J22" s="7">
        <f>SUMIF($B$4:$B$15,H22,$J$4:$J$15)</f>
        <v>2343</v>
      </c>
      <c r="K22" s="8">
        <f>J22/I22</f>
        <v>156.19999999999999</v>
      </c>
    </row>
    <row r="23" spans="8:12" x14ac:dyDescent="0.25">
      <c r="H23" s="8" t="s">
        <v>592</v>
      </c>
      <c r="I23" s="273">
        <f>SUMIF($B$4:$B$15,H23,$I$4:$I$15)</f>
        <v>15</v>
      </c>
      <c r="J23" s="7">
        <f>SUMIF($B$4:$B$15,H23,$J$4:$J$15)</f>
        <v>2512</v>
      </c>
      <c r="K23" s="8">
        <f>J23/I23</f>
        <v>167.46666666666667</v>
      </c>
    </row>
    <row r="24" spans="8:12" x14ac:dyDescent="0.25">
      <c r="H24" s="263" t="s">
        <v>596</v>
      </c>
      <c r="I24" s="9">
        <f>SUMIF($B$4:$B$15,H24,$I$4:$I$15)</f>
        <v>15</v>
      </c>
      <c r="J24" s="10">
        <f>SUMIF($B$4:$B$15,H24,$J$4:$J$15)</f>
        <v>2395</v>
      </c>
      <c r="K24" s="11">
        <f>J24/I24</f>
        <v>159.66666666666666</v>
      </c>
    </row>
    <row r="26" spans="8:12" x14ac:dyDescent="0.25">
      <c r="H26" s="245" t="s">
        <v>610</v>
      </c>
      <c r="I26" s="190" t="s">
        <v>590</v>
      </c>
      <c r="J26" s="190" t="s">
        <v>591</v>
      </c>
      <c r="K26" s="190" t="s">
        <v>592</v>
      </c>
      <c r="L26" s="190" t="s">
        <v>596</v>
      </c>
    </row>
    <row r="27" spans="8:12" x14ac:dyDescent="0.25">
      <c r="H27" t="s">
        <v>593</v>
      </c>
      <c r="I27" s="266">
        <f>AVERAGEIFS($K$4:$K$15,$A$4:$A$15,$H27,$B$4:$B$15,I$26)</f>
        <v>131.80000000000001</v>
      </c>
      <c r="J27" s="267">
        <f t="shared" ref="J27:L29" si="5">AVERAGEIFS($K$4:$K$15,$A$4:$A$15,$H27,$B$4:$B$15,J$26)</f>
        <v>135.4</v>
      </c>
      <c r="K27" s="267">
        <f t="shared" si="5"/>
        <v>175.8</v>
      </c>
      <c r="L27" s="268">
        <f t="shared" si="5"/>
        <v>141.19999999999999</v>
      </c>
    </row>
    <row r="28" spans="8:12" x14ac:dyDescent="0.25">
      <c r="H28" t="s">
        <v>594</v>
      </c>
      <c r="I28" s="273">
        <f>AVERAGEIFS($K$4:$K$15,$A$4:$A$15,$H28,$B$4:$B$15,I$26)</f>
        <v>143.19999999999999</v>
      </c>
      <c r="J28" s="7">
        <f t="shared" si="5"/>
        <v>159.6</v>
      </c>
      <c r="K28" s="7">
        <f t="shared" si="5"/>
        <v>140.19999999999999</v>
      </c>
      <c r="L28" s="8">
        <f t="shared" si="5"/>
        <v>165.4</v>
      </c>
    </row>
    <row r="29" spans="8:12" x14ac:dyDescent="0.25">
      <c r="H29" t="s">
        <v>595</v>
      </c>
      <c r="I29" s="9">
        <f>AVERAGEIFS($K$4:$K$15,$A$4:$A$15,$H29,$B$4:$B$15,I$26)</f>
        <v>164.4</v>
      </c>
      <c r="J29" s="10">
        <f t="shared" si="5"/>
        <v>173.6</v>
      </c>
      <c r="K29" s="10">
        <f t="shared" si="5"/>
        <v>186.4</v>
      </c>
      <c r="L29" s="11">
        <f t="shared" si="5"/>
        <v>172.4</v>
      </c>
    </row>
  </sheetData>
  <mergeCells count="1">
    <mergeCell ref="C3:G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/>
  <dimension ref="A1:V27"/>
  <sheetViews>
    <sheetView zoomScaleNormal="100" workbookViewId="0">
      <selection sqref="A1:C1048576"/>
    </sheetView>
  </sheetViews>
  <sheetFormatPr defaultRowHeight="15" x14ac:dyDescent="0.25"/>
  <cols>
    <col min="3" max="3" width="6.7109375" customWidth="1"/>
    <col min="4" max="4" width="4.85546875" customWidth="1"/>
    <col min="10" max="10" width="4.5703125" customWidth="1"/>
    <col min="13" max="13" width="6.7109375" customWidth="1"/>
    <col min="17" max="17" width="7.140625" customWidth="1"/>
    <col min="18" max="18" width="5" customWidth="1"/>
    <col min="19" max="22" width="7.85546875" customWidth="1"/>
  </cols>
  <sheetData>
    <row r="1" spans="1:22" x14ac:dyDescent="0.25">
      <c r="A1" s="1" t="s">
        <v>1671</v>
      </c>
      <c r="E1" t="s">
        <v>27</v>
      </c>
      <c r="K1" t="s">
        <v>1670</v>
      </c>
      <c r="S1" t="s">
        <v>1673</v>
      </c>
    </row>
    <row r="2" spans="1:22" x14ac:dyDescent="0.25">
      <c r="A2" s="1"/>
    </row>
    <row r="3" spans="1:22" ht="15.75" thickBot="1" x14ac:dyDescent="0.3">
      <c r="A3" t="s">
        <v>1672</v>
      </c>
      <c r="B3" t="s">
        <v>601</v>
      </c>
      <c r="C3" s="13" t="s">
        <v>607</v>
      </c>
      <c r="E3" t="s">
        <v>1666</v>
      </c>
      <c r="F3" t="str">
        <f>IF(COUNTIF(F5:H6,F5)=COUNT(F5:H6),"balanced","unbalanced")</f>
        <v>balanced</v>
      </c>
      <c r="K3" t="s">
        <v>294</v>
      </c>
      <c r="O3" s="771" t="s">
        <v>34</v>
      </c>
      <c r="P3" s="771">
        <v>0.05</v>
      </c>
      <c r="S3" s="775" t="str">
        <f t="array" ref="S3:V11">[1]!StdAnova2(A4:C27)</f>
        <v/>
      </c>
      <c r="T3" s="775" t="str">
        <v>Corn</v>
      </c>
      <c r="U3" s="775" t="str">
        <v>Soy</v>
      </c>
      <c r="V3" s="775" t="str">
        <v>Wheat</v>
      </c>
    </row>
    <row r="4" spans="1:22" ht="15.75" thickTop="1" x14ac:dyDescent="0.25">
      <c r="A4" s="772" t="s">
        <v>593</v>
      </c>
      <c r="B4" s="773" t="s">
        <v>590</v>
      </c>
      <c r="C4" s="774">
        <v>123</v>
      </c>
      <c r="F4" t="str">
        <f t="array" ref="F4:H4">TRANSPOSE([1]!SortUnique(B4:B27))</f>
        <v>Corn</v>
      </c>
      <c r="G4" t="str">
        <v>Soy</v>
      </c>
      <c r="H4" t="str">
        <v>Wheat</v>
      </c>
      <c r="K4" s="754"/>
      <c r="L4" s="754" t="s">
        <v>219</v>
      </c>
      <c r="M4" s="754" t="s">
        <v>60</v>
      </c>
      <c r="N4" s="754" t="s">
        <v>240</v>
      </c>
      <c r="O4" s="754" t="s">
        <v>135</v>
      </c>
      <c r="P4" s="754" t="s">
        <v>67</v>
      </c>
      <c r="Q4" s="754" t="s">
        <v>527</v>
      </c>
      <c r="S4" s="775" t="str">
        <v>Blend X</v>
      </c>
      <c r="T4" s="775">
        <v>128</v>
      </c>
      <c r="U4" s="775">
        <v>166</v>
      </c>
      <c r="V4" s="775">
        <v>123</v>
      </c>
    </row>
    <row r="5" spans="1:22" x14ac:dyDescent="0.25">
      <c r="A5" s="501" t="s">
        <v>593</v>
      </c>
      <c r="B5" s="7" t="s">
        <v>590</v>
      </c>
      <c r="C5" s="57">
        <v>156</v>
      </c>
      <c r="E5" t="str">
        <f t="array" ref="E5:E6">[1]!SortUnique(A4:A27)</f>
        <v>Blend X</v>
      </c>
      <c r="F5" s="772">
        <f t="array" ref="F5">COUNTIFS($A$4:$A$27,$E5,$B$4:$B$27,F$4)</f>
        <v>4</v>
      </c>
      <c r="G5" s="773">
        <f t="array" ref="G5">COUNTIFS($A$4:$A$27,$E5,$B$4:$B$27,G$4)</f>
        <v>4</v>
      </c>
      <c r="H5" s="774">
        <f t="array" ref="H5">COUNTIFS($A$4:$A$27,$E5,$B$4:$B$27,H$4)</f>
        <v>4</v>
      </c>
      <c r="I5">
        <f t="array" ref="I5">SUM(F5:H5)</f>
        <v>12</v>
      </c>
      <c r="K5" t="s">
        <v>136</v>
      </c>
      <c r="L5">
        <f>DEVSQ(I11:I12)*I5</f>
        <v>2.0416666666667331</v>
      </c>
      <c r="M5">
        <f>COUNT(I11:I12)-1</f>
        <v>1</v>
      </c>
      <c r="N5">
        <f>L5/M5</f>
        <v>2.0416666666667331</v>
      </c>
      <c r="O5">
        <f>N5/N8</f>
        <v>3.767974777638346E-3</v>
      </c>
      <c r="P5">
        <f>FDIST(O5,M5,M8)</f>
        <v>0.95172997920175384</v>
      </c>
      <c r="Q5" s="771" t="str">
        <f>IF(P5&lt;P3,"yes","no")</f>
        <v>no</v>
      </c>
      <c r="S5" s="680" t="str">
        <v/>
      </c>
      <c r="T5" s="680">
        <v>150</v>
      </c>
      <c r="U5" s="680">
        <v>178</v>
      </c>
      <c r="V5" s="680">
        <v>156</v>
      </c>
    </row>
    <row r="6" spans="1:22" x14ac:dyDescent="0.25">
      <c r="A6" s="501" t="s">
        <v>593</v>
      </c>
      <c r="B6" s="7" t="s">
        <v>590</v>
      </c>
      <c r="C6" s="57">
        <v>112</v>
      </c>
      <c r="E6" t="str">
        <v>Blend Y</v>
      </c>
      <c r="F6" s="759">
        <f t="array" ref="F6">COUNTIFS($A$4:$A$27,$E6,$B$4:$B$27,F$4)</f>
        <v>4</v>
      </c>
      <c r="G6" s="760">
        <f t="array" ref="G6">COUNTIFS($A$4:$A$27,$E6,$B$4:$B$27,G$4)</f>
        <v>4</v>
      </c>
      <c r="H6" s="761">
        <f t="array" ref="H6">COUNTIFS($A$4:$A$27,$E6,$B$4:$B$27,H$4)</f>
        <v>4</v>
      </c>
      <c r="I6">
        <f t="array" ref="I6">SUM(F6:H6)</f>
        <v>12</v>
      </c>
      <c r="K6" t="s">
        <v>589</v>
      </c>
      <c r="L6">
        <f>DEVSQ(F13:H13)*F7</f>
        <v>2736.583333333333</v>
      </c>
      <c r="M6">
        <f>COUNT(F13:H13)-1</f>
        <v>2</v>
      </c>
      <c r="N6">
        <f>L6/M6</f>
        <v>1368.2916666666665</v>
      </c>
      <c r="O6">
        <f>N6/N8</f>
        <v>2.5252351780175837</v>
      </c>
      <c r="P6">
        <f>FDIST(O6,M6,M8)</f>
        <v>0.10797778632812946</v>
      </c>
      <c r="Q6" s="771" t="str">
        <f>IF(P6&lt;P3,"yes","no")</f>
        <v>no</v>
      </c>
      <c r="S6" s="680" t="str">
        <v/>
      </c>
      <c r="T6" s="680">
        <v>174</v>
      </c>
      <c r="U6" s="680">
        <v>187</v>
      </c>
      <c r="V6" s="680">
        <v>112</v>
      </c>
    </row>
    <row r="7" spans="1:22" x14ac:dyDescent="0.25">
      <c r="A7" s="501" t="s">
        <v>593</v>
      </c>
      <c r="B7" s="7" t="s">
        <v>590</v>
      </c>
      <c r="C7" s="57">
        <v>100</v>
      </c>
      <c r="F7">
        <f t="array" ref="F7">SUM(F5:F6)</f>
        <v>8</v>
      </c>
      <c r="G7">
        <f t="array" ref="G7">SUM(G5:G6)</f>
        <v>8</v>
      </c>
      <c r="H7">
        <f t="array" ref="H7">SUM(H5:H6)</f>
        <v>8</v>
      </c>
      <c r="I7">
        <f t="array" ref="I7">SUM(I5:I6)</f>
        <v>24</v>
      </c>
      <c r="K7" t="s">
        <v>1319</v>
      </c>
      <c r="L7">
        <f>L9-L5-L6-L8</f>
        <v>2360.0833333333139</v>
      </c>
      <c r="M7">
        <f>M6*M5</f>
        <v>2</v>
      </c>
      <c r="N7">
        <f>L7/M7</f>
        <v>1180.041666666657</v>
      </c>
      <c r="O7">
        <f>N7/N8</f>
        <v>2.1778125240304336</v>
      </c>
      <c r="P7">
        <f>FDIST(O7,M7,M8)</f>
        <v>0.14222344475609597</v>
      </c>
      <c r="Q7" s="771" t="str">
        <f>IF(P7&lt;P3,"yes","no")</f>
        <v>no</v>
      </c>
      <c r="S7" s="757" t="str">
        <v/>
      </c>
      <c r="T7" s="757">
        <v>116</v>
      </c>
      <c r="U7" s="757">
        <v>153</v>
      </c>
      <c r="V7" s="757">
        <v>100</v>
      </c>
    </row>
    <row r="8" spans="1:22" x14ac:dyDescent="0.25">
      <c r="A8" s="501" t="s">
        <v>593</v>
      </c>
      <c r="B8" s="7" t="s">
        <v>591</v>
      </c>
      <c r="C8" s="57">
        <v>128</v>
      </c>
      <c r="K8" t="s">
        <v>600</v>
      </c>
      <c r="L8">
        <f>SUM(F17:H18)*(F5-1)</f>
        <v>9753.25</v>
      </c>
      <c r="M8">
        <f>M9-M5-M6-M7</f>
        <v>18</v>
      </c>
      <c r="N8">
        <f>L8/M8</f>
        <v>541.84722222222217</v>
      </c>
      <c r="S8" s="775" t="str">
        <v>Blend Y</v>
      </c>
      <c r="T8" s="775">
        <v>175</v>
      </c>
      <c r="U8" s="775">
        <v>140</v>
      </c>
      <c r="V8" s="775">
        <v>135</v>
      </c>
    </row>
    <row r="9" spans="1:22" x14ac:dyDescent="0.25">
      <c r="A9" s="501" t="s">
        <v>593</v>
      </c>
      <c r="B9" s="7" t="s">
        <v>591</v>
      </c>
      <c r="C9" s="57">
        <v>150</v>
      </c>
      <c r="E9" t="s">
        <v>610</v>
      </c>
      <c r="K9" s="762" t="s">
        <v>1</v>
      </c>
      <c r="L9" s="762">
        <f>N9*M9</f>
        <v>14851.958333333314</v>
      </c>
      <c r="M9" s="762">
        <f>I7-1</f>
        <v>23</v>
      </c>
      <c r="N9" s="762">
        <f>I19</f>
        <v>645.73731884057884</v>
      </c>
      <c r="O9" s="762"/>
      <c r="P9" s="762"/>
      <c r="Q9" s="762"/>
      <c r="S9" s="680" t="str">
        <v/>
      </c>
      <c r="T9" s="680">
        <v>132</v>
      </c>
      <c r="U9" s="680">
        <v>145</v>
      </c>
      <c r="V9" s="680">
        <v>130</v>
      </c>
    </row>
    <row r="10" spans="1:22" x14ac:dyDescent="0.25">
      <c r="A10" s="501" t="s">
        <v>593</v>
      </c>
      <c r="B10" s="7" t="s">
        <v>591</v>
      </c>
      <c r="C10" s="57">
        <v>174</v>
      </c>
      <c r="F10" t="str">
        <f t="array" ref="F10:H10">TRANSPOSE([1]!SortUnique(B4:B27))</f>
        <v>Corn</v>
      </c>
      <c r="G10" t="str">
        <v>Soy</v>
      </c>
      <c r="H10" t="str">
        <v>Wheat</v>
      </c>
      <c r="S10" s="680" t="str">
        <v/>
      </c>
      <c r="T10" s="680">
        <v>120</v>
      </c>
      <c r="U10" s="680">
        <v>159</v>
      </c>
      <c r="V10" s="680">
        <v>176</v>
      </c>
    </row>
    <row r="11" spans="1:22" x14ac:dyDescent="0.25">
      <c r="A11" s="501" t="s">
        <v>593</v>
      </c>
      <c r="B11" s="7" t="s">
        <v>591</v>
      </c>
      <c r="C11" s="57">
        <v>116</v>
      </c>
      <c r="E11" t="str">
        <f t="array" ref="E11:E12">[1]!SortUnique(A4:A27)</f>
        <v>Blend X</v>
      </c>
      <c r="F11" s="772">
        <f t="array" ref="F11">AVERAGEIFS($C$4:$C$27,$A$4:$A$27,$E11,$B$4:$B$27,F$10)</f>
        <v>142</v>
      </c>
      <c r="G11" s="773">
        <f t="array" ref="G11">AVERAGEIFS($C$4:$C$27,$A$4:$A$27,$E11,$B$4:$B$27,G$10)</f>
        <v>171</v>
      </c>
      <c r="H11" s="774">
        <f t="array" ref="H11">AVERAGEIFS($C$4:$C$27,$A$4:$A$27,$E11,$B$4:$B$27,H$10)</f>
        <v>122.75</v>
      </c>
      <c r="I11">
        <f t="array" ref="I11">AVERAGE(F11:H11)</f>
        <v>145.25</v>
      </c>
      <c r="S11" s="757" t="str">
        <v/>
      </c>
      <c r="T11" s="757">
        <v>187</v>
      </c>
      <c r="U11" s="757">
        <v>131</v>
      </c>
      <c r="V11" s="757">
        <v>120</v>
      </c>
    </row>
    <row r="12" spans="1:22" x14ac:dyDescent="0.25">
      <c r="A12" s="501" t="s">
        <v>593</v>
      </c>
      <c r="B12" s="7" t="s">
        <v>592</v>
      </c>
      <c r="C12" s="57">
        <v>166</v>
      </c>
      <c r="E12" t="str">
        <v>Blend Y</v>
      </c>
      <c r="F12" s="759">
        <f t="array" ref="F12">AVERAGEIFS($C$4:$C$27,$A$4:$A$27,$E12,$B$4:$B$27,F$10)</f>
        <v>153.5</v>
      </c>
      <c r="G12" s="760">
        <f t="array" ref="G12">AVERAGEIFS($C$4:$C$27,$A$4:$A$27,$E12,$B$4:$B$27,G$10)</f>
        <v>143.75</v>
      </c>
      <c r="H12" s="761">
        <f t="array" ref="H12">AVERAGEIFS($C$4:$C$27,$A$4:$A$27,$E12,$B$4:$B$27,H$10)</f>
        <v>140.25</v>
      </c>
      <c r="I12">
        <f t="array" ref="I12">AVERAGE(F12:H12)</f>
        <v>145.83333333333334</v>
      </c>
    </row>
    <row r="13" spans="1:22" x14ac:dyDescent="0.25">
      <c r="A13" s="501" t="s">
        <v>593</v>
      </c>
      <c r="B13" s="7" t="s">
        <v>592</v>
      </c>
      <c r="C13" s="57">
        <v>178</v>
      </c>
      <c r="F13">
        <f t="array" ref="F13">AVERAGE(F11:F12)</f>
        <v>147.75</v>
      </c>
      <c r="G13">
        <f t="array" ref="G13">AVERAGE(G11:G12)</f>
        <v>157.375</v>
      </c>
      <c r="H13">
        <f t="array" ref="H13">AVERAGE(H11:H12)</f>
        <v>131.5</v>
      </c>
      <c r="I13">
        <f t="array" ref="I13">AVERAGE(I11:I12)</f>
        <v>145.54166666666669</v>
      </c>
    </row>
    <row r="14" spans="1:22" x14ac:dyDescent="0.25">
      <c r="A14" s="501" t="s">
        <v>593</v>
      </c>
      <c r="B14" s="7" t="s">
        <v>592</v>
      </c>
      <c r="C14" s="57">
        <v>187</v>
      </c>
    </row>
    <row r="15" spans="1:22" x14ac:dyDescent="0.25">
      <c r="A15" s="501" t="s">
        <v>593</v>
      </c>
      <c r="B15" s="7" t="s">
        <v>592</v>
      </c>
      <c r="C15" s="57">
        <v>153</v>
      </c>
      <c r="E15" t="s">
        <v>1667</v>
      </c>
    </row>
    <row r="16" spans="1:22" x14ac:dyDescent="0.25">
      <c r="A16" s="501" t="s">
        <v>594</v>
      </c>
      <c r="B16" s="7" t="s">
        <v>590</v>
      </c>
      <c r="C16" s="57">
        <v>135</v>
      </c>
      <c r="F16" t="str">
        <f t="array" ref="F16:H16">TRANSPOSE([1]!SortUnique(B4:B27))</f>
        <v>Corn</v>
      </c>
      <c r="G16" t="str">
        <v>Soy</v>
      </c>
      <c r="H16" t="str">
        <v>Wheat</v>
      </c>
    </row>
    <row r="17" spans="1:9" x14ac:dyDescent="0.25">
      <c r="A17" s="501" t="s">
        <v>594</v>
      </c>
      <c r="B17" s="7" t="s">
        <v>590</v>
      </c>
      <c r="C17" s="57">
        <v>130</v>
      </c>
      <c r="E17" t="str">
        <f t="array" ref="E17:E18">[1]!SortUnique(A4:A27)</f>
        <v>Blend X</v>
      </c>
      <c r="F17" s="772">
        <f t="array" ref="F17">VAR(IF(($A$4:$A$27=$E17)*($B$4:$B$27=F$16),$C$4:$C$27))</f>
        <v>653.33333333333337</v>
      </c>
      <c r="G17" s="773">
        <f t="array" ref="G17">VAR(IF(($A$4:$A$27=$E17)*($B$4:$B$27=G$16),$C$4:$C$27))</f>
        <v>218</v>
      </c>
      <c r="H17" s="774">
        <f t="array" ref="H17">VAR(IF(($A$4:$A$27=$E17)*($B$4:$B$27=H$16),$C$4:$C$27))</f>
        <v>579.58333333333337</v>
      </c>
      <c r="I17">
        <f t="array" ref="I17">VAR(IF($A$4:$A$27=$E17,$C$4:$C$27))</f>
        <v>824.75</v>
      </c>
    </row>
    <row r="18" spans="1:9" x14ac:dyDescent="0.25">
      <c r="A18" s="501" t="s">
        <v>594</v>
      </c>
      <c r="B18" s="7" t="s">
        <v>590</v>
      </c>
      <c r="C18" s="57">
        <v>176</v>
      </c>
      <c r="E18" t="str">
        <v>Blend Y</v>
      </c>
      <c r="F18" s="759">
        <f t="array" ref="F18">VAR(IF(($A$4:$A$27=$E18)*($B$4:$B$27=F$16),$C$4:$C$27))</f>
        <v>1056.3333333333333</v>
      </c>
      <c r="G18" s="760">
        <f t="array" ref="G18">VAR(IF(($A$4:$A$27=$E18)*($B$4:$B$27=G$16),$C$4:$C$27))</f>
        <v>136.91666666666666</v>
      </c>
      <c r="H18" s="761">
        <f t="array" ref="H18">VAR(IF(($A$4:$A$27=$E18)*($B$4:$B$27=H$16),$C$4:$C$27))</f>
        <v>606.91666666666663</v>
      </c>
      <c r="I18">
        <f t="array" ref="I18">VAR(IF($A$4:$A$27=$E18,$C$4:$C$27))</f>
        <v>525.24242424242334</v>
      </c>
    </row>
    <row r="19" spans="1:9" x14ac:dyDescent="0.25">
      <c r="A19" s="501" t="s">
        <v>594</v>
      </c>
      <c r="B19" s="7" t="s">
        <v>590</v>
      </c>
      <c r="C19" s="57">
        <v>120</v>
      </c>
      <c r="F19">
        <f t="array" ref="F19">VAR(IF($B$4:$B$27=F$16,$C$4:$C$27))</f>
        <v>770.5</v>
      </c>
      <c r="G19">
        <f t="array" ref="G19">VAR(IF($B$4:$B$27=G$16,$C$4:$C$27))</f>
        <v>364.26785714285717</v>
      </c>
      <c r="H19">
        <f t="array" ref="H19">VAR(IF($B$4:$B$27=H$16,$C$4:$C$27))</f>
        <v>596</v>
      </c>
      <c r="I19">
        <f>VAR(C4:C27)</f>
        <v>645.73731884057884</v>
      </c>
    </row>
    <row r="20" spans="1:9" x14ac:dyDescent="0.25">
      <c r="A20" s="501" t="s">
        <v>594</v>
      </c>
      <c r="B20" s="7" t="s">
        <v>591</v>
      </c>
      <c r="C20" s="57">
        <v>175</v>
      </c>
    </row>
    <row r="21" spans="1:9" x14ac:dyDescent="0.25">
      <c r="A21" s="501" t="s">
        <v>594</v>
      </c>
      <c r="B21" s="7" t="s">
        <v>591</v>
      </c>
      <c r="C21" s="57">
        <v>132</v>
      </c>
    </row>
    <row r="22" spans="1:9" x14ac:dyDescent="0.25">
      <c r="A22" s="501" t="s">
        <v>594</v>
      </c>
      <c r="B22" s="7" t="s">
        <v>591</v>
      </c>
      <c r="C22" s="57">
        <v>120</v>
      </c>
    </row>
    <row r="23" spans="1:9" x14ac:dyDescent="0.25">
      <c r="A23" s="501" t="s">
        <v>594</v>
      </c>
      <c r="B23" s="7" t="s">
        <v>591</v>
      </c>
      <c r="C23" s="57">
        <v>187</v>
      </c>
    </row>
    <row r="24" spans="1:9" x14ac:dyDescent="0.25">
      <c r="A24" s="501" t="s">
        <v>594</v>
      </c>
      <c r="B24" s="7" t="s">
        <v>592</v>
      </c>
      <c r="C24" s="57">
        <v>140</v>
      </c>
    </row>
    <row r="25" spans="1:9" x14ac:dyDescent="0.25">
      <c r="A25" s="501" t="s">
        <v>594</v>
      </c>
      <c r="B25" s="7" t="s">
        <v>592</v>
      </c>
      <c r="C25" s="57">
        <v>145</v>
      </c>
    </row>
    <row r="26" spans="1:9" x14ac:dyDescent="0.25">
      <c r="A26" s="501" t="s">
        <v>594</v>
      </c>
      <c r="B26" s="7" t="s">
        <v>592</v>
      </c>
      <c r="C26" s="57">
        <v>159</v>
      </c>
    </row>
    <row r="27" spans="1:9" x14ac:dyDescent="0.25">
      <c r="A27" s="759" t="s">
        <v>594</v>
      </c>
      <c r="B27" s="760" t="s">
        <v>592</v>
      </c>
      <c r="C27" s="761">
        <v>131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9"/>
  <dimension ref="B1:BI24"/>
  <sheetViews>
    <sheetView workbookViewId="0">
      <selection activeCell="B1" sqref="B1"/>
    </sheetView>
  </sheetViews>
  <sheetFormatPr defaultRowHeight="15" x14ac:dyDescent="0.25"/>
  <cols>
    <col min="1" max="1" width="2.7109375" customWidth="1"/>
    <col min="2" max="2" width="7.5703125" customWidth="1"/>
    <col min="3" max="6" width="8.140625" customWidth="1"/>
    <col min="7" max="7" width="8" customWidth="1"/>
    <col min="12" max="12" width="4.28515625" customWidth="1"/>
    <col min="15" max="15" width="6.7109375" customWidth="1"/>
    <col min="19" max="19" width="6.7109375" customWidth="1"/>
    <col min="20" max="20" width="2.28515625" customWidth="1"/>
    <col min="21" max="26" width="13.140625" customWidth="1"/>
    <col min="29" max="34" width="11.85546875" customWidth="1"/>
    <col min="37" max="42" width="11.42578125" customWidth="1"/>
    <col min="44" max="44" width="10" customWidth="1"/>
    <col min="45" max="50" width="13.7109375" customWidth="1"/>
    <col min="52" max="52" width="19.28515625" customWidth="1"/>
    <col min="53" max="58" width="13.140625" customWidth="1"/>
  </cols>
  <sheetData>
    <row r="1" spans="2:61" x14ac:dyDescent="0.25">
      <c r="B1" s="1" t="s">
        <v>2491</v>
      </c>
    </row>
    <row r="3" spans="2:61" x14ac:dyDescent="0.25">
      <c r="B3" s="7"/>
      <c r="C3" s="1291" t="s">
        <v>2495</v>
      </c>
      <c r="D3" s="1292"/>
      <c r="E3" s="1293"/>
      <c r="F3" s="1216"/>
      <c r="G3" t="s">
        <v>27</v>
      </c>
      <c r="M3" t="s">
        <v>1670</v>
      </c>
      <c r="U3" t="s">
        <v>2496</v>
      </c>
      <c r="AB3" t="s">
        <v>1566</v>
      </c>
      <c r="AJ3" t="s">
        <v>1570</v>
      </c>
      <c r="AR3" t="s">
        <v>1565</v>
      </c>
      <c r="AZ3" t="s">
        <v>27</v>
      </c>
      <c r="BH3" t="s">
        <v>1613</v>
      </c>
    </row>
    <row r="4" spans="2:61" x14ac:dyDescent="0.25">
      <c r="B4" s="580" t="s">
        <v>383</v>
      </c>
      <c r="C4" s="1156" t="s">
        <v>2492</v>
      </c>
      <c r="D4" s="1157" t="s">
        <v>2493</v>
      </c>
      <c r="E4" s="1157" t="s">
        <v>2494</v>
      </c>
      <c r="F4" s="25"/>
    </row>
    <row r="5" spans="2:61" ht="15.75" thickBot="1" x14ac:dyDescent="0.3">
      <c r="B5" s="501" t="s">
        <v>1660</v>
      </c>
      <c r="C5" s="1158">
        <v>12.3</v>
      </c>
      <c r="D5" s="1159">
        <v>13.5</v>
      </c>
      <c r="E5" s="1160">
        <v>15.6</v>
      </c>
      <c r="F5" s="92"/>
      <c r="G5" t="s">
        <v>1666</v>
      </c>
      <c r="H5" t="str">
        <f>IF(COUNTIF(H7:J8,H7)=COUNT(H7:J8),"balanced","unbalanced")</f>
        <v>balanced</v>
      </c>
      <c r="M5" t="s">
        <v>294</v>
      </c>
      <c r="Q5" s="1122" t="s">
        <v>34</v>
      </c>
      <c r="R5" s="1122">
        <v>0.05</v>
      </c>
      <c r="U5" s="25" t="s">
        <v>2497</v>
      </c>
      <c r="V5" s="25" t="s">
        <v>2498</v>
      </c>
      <c r="W5" s="25" t="s">
        <v>2499</v>
      </c>
      <c r="X5" s="25" t="s">
        <v>2500</v>
      </c>
      <c r="Y5" s="25" t="s">
        <v>2501</v>
      </c>
      <c r="Z5" s="25" t="s">
        <v>2502</v>
      </c>
      <c r="AC5" s="245" t="str">
        <f t="shared" ref="AC5:AH5" si="0">U5</f>
        <v>High-Direct</v>
      </c>
      <c r="AD5" s="245" t="str">
        <f t="shared" si="0"/>
        <v>High-OEM</v>
      </c>
      <c r="AE5" s="245" t="str">
        <f t="shared" si="0"/>
        <v>High-Reseller</v>
      </c>
      <c r="AF5" s="245" t="str">
        <f t="shared" si="0"/>
        <v>Low-Direct</v>
      </c>
      <c r="AG5" s="245" t="str">
        <f t="shared" si="0"/>
        <v>Low-OEM</v>
      </c>
      <c r="AH5" s="245" t="str">
        <f t="shared" si="0"/>
        <v>Low-Reseller</v>
      </c>
      <c r="AJ5" s="959"/>
      <c r="AK5" s="959" t="str">
        <f t="shared" ref="AK5:AP5" si="1">U5</f>
        <v>High-Direct</v>
      </c>
      <c r="AL5" s="959" t="str">
        <f t="shared" si="1"/>
        <v>High-OEM</v>
      </c>
      <c r="AM5" s="959" t="str">
        <f t="shared" si="1"/>
        <v>High-Reseller</v>
      </c>
      <c r="AN5" s="959" t="str">
        <f t="shared" si="1"/>
        <v>Low-Direct</v>
      </c>
      <c r="AO5" s="959" t="str">
        <f t="shared" si="1"/>
        <v>Low-OEM</v>
      </c>
      <c r="AP5" s="959" t="str">
        <f t="shared" si="1"/>
        <v>Low-Reseller</v>
      </c>
      <c r="AR5" s="959"/>
      <c r="AS5" s="959" t="str">
        <f t="shared" ref="AS5:AX5" si="2">U5</f>
        <v>High-Direct</v>
      </c>
      <c r="AT5" s="959" t="str">
        <f t="shared" si="2"/>
        <v>High-OEM</v>
      </c>
      <c r="AU5" s="959" t="str">
        <f t="shared" si="2"/>
        <v>High-Reseller</v>
      </c>
      <c r="AV5" s="959" t="str">
        <f t="shared" si="2"/>
        <v>Low-Direct</v>
      </c>
      <c r="AW5" s="959" t="str">
        <f t="shared" si="2"/>
        <v>Low-OEM</v>
      </c>
      <c r="AX5" s="959" t="str">
        <f t="shared" si="2"/>
        <v>Low-Reseller</v>
      </c>
      <c r="AZ5" s="959"/>
      <c r="BA5" s="959" t="str">
        <f t="shared" ref="BA5:BF5" si="3">U5</f>
        <v>High-Direct</v>
      </c>
      <c r="BB5" s="959" t="str">
        <f t="shared" si="3"/>
        <v>High-OEM</v>
      </c>
      <c r="BC5" s="959" t="str">
        <f t="shared" si="3"/>
        <v>High-Reseller</v>
      </c>
      <c r="BD5" s="959" t="str">
        <f t="shared" si="3"/>
        <v>Low-Direct</v>
      </c>
      <c r="BE5" s="959" t="str">
        <f t="shared" si="3"/>
        <v>Low-OEM</v>
      </c>
      <c r="BF5" s="959" t="str">
        <f t="shared" si="3"/>
        <v>Low-Reseller</v>
      </c>
      <c r="BH5" t="s">
        <v>1614</v>
      </c>
      <c r="BI5" s="13" t="s">
        <v>67</v>
      </c>
    </row>
    <row r="6" spans="2:61" ht="15.75" thickTop="1" x14ac:dyDescent="0.25">
      <c r="B6" s="501"/>
      <c r="C6" s="626">
        <v>15.6</v>
      </c>
      <c r="D6" s="1161">
        <v>13</v>
      </c>
      <c r="E6" s="967">
        <v>18</v>
      </c>
      <c r="F6" s="92"/>
      <c r="H6" s="1122" t="str">
        <f>C4</f>
        <v>Direct</v>
      </c>
      <c r="I6" s="1122" t="str">
        <f>D4</f>
        <v>OEM</v>
      </c>
      <c r="J6" s="1122" t="str">
        <f>E4</f>
        <v>Reseller</v>
      </c>
      <c r="M6" s="826"/>
      <c r="N6" s="826" t="s">
        <v>219</v>
      </c>
      <c r="O6" s="826" t="s">
        <v>60</v>
      </c>
      <c r="P6" s="826" t="s">
        <v>240</v>
      </c>
      <c r="Q6" s="826" t="s">
        <v>135</v>
      </c>
      <c r="R6" s="826" t="s">
        <v>67</v>
      </c>
      <c r="S6" s="826" t="s">
        <v>527</v>
      </c>
      <c r="U6" s="1158">
        <v>12.3</v>
      </c>
      <c r="V6" s="965">
        <v>13.5</v>
      </c>
      <c r="W6" s="965">
        <v>15.6</v>
      </c>
      <c r="X6" s="965">
        <v>9.3000000000000007</v>
      </c>
      <c r="Y6" s="965">
        <v>17.5</v>
      </c>
      <c r="Z6" s="1160">
        <v>18.600000000000001</v>
      </c>
      <c r="AB6" t="s">
        <v>50</v>
      </c>
      <c r="AC6" s="1162">
        <f t="shared" ref="AC6:AH6" si="4">MIN(U6:U15)</f>
        <v>10</v>
      </c>
      <c r="AD6" s="1163">
        <f t="shared" si="4"/>
        <v>12</v>
      </c>
      <c r="AE6" s="1163">
        <f t="shared" si="4"/>
        <v>14.6</v>
      </c>
      <c r="AF6" s="1163">
        <f t="shared" si="4"/>
        <v>6.7</v>
      </c>
      <c r="AG6" s="1163">
        <f t="shared" si="4"/>
        <v>12</v>
      </c>
      <c r="AH6" s="1164">
        <f t="shared" si="4"/>
        <v>13.8</v>
      </c>
      <c r="AJ6" t="s">
        <v>1044</v>
      </c>
      <c r="AK6">
        <f>[1]!SHAPIRO(U6:U15)</f>
        <v>0.97229739523620706</v>
      </c>
      <c r="AL6">
        <f>[1]!SHAPIRO(V6:V15)</f>
        <v>0.7214755136194031</v>
      </c>
      <c r="AM6">
        <f>[1]!SHAPIRO(W6:W15)</f>
        <v>0.79938806156783893</v>
      </c>
      <c r="AN6">
        <f>[1]!SHAPIRO(X6:X15)</f>
        <v>0.95057248227194235</v>
      </c>
      <c r="AO6">
        <f>[1]!SHAPIRO(Y6:Y15)</f>
        <v>0.87771775000903962</v>
      </c>
      <c r="AP6">
        <f>[1]!SHAPIRO(Z6:Z15)</f>
        <v>0.7457489908322501</v>
      </c>
      <c r="AR6" s="1122" t="s">
        <v>7</v>
      </c>
      <c r="AS6" s="29">
        <f t="shared" ref="AS6:AX6" si="5">AVERAGE(U6:U15)</f>
        <v>15.929999999999998</v>
      </c>
      <c r="AT6" s="29">
        <f t="shared" si="5"/>
        <v>15.190000000000001</v>
      </c>
      <c r="AU6" s="29">
        <f t="shared" si="5"/>
        <v>18.499999999999996</v>
      </c>
      <c r="AV6" s="29">
        <f t="shared" si="5"/>
        <v>11.280000000000001</v>
      </c>
      <c r="AW6" s="29">
        <f t="shared" si="5"/>
        <v>16.25</v>
      </c>
      <c r="AX6" s="29">
        <f t="shared" si="5"/>
        <v>18.53</v>
      </c>
      <c r="AZ6" t="s">
        <v>10</v>
      </c>
      <c r="BA6" s="29">
        <f t="shared" ref="BA6:BF6" si="6">AVERAGE(U6:U15)</f>
        <v>15.929999999999998</v>
      </c>
      <c r="BB6" s="29">
        <f t="shared" si="6"/>
        <v>15.190000000000001</v>
      </c>
      <c r="BC6" s="29">
        <f t="shared" si="6"/>
        <v>18.499999999999996</v>
      </c>
      <c r="BD6" s="29">
        <f t="shared" si="6"/>
        <v>11.280000000000001</v>
      </c>
      <c r="BE6" s="29">
        <f t="shared" si="6"/>
        <v>16.25</v>
      </c>
      <c r="BF6" s="29">
        <f t="shared" si="6"/>
        <v>18.53</v>
      </c>
      <c r="BH6" t="s">
        <v>1615</v>
      </c>
      <c r="BI6" s="1155">
        <f>[1]!Levene(U6:Z15)</f>
        <v>0.86746665660827349</v>
      </c>
    </row>
    <row r="7" spans="2:61" x14ac:dyDescent="0.25">
      <c r="B7" s="501"/>
      <c r="C7" s="626">
        <v>16.600000000000001</v>
      </c>
      <c r="D7" s="1161">
        <v>14</v>
      </c>
      <c r="E7" s="967">
        <v>18.5</v>
      </c>
      <c r="F7" s="92"/>
      <c r="G7" t="str">
        <f>B5</f>
        <v>High</v>
      </c>
      <c r="H7" s="1154">
        <f>COUNT(C5:C14)</f>
        <v>10</v>
      </c>
      <c r="I7" s="1148">
        <f>COUNT(D5:D14)</f>
        <v>10</v>
      </c>
      <c r="J7" s="1149">
        <f>COUNT(E5:E14)</f>
        <v>10</v>
      </c>
      <c r="K7">
        <f>COUNT(C5:E14)</f>
        <v>30</v>
      </c>
      <c r="M7" t="s">
        <v>136</v>
      </c>
      <c r="N7">
        <f>DEVSQ(K13:K14)*K7</f>
        <v>21.12266666666682</v>
      </c>
      <c r="O7">
        <f>COUNT(K13:K14)-1</f>
        <v>1</v>
      </c>
      <c r="P7">
        <f>N7/O7</f>
        <v>21.12266666666682</v>
      </c>
      <c r="Q7">
        <f>P7/P10</f>
        <v>1.5679283876218006</v>
      </c>
      <c r="R7">
        <f>FDIST(Q7,O7,O10)</f>
        <v>0.21590446204793107</v>
      </c>
      <c r="S7" s="1122" t="str">
        <f>IF(R7&lt;R5,"yes","no")</f>
        <v>no</v>
      </c>
      <c r="U7" s="626">
        <v>15.6</v>
      </c>
      <c r="V7" s="92">
        <v>13</v>
      </c>
      <c r="W7" s="92">
        <v>18</v>
      </c>
      <c r="X7" s="92">
        <v>12.1</v>
      </c>
      <c r="Y7" s="92">
        <v>13.2</v>
      </c>
      <c r="Z7" s="967">
        <v>13.8</v>
      </c>
      <c r="AB7" t="s">
        <v>51</v>
      </c>
      <c r="AC7" s="1170">
        <f t="shared" ref="AC7:AH7" si="7">QUARTILE(U6:U15,1)-AC6</f>
        <v>3.0500000000000007</v>
      </c>
      <c r="AD7" s="92">
        <f t="shared" si="7"/>
        <v>1.0250000000000004</v>
      </c>
      <c r="AE7" s="92">
        <f t="shared" si="7"/>
        <v>1.2249999999999996</v>
      </c>
      <c r="AF7" s="92">
        <f t="shared" si="7"/>
        <v>1.9999999999999991</v>
      </c>
      <c r="AG7" s="92">
        <f t="shared" si="7"/>
        <v>2.8249999999999993</v>
      </c>
      <c r="AH7" s="1171">
        <f t="shared" si="7"/>
        <v>3.5500000000000007</v>
      </c>
      <c r="AJ7" t="s">
        <v>67</v>
      </c>
      <c r="AK7">
        <f>[1]!SWTEST(U6:U15)</f>
        <v>0.91129008252069943</v>
      </c>
      <c r="AL7">
        <f>[1]!SWTEST(V6:V15)</f>
        <v>1.6051077551608728E-3</v>
      </c>
      <c r="AM7">
        <f>[1]!SWTEST(W6:W15)</f>
        <v>1.4252373466706048E-2</v>
      </c>
      <c r="AN7">
        <f>[1]!SWTEST(X6:X15)</f>
        <v>0.67527724299833269</v>
      </c>
      <c r="AO7">
        <f>[1]!SWTEST(Y6:Y15)</f>
        <v>0.12283743084939081</v>
      </c>
      <c r="AP7">
        <f>[1]!SWTEST(Z6:Z15)</f>
        <v>3.1677127666630556E-3</v>
      </c>
      <c r="AR7" s="1122" t="s">
        <v>9</v>
      </c>
      <c r="AS7">
        <f t="shared" ref="AS7:AX7" si="8">STDEV(U6:U15)</f>
        <v>3.8896015220071138</v>
      </c>
      <c r="AT7">
        <f t="shared" si="8"/>
        <v>4.0492660514660619</v>
      </c>
      <c r="AU7">
        <f t="shared" si="8"/>
        <v>4.1507696742759688</v>
      </c>
      <c r="AV7">
        <f t="shared" si="8"/>
        <v>3.7472360184244802</v>
      </c>
      <c r="AW7">
        <f t="shared" si="8"/>
        <v>2.3253434632806869</v>
      </c>
      <c r="AX7">
        <f t="shared" si="8"/>
        <v>3.5534177600976973</v>
      </c>
      <c r="AZ7" t="s">
        <v>11</v>
      </c>
      <c r="BA7">
        <f t="shared" ref="BA7:BF7" si="9">STDEV(U6:U15)/SQRT(COUNT(U6:U15))</f>
        <v>1.2300000000000022</v>
      </c>
      <c r="BB7">
        <f t="shared" si="9"/>
        <v>1.2804903574629349</v>
      </c>
      <c r="BC7">
        <f t="shared" si="9"/>
        <v>1.3125886213467275</v>
      </c>
      <c r="BD7">
        <f t="shared" si="9"/>
        <v>1.1849800748442039</v>
      </c>
      <c r="BE7">
        <f t="shared" si="9"/>
        <v>0.73533816861510859</v>
      </c>
      <c r="BF7">
        <f t="shared" si="9"/>
        <v>1.1236893600002509</v>
      </c>
      <c r="BH7" t="s">
        <v>1616</v>
      </c>
      <c r="BI7" s="680">
        <f>[1]!Levene(U6:Z15,1)</f>
        <v>0.85965019913398577</v>
      </c>
    </row>
    <row r="8" spans="2:61" x14ac:dyDescent="0.25">
      <c r="B8" s="501"/>
      <c r="C8" s="626">
        <v>17.8</v>
      </c>
      <c r="D8" s="1161">
        <v>14.5</v>
      </c>
      <c r="E8" s="967">
        <v>20.6</v>
      </c>
      <c r="F8" s="92"/>
      <c r="G8" t="str">
        <f>B15</f>
        <v>Low</v>
      </c>
      <c r="H8" s="759">
        <f>COUNT(C15:C24)</f>
        <v>10</v>
      </c>
      <c r="I8" s="760">
        <f>COUNT(D15:D24)</f>
        <v>10</v>
      </c>
      <c r="J8" s="761">
        <f>COUNT(E15:E24)</f>
        <v>10</v>
      </c>
      <c r="K8">
        <f>COUNT(C15:E24)</f>
        <v>30</v>
      </c>
      <c r="M8" t="s">
        <v>589</v>
      </c>
      <c r="N8">
        <f>DEVSQ(H15:J15)*H9</f>
        <v>242.62233333333353</v>
      </c>
      <c r="O8">
        <f>COUNT(H15:J15)-1</f>
        <v>2</v>
      </c>
      <c r="P8">
        <f>N8/O8</f>
        <v>121.31116666666676</v>
      </c>
      <c r="Q8">
        <f>P8/P10</f>
        <v>9.0048867860206236</v>
      </c>
      <c r="R8">
        <f>FDIST(Q8,O8,O10)</f>
        <v>4.2175718649531619E-4</v>
      </c>
      <c r="S8" s="1122" t="str">
        <f>IF(R8&lt;R5,"yes","no")</f>
        <v>yes</v>
      </c>
      <c r="U8" s="626">
        <v>16.600000000000001</v>
      </c>
      <c r="V8" s="92">
        <v>14</v>
      </c>
      <c r="W8" s="92">
        <v>18.5</v>
      </c>
      <c r="X8" s="92">
        <v>10.4</v>
      </c>
      <c r="Y8" s="92">
        <v>16.7</v>
      </c>
      <c r="Z8" s="967">
        <v>17.5</v>
      </c>
      <c r="AB8" t="s">
        <v>52</v>
      </c>
      <c r="AC8" s="1170">
        <f t="shared" ref="AC8:AH8" si="10">MEDIAN(U6:U15)-QUARTILE(U6:U15,1)</f>
        <v>3.0500000000000007</v>
      </c>
      <c r="AD8" s="92">
        <f t="shared" si="10"/>
        <v>0.72499999999999964</v>
      </c>
      <c r="AE8" s="92">
        <f t="shared" si="10"/>
        <v>2.4250000000000007</v>
      </c>
      <c r="AF8" s="92">
        <f t="shared" si="10"/>
        <v>1.9500000000000011</v>
      </c>
      <c r="AG8" s="92">
        <f t="shared" si="10"/>
        <v>1.9250000000000007</v>
      </c>
      <c r="AH8" s="1171">
        <f t="shared" si="10"/>
        <v>0.35000000000000142</v>
      </c>
      <c r="AJ8" t="s">
        <v>106</v>
      </c>
      <c r="AK8">
        <v>0.05</v>
      </c>
      <c r="AL8">
        <v>0.05</v>
      </c>
      <c r="AM8">
        <v>0.05</v>
      </c>
      <c r="AN8">
        <v>0.05</v>
      </c>
      <c r="AO8">
        <v>0.05</v>
      </c>
      <c r="AP8">
        <v>0.05</v>
      </c>
      <c r="AR8" s="1168" t="s">
        <v>1567</v>
      </c>
      <c r="AS8" s="1169">
        <f t="shared" ref="AS8:AX8" si="11">COUNTIF(AS11:AS20,"&gt;=2.5")+COUNTIF(AS11:AS20,"&lt;=-2.5")</f>
        <v>0</v>
      </c>
      <c r="AT8" s="1169">
        <f t="shared" si="11"/>
        <v>1</v>
      </c>
      <c r="AU8" s="1169">
        <f t="shared" si="11"/>
        <v>1</v>
      </c>
      <c r="AV8" s="1169">
        <f t="shared" si="11"/>
        <v>0</v>
      </c>
      <c r="AW8" s="1169">
        <f t="shared" si="11"/>
        <v>0</v>
      </c>
      <c r="AX8" s="1169">
        <f t="shared" si="11"/>
        <v>1</v>
      </c>
      <c r="AZ8" t="s">
        <v>12</v>
      </c>
      <c r="BA8" s="29">
        <f t="shared" ref="BA8:BF8" si="12">MEDIAN(U6:U15)</f>
        <v>16.100000000000001</v>
      </c>
      <c r="BB8" s="29">
        <f t="shared" si="12"/>
        <v>13.75</v>
      </c>
      <c r="BC8" s="29">
        <f t="shared" si="12"/>
        <v>18.25</v>
      </c>
      <c r="BD8" s="29">
        <f t="shared" si="12"/>
        <v>10.65</v>
      </c>
      <c r="BE8" s="29">
        <f t="shared" si="12"/>
        <v>16.75</v>
      </c>
      <c r="BF8" s="29">
        <f t="shared" si="12"/>
        <v>17.700000000000003</v>
      </c>
      <c r="BH8" t="s">
        <v>1617</v>
      </c>
      <c r="BI8" s="757">
        <f>[1]!Levene(U6:Z15,-1)</f>
        <v>0.86746665660827349</v>
      </c>
    </row>
    <row r="9" spans="2:61" x14ac:dyDescent="0.25">
      <c r="B9" s="501"/>
      <c r="C9" s="626">
        <v>18.7</v>
      </c>
      <c r="D9" s="1161">
        <v>15.9</v>
      </c>
      <c r="E9" s="967">
        <v>18.8</v>
      </c>
      <c r="F9" s="92"/>
      <c r="H9">
        <f>COUNT(C5:C24)</f>
        <v>20</v>
      </c>
      <c r="I9">
        <f>COUNT(D5:D24)</f>
        <v>20</v>
      </c>
      <c r="J9">
        <f>COUNT(E5:E24)</f>
        <v>20</v>
      </c>
      <c r="K9">
        <f>COUNT(C5:E24)</f>
        <v>60</v>
      </c>
      <c r="M9" t="s">
        <v>1319</v>
      </c>
      <c r="N9">
        <f>N11-N7-N8-N10</f>
        <v>92.612333333328024</v>
      </c>
      <c r="O9">
        <f>O8*O7</f>
        <v>2</v>
      </c>
      <c r="P9">
        <f>N9/O9</f>
        <v>46.306166666664012</v>
      </c>
      <c r="Q9">
        <f>P9/P10</f>
        <v>3.437291057250111</v>
      </c>
      <c r="R9">
        <f>FDIST(Q9,O9,O10)</f>
        <v>3.934229640332091E-2</v>
      </c>
      <c r="S9" s="1122" t="str">
        <f>IF(R9&lt;R5,"yes","no")</f>
        <v>yes</v>
      </c>
      <c r="U9" s="626">
        <v>17.8</v>
      </c>
      <c r="V9" s="92">
        <v>14.5</v>
      </c>
      <c r="W9" s="92">
        <v>20.6</v>
      </c>
      <c r="X9" s="92">
        <v>13.5</v>
      </c>
      <c r="Y9" s="92">
        <v>18.3</v>
      </c>
      <c r="Z9" s="967">
        <v>17.3</v>
      </c>
      <c r="AB9" t="s">
        <v>53</v>
      </c>
      <c r="AC9" s="1170">
        <f t="shared" ref="AC9:AH9" si="13">QUARTILE(U6:U15,3)-MEDIAN(U6:U15)</f>
        <v>2.375</v>
      </c>
      <c r="AD9" s="92">
        <f t="shared" si="13"/>
        <v>1.8000000000000007</v>
      </c>
      <c r="AE9" s="92">
        <f t="shared" si="13"/>
        <v>0.55000000000000071</v>
      </c>
      <c r="AF9" s="92">
        <f t="shared" si="13"/>
        <v>2.5</v>
      </c>
      <c r="AG9" s="92">
        <f t="shared" si="13"/>
        <v>1.3500000000000014</v>
      </c>
      <c r="AH9" s="1171">
        <f t="shared" si="13"/>
        <v>1.1999999999999957</v>
      </c>
      <c r="AJ9" s="762" t="s">
        <v>1571</v>
      </c>
      <c r="AK9" s="880" t="str">
        <f t="shared" ref="AK9:AP9" si="14">IF(AK7&lt;AK8,"no","yes")</f>
        <v>yes</v>
      </c>
      <c r="AL9" s="880" t="str">
        <f t="shared" si="14"/>
        <v>no</v>
      </c>
      <c r="AM9" s="880" t="str">
        <f t="shared" si="14"/>
        <v>no</v>
      </c>
      <c r="AN9" s="880" t="str">
        <f t="shared" si="14"/>
        <v>yes</v>
      </c>
      <c r="AO9" s="880" t="str">
        <f t="shared" si="14"/>
        <v>yes</v>
      </c>
      <c r="AP9" s="880" t="str">
        <f t="shared" si="14"/>
        <v>no</v>
      </c>
      <c r="AR9" s="1122" t="s">
        <v>1568</v>
      </c>
      <c r="AS9">
        <f t="shared" ref="AS9:AX9" si="15">COUNTIF(AS11:AS20,"")</f>
        <v>0</v>
      </c>
      <c r="AT9">
        <f t="shared" si="15"/>
        <v>0</v>
      </c>
      <c r="AU9">
        <f t="shared" si="15"/>
        <v>0</v>
      </c>
      <c r="AV9">
        <f t="shared" si="15"/>
        <v>0</v>
      </c>
      <c r="AW9">
        <f t="shared" si="15"/>
        <v>0</v>
      </c>
      <c r="AX9">
        <f t="shared" si="15"/>
        <v>0</v>
      </c>
      <c r="AZ9" t="s">
        <v>13</v>
      </c>
      <c r="BA9" t="e">
        <f t="shared" ref="BA9:BF9" si="16">MODE(U6:U15)</f>
        <v>#N/A</v>
      </c>
      <c r="BB9" t="e">
        <f t="shared" si="16"/>
        <v>#N/A</v>
      </c>
      <c r="BC9">
        <f t="shared" si="16"/>
        <v>18.8</v>
      </c>
      <c r="BD9" t="e">
        <f t="shared" si="16"/>
        <v>#N/A</v>
      </c>
      <c r="BE9">
        <f t="shared" si="16"/>
        <v>16.7</v>
      </c>
      <c r="BF9" t="e">
        <f t="shared" si="16"/>
        <v>#N/A</v>
      </c>
    </row>
    <row r="10" spans="2:61" x14ac:dyDescent="0.25">
      <c r="B10" s="501"/>
      <c r="C10" s="626">
        <v>15.3</v>
      </c>
      <c r="D10" s="1161">
        <v>13.1</v>
      </c>
      <c r="E10" s="967">
        <v>16.5</v>
      </c>
      <c r="F10" s="92"/>
      <c r="M10" t="s">
        <v>600</v>
      </c>
      <c r="N10">
        <f>SUM(H19:J20)*(H7-1)</f>
        <v>727.47200000000112</v>
      </c>
      <c r="O10">
        <f>O11-O7-O8-O9</f>
        <v>54</v>
      </c>
      <c r="P10">
        <f>N10/O10</f>
        <v>13.471703703703724</v>
      </c>
      <c r="U10" s="626">
        <v>18.7</v>
      </c>
      <c r="V10" s="92">
        <v>15.9</v>
      </c>
      <c r="W10" s="92">
        <v>18.8</v>
      </c>
      <c r="X10" s="92">
        <v>15.5</v>
      </c>
      <c r="Y10" s="92">
        <v>16.7</v>
      </c>
      <c r="Z10" s="967">
        <v>19.100000000000001</v>
      </c>
      <c r="AB10" t="s">
        <v>54</v>
      </c>
      <c r="AC10" s="1165">
        <f t="shared" ref="AC10:AH10" si="17">MAX(U6:U15)-QUARTILE(U6:U15,3)</f>
        <v>3.8249999999999993</v>
      </c>
      <c r="AD10" s="1166">
        <f t="shared" si="17"/>
        <v>10.149999999999999</v>
      </c>
      <c r="AE10" s="1166">
        <f t="shared" si="17"/>
        <v>10.099999999999998</v>
      </c>
      <c r="AF10" s="1166">
        <f t="shared" si="17"/>
        <v>5.4500000000000011</v>
      </c>
      <c r="AG10" s="1166">
        <f t="shared" si="17"/>
        <v>0.59999999999999787</v>
      </c>
      <c r="AH10" s="1167">
        <f t="shared" si="17"/>
        <v>8.8000000000000007</v>
      </c>
      <c r="AR10" s="1124" t="s">
        <v>1569</v>
      </c>
      <c r="AS10" s="762">
        <f t="shared" ref="AS10:AX10" si="18">COUNTIF(AS11:AS20," ******* ")</f>
        <v>0</v>
      </c>
      <c r="AT10" s="762">
        <f t="shared" si="18"/>
        <v>0</v>
      </c>
      <c r="AU10" s="762">
        <f t="shared" si="18"/>
        <v>0</v>
      </c>
      <c r="AV10" s="762">
        <f t="shared" si="18"/>
        <v>0</v>
      </c>
      <c r="AW10" s="762">
        <f t="shared" si="18"/>
        <v>0</v>
      </c>
      <c r="AX10" s="762">
        <f t="shared" si="18"/>
        <v>0</v>
      </c>
      <c r="AZ10" t="s">
        <v>14</v>
      </c>
      <c r="BA10">
        <f t="shared" ref="BA10:BF10" si="19">STDEV(U6:U15)</f>
        <v>3.8896015220071138</v>
      </c>
      <c r="BB10">
        <f t="shared" si="19"/>
        <v>4.0492660514660619</v>
      </c>
      <c r="BC10">
        <f t="shared" si="19"/>
        <v>4.1507696742759688</v>
      </c>
      <c r="BD10">
        <f t="shared" si="19"/>
        <v>3.7472360184244802</v>
      </c>
      <c r="BE10">
        <f t="shared" si="19"/>
        <v>2.3253434632806869</v>
      </c>
      <c r="BF10">
        <f t="shared" si="19"/>
        <v>3.5534177600976973</v>
      </c>
    </row>
    <row r="11" spans="2:61" x14ac:dyDescent="0.25">
      <c r="B11" s="501"/>
      <c r="C11" s="626">
        <v>19.5</v>
      </c>
      <c r="D11" s="1161">
        <v>12.6</v>
      </c>
      <c r="E11" s="967">
        <v>18.8</v>
      </c>
      <c r="F11" s="92"/>
      <c r="G11" t="s">
        <v>610</v>
      </c>
      <c r="M11" s="762" t="s">
        <v>1</v>
      </c>
      <c r="N11" s="762">
        <f>P11*O11</f>
        <v>1083.8293333333295</v>
      </c>
      <c r="O11" s="762">
        <f>K9-1</f>
        <v>59</v>
      </c>
      <c r="P11" s="762">
        <f>K21</f>
        <v>18.369988700564907</v>
      </c>
      <c r="Q11" s="762"/>
      <c r="R11" s="762"/>
      <c r="S11" s="762"/>
      <c r="U11" s="626">
        <v>15.3</v>
      </c>
      <c r="V11" s="92">
        <v>13.1</v>
      </c>
      <c r="W11" s="92">
        <v>16.5</v>
      </c>
      <c r="X11" s="92">
        <v>18.600000000000001</v>
      </c>
      <c r="Y11" s="92">
        <v>16.8</v>
      </c>
      <c r="Z11" s="967">
        <v>16.899999999999999</v>
      </c>
      <c r="AR11" s="1122">
        <v>1</v>
      </c>
      <c r="AS11">
        <f>IF(U6="","",IF(ISNUMBER(U6),STANDARDIZE(U6,AS$6,AS$7)," ******* "))</f>
        <v>-0.93325755336676319</v>
      </c>
      <c r="AT11">
        <f t="shared" ref="AT11:AX20" si="20">IF(V6="","",IF(ISNUMBER(V6),STANDARDIZE(V6,AT$6,AT$7)," ******* "))</f>
        <v>-0.41735958529771744</v>
      </c>
      <c r="AU11">
        <f t="shared" si="20"/>
        <v>-0.69866560362828434</v>
      </c>
      <c r="AV11">
        <f t="shared" si="20"/>
        <v>-0.52838945565870399</v>
      </c>
      <c r="AW11">
        <f t="shared" si="20"/>
        <v>0.53755499767610693</v>
      </c>
      <c r="AX11">
        <f t="shared" si="20"/>
        <v>1.9699344328733166E-2</v>
      </c>
      <c r="AY11" t="str">
        <f>IF(COUNTIF(AS11:AX11,"&gt;=2.5")+COUNTIF(AS11:AX11,"&lt;=-2.5")&gt;0,"*","")</f>
        <v/>
      </c>
      <c r="AZ11" t="s">
        <v>15</v>
      </c>
      <c r="BA11">
        <f t="shared" ref="BA11:BF11" si="21">VAR(U6:U15)</f>
        <v>15.129000000000056</v>
      </c>
      <c r="BB11">
        <f t="shared" si="21"/>
        <v>16.396555555555551</v>
      </c>
      <c r="BC11">
        <f t="shared" si="21"/>
        <v>17.228888888889035</v>
      </c>
      <c r="BD11">
        <f t="shared" si="21"/>
        <v>14.041777777777749</v>
      </c>
      <c r="BE11">
        <f t="shared" si="21"/>
        <v>5.4072222222222184</v>
      </c>
      <c r="BF11">
        <f t="shared" si="21"/>
        <v>12.626777777777736</v>
      </c>
    </row>
    <row r="12" spans="2:61" x14ac:dyDescent="0.25">
      <c r="B12" s="501"/>
      <c r="C12" s="626">
        <v>22.3</v>
      </c>
      <c r="D12" s="1161">
        <v>25.7</v>
      </c>
      <c r="E12" s="967">
        <v>28.9</v>
      </c>
      <c r="F12" s="92"/>
      <c r="H12" s="1122" t="str">
        <f>C4</f>
        <v>Direct</v>
      </c>
      <c r="I12" s="1122" t="str">
        <f>D4</f>
        <v>OEM</v>
      </c>
      <c r="J12" s="1122" t="str">
        <f>E4</f>
        <v>Reseller</v>
      </c>
      <c r="U12" s="626">
        <v>19.5</v>
      </c>
      <c r="V12" s="92">
        <v>12.6</v>
      </c>
      <c r="W12" s="92">
        <v>18.8</v>
      </c>
      <c r="X12" s="92">
        <v>8.5</v>
      </c>
      <c r="Y12" s="92">
        <v>14.2</v>
      </c>
      <c r="Z12" s="967">
        <v>27.7</v>
      </c>
      <c r="AR12" s="1122">
        <f>AR11+1</f>
        <v>2</v>
      </c>
      <c r="AS12">
        <f t="shared" ref="AS12:AS20" si="22">IF(U7="","",IF(ISNUMBER(U7),STANDARDIZE(U7,AS$6,AS$7)," ******* "))</f>
        <v>-8.4841595760614452E-2</v>
      </c>
      <c r="AT12">
        <f t="shared" si="20"/>
        <v>-0.54083875254556268</v>
      </c>
      <c r="AU12">
        <f t="shared" si="20"/>
        <v>-0.12045958683246209</v>
      </c>
      <c r="AV12">
        <f t="shared" si="20"/>
        <v>0.21882795638390728</v>
      </c>
      <c r="AW12">
        <f t="shared" si="20"/>
        <v>-1.3116341943297012</v>
      </c>
      <c r="AX12">
        <f t="shared" si="20"/>
        <v>-1.3311128382129644</v>
      </c>
      <c r="AY12" t="str">
        <f t="shared" ref="AY12:AY20" si="23">IF(COUNTIF(AS12:AX12,"&gt;=2.5")+COUNTIF(AS12:AX12,"&lt;=-2.5")&gt;0,"*","")</f>
        <v/>
      </c>
      <c r="AZ12" t="s">
        <v>16</v>
      </c>
      <c r="BA12">
        <f t="shared" ref="BA12:BF12" si="24">KURT(U6:U15)</f>
        <v>-0.7242613271647973</v>
      </c>
      <c r="BB12">
        <f t="shared" si="24"/>
        <v>5.7568033926645645</v>
      </c>
      <c r="BC12">
        <f t="shared" si="24"/>
        <v>4.6638893235027217</v>
      </c>
      <c r="BD12">
        <f t="shared" si="24"/>
        <v>6.5830402011730627E-2</v>
      </c>
      <c r="BE12">
        <f t="shared" si="24"/>
        <v>-0.54627423047098844</v>
      </c>
      <c r="BF12">
        <f t="shared" si="24"/>
        <v>6.0414157569564191</v>
      </c>
    </row>
    <row r="13" spans="2:61" x14ac:dyDescent="0.25">
      <c r="B13" s="501"/>
      <c r="C13" s="626">
        <v>11.2</v>
      </c>
      <c r="D13" s="1161">
        <v>17.600000000000001</v>
      </c>
      <c r="E13" s="967">
        <v>14.7</v>
      </c>
      <c r="F13" s="92"/>
      <c r="G13" t="str">
        <f>B5</f>
        <v>High</v>
      </c>
      <c r="H13" s="1162">
        <f>AVERAGE(C5:C14)</f>
        <v>15.929999999999998</v>
      </c>
      <c r="I13" s="1163">
        <f>AVERAGE(D5:D14)</f>
        <v>15.190000000000001</v>
      </c>
      <c r="J13" s="1164">
        <f>AVERAGE(E5:E14)</f>
        <v>18.499999999999996</v>
      </c>
      <c r="K13" s="29">
        <f>AVERAGE(C5:E14)</f>
        <v>16.540000000000003</v>
      </c>
      <c r="U13" s="626">
        <v>22.3</v>
      </c>
      <c r="V13" s="92">
        <v>25.7</v>
      </c>
      <c r="W13" s="92">
        <v>28.9</v>
      </c>
      <c r="X13" s="92">
        <v>6.7</v>
      </c>
      <c r="Y13" s="92">
        <v>12</v>
      </c>
      <c r="Z13" s="967">
        <v>17.8</v>
      </c>
      <c r="AR13" s="1122">
        <f t="shared" ref="AR13:AR20" si="25">AR12+1</f>
        <v>3</v>
      </c>
      <c r="AS13">
        <f t="shared" si="22"/>
        <v>0.17225414896852204</v>
      </c>
      <c r="AT13">
        <f t="shared" si="20"/>
        <v>-0.29388041804987214</v>
      </c>
      <c r="AU13">
        <f t="shared" si="20"/>
        <v>8.5591684376469568E-16</v>
      </c>
      <c r="AV13">
        <f t="shared" si="20"/>
        <v>-0.23483975807053528</v>
      </c>
      <c r="AW13">
        <f t="shared" si="20"/>
        <v>0.19351979916339818</v>
      </c>
      <c r="AX13">
        <f t="shared" si="20"/>
        <v>-0.28986178083707287</v>
      </c>
      <c r="AY13" t="str">
        <f t="shared" si="23"/>
        <v/>
      </c>
      <c r="AZ13" t="s">
        <v>17</v>
      </c>
      <c r="BA13">
        <f t="shared" ref="BA13:BF13" si="26">SKEW(U6:U15)</f>
        <v>-7.1754789626583979E-2</v>
      </c>
      <c r="BB13">
        <f t="shared" si="26"/>
        <v>2.2989481540619106</v>
      </c>
      <c r="BC13">
        <f t="shared" si="26"/>
        <v>1.9178174585289594</v>
      </c>
      <c r="BD13">
        <f t="shared" si="26"/>
        <v>0.76486140153858695</v>
      </c>
      <c r="BE13">
        <f t="shared" si="26"/>
        <v>-0.86371109376944799</v>
      </c>
      <c r="BF13">
        <f t="shared" si="26"/>
        <v>2.0339906650785413</v>
      </c>
    </row>
    <row r="14" spans="2:61" x14ac:dyDescent="0.25">
      <c r="B14" s="501"/>
      <c r="C14" s="819">
        <v>10</v>
      </c>
      <c r="D14" s="969">
        <v>12</v>
      </c>
      <c r="E14" s="968">
        <v>14.6</v>
      </c>
      <c r="F14" s="92"/>
      <c r="G14" t="str">
        <f>B15</f>
        <v>Low</v>
      </c>
      <c r="H14" s="1165">
        <f>AVERAGE(C15:C24)</f>
        <v>11.280000000000001</v>
      </c>
      <c r="I14" s="1166">
        <f>AVERAGE(D15:D24)</f>
        <v>16.25</v>
      </c>
      <c r="J14" s="1167">
        <f>AVERAGE(E15:E24)</f>
        <v>18.53</v>
      </c>
      <c r="K14" s="29">
        <f>AVERAGE(C15:E24)</f>
        <v>15.353333333333332</v>
      </c>
      <c r="U14" s="626">
        <v>11.2</v>
      </c>
      <c r="V14" s="92">
        <v>17.600000000000001</v>
      </c>
      <c r="W14" s="92">
        <v>14.7</v>
      </c>
      <c r="X14" s="92">
        <v>7.3</v>
      </c>
      <c r="Y14" s="92">
        <v>18.7</v>
      </c>
      <c r="Z14" s="967">
        <v>17.600000000000001</v>
      </c>
      <c r="AR14" s="1122">
        <f t="shared" si="25"/>
        <v>4</v>
      </c>
      <c r="AS14">
        <f t="shared" si="22"/>
        <v>0.48076904264348513</v>
      </c>
      <c r="AT14">
        <f t="shared" si="20"/>
        <v>-0.17040125080202684</v>
      </c>
      <c r="AU14">
        <f t="shared" si="20"/>
        <v>0.50593026469634561</v>
      </c>
      <c r="AV14">
        <f t="shared" si="20"/>
        <v>0.5924366624052132</v>
      </c>
      <c r="AW14">
        <f t="shared" si="20"/>
        <v>0.88159019618881562</v>
      </c>
      <c r="AX14">
        <f t="shared" si="20"/>
        <v>-0.34614562177631009</v>
      </c>
      <c r="AY14" t="str">
        <f t="shared" si="23"/>
        <v/>
      </c>
      <c r="AZ14" t="s">
        <v>18</v>
      </c>
      <c r="BA14">
        <f t="shared" ref="BA14:BF14" si="27">BA15-BA16</f>
        <v>12.3</v>
      </c>
      <c r="BB14">
        <f t="shared" si="27"/>
        <v>13.7</v>
      </c>
      <c r="BC14">
        <f t="shared" si="27"/>
        <v>14.299999999999999</v>
      </c>
      <c r="BD14">
        <f t="shared" si="27"/>
        <v>11.900000000000002</v>
      </c>
      <c r="BE14">
        <f t="shared" si="27"/>
        <v>6.6999999999999993</v>
      </c>
      <c r="BF14">
        <f t="shared" si="27"/>
        <v>13.899999999999999</v>
      </c>
    </row>
    <row r="15" spans="2:61" x14ac:dyDescent="0.25">
      <c r="B15" s="1154" t="s">
        <v>1661</v>
      </c>
      <c r="C15" s="1158">
        <v>9.3000000000000007</v>
      </c>
      <c r="D15" s="1159">
        <v>17.5</v>
      </c>
      <c r="E15" s="1160">
        <v>18.600000000000001</v>
      </c>
      <c r="F15" s="92"/>
      <c r="H15" s="29">
        <f>AVERAGE(C5:C24)</f>
        <v>13.604999999999999</v>
      </c>
      <c r="I15" s="29">
        <f>AVERAGE(D5:D24)</f>
        <v>15.719999999999999</v>
      </c>
      <c r="J15" s="29">
        <f>AVERAGE(E5:E24)</f>
        <v>18.515000000000001</v>
      </c>
      <c r="K15" s="29">
        <f>AVERAGE(C5:E24)</f>
        <v>15.946666666666667</v>
      </c>
      <c r="U15" s="819">
        <v>10</v>
      </c>
      <c r="V15" s="963">
        <v>12</v>
      </c>
      <c r="W15" s="963">
        <v>14.6</v>
      </c>
      <c r="X15" s="963">
        <v>10.9</v>
      </c>
      <c r="Y15" s="963">
        <v>18.399999999999999</v>
      </c>
      <c r="Z15" s="968">
        <v>19</v>
      </c>
      <c r="AR15" s="1122">
        <f t="shared" si="25"/>
        <v>5</v>
      </c>
      <c r="AS15">
        <f t="shared" si="22"/>
        <v>0.71215521289970718</v>
      </c>
      <c r="AT15">
        <f t="shared" si="20"/>
        <v>0.1753404174919401</v>
      </c>
      <c r="AU15">
        <f t="shared" si="20"/>
        <v>7.2275752099478799E-2</v>
      </c>
      <c r="AV15">
        <f t="shared" si="20"/>
        <v>1.1261633852927928</v>
      </c>
      <c r="AW15">
        <f t="shared" si="20"/>
        <v>0.19351979916339818</v>
      </c>
      <c r="AX15">
        <f t="shared" si="20"/>
        <v>0.16040894667682665</v>
      </c>
      <c r="AY15" t="str">
        <f t="shared" si="23"/>
        <v/>
      </c>
      <c r="AZ15" t="s">
        <v>20</v>
      </c>
      <c r="BA15" s="29">
        <f t="shared" ref="BA15:BF15" si="28">MAX(U6:U15)</f>
        <v>22.3</v>
      </c>
      <c r="BB15" s="29">
        <f t="shared" si="28"/>
        <v>25.7</v>
      </c>
      <c r="BC15" s="29">
        <f t="shared" si="28"/>
        <v>28.9</v>
      </c>
      <c r="BD15" s="29">
        <f t="shared" si="28"/>
        <v>18.600000000000001</v>
      </c>
      <c r="BE15" s="29">
        <f t="shared" si="28"/>
        <v>18.7</v>
      </c>
      <c r="BF15" s="29">
        <f t="shared" si="28"/>
        <v>27.7</v>
      </c>
    </row>
    <row r="16" spans="2:61" x14ac:dyDescent="0.25">
      <c r="B16" s="501"/>
      <c r="C16" s="626">
        <v>12.1</v>
      </c>
      <c r="D16" s="1161">
        <v>13.2</v>
      </c>
      <c r="E16" s="967">
        <v>13.8</v>
      </c>
      <c r="F16" s="92"/>
      <c r="AR16" s="1122">
        <f t="shared" si="25"/>
        <v>6</v>
      </c>
      <c r="AS16">
        <f t="shared" si="22"/>
        <v>-0.161970319179355</v>
      </c>
      <c r="AT16">
        <f t="shared" si="20"/>
        <v>-0.51614291909599375</v>
      </c>
      <c r="AU16">
        <f t="shared" si="20"/>
        <v>-0.48183834732985092</v>
      </c>
      <c r="AV16">
        <f t="shared" si="20"/>
        <v>1.9534398057685418</v>
      </c>
      <c r="AW16">
        <f t="shared" si="20"/>
        <v>0.23652419897748733</v>
      </c>
      <c r="AX16">
        <f t="shared" si="20"/>
        <v>-0.45871330365478546</v>
      </c>
      <c r="AY16" t="str">
        <f t="shared" si="23"/>
        <v/>
      </c>
      <c r="AZ16" t="s">
        <v>19</v>
      </c>
      <c r="BA16" s="29">
        <f t="shared" ref="BA16:BF16" si="29">MIN(U6:U15)</f>
        <v>10</v>
      </c>
      <c r="BB16" s="29">
        <f t="shared" si="29"/>
        <v>12</v>
      </c>
      <c r="BC16" s="29">
        <f t="shared" si="29"/>
        <v>14.6</v>
      </c>
      <c r="BD16" s="29">
        <f t="shared" si="29"/>
        <v>6.7</v>
      </c>
      <c r="BE16" s="29">
        <f t="shared" si="29"/>
        <v>12</v>
      </c>
      <c r="BF16" s="29">
        <f t="shared" si="29"/>
        <v>13.8</v>
      </c>
    </row>
    <row r="17" spans="2:58" x14ac:dyDescent="0.25">
      <c r="B17" s="501"/>
      <c r="C17" s="626">
        <v>10.4</v>
      </c>
      <c r="D17" s="1161">
        <v>16.7</v>
      </c>
      <c r="E17" s="967">
        <v>17.5</v>
      </c>
      <c r="F17" s="92"/>
      <c r="G17" t="s">
        <v>1667</v>
      </c>
      <c r="AR17" s="1122">
        <f t="shared" si="25"/>
        <v>7</v>
      </c>
      <c r="AS17">
        <f t="shared" si="22"/>
        <v>0.91783180868301628</v>
      </c>
      <c r="AT17">
        <f t="shared" si="20"/>
        <v>-0.63962208634383899</v>
      </c>
      <c r="AU17">
        <f t="shared" si="20"/>
        <v>7.2275752099478799E-2</v>
      </c>
      <c r="AV17">
        <f t="shared" si="20"/>
        <v>-0.7418801448137361</v>
      </c>
      <c r="AW17">
        <f t="shared" si="20"/>
        <v>-0.88159019618881562</v>
      </c>
      <c r="AX17">
        <f t="shared" si="20"/>
        <v>2.5806141070640338</v>
      </c>
      <c r="AY17" t="str">
        <f t="shared" si="23"/>
        <v>*</v>
      </c>
      <c r="AZ17" t="s">
        <v>21</v>
      </c>
      <c r="BA17" s="29">
        <f t="shared" ref="BA17:BF17" si="30">SUM(U6:U15)</f>
        <v>159.29999999999998</v>
      </c>
      <c r="BB17" s="29">
        <f t="shared" si="30"/>
        <v>151.9</v>
      </c>
      <c r="BC17" s="29">
        <f t="shared" si="30"/>
        <v>184.99999999999997</v>
      </c>
      <c r="BD17" s="29">
        <f t="shared" si="30"/>
        <v>112.80000000000001</v>
      </c>
      <c r="BE17" s="29">
        <f t="shared" si="30"/>
        <v>162.5</v>
      </c>
      <c r="BF17" s="29">
        <f t="shared" si="30"/>
        <v>185.3</v>
      </c>
    </row>
    <row r="18" spans="2:58" x14ac:dyDescent="0.25">
      <c r="B18" s="501"/>
      <c r="C18" s="626">
        <v>13.5</v>
      </c>
      <c r="D18" s="1161">
        <v>18.3</v>
      </c>
      <c r="E18" s="967">
        <v>17.3</v>
      </c>
      <c r="F18" s="92"/>
      <c r="H18" s="1122" t="str">
        <f>C4</f>
        <v>Direct</v>
      </c>
      <c r="I18" s="1122" t="str">
        <f>D4</f>
        <v>OEM</v>
      </c>
      <c r="J18" s="1122" t="str">
        <f>E4</f>
        <v>Reseller</v>
      </c>
      <c r="AR18" s="1122">
        <f t="shared" si="25"/>
        <v>8</v>
      </c>
      <c r="AS18">
        <f t="shared" si="22"/>
        <v>1.6376998939245972</v>
      </c>
      <c r="AT18">
        <f t="shared" si="20"/>
        <v>2.5955320955497077</v>
      </c>
      <c r="AU18">
        <f t="shared" si="20"/>
        <v>2.5055594061152298</v>
      </c>
      <c r="AV18">
        <f t="shared" si="20"/>
        <v>-1.2222341954125577</v>
      </c>
      <c r="AW18">
        <f t="shared" si="20"/>
        <v>-1.8276869920987635</v>
      </c>
      <c r="AX18">
        <f t="shared" si="20"/>
        <v>-0.2054360194282166</v>
      </c>
      <c r="AY18" t="str">
        <f t="shared" si="23"/>
        <v>*</v>
      </c>
      <c r="AZ18" t="s">
        <v>22</v>
      </c>
      <c r="BA18">
        <f t="shared" ref="BA18:BF18" si="31">COUNT(U6:U15)</f>
        <v>10</v>
      </c>
      <c r="BB18">
        <f t="shared" si="31"/>
        <v>10</v>
      </c>
      <c r="BC18">
        <f t="shared" si="31"/>
        <v>10</v>
      </c>
      <c r="BD18">
        <f t="shared" si="31"/>
        <v>10</v>
      </c>
      <c r="BE18">
        <f t="shared" si="31"/>
        <v>10</v>
      </c>
      <c r="BF18">
        <f t="shared" si="31"/>
        <v>10</v>
      </c>
    </row>
    <row r="19" spans="2:58" x14ac:dyDescent="0.25">
      <c r="B19" s="501"/>
      <c r="C19" s="626">
        <v>15.5</v>
      </c>
      <c r="D19" s="1161">
        <v>16.7</v>
      </c>
      <c r="E19" s="967">
        <v>19.100000000000001</v>
      </c>
      <c r="F19" s="92"/>
      <c r="G19" t="str">
        <f>B5</f>
        <v>High</v>
      </c>
      <c r="H19" s="1154">
        <f>VAR(C5:C14)</f>
        <v>15.129000000000056</v>
      </c>
      <c r="I19" s="1148">
        <f>VAR(D5:D14)</f>
        <v>16.396555555555551</v>
      </c>
      <c r="J19" s="1149">
        <f>VAR(E5:E14)</f>
        <v>17.228888888889035</v>
      </c>
      <c r="K19">
        <f>VAR(C5:E14)</f>
        <v>17.212137931034423</v>
      </c>
      <c r="AR19" s="1122">
        <f t="shared" si="25"/>
        <v>9</v>
      </c>
      <c r="AS19">
        <f t="shared" si="22"/>
        <v>-1.2160628725688132</v>
      </c>
      <c r="AT19">
        <f t="shared" si="20"/>
        <v>0.59516958613461435</v>
      </c>
      <c r="AU19">
        <f t="shared" si="20"/>
        <v>-0.91549285992671769</v>
      </c>
      <c r="AV19">
        <f t="shared" si="20"/>
        <v>-1.062116178546284</v>
      </c>
      <c r="AW19">
        <f t="shared" si="20"/>
        <v>1.0536077954451692</v>
      </c>
      <c r="AX19">
        <f t="shared" si="20"/>
        <v>-0.26171986036745376</v>
      </c>
      <c r="AY19" t="str">
        <f t="shared" si="23"/>
        <v/>
      </c>
      <c r="AZ19" t="s">
        <v>6</v>
      </c>
      <c r="BA19">
        <f t="shared" ref="BA19:BF19" si="32">GEOMEAN(U6:U15)</f>
        <v>15.479781757173916</v>
      </c>
      <c r="BB19">
        <f t="shared" si="32"/>
        <v>14.809620033997035</v>
      </c>
      <c r="BC19">
        <f t="shared" si="32"/>
        <v>18.14597769994575</v>
      </c>
      <c r="BD19">
        <f t="shared" si="32"/>
        <v>10.751580614025185</v>
      </c>
      <c r="BE19">
        <f t="shared" si="32"/>
        <v>16.087680453328471</v>
      </c>
      <c r="BF19">
        <f t="shared" si="32"/>
        <v>18.26653735947415</v>
      </c>
    </row>
    <row r="20" spans="2:58" x14ac:dyDescent="0.25">
      <c r="B20" s="501"/>
      <c r="C20" s="626">
        <v>18.600000000000001</v>
      </c>
      <c r="D20" s="1161">
        <v>16.8</v>
      </c>
      <c r="E20" s="967">
        <v>16.899999999999999</v>
      </c>
      <c r="F20" s="92"/>
      <c r="G20" t="str">
        <f>B15</f>
        <v>Low</v>
      </c>
      <c r="H20" s="759">
        <f>VAR(C15:C24)</f>
        <v>14.041777777777749</v>
      </c>
      <c r="I20" s="760">
        <f>VAR(D15:D24)</f>
        <v>5.4072222222222184</v>
      </c>
      <c r="J20" s="761">
        <f>VAR(E15:E24)</f>
        <v>12.626777777777736</v>
      </c>
      <c r="K20">
        <f>VAR(C15:E24)</f>
        <v>19.432919540229985</v>
      </c>
      <c r="AR20" s="1124">
        <f t="shared" si="25"/>
        <v>10</v>
      </c>
      <c r="AS20" s="762">
        <f t="shared" si="22"/>
        <v>-1.5245777662437763</v>
      </c>
      <c r="AT20" s="762">
        <f t="shared" si="20"/>
        <v>-0.78779708704125329</v>
      </c>
      <c r="AU20" s="762">
        <f t="shared" si="20"/>
        <v>-0.93958477729321022</v>
      </c>
      <c r="AV20" s="762">
        <f t="shared" si="20"/>
        <v>-0.10140807734864035</v>
      </c>
      <c r="AW20" s="762">
        <f t="shared" si="20"/>
        <v>0.92459459600290328</v>
      </c>
      <c r="AX20" s="762">
        <f t="shared" si="20"/>
        <v>0.13226702620720754</v>
      </c>
      <c r="AY20" t="str">
        <f t="shared" si="23"/>
        <v/>
      </c>
      <c r="AZ20" t="s">
        <v>23</v>
      </c>
      <c r="BA20">
        <f t="shared" ref="BA20:BF20" si="33">HARMEAN(U6:U15)</f>
        <v>15.013429270123462</v>
      </c>
      <c r="BB20">
        <f t="shared" si="33"/>
        <v>14.51279179987845</v>
      </c>
      <c r="BC20">
        <f t="shared" si="33"/>
        <v>17.845436886101893</v>
      </c>
      <c r="BD20">
        <f t="shared" si="33"/>
        <v>10.263682093672168</v>
      </c>
      <c r="BE20">
        <f t="shared" si="33"/>
        <v>15.913198956778311</v>
      </c>
      <c r="BF20">
        <f t="shared" si="33"/>
        <v>18.036484388798751</v>
      </c>
    </row>
    <row r="21" spans="2:58" x14ac:dyDescent="0.25">
      <c r="B21" s="501"/>
      <c r="C21" s="626">
        <v>8.5</v>
      </c>
      <c r="D21" s="1161">
        <v>14.2</v>
      </c>
      <c r="E21" s="967">
        <v>27.7</v>
      </c>
      <c r="F21" s="92"/>
      <c r="H21">
        <f>VAR(C5:C24)</f>
        <v>19.507868421052677</v>
      </c>
      <c r="I21">
        <f>VAR(D5:D24)</f>
        <v>10.623789473684203</v>
      </c>
      <c r="J21">
        <f>VAR(E5:E24)</f>
        <v>14.142394736842155</v>
      </c>
      <c r="K21">
        <f>VAR(C5:E24)</f>
        <v>18.369988700564907</v>
      </c>
      <c r="AZ21" t="s">
        <v>24</v>
      </c>
      <c r="BA21">
        <f t="shared" ref="BA21:BF21" si="34">AVEDEV(U6:U15)</f>
        <v>3.05</v>
      </c>
      <c r="BB21">
        <f t="shared" si="34"/>
        <v>2.7260000000000004</v>
      </c>
      <c r="BC21">
        <f t="shared" si="34"/>
        <v>2.62</v>
      </c>
      <c r="BD21">
        <f t="shared" si="34"/>
        <v>2.9160000000000004</v>
      </c>
      <c r="BE21">
        <f t="shared" si="34"/>
        <v>1.8699999999999999</v>
      </c>
      <c r="BF21">
        <f t="shared" si="34"/>
        <v>2.056</v>
      </c>
    </row>
    <row r="22" spans="2:58" x14ac:dyDescent="0.25">
      <c r="B22" s="501"/>
      <c r="C22" s="626">
        <v>6.7</v>
      </c>
      <c r="D22" s="1161">
        <v>12</v>
      </c>
      <c r="E22" s="967">
        <v>17.8</v>
      </c>
      <c r="F22" s="92"/>
      <c r="AZ22" t="s">
        <v>25</v>
      </c>
      <c r="BA22">
        <f>[1]!MAD(U6:U15)</f>
        <v>2.9999999999999982</v>
      </c>
      <c r="BB22">
        <f>[1]!MAD(V6:V15)</f>
        <v>0.95000000000000018</v>
      </c>
      <c r="BC22">
        <f>[1]!MAD(W6:W15)</f>
        <v>2.0500000000000007</v>
      </c>
      <c r="BD22">
        <f>[1]!MAD(X6:X15)</f>
        <v>2.5</v>
      </c>
      <c r="BE22">
        <f>[1]!MAD(Y6:Y15)</f>
        <v>1.5999999999999996</v>
      </c>
      <c r="BF22">
        <f>[1]!MAD(Z6:Z15)</f>
        <v>0.85000000000000142</v>
      </c>
    </row>
    <row r="23" spans="2:58" x14ac:dyDescent="0.25">
      <c r="B23" s="501"/>
      <c r="C23" s="626">
        <v>7.3</v>
      </c>
      <c r="D23" s="1161">
        <v>18.7</v>
      </c>
      <c r="E23" s="967">
        <v>17.600000000000001</v>
      </c>
      <c r="F23" s="92"/>
      <c r="AZ23" s="762" t="s">
        <v>26</v>
      </c>
      <c r="BA23" s="762">
        <f>[1]!IQR(U6:U15,FALSE)</f>
        <v>5.4250000000000007</v>
      </c>
      <c r="BB23" s="762">
        <f>[1]!IQR(V6:V15,FALSE)</f>
        <v>2.5250000000000004</v>
      </c>
      <c r="BC23" s="762">
        <f>[1]!IQR(W6:W15,FALSE)</f>
        <v>2.9750000000000014</v>
      </c>
      <c r="BD23" s="762">
        <f>[1]!IQR(X6:X15,FALSE)</f>
        <v>4.4500000000000011</v>
      </c>
      <c r="BE23" s="762">
        <f>[1]!IQR(Y6:Y15,FALSE)</f>
        <v>3.2750000000000021</v>
      </c>
      <c r="BF23" s="762">
        <f>[1]!IQR(Z6:Z15,FALSE)</f>
        <v>1.5499999999999972</v>
      </c>
    </row>
    <row r="24" spans="2:58" x14ac:dyDescent="0.25">
      <c r="B24" s="759"/>
      <c r="C24" s="819">
        <v>10.9</v>
      </c>
      <c r="D24" s="969">
        <v>18.399999999999999</v>
      </c>
      <c r="E24" s="968">
        <v>19</v>
      </c>
      <c r="F24" s="92"/>
    </row>
  </sheetData>
  <mergeCells count="1">
    <mergeCell ref="C3:E3"/>
  </mergeCells>
  <pageMargins left="0.7" right="0.7" top="0.75" bottom="0.75" header="0.3" footer="0.3"/>
  <pageSetup paperSize="9" orientation="portrait" verticalDpi="0" r:id="rId1"/>
  <ignoredErrors>
    <ignoredError sqref="H7:J8 H13:J14 H19:J20" formulaRange="1"/>
    <ignoredError sqref="BA9:BF9" evalError="1"/>
  </ignoredError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S20"/>
  <sheetViews>
    <sheetView workbookViewId="0">
      <selection activeCell="B1" sqref="B1"/>
    </sheetView>
  </sheetViews>
  <sheetFormatPr defaultRowHeight="15" x14ac:dyDescent="0.25"/>
  <cols>
    <col min="1" max="1" width="2.140625" customWidth="1"/>
    <col min="2" max="2" width="7.85546875" customWidth="1"/>
    <col min="3" max="3" width="5" customWidth="1"/>
    <col min="4" max="4" width="3.28515625" customWidth="1"/>
    <col min="5" max="5" width="5.5703125" customWidth="1"/>
    <col min="6" max="6" width="7.28515625" customWidth="1"/>
    <col min="7" max="9" width="4.85546875" customWidth="1"/>
    <col min="10" max="10" width="6.5703125" customWidth="1"/>
    <col min="11" max="19" width="8.5703125" customWidth="1"/>
  </cols>
  <sheetData>
    <row r="1" spans="2:19" x14ac:dyDescent="0.25">
      <c r="B1" t="s">
        <v>2503</v>
      </c>
    </row>
    <row r="3" spans="2:19" x14ac:dyDescent="0.25">
      <c r="B3" s="1172" t="s">
        <v>1228</v>
      </c>
      <c r="C3" s="827" t="s">
        <v>213</v>
      </c>
      <c r="D3" s="1173">
        <v>1</v>
      </c>
      <c r="F3" t="s">
        <v>1673</v>
      </c>
      <c r="K3" t="s">
        <v>2496</v>
      </c>
    </row>
    <row r="4" spans="2:19" x14ac:dyDescent="0.25">
      <c r="B4" s="532" t="s">
        <v>1228</v>
      </c>
      <c r="C4" s="7" t="s">
        <v>131</v>
      </c>
      <c r="D4" s="533">
        <v>2</v>
      </c>
    </row>
    <row r="5" spans="2:19" x14ac:dyDescent="0.25">
      <c r="B5" s="532" t="s">
        <v>1228</v>
      </c>
      <c r="C5" s="7" t="s">
        <v>132</v>
      </c>
      <c r="D5" s="533">
        <v>5</v>
      </c>
      <c r="F5" s="1155" t="str">
        <f t="array" ref="F5:I11">[1]!StdAnova2(B3:D20)</f>
        <v/>
      </c>
      <c r="G5" s="1174" t="str">
        <v>A</v>
      </c>
      <c r="H5" s="1174" t="str">
        <v>B</v>
      </c>
      <c r="I5" s="1174" t="str">
        <v>C</v>
      </c>
      <c r="K5" t="str">
        <f>F6&amp;"-"&amp;G5</f>
        <v>Center-A</v>
      </c>
      <c r="L5" t="str">
        <f>F6&amp;"-"&amp;H5</f>
        <v>Center-B</v>
      </c>
      <c r="M5" t="str">
        <f>F6&amp;"-"&amp;I5</f>
        <v>Center-C</v>
      </c>
      <c r="N5" t="str">
        <f>F8&amp;"-"&amp;G5</f>
        <v>Left-A</v>
      </c>
      <c r="O5" t="str">
        <f>F8&amp;"-"&amp;H5</f>
        <v>Left-B</v>
      </c>
      <c r="P5" t="str">
        <f>F8&amp;"-"&amp;I5</f>
        <v>Left-C</v>
      </c>
      <c r="Q5" t="str">
        <f>F10&amp;"-"&amp;G5</f>
        <v>Right-A</v>
      </c>
      <c r="R5" t="str">
        <f>F10&amp;"-"&amp;H5</f>
        <v>Right-B</v>
      </c>
      <c r="S5" t="str">
        <f>F10&amp;"-"&amp;I5</f>
        <v>Right-C</v>
      </c>
    </row>
    <row r="6" spans="2:19" x14ac:dyDescent="0.25">
      <c r="B6" s="532" t="s">
        <v>1228</v>
      </c>
      <c r="C6" s="7" t="s">
        <v>213</v>
      </c>
      <c r="D6" s="533">
        <v>4</v>
      </c>
      <c r="F6" s="1155" t="str">
        <v>Center</v>
      </c>
      <c r="G6" s="1155">
        <v>5</v>
      </c>
      <c r="H6" s="1155">
        <v>6</v>
      </c>
      <c r="I6" s="1155">
        <v>4</v>
      </c>
      <c r="K6" s="1154">
        <f t="shared" ref="K6:M7" si="0">G6</f>
        <v>5</v>
      </c>
      <c r="L6" s="1175">
        <f t="shared" si="0"/>
        <v>6</v>
      </c>
      <c r="M6" s="1175">
        <f t="shared" si="0"/>
        <v>4</v>
      </c>
      <c r="N6" s="1175">
        <f t="shared" ref="N6:P7" si="1">G8</f>
        <v>1</v>
      </c>
      <c r="O6" s="1175">
        <f t="shared" si="1"/>
        <v>2</v>
      </c>
      <c r="P6" s="1175">
        <f t="shared" si="1"/>
        <v>5</v>
      </c>
      <c r="Q6" s="1175">
        <f t="shared" ref="Q6:S7" si="2">G10</f>
        <v>3</v>
      </c>
      <c r="R6" s="1175">
        <f t="shared" si="2"/>
        <v>7</v>
      </c>
      <c r="S6" s="1176">
        <f t="shared" si="2"/>
        <v>3</v>
      </c>
    </row>
    <row r="7" spans="2:19" x14ac:dyDescent="0.25">
      <c r="B7" s="532" t="s">
        <v>1228</v>
      </c>
      <c r="C7" s="7" t="s">
        <v>131</v>
      </c>
      <c r="D7" s="533">
        <v>1</v>
      </c>
      <c r="F7" s="757" t="str">
        <v/>
      </c>
      <c r="G7" s="757">
        <v>2</v>
      </c>
      <c r="H7" s="757">
        <v>1</v>
      </c>
      <c r="I7" s="757">
        <v>8</v>
      </c>
      <c r="K7" s="759">
        <f t="shared" si="0"/>
        <v>2</v>
      </c>
      <c r="L7" s="760">
        <f t="shared" si="0"/>
        <v>1</v>
      </c>
      <c r="M7" s="760">
        <f t="shared" si="0"/>
        <v>8</v>
      </c>
      <c r="N7" s="760">
        <f t="shared" si="1"/>
        <v>4</v>
      </c>
      <c r="O7" s="760">
        <f t="shared" si="1"/>
        <v>1</v>
      </c>
      <c r="P7" s="760">
        <f t="shared" si="1"/>
        <v>7</v>
      </c>
      <c r="Q7" s="760">
        <f t="shared" si="2"/>
        <v>9</v>
      </c>
      <c r="R7" s="760">
        <f t="shared" si="2"/>
        <v>5</v>
      </c>
      <c r="S7" s="761">
        <f t="shared" si="2"/>
        <v>4</v>
      </c>
    </row>
    <row r="8" spans="2:19" x14ac:dyDescent="0.25">
      <c r="B8" s="532" t="s">
        <v>1228</v>
      </c>
      <c r="C8" s="7" t="s">
        <v>132</v>
      </c>
      <c r="D8" s="533">
        <v>7</v>
      </c>
      <c r="F8" s="1155" t="str">
        <v>Left</v>
      </c>
      <c r="G8" s="1155">
        <v>1</v>
      </c>
      <c r="H8" s="1155">
        <v>2</v>
      </c>
      <c r="I8" s="1155">
        <v>5</v>
      </c>
    </row>
    <row r="9" spans="2:19" x14ac:dyDescent="0.25">
      <c r="B9" s="532" t="s">
        <v>1227</v>
      </c>
      <c r="C9" s="7" t="s">
        <v>213</v>
      </c>
      <c r="D9" s="533">
        <v>3</v>
      </c>
      <c r="F9" s="757" t="str">
        <v/>
      </c>
      <c r="G9" s="757">
        <v>4</v>
      </c>
      <c r="H9" s="757">
        <v>1</v>
      </c>
      <c r="I9" s="757">
        <v>7</v>
      </c>
    </row>
    <row r="10" spans="2:19" x14ac:dyDescent="0.25">
      <c r="B10" s="532" t="s">
        <v>1227</v>
      </c>
      <c r="C10" s="7" t="s">
        <v>131</v>
      </c>
      <c r="D10" s="533">
        <v>7</v>
      </c>
      <c r="F10" s="1155" t="str">
        <v>Right</v>
      </c>
      <c r="G10" s="1155">
        <v>3</v>
      </c>
      <c r="H10" s="1155">
        <v>7</v>
      </c>
      <c r="I10" s="1155">
        <v>3</v>
      </c>
    </row>
    <row r="11" spans="2:19" x14ac:dyDescent="0.25">
      <c r="B11" s="532" t="s">
        <v>1227</v>
      </c>
      <c r="C11" s="7" t="s">
        <v>132</v>
      </c>
      <c r="D11" s="533">
        <v>3</v>
      </c>
      <c r="F11" s="757" t="str">
        <v/>
      </c>
      <c r="G11" s="757">
        <v>9</v>
      </c>
      <c r="H11" s="757">
        <v>5</v>
      </c>
      <c r="I11" s="757">
        <v>4</v>
      </c>
    </row>
    <row r="12" spans="2:19" x14ac:dyDescent="0.25">
      <c r="B12" s="532" t="s">
        <v>1227</v>
      </c>
      <c r="C12" s="7" t="s">
        <v>213</v>
      </c>
      <c r="D12" s="533">
        <v>9</v>
      </c>
    </row>
    <row r="13" spans="2:19" x14ac:dyDescent="0.25">
      <c r="B13" s="532" t="s">
        <v>1227</v>
      </c>
      <c r="C13" s="7" t="s">
        <v>131</v>
      </c>
      <c r="D13" s="533">
        <v>5</v>
      </c>
    </row>
    <row r="14" spans="2:19" x14ac:dyDescent="0.25">
      <c r="B14" s="532" t="s">
        <v>1227</v>
      </c>
      <c r="C14" s="7" t="s">
        <v>132</v>
      </c>
      <c r="D14" s="533">
        <v>4</v>
      </c>
    </row>
    <row r="15" spans="2:19" x14ac:dyDescent="0.25">
      <c r="B15" s="532" t="s">
        <v>2504</v>
      </c>
      <c r="C15" s="7" t="s">
        <v>213</v>
      </c>
      <c r="D15" s="533">
        <v>5</v>
      </c>
    </row>
    <row r="16" spans="2:19" x14ac:dyDescent="0.25">
      <c r="B16" s="532" t="s">
        <v>2504</v>
      </c>
      <c r="C16" s="7" t="s">
        <v>131</v>
      </c>
      <c r="D16" s="533">
        <v>6</v>
      </c>
    </row>
    <row r="17" spans="2:4" x14ac:dyDescent="0.25">
      <c r="B17" s="532" t="s">
        <v>2504</v>
      </c>
      <c r="C17" s="7" t="s">
        <v>132</v>
      </c>
      <c r="D17" s="533">
        <v>4</v>
      </c>
    </row>
    <row r="18" spans="2:4" x14ac:dyDescent="0.25">
      <c r="B18" s="532" t="s">
        <v>2504</v>
      </c>
      <c r="C18" s="7" t="s">
        <v>213</v>
      </c>
      <c r="D18" s="533">
        <v>2</v>
      </c>
    </row>
    <row r="19" spans="2:4" x14ac:dyDescent="0.25">
      <c r="B19" s="532" t="s">
        <v>2504</v>
      </c>
      <c r="C19" s="7" t="s">
        <v>131</v>
      </c>
      <c r="D19" s="533">
        <v>1</v>
      </c>
    </row>
    <row r="20" spans="2:4" x14ac:dyDescent="0.25">
      <c r="B20" s="409" t="s">
        <v>2504</v>
      </c>
      <c r="C20" s="762" t="s">
        <v>132</v>
      </c>
      <c r="D20" s="417">
        <v>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8"/>
  <dimension ref="A1:AB22"/>
  <sheetViews>
    <sheetView workbookViewId="0"/>
  </sheetViews>
  <sheetFormatPr defaultRowHeight="15" x14ac:dyDescent="0.25"/>
  <cols>
    <col min="1" max="1" width="8.5703125" customWidth="1"/>
    <col min="2" max="5" width="7.5703125" customWidth="1"/>
    <col min="6" max="6" width="4.85546875" customWidth="1"/>
    <col min="13" max="13" width="4.85546875" customWidth="1"/>
    <col min="16" max="16" width="6.28515625" customWidth="1"/>
    <col min="20" max="20" width="7.85546875" customWidth="1"/>
  </cols>
  <sheetData>
    <row r="1" spans="1:28" x14ac:dyDescent="0.25">
      <c r="A1" s="1" t="s">
        <v>2473</v>
      </c>
      <c r="G1" t="s">
        <v>27</v>
      </c>
      <c r="N1" t="s">
        <v>1670</v>
      </c>
      <c r="V1" t="s">
        <v>2461</v>
      </c>
    </row>
    <row r="3" spans="1:28" ht="15.75" thickBot="1" x14ac:dyDescent="0.3">
      <c r="B3" s="1288" t="s">
        <v>601</v>
      </c>
      <c r="C3" s="1289"/>
      <c r="D3" s="1289"/>
      <c r="E3" s="1290"/>
      <c r="G3" t="s">
        <v>1666</v>
      </c>
      <c r="H3" t="str">
        <f>IF(COUNTIF(H5:K7,H5)=COUNT(H5:K7),"balanced","unbalanced")</f>
        <v>balanced</v>
      </c>
      <c r="N3" t="s">
        <v>294</v>
      </c>
      <c r="R3" s="1122" t="s">
        <v>34</v>
      </c>
      <c r="S3" s="1122">
        <v>0.05</v>
      </c>
      <c r="V3" t="s">
        <v>294</v>
      </c>
      <c r="Z3" s="1122" t="s">
        <v>34</v>
      </c>
      <c r="AA3" s="1122">
        <v>0.05</v>
      </c>
    </row>
    <row r="4" spans="1:28" ht="15.75" thickTop="1" x14ac:dyDescent="0.25">
      <c r="A4" s="269" t="s">
        <v>602</v>
      </c>
      <c r="B4" s="270" t="s">
        <v>590</v>
      </c>
      <c r="C4" s="270" t="s">
        <v>591</v>
      </c>
      <c r="D4" s="270" t="s">
        <v>592</v>
      </c>
      <c r="E4" s="270" t="s">
        <v>596</v>
      </c>
      <c r="H4" s="1122" t="str">
        <f>B4</f>
        <v>Wheat</v>
      </c>
      <c r="I4" s="1122" t="str">
        <f>C4</f>
        <v>Corn</v>
      </c>
      <c r="J4" s="1122" t="str">
        <f>D4</f>
        <v>Soy</v>
      </c>
      <c r="K4" s="1122" t="str">
        <f>E4</f>
        <v>Rice</v>
      </c>
      <c r="N4" s="754"/>
      <c r="O4" s="754" t="s">
        <v>219</v>
      </c>
      <c r="P4" s="754" t="s">
        <v>60</v>
      </c>
      <c r="Q4" s="754" t="s">
        <v>240</v>
      </c>
      <c r="R4" s="754" t="s">
        <v>135</v>
      </c>
      <c r="S4" s="754" t="s">
        <v>67</v>
      </c>
      <c r="T4" s="754" t="s">
        <v>527</v>
      </c>
      <c r="V4" s="826"/>
      <c r="W4" s="826" t="s">
        <v>219</v>
      </c>
      <c r="X4" s="826" t="s">
        <v>60</v>
      </c>
      <c r="Y4" s="826" t="s">
        <v>240</v>
      </c>
      <c r="Z4" s="826" t="s">
        <v>135</v>
      </c>
      <c r="AA4" s="826" t="s">
        <v>67</v>
      </c>
      <c r="AB4" s="826" t="s">
        <v>527</v>
      </c>
    </row>
    <row r="5" spans="1:28" x14ac:dyDescent="0.25">
      <c r="A5" s="266" t="s">
        <v>593</v>
      </c>
      <c r="B5" s="271">
        <v>123</v>
      </c>
      <c r="C5" s="271">
        <v>128</v>
      </c>
      <c r="D5" s="271">
        <v>166</v>
      </c>
      <c r="E5" s="271">
        <v>151</v>
      </c>
      <c r="G5" t="str">
        <f>A5</f>
        <v>Blend X</v>
      </c>
      <c r="H5" s="772">
        <f>COUNT(B5:B9)</f>
        <v>5</v>
      </c>
      <c r="I5" s="773">
        <f>COUNT(C5:C9)</f>
        <v>5</v>
      </c>
      <c r="J5" s="773">
        <f>COUNT(D5:D9)</f>
        <v>5</v>
      </c>
      <c r="K5" s="774">
        <f>COUNT(E5:E9)</f>
        <v>5</v>
      </c>
      <c r="L5">
        <f>COUNT(B5:E9)</f>
        <v>20</v>
      </c>
      <c r="N5" t="s">
        <v>136</v>
      </c>
      <c r="O5">
        <f>DEVSQ(L12:L14)*L5</f>
        <v>8782.8999999999887</v>
      </c>
      <c r="P5">
        <f>COUNT(L12:L14)-1</f>
        <v>2</v>
      </c>
      <c r="Q5">
        <f>O5/P5</f>
        <v>4391.4499999999944</v>
      </c>
      <c r="R5">
        <f>Q5/Q8</f>
        <v>9.9333471565097486</v>
      </c>
      <c r="S5">
        <f>FDIST(R5,P5,P8)</f>
        <v>2.4548728137133846E-4</v>
      </c>
      <c r="T5" s="1122" t="str">
        <f>IF(S5&lt;S3,"yes","no")</f>
        <v>yes</v>
      </c>
      <c r="V5" t="str">
        <f>G12</f>
        <v>Blend X</v>
      </c>
      <c r="W5">
        <f>SUMPRODUCT(H5:K5,(H12:K12-L12)^2)</f>
        <v>6125.3500000000022</v>
      </c>
      <c r="X5">
        <f>COUNT(H5:K5)-1</f>
        <v>3</v>
      </c>
      <c r="Y5">
        <f>W5/X5</f>
        <v>2041.783333333334</v>
      </c>
      <c r="Z5">
        <f>Y5/Y$8</f>
        <v>4.6184614804621926</v>
      </c>
      <c r="AA5">
        <f>FDIST(Z5,X5,X$8)</f>
        <v>6.4357751553108323E-3</v>
      </c>
      <c r="AB5" s="1122" t="str">
        <f>IF(AA5&lt;AA$3,"yes","no")</f>
        <v>yes</v>
      </c>
    </row>
    <row r="6" spans="1:28" x14ac:dyDescent="0.25">
      <c r="A6" s="6"/>
      <c r="B6" s="272">
        <v>156</v>
      </c>
      <c r="C6" s="272">
        <v>150</v>
      </c>
      <c r="D6" s="272">
        <v>178</v>
      </c>
      <c r="E6" s="272">
        <v>125</v>
      </c>
      <c r="G6" t="str">
        <f>A10</f>
        <v>Blend Y</v>
      </c>
      <c r="H6" s="501">
        <f>COUNT(B10:B14)</f>
        <v>5</v>
      </c>
      <c r="I6" s="7">
        <f>COUNT(C10:C14)</f>
        <v>5</v>
      </c>
      <c r="J6" s="7">
        <f>COUNT(D10:D14)</f>
        <v>5</v>
      </c>
      <c r="K6" s="57">
        <f>COUNT(E10:E14)</f>
        <v>5</v>
      </c>
      <c r="L6">
        <f>COUNT(B10:E14)</f>
        <v>20</v>
      </c>
      <c r="N6" t="s">
        <v>589</v>
      </c>
      <c r="O6">
        <f>DEVSQ(H15:K15)*H8</f>
        <v>3411.65</v>
      </c>
      <c r="P6">
        <f>COUNT(H15:K15)-1</f>
        <v>3</v>
      </c>
      <c r="Q6">
        <f>O6/P6</f>
        <v>1137.2166666666667</v>
      </c>
      <c r="R6">
        <f>Q6/Q8</f>
        <v>2.572354903771839</v>
      </c>
      <c r="S6">
        <f>FDIST(R6,P6,P8)</f>
        <v>6.4943822161567188E-2</v>
      </c>
      <c r="T6" s="1122" t="str">
        <f>IF(S6&lt;S3,"yes","no")</f>
        <v>no</v>
      </c>
      <c r="V6" t="str">
        <f>G13</f>
        <v>Blend Y</v>
      </c>
      <c r="W6">
        <f>SUMPRODUCT(H6:K6,(H13:K13-L13)^2)</f>
        <v>2269.8000000000029</v>
      </c>
      <c r="X6">
        <f>COUNT(H6:K6)-1</f>
        <v>3</v>
      </c>
      <c r="Y6">
        <f>W6/X6</f>
        <v>756.60000000000093</v>
      </c>
      <c r="Z6">
        <f>Y6/Y$8</f>
        <v>1.711409775499048</v>
      </c>
      <c r="AA6">
        <f>FDIST(Z6,X6,X$8)</f>
        <v>0.17716704598825347</v>
      </c>
      <c r="AB6" s="1122" t="str">
        <f>IF(AA6&lt;AA$3,"yes","no")</f>
        <v>no</v>
      </c>
    </row>
    <row r="7" spans="1:28" x14ac:dyDescent="0.25">
      <c r="A7" s="273"/>
      <c r="B7" s="272">
        <v>112</v>
      </c>
      <c r="C7" s="272">
        <v>174</v>
      </c>
      <c r="D7" s="272">
        <v>187</v>
      </c>
      <c r="E7" s="272">
        <v>117</v>
      </c>
      <c r="G7" t="str">
        <f>A15</f>
        <v>Blend Z</v>
      </c>
      <c r="H7" s="759">
        <f>COUNT(B15:B19)</f>
        <v>5</v>
      </c>
      <c r="I7" s="760">
        <f>COUNT(C15:C19)</f>
        <v>5</v>
      </c>
      <c r="J7" s="760">
        <f>COUNT(D15:D19)</f>
        <v>5</v>
      </c>
      <c r="K7" s="761">
        <f>COUNT(E15:E19)</f>
        <v>5</v>
      </c>
      <c r="L7">
        <f>COUNT(B15:E19)</f>
        <v>20</v>
      </c>
      <c r="N7" t="s">
        <v>1319</v>
      </c>
      <c r="O7">
        <f>O9-O5-O6-O8</f>
        <v>6225.9000000000779</v>
      </c>
      <c r="P7">
        <f>P6*P5</f>
        <v>6</v>
      </c>
      <c r="Q7">
        <f>O7/P7</f>
        <v>1037.6500000000131</v>
      </c>
      <c r="R7">
        <f>Q7/Q8</f>
        <v>2.3471376599875859</v>
      </c>
      <c r="S7">
        <f>FDIST(R7,P7,P8)</f>
        <v>4.5555492136470324E-2</v>
      </c>
      <c r="T7" s="1122" t="str">
        <f>IF(S7&lt;S3,"yes","no")</f>
        <v>yes</v>
      </c>
      <c r="V7" t="str">
        <f>G14</f>
        <v>Blend Z</v>
      </c>
      <c r="W7">
        <f>SUMPRODUCT(H7:K7,(H14:K14-L14)^2)</f>
        <v>1242.3999999999999</v>
      </c>
      <c r="X7">
        <f>COUNT(H7:K7)-1</f>
        <v>3</v>
      </c>
      <c r="Y7">
        <f>W7/X7</f>
        <v>414.13333333333327</v>
      </c>
      <c r="Z7">
        <f>Y7/Y$8</f>
        <v>0.93675896778571432</v>
      </c>
      <c r="AA7">
        <f>FDIST(Z7,X7,X$8)</f>
        <v>0.43026785137801982</v>
      </c>
      <c r="AB7" s="1122" t="str">
        <f>IF(AA7&lt;AA$3,"yes","no")</f>
        <v>no</v>
      </c>
    </row>
    <row r="8" spans="1:28" x14ac:dyDescent="0.25">
      <c r="A8" s="273"/>
      <c r="B8" s="272">
        <v>100</v>
      </c>
      <c r="C8" s="272">
        <v>116</v>
      </c>
      <c r="D8" s="272">
        <v>153</v>
      </c>
      <c r="E8" s="272">
        <v>155</v>
      </c>
      <c r="H8">
        <f>COUNT(B5:B19)</f>
        <v>15</v>
      </c>
      <c r="I8">
        <f>COUNT(C5:C19)</f>
        <v>15</v>
      </c>
      <c r="J8">
        <f>COUNT(D5:D19)</f>
        <v>15</v>
      </c>
      <c r="K8">
        <f>COUNT(E5:E19)</f>
        <v>15</v>
      </c>
      <c r="L8">
        <f>COUNT(B5:E19)</f>
        <v>60</v>
      </c>
      <c r="N8" t="s">
        <v>600</v>
      </c>
      <c r="O8">
        <f>SUM(H19:K21)*(H5-1)</f>
        <v>21220.400000000027</v>
      </c>
      <c r="P8">
        <f>P9-P5-P6-P7</f>
        <v>48</v>
      </c>
      <c r="Q8">
        <f>O8/P8</f>
        <v>442.09166666666721</v>
      </c>
      <c r="V8" s="762" t="s">
        <v>588</v>
      </c>
      <c r="W8" s="762">
        <f>SUMPRODUCT(H19:K21,(H5:K7-1))</f>
        <v>21220.400000000027</v>
      </c>
      <c r="X8" s="762">
        <f>SUM(H5:K7)-COUNT(H5:K5)*COUNT(H5:H7)</f>
        <v>48</v>
      </c>
      <c r="Y8" s="762">
        <f>W8/X8</f>
        <v>442.09166666666721</v>
      </c>
      <c r="Z8" s="762"/>
      <c r="AA8" s="762"/>
      <c r="AB8" s="762"/>
    </row>
    <row r="9" spans="1:28" x14ac:dyDescent="0.25">
      <c r="A9" s="273"/>
      <c r="B9" s="24">
        <v>168</v>
      </c>
      <c r="C9" s="24">
        <v>109</v>
      </c>
      <c r="D9" s="24">
        <v>195</v>
      </c>
      <c r="E9" s="24">
        <v>158</v>
      </c>
      <c r="N9" s="762" t="s">
        <v>1</v>
      </c>
      <c r="O9" s="762">
        <f>Q9*P9</f>
        <v>39640.850000000093</v>
      </c>
      <c r="P9" s="762">
        <f>L8-1</f>
        <v>59</v>
      </c>
      <c r="Q9" s="762">
        <f>L22</f>
        <v>671.87881355932359</v>
      </c>
      <c r="R9" s="762"/>
      <c r="S9" s="762"/>
      <c r="T9" s="762"/>
    </row>
    <row r="10" spans="1:28" x14ac:dyDescent="0.25">
      <c r="A10" s="266" t="s">
        <v>594</v>
      </c>
      <c r="B10" s="271">
        <v>135</v>
      </c>
      <c r="C10" s="271">
        <v>175</v>
      </c>
      <c r="D10" s="271">
        <v>140</v>
      </c>
      <c r="E10" s="271">
        <v>167</v>
      </c>
      <c r="G10" t="s">
        <v>610</v>
      </c>
    </row>
    <row r="11" spans="1:28" x14ac:dyDescent="0.25">
      <c r="A11" s="273"/>
      <c r="B11" s="272">
        <v>130</v>
      </c>
      <c r="C11" s="272">
        <v>132</v>
      </c>
      <c r="D11" s="272">
        <v>145</v>
      </c>
      <c r="E11" s="272">
        <v>183</v>
      </c>
      <c r="H11" s="1122" t="str">
        <f>B4</f>
        <v>Wheat</v>
      </c>
      <c r="I11" s="1122" t="str">
        <f>C4</f>
        <v>Corn</v>
      </c>
      <c r="J11" s="1122" t="str">
        <f>D4</f>
        <v>Soy</v>
      </c>
      <c r="K11" s="1122" t="str">
        <f>E4</f>
        <v>Rice</v>
      </c>
      <c r="V11" t="s">
        <v>2462</v>
      </c>
    </row>
    <row r="12" spans="1:28" x14ac:dyDescent="0.25">
      <c r="A12" s="273"/>
      <c r="B12" s="272">
        <v>176</v>
      </c>
      <c r="C12" s="272">
        <v>120</v>
      </c>
      <c r="D12" s="272">
        <v>159</v>
      </c>
      <c r="E12" s="272">
        <v>142</v>
      </c>
      <c r="G12" t="str">
        <f>A5</f>
        <v>Blend X</v>
      </c>
      <c r="H12" s="772">
        <f>AVERAGE(B5:B9)</f>
        <v>131.80000000000001</v>
      </c>
      <c r="I12" s="773">
        <f>AVERAGE(C5:C9)</f>
        <v>135.4</v>
      </c>
      <c r="J12" s="773">
        <f>AVERAGE(D5:D9)</f>
        <v>175.8</v>
      </c>
      <c r="K12" s="774">
        <f>AVERAGE(E5:E9)</f>
        <v>141.19999999999999</v>
      </c>
      <c r="L12">
        <f>AVERAGE(B5:E9)</f>
        <v>146.05000000000001</v>
      </c>
    </row>
    <row r="13" spans="1:28" ht="15.75" thickBot="1" x14ac:dyDescent="0.3">
      <c r="A13" s="273"/>
      <c r="B13" s="272">
        <v>120</v>
      </c>
      <c r="C13" s="272">
        <v>187</v>
      </c>
      <c r="D13" s="272">
        <v>131</v>
      </c>
      <c r="E13" s="272">
        <v>167</v>
      </c>
      <c r="G13" t="str">
        <f>A10</f>
        <v>Blend Y</v>
      </c>
      <c r="H13" s="501">
        <f>AVERAGE(B10:B14)</f>
        <v>143.19999999999999</v>
      </c>
      <c r="I13" s="7">
        <f>AVERAGE(C10:C14)</f>
        <v>159.6</v>
      </c>
      <c r="J13" s="7">
        <f>AVERAGE(D10:D14)</f>
        <v>140.19999999999999</v>
      </c>
      <c r="K13" s="57">
        <f>AVERAGE(E10:E14)</f>
        <v>165.4</v>
      </c>
      <c r="L13">
        <f>AVERAGE(B10:E14)</f>
        <v>152.1</v>
      </c>
      <c r="V13" t="s">
        <v>294</v>
      </c>
      <c r="Z13" s="1122" t="s">
        <v>34</v>
      </c>
      <c r="AA13" s="1122">
        <v>0.05</v>
      </c>
    </row>
    <row r="14" spans="1:28" ht="15.75" thickTop="1" x14ac:dyDescent="0.25">
      <c r="A14" s="273"/>
      <c r="B14" s="24">
        <v>155</v>
      </c>
      <c r="C14" s="24">
        <v>184</v>
      </c>
      <c r="D14" s="24">
        <v>126</v>
      </c>
      <c r="E14" s="24">
        <v>168</v>
      </c>
      <c r="G14" t="str">
        <f>A15</f>
        <v>Blend Z</v>
      </c>
      <c r="H14" s="759">
        <f>AVERAGE(B15:B19)</f>
        <v>164.4</v>
      </c>
      <c r="I14" s="760">
        <f>AVERAGE(C15:C19)</f>
        <v>173.6</v>
      </c>
      <c r="J14" s="760">
        <f>AVERAGE(D15:D19)</f>
        <v>186.4</v>
      </c>
      <c r="K14" s="761">
        <f>AVERAGE(E15:E19)</f>
        <v>172.4</v>
      </c>
      <c r="L14">
        <f>AVERAGE(B15:E19)</f>
        <v>174.2</v>
      </c>
      <c r="V14" s="826"/>
      <c r="W14" s="826" t="s">
        <v>219</v>
      </c>
      <c r="X14" s="826" t="s">
        <v>60</v>
      </c>
      <c r="Y14" s="826" t="s">
        <v>240</v>
      </c>
      <c r="Z14" s="826" t="s">
        <v>135</v>
      </c>
      <c r="AA14" s="826" t="s">
        <v>67</v>
      </c>
      <c r="AB14" s="826" t="s">
        <v>527</v>
      </c>
    </row>
    <row r="15" spans="1:28" x14ac:dyDescent="0.25">
      <c r="A15" s="266" t="s">
        <v>595</v>
      </c>
      <c r="B15" s="271">
        <v>156</v>
      </c>
      <c r="C15" s="271">
        <v>186</v>
      </c>
      <c r="D15" s="271">
        <v>185</v>
      </c>
      <c r="E15" s="271">
        <v>175</v>
      </c>
      <c r="H15">
        <f>AVERAGE(B5:B19)</f>
        <v>146.46666666666667</v>
      </c>
      <c r="I15">
        <f>AVERAGE(C5:C19)</f>
        <v>156.19999999999999</v>
      </c>
      <c r="J15">
        <f>AVERAGE(D5:D19)</f>
        <v>167.46666666666667</v>
      </c>
      <c r="K15">
        <f>AVERAGE(E5:E19)</f>
        <v>159.66666666666666</v>
      </c>
      <c r="L15">
        <f>AVERAGE(B5:E19)</f>
        <v>157.44999999999999</v>
      </c>
      <c r="V15" t="str">
        <f>H11</f>
        <v>Wheat</v>
      </c>
      <c r="W15">
        <f>SUMPRODUCT(H5:H7,(H12:H14-H$15)^2)</f>
        <v>2736.9333333333334</v>
      </c>
      <c r="X15">
        <f>COUNT(H5:H7)-1</f>
        <v>2</v>
      </c>
      <c r="Y15">
        <f>W15/X15</f>
        <v>1368.4666666666667</v>
      </c>
      <c r="Z15">
        <f>Y15/Y$19</f>
        <v>3.0954364667960981</v>
      </c>
      <c r="AA15">
        <f>FDIST(Z15,X15,X$19)</f>
        <v>5.4395399584390158E-2</v>
      </c>
      <c r="AB15" s="1122" t="str">
        <f>IF(AA15&lt;AA$13,"yes","no")</f>
        <v>no</v>
      </c>
    </row>
    <row r="16" spans="1:28" x14ac:dyDescent="0.25">
      <c r="A16" s="273"/>
      <c r="B16" s="272">
        <v>180</v>
      </c>
      <c r="C16" s="272">
        <v>138</v>
      </c>
      <c r="D16" s="272">
        <v>206</v>
      </c>
      <c r="E16" s="272">
        <v>173</v>
      </c>
      <c r="V16" t="str">
        <f>I11</f>
        <v>Corn</v>
      </c>
      <c r="W16">
        <f>SUMPRODUCT(I5:I7,(I12:I14-I$15)^2)</f>
        <v>3734.7999999999979</v>
      </c>
      <c r="X16">
        <f>COUNT(I5:I7)-1</f>
        <v>2</v>
      </c>
      <c r="Y16">
        <f>W16/X16</f>
        <v>1867.399999999999</v>
      </c>
      <c r="Z16">
        <f>Y16/Y$19</f>
        <v>4.2240108574767605</v>
      </c>
      <c r="AA16">
        <f>FDIST(Z16,X16,X$19)</f>
        <v>2.0427737506294948E-2</v>
      </c>
      <c r="AB16" s="1122" t="str">
        <f>IF(AA16&lt;AA$13,"yes","no")</f>
        <v>yes</v>
      </c>
    </row>
    <row r="17" spans="1:28" x14ac:dyDescent="0.25">
      <c r="A17" s="273"/>
      <c r="B17" s="272">
        <v>147</v>
      </c>
      <c r="C17" s="272">
        <v>178</v>
      </c>
      <c r="D17" s="272">
        <v>188</v>
      </c>
      <c r="E17" s="272">
        <v>154</v>
      </c>
      <c r="G17" t="s">
        <v>1667</v>
      </c>
      <c r="V17" t="str">
        <f>J11</f>
        <v>Soy</v>
      </c>
      <c r="W17">
        <f>SUMPRODUCT(J5:J7,(J12:J14-J$15)^2)</f>
        <v>5856.9333333333379</v>
      </c>
      <c r="X17">
        <f>COUNT(J5:J7)-1</f>
        <v>2</v>
      </c>
      <c r="Y17">
        <f>W17/X17</f>
        <v>2928.466666666669</v>
      </c>
      <c r="Z17">
        <f>Y17/Y$19</f>
        <v>6.6241164162786728</v>
      </c>
      <c r="AA17">
        <f>FDIST(Z17,X17,X$19)</f>
        <v>2.881006192954384E-3</v>
      </c>
      <c r="AB17" s="1122" t="str">
        <f>IF(AA17&lt;AA$13,"yes","no")</f>
        <v>yes</v>
      </c>
    </row>
    <row r="18" spans="1:28" x14ac:dyDescent="0.25">
      <c r="A18" s="273"/>
      <c r="B18" s="272">
        <v>146</v>
      </c>
      <c r="C18" s="272">
        <v>176</v>
      </c>
      <c r="D18" s="272">
        <v>165</v>
      </c>
      <c r="E18" s="272">
        <v>191</v>
      </c>
      <c r="H18" s="1122" t="str">
        <f>B4</f>
        <v>Wheat</v>
      </c>
      <c r="I18" s="1122" t="str">
        <f>C4</f>
        <v>Corn</v>
      </c>
      <c r="J18" s="1122" t="str">
        <f>D4</f>
        <v>Soy</v>
      </c>
      <c r="K18" s="1122" t="str">
        <f>E4</f>
        <v>Rice</v>
      </c>
      <c r="V18" t="str">
        <f>K11</f>
        <v>Rice</v>
      </c>
      <c r="W18">
        <f>SUMPRODUCT(K5:K7,(K12:K14-K$15)^2)</f>
        <v>2680.1333333333364</v>
      </c>
      <c r="X18">
        <f>COUNT(K5:K7)-1</f>
        <v>2</v>
      </c>
      <c r="Y18">
        <f>W18/X18</f>
        <v>1340.0666666666682</v>
      </c>
      <c r="Z18">
        <f>Y18/Y$19</f>
        <v>3.0311963959209058</v>
      </c>
      <c r="AA18">
        <f>FDIST(Z18,X18,X$19)</f>
        <v>5.7584204415357727E-2</v>
      </c>
      <c r="AB18" s="1122" t="str">
        <f>IF(AA18&lt;AA$13,"yes","no")</f>
        <v>no</v>
      </c>
    </row>
    <row r="19" spans="1:28" x14ac:dyDescent="0.25">
      <c r="A19" s="9"/>
      <c r="B19" s="24">
        <v>193</v>
      </c>
      <c r="C19" s="24">
        <v>190</v>
      </c>
      <c r="D19" s="24">
        <v>188</v>
      </c>
      <c r="E19" s="24">
        <v>169</v>
      </c>
      <c r="G19" t="str">
        <f>A5</f>
        <v>Blend X</v>
      </c>
      <c r="H19" s="772">
        <f>VAR(B5:B9)</f>
        <v>844.20000000000073</v>
      </c>
      <c r="I19" s="773">
        <f>VAR(C5:C9)</f>
        <v>707.79999999999927</v>
      </c>
      <c r="J19" s="773">
        <f>VAR(D5:D9)</f>
        <v>278.7</v>
      </c>
      <c r="K19" s="774">
        <f>VAR(E5:E9)</f>
        <v>354.20000000000073</v>
      </c>
      <c r="L19">
        <f>VAR(B5:E9)</f>
        <v>782.3657894736848</v>
      </c>
      <c r="V19" s="762" t="s">
        <v>588</v>
      </c>
      <c r="W19" s="762">
        <f>SUMPRODUCT(H19:K21,(H5:K7-1))</f>
        <v>21220.400000000027</v>
      </c>
      <c r="X19" s="762">
        <f>SUM(H5:K7)-COUNT(H5:K5)*COUNT(H5:H7)</f>
        <v>48</v>
      </c>
      <c r="Y19" s="762">
        <f>W19/X19</f>
        <v>442.09166666666721</v>
      </c>
      <c r="Z19" s="762"/>
      <c r="AA19" s="762"/>
      <c r="AB19" s="762"/>
    </row>
    <row r="20" spans="1:28" x14ac:dyDescent="0.25">
      <c r="G20" t="str">
        <f>A10</f>
        <v>Blend Y</v>
      </c>
      <c r="H20" s="501">
        <f>VAR(B10:B14)</f>
        <v>498.70000000000073</v>
      </c>
      <c r="I20" s="7">
        <f>VAR(C10:C14)</f>
        <v>978.29999999999927</v>
      </c>
      <c r="J20" s="7">
        <f>VAR(D10:D14)</f>
        <v>165.7</v>
      </c>
      <c r="K20" s="57">
        <f>VAR(E10:E14)</f>
        <v>217.3</v>
      </c>
      <c r="L20">
        <f>VAR(B10:E14)</f>
        <v>511.04210526315728</v>
      </c>
    </row>
    <row r="21" spans="1:28" x14ac:dyDescent="0.25">
      <c r="G21" t="str">
        <f>A15</f>
        <v>Blend Z</v>
      </c>
      <c r="H21" s="759">
        <f>VAR(B15:B19)</f>
        <v>443.30000000000291</v>
      </c>
      <c r="I21" s="760">
        <f>VAR(C15:C19)</f>
        <v>428.80000000000291</v>
      </c>
      <c r="J21" s="760">
        <f>VAR(D15:D19)</f>
        <v>212.3</v>
      </c>
      <c r="K21" s="761">
        <f>VAR(E15:E19)</f>
        <v>175.8</v>
      </c>
      <c r="L21">
        <f>VAR(B15:E19)</f>
        <v>330.69473684210283</v>
      </c>
    </row>
    <row r="22" spans="1:28" x14ac:dyDescent="0.25">
      <c r="H22">
        <f>VAR(B5:B19)</f>
        <v>705.83809523809555</v>
      </c>
      <c r="I22">
        <f>VAR(C5:C19)</f>
        <v>871.02857142857306</v>
      </c>
      <c r="J22">
        <f>VAR(D5:D19)</f>
        <v>605.98095238095266</v>
      </c>
      <c r="K22">
        <f>VAR(E5:E19)</f>
        <v>404.95238095237954</v>
      </c>
      <c r="L22">
        <f>VAR(B5:E19)</f>
        <v>671.87881355932359</v>
      </c>
    </row>
  </sheetData>
  <mergeCells count="1">
    <mergeCell ref="B3:E3"/>
  </mergeCells>
  <pageMargins left="0.7" right="0.7" top="0.75" bottom="0.75" header="0.3" footer="0.3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AN74"/>
  <sheetViews>
    <sheetView workbookViewId="0"/>
  </sheetViews>
  <sheetFormatPr defaultRowHeight="15" x14ac:dyDescent="0.25"/>
  <cols>
    <col min="1" max="1" width="7.85546875" customWidth="1"/>
    <col min="2" max="4" width="7.28515625" customWidth="1"/>
    <col min="5" max="5" width="6.140625" customWidth="1"/>
    <col min="6" max="6" width="18" customWidth="1"/>
    <col min="30" max="30" width="10.5703125" customWidth="1"/>
    <col min="36" max="36" width="10.28515625" customWidth="1"/>
  </cols>
  <sheetData>
    <row r="1" spans="1:40" x14ac:dyDescent="0.25">
      <c r="A1" s="1" t="s">
        <v>669</v>
      </c>
      <c r="N1" t="s">
        <v>1299</v>
      </c>
      <c r="AD1" t="s">
        <v>1298</v>
      </c>
    </row>
    <row r="3" spans="1:40" x14ac:dyDescent="0.25">
      <c r="B3" s="1294" t="s">
        <v>677</v>
      </c>
      <c r="C3" s="1295"/>
      <c r="D3" s="1296"/>
      <c r="F3" t="s">
        <v>599</v>
      </c>
      <c r="N3" s="7"/>
      <c r="O3" s="25" t="s">
        <v>670</v>
      </c>
      <c r="P3" s="25" t="s">
        <v>672</v>
      </c>
      <c r="Q3" s="25" t="s">
        <v>671</v>
      </c>
      <c r="R3" s="7"/>
      <c r="AD3" t="s">
        <v>599</v>
      </c>
    </row>
    <row r="4" spans="1:40" x14ac:dyDescent="0.25">
      <c r="A4" s="284" t="s">
        <v>676</v>
      </c>
      <c r="B4" s="302" t="s">
        <v>670</v>
      </c>
      <c r="C4" s="302" t="s">
        <v>672</v>
      </c>
      <c r="D4" s="302" t="s">
        <v>671</v>
      </c>
      <c r="N4" s="7" t="s">
        <v>673</v>
      </c>
      <c r="O4" s="289">
        <f>AVERAGE(B5:B9)</f>
        <v>22.8</v>
      </c>
      <c r="P4" s="287">
        <f>AVERAGE(C5:C9)</f>
        <v>19.8</v>
      </c>
      <c r="Q4" s="288">
        <f>AVERAGE(D5:D9)</f>
        <v>10</v>
      </c>
      <c r="R4" s="7">
        <f>AVERAGE(O4:Q4)</f>
        <v>17.533333333333335</v>
      </c>
    </row>
    <row r="5" spans="1:40" x14ac:dyDescent="0.25">
      <c r="A5" s="289" t="s">
        <v>673</v>
      </c>
      <c r="B5" s="296">
        <v>15</v>
      </c>
      <c r="C5" s="296">
        <v>21</v>
      </c>
      <c r="D5" s="296">
        <v>11</v>
      </c>
      <c r="F5" t="s">
        <v>62</v>
      </c>
      <c r="G5" t="s">
        <v>670</v>
      </c>
      <c r="H5" t="s">
        <v>672</v>
      </c>
      <c r="I5" t="s">
        <v>671</v>
      </c>
      <c r="J5" t="s">
        <v>1</v>
      </c>
      <c r="N5" s="7" t="s">
        <v>674</v>
      </c>
      <c r="O5" s="273">
        <f>AVERAGE(B10:B14)</f>
        <v>25</v>
      </c>
      <c r="P5" s="7">
        <f>AVERAGE(C10:C14)</f>
        <v>21</v>
      </c>
      <c r="Q5" s="8">
        <f>AVERAGE(D10:D14)</f>
        <v>29.4</v>
      </c>
      <c r="R5" s="7">
        <f>AVERAGE(O5:Q5)</f>
        <v>25.133333333333336</v>
      </c>
      <c r="AD5" t="s">
        <v>62</v>
      </c>
      <c r="AE5" s="13" t="s">
        <v>670</v>
      </c>
      <c r="AF5" s="13" t="s">
        <v>672</v>
      </c>
      <c r="AG5" s="13" t="s">
        <v>671</v>
      </c>
      <c r="AH5" s="13" t="s">
        <v>1</v>
      </c>
      <c r="AJ5" t="s">
        <v>62</v>
      </c>
      <c r="AK5" s="13" t="s">
        <v>670</v>
      </c>
      <c r="AL5" s="13" t="s">
        <v>672</v>
      </c>
      <c r="AM5" s="13" t="s">
        <v>671</v>
      </c>
      <c r="AN5" s="13" t="s">
        <v>1</v>
      </c>
    </row>
    <row r="6" spans="1:40" ht="15.75" thickBot="1" x14ac:dyDescent="0.3">
      <c r="A6" s="273"/>
      <c r="B6" s="272">
        <v>23</v>
      </c>
      <c r="C6" s="272">
        <v>11</v>
      </c>
      <c r="D6" s="272">
        <v>8</v>
      </c>
      <c r="F6" s="274" t="s">
        <v>673</v>
      </c>
      <c r="G6" s="274"/>
      <c r="H6" s="274"/>
      <c r="I6" s="274"/>
      <c r="J6" s="274"/>
      <c r="N6" s="7" t="s">
        <v>675</v>
      </c>
      <c r="O6" s="9">
        <f>AVERAGE(B15:B19)</f>
        <v>28</v>
      </c>
      <c r="P6" s="10">
        <f>AVERAGE(C15:C19)</f>
        <v>26</v>
      </c>
      <c r="Q6" s="11">
        <f>AVERAGE(D15:D19)</f>
        <v>37.200000000000003</v>
      </c>
      <c r="R6" s="7">
        <f>AVERAGE(O6:Q6)</f>
        <v>30.400000000000002</v>
      </c>
      <c r="AD6" s="274" t="s">
        <v>673</v>
      </c>
      <c r="AE6" s="274"/>
      <c r="AF6" s="274"/>
      <c r="AG6" s="274"/>
      <c r="AH6" s="274"/>
      <c r="AJ6" s="274" t="s">
        <v>675</v>
      </c>
      <c r="AK6" s="274"/>
      <c r="AL6" s="274"/>
      <c r="AM6" s="274"/>
      <c r="AN6" s="274"/>
    </row>
    <row r="7" spans="1:40" x14ac:dyDescent="0.25">
      <c r="A7" s="273"/>
      <c r="B7" s="272">
        <v>26</v>
      </c>
      <c r="C7" s="272">
        <v>28</v>
      </c>
      <c r="D7" s="272">
        <v>2</v>
      </c>
      <c r="F7" s="19" t="s">
        <v>22</v>
      </c>
      <c r="G7" s="19">
        <v>5</v>
      </c>
      <c r="H7" s="19">
        <v>5</v>
      </c>
      <c r="I7" s="19">
        <v>5</v>
      </c>
      <c r="J7" s="19">
        <v>15</v>
      </c>
      <c r="N7" s="7"/>
      <c r="O7" s="7">
        <f>AVERAGE(O4:O6)</f>
        <v>25.266666666666666</v>
      </c>
      <c r="P7" s="7">
        <f>AVERAGE(P4:P6)</f>
        <v>22.266666666666666</v>
      </c>
      <c r="Q7" s="7">
        <f>AVERAGE(Q4:Q6)</f>
        <v>25.533333333333331</v>
      </c>
      <c r="R7" s="7"/>
      <c r="AD7" s="19" t="s">
        <v>22</v>
      </c>
      <c r="AE7" s="19">
        <v>5</v>
      </c>
      <c r="AF7" s="19">
        <v>5</v>
      </c>
      <c r="AG7" s="19">
        <v>5</v>
      </c>
      <c r="AH7" s="19">
        <v>15</v>
      </c>
      <c r="AJ7" s="19" t="s">
        <v>22</v>
      </c>
      <c r="AK7" s="19">
        <v>5</v>
      </c>
      <c r="AL7" s="19">
        <v>5</v>
      </c>
      <c r="AM7" s="19">
        <v>5</v>
      </c>
      <c r="AN7" s="19">
        <v>15</v>
      </c>
    </row>
    <row r="8" spans="1:40" x14ac:dyDescent="0.25">
      <c r="A8" s="273"/>
      <c r="B8" s="272">
        <v>19</v>
      </c>
      <c r="C8" s="272">
        <v>16</v>
      </c>
      <c r="D8" s="272">
        <v>19</v>
      </c>
      <c r="F8" s="19" t="s">
        <v>21</v>
      </c>
      <c r="G8" s="19">
        <v>114</v>
      </c>
      <c r="H8" s="19">
        <v>99</v>
      </c>
      <c r="I8" s="19">
        <v>50</v>
      </c>
      <c r="J8" s="19">
        <v>263</v>
      </c>
      <c r="AD8" s="19" t="s">
        <v>21</v>
      </c>
      <c r="AE8" s="19">
        <v>114</v>
      </c>
      <c r="AF8" s="19">
        <v>99</v>
      </c>
      <c r="AG8" s="19">
        <v>50</v>
      </c>
      <c r="AH8" s="19">
        <v>263</v>
      </c>
      <c r="AJ8" s="19" t="s">
        <v>21</v>
      </c>
      <c r="AK8" s="19">
        <v>140</v>
      </c>
      <c r="AL8" s="19">
        <v>130</v>
      </c>
      <c r="AM8" s="19">
        <v>186</v>
      </c>
      <c r="AN8" s="19">
        <v>456</v>
      </c>
    </row>
    <row r="9" spans="1:40" x14ac:dyDescent="0.25">
      <c r="A9" s="273"/>
      <c r="B9" s="272">
        <v>31</v>
      </c>
      <c r="C9" s="272">
        <v>23</v>
      </c>
      <c r="D9" s="168">
        <v>10</v>
      </c>
      <c r="F9" s="19" t="s">
        <v>465</v>
      </c>
      <c r="G9" s="19">
        <v>22.8</v>
      </c>
      <c r="H9" s="19">
        <v>19.8</v>
      </c>
      <c r="I9" s="19">
        <v>10</v>
      </c>
      <c r="J9" s="19">
        <v>17.533333333333335</v>
      </c>
      <c r="AD9" s="19" t="s">
        <v>465</v>
      </c>
      <c r="AE9" s="19">
        <v>22.8</v>
      </c>
      <c r="AF9" s="19">
        <v>19.8</v>
      </c>
      <c r="AG9" s="19">
        <v>10</v>
      </c>
      <c r="AH9" s="19">
        <v>17.533333333333335</v>
      </c>
      <c r="AJ9" s="19" t="s">
        <v>465</v>
      </c>
      <c r="AK9" s="19">
        <v>28</v>
      </c>
      <c r="AL9" s="19">
        <v>26</v>
      </c>
      <c r="AM9" s="19">
        <v>37.200000000000003</v>
      </c>
      <c r="AN9" s="19">
        <v>30.4</v>
      </c>
    </row>
    <row r="10" spans="1:40" ht="15.75" thickBot="1" x14ac:dyDescent="0.3">
      <c r="A10" s="289" t="s">
        <v>674</v>
      </c>
      <c r="B10" s="296">
        <v>33</v>
      </c>
      <c r="C10" s="296">
        <v>25</v>
      </c>
      <c r="D10" s="296">
        <v>30</v>
      </c>
      <c r="F10" s="19" t="s">
        <v>80</v>
      </c>
      <c r="G10" s="19">
        <v>38.200000000000045</v>
      </c>
      <c r="H10" s="19">
        <v>42.699999999999989</v>
      </c>
      <c r="I10" s="19">
        <v>37.5</v>
      </c>
      <c r="J10" s="19">
        <v>65.838095238095249</v>
      </c>
      <c r="N10" t="s">
        <v>678</v>
      </c>
      <c r="R10" s="264" t="s">
        <v>34</v>
      </c>
      <c r="S10" s="264">
        <v>0.05</v>
      </c>
      <c r="AD10" s="19" t="s">
        <v>80</v>
      </c>
      <c r="AE10" s="19">
        <v>38.200000000000045</v>
      </c>
      <c r="AF10" s="19">
        <v>42.699999999999989</v>
      </c>
      <c r="AG10" s="19">
        <v>37.5</v>
      </c>
      <c r="AH10" s="19">
        <v>65.838095238095249</v>
      </c>
      <c r="AJ10" s="19" t="s">
        <v>80</v>
      </c>
      <c r="AK10" s="19">
        <v>82</v>
      </c>
      <c r="AL10" s="19">
        <v>82</v>
      </c>
      <c r="AM10" s="19">
        <v>75.700000000000045</v>
      </c>
      <c r="AN10" s="19">
        <v>93.971428571428604</v>
      </c>
    </row>
    <row r="11" spans="1:40" ht="15.75" thickTop="1" x14ac:dyDescent="0.25">
      <c r="A11" s="273"/>
      <c r="B11" s="272">
        <v>26</v>
      </c>
      <c r="C11" s="272">
        <v>29</v>
      </c>
      <c r="D11" s="272">
        <v>29</v>
      </c>
      <c r="F11" s="19"/>
      <c r="G11" s="19"/>
      <c r="H11" s="19"/>
      <c r="I11" s="19"/>
      <c r="J11" s="19"/>
      <c r="N11" s="32" t="s">
        <v>79</v>
      </c>
      <c r="O11" s="32" t="s">
        <v>43</v>
      </c>
      <c r="P11" s="32" t="s">
        <v>7</v>
      </c>
      <c r="Q11" s="32" t="s">
        <v>31</v>
      </c>
      <c r="R11" s="32" t="s">
        <v>508</v>
      </c>
      <c r="S11" s="32" t="s">
        <v>510</v>
      </c>
      <c r="AD11" s="19"/>
      <c r="AE11" s="19"/>
      <c r="AF11" s="19"/>
      <c r="AG11" s="19"/>
      <c r="AH11" s="19"/>
      <c r="AJ11" s="19"/>
      <c r="AK11" s="19"/>
      <c r="AL11" s="19"/>
      <c r="AM11" s="19"/>
      <c r="AN11" s="19"/>
    </row>
    <row r="12" spans="1:40" ht="15.75" thickBot="1" x14ac:dyDescent="0.3">
      <c r="A12" s="273"/>
      <c r="B12" s="272">
        <v>15</v>
      </c>
      <c r="C12" s="272">
        <v>17</v>
      </c>
      <c r="D12" s="272">
        <v>39</v>
      </c>
      <c r="F12" s="274" t="s">
        <v>674</v>
      </c>
      <c r="G12" s="274"/>
      <c r="H12" s="274"/>
      <c r="I12" s="274"/>
      <c r="J12" s="274"/>
      <c r="N12" t="s">
        <v>670</v>
      </c>
      <c r="O12">
        <v>-1</v>
      </c>
      <c r="P12">
        <f>G27</f>
        <v>25.266666666666666</v>
      </c>
      <c r="Q12">
        <f>G25</f>
        <v>15</v>
      </c>
      <c r="R12">
        <f>O12^2/Q12</f>
        <v>6.6666666666666666E-2</v>
      </c>
      <c r="S12">
        <f>O12*P12</f>
        <v>-25.266666666666666</v>
      </c>
      <c r="AD12" s="274" t="s">
        <v>674</v>
      </c>
      <c r="AE12" s="274"/>
      <c r="AF12" s="274"/>
      <c r="AG12" s="274"/>
      <c r="AH12" s="274"/>
      <c r="AJ12" s="274" t="s">
        <v>1</v>
      </c>
      <c r="AK12" s="274"/>
      <c r="AL12" s="274"/>
      <c r="AM12" s="274"/>
      <c r="AN12" s="274"/>
    </row>
    <row r="13" spans="1:40" x14ac:dyDescent="0.25">
      <c r="A13" s="273"/>
      <c r="B13" s="272">
        <v>18</v>
      </c>
      <c r="C13" s="272">
        <v>22</v>
      </c>
      <c r="D13" s="272">
        <v>25</v>
      </c>
      <c r="F13" s="19" t="s">
        <v>22</v>
      </c>
      <c r="G13" s="19">
        <v>5</v>
      </c>
      <c r="H13" s="19">
        <v>5</v>
      </c>
      <c r="I13" s="19">
        <v>5</v>
      </c>
      <c r="J13" s="19">
        <v>15</v>
      </c>
      <c r="N13" t="s">
        <v>672</v>
      </c>
      <c r="O13">
        <v>0</v>
      </c>
      <c r="P13">
        <f>H27</f>
        <v>22.266666666666666</v>
      </c>
      <c r="Q13">
        <f>H25</f>
        <v>15</v>
      </c>
      <c r="R13">
        <f>O13^2/Q13</f>
        <v>0</v>
      </c>
      <c r="S13">
        <f>O13*P13</f>
        <v>0</v>
      </c>
      <c r="AD13" s="19" t="s">
        <v>22</v>
      </c>
      <c r="AE13" s="19">
        <v>5</v>
      </c>
      <c r="AF13" s="19">
        <v>5</v>
      </c>
      <c r="AG13" s="19">
        <v>5</v>
      </c>
      <c r="AH13" s="19">
        <v>15</v>
      </c>
      <c r="AJ13" s="19" t="s">
        <v>22</v>
      </c>
      <c r="AK13" s="19">
        <v>15</v>
      </c>
      <c r="AL13" s="19">
        <v>15</v>
      </c>
      <c r="AM13" s="19">
        <v>15</v>
      </c>
      <c r="AN13" s="19"/>
    </row>
    <row r="14" spans="1:40" x14ac:dyDescent="0.25">
      <c r="A14" s="273"/>
      <c r="B14" s="272">
        <v>33</v>
      </c>
      <c r="C14" s="272">
        <v>12</v>
      </c>
      <c r="D14" s="168">
        <v>24</v>
      </c>
      <c r="F14" s="19" t="s">
        <v>21</v>
      </c>
      <c r="G14" s="19">
        <v>125</v>
      </c>
      <c r="H14" s="19">
        <v>105</v>
      </c>
      <c r="I14" s="19">
        <v>147</v>
      </c>
      <c r="J14" s="19">
        <v>377</v>
      </c>
      <c r="N14" t="s">
        <v>671</v>
      </c>
      <c r="O14">
        <v>1</v>
      </c>
      <c r="P14">
        <f>I27</f>
        <v>25.533333333333335</v>
      </c>
      <c r="Q14">
        <f>I25</f>
        <v>15</v>
      </c>
      <c r="R14">
        <f>O14^2/Q14</f>
        <v>6.6666666666666666E-2</v>
      </c>
      <c r="S14">
        <f>O14*P14</f>
        <v>25.533333333333335</v>
      </c>
      <c r="AD14" s="19" t="s">
        <v>21</v>
      </c>
      <c r="AE14" s="19">
        <v>125</v>
      </c>
      <c r="AF14" s="19">
        <v>105</v>
      </c>
      <c r="AG14" s="19">
        <v>147</v>
      </c>
      <c r="AH14" s="19">
        <v>377</v>
      </c>
      <c r="AJ14" s="19" t="s">
        <v>21</v>
      </c>
      <c r="AK14" s="19">
        <v>379</v>
      </c>
      <c r="AL14" s="19">
        <v>334</v>
      </c>
      <c r="AM14" s="19">
        <v>383</v>
      </c>
      <c r="AN14" s="19"/>
    </row>
    <row r="15" spans="1:40" x14ac:dyDescent="0.25">
      <c r="A15" s="289" t="s">
        <v>675</v>
      </c>
      <c r="B15" s="296">
        <v>28</v>
      </c>
      <c r="C15" s="296">
        <v>16</v>
      </c>
      <c r="D15" s="296">
        <v>26</v>
      </c>
      <c r="F15" s="19" t="s">
        <v>465</v>
      </c>
      <c r="G15" s="19">
        <v>25</v>
      </c>
      <c r="H15" s="19">
        <v>21</v>
      </c>
      <c r="I15" s="19">
        <v>29.4</v>
      </c>
      <c r="J15" s="19">
        <v>25.133333333333333</v>
      </c>
      <c r="N15" s="170"/>
      <c r="O15" s="170"/>
      <c r="P15" s="170"/>
      <c r="Q15" s="170"/>
      <c r="R15" s="170">
        <f>SUM(R12:R14)</f>
        <v>0.13333333333333333</v>
      </c>
      <c r="S15" s="170">
        <f>SUM(S12:S14)</f>
        <v>0.26666666666666927</v>
      </c>
      <c r="AD15" s="19" t="s">
        <v>465</v>
      </c>
      <c r="AE15" s="19">
        <v>25</v>
      </c>
      <c r="AF15" s="19">
        <v>21</v>
      </c>
      <c r="AG15" s="19">
        <v>29.4</v>
      </c>
      <c r="AH15" s="19">
        <v>25.133333333333333</v>
      </c>
      <c r="AJ15" s="19" t="s">
        <v>465</v>
      </c>
      <c r="AK15" s="19">
        <v>25.266666666666666</v>
      </c>
      <c r="AL15" s="19">
        <v>22.266666666666666</v>
      </c>
      <c r="AM15" s="19">
        <v>25.533333333333335</v>
      </c>
      <c r="AN15" s="19"/>
    </row>
    <row r="16" spans="1:40" ht="15.75" thickBot="1" x14ac:dyDescent="0.3">
      <c r="A16" s="273"/>
      <c r="B16" s="272">
        <v>20</v>
      </c>
      <c r="C16" s="272">
        <v>18</v>
      </c>
      <c r="D16" s="272">
        <v>37</v>
      </c>
      <c r="F16" s="19" t="s">
        <v>80</v>
      </c>
      <c r="G16" s="19">
        <v>69.5</v>
      </c>
      <c r="H16" s="19">
        <v>44.5</v>
      </c>
      <c r="I16" s="19">
        <v>35.299999999999955</v>
      </c>
      <c r="J16" s="19">
        <v>55.266666666666687</v>
      </c>
      <c r="N16" t="s">
        <v>509</v>
      </c>
      <c r="AD16" s="19" t="s">
        <v>80</v>
      </c>
      <c r="AE16" s="19">
        <v>69.5</v>
      </c>
      <c r="AF16" s="19">
        <v>44.5</v>
      </c>
      <c r="AG16" s="19">
        <v>35.299999999999955</v>
      </c>
      <c r="AH16" s="19">
        <v>55.266666666666687</v>
      </c>
      <c r="AJ16" s="19" t="s">
        <v>80</v>
      </c>
      <c r="AK16" s="19">
        <v>59.066666666666606</v>
      </c>
      <c r="AL16" s="19">
        <v>56.06666666666667</v>
      </c>
      <c r="AM16" s="19">
        <v>182.55238095238096</v>
      </c>
      <c r="AN16" s="19"/>
    </row>
    <row r="17" spans="1:36" ht="15.75" thickTop="1" x14ac:dyDescent="0.25">
      <c r="A17" s="273"/>
      <c r="B17" s="272">
        <v>18</v>
      </c>
      <c r="C17" s="272">
        <v>26</v>
      </c>
      <c r="D17" s="272">
        <v>39</v>
      </c>
      <c r="F17" s="19"/>
      <c r="G17" s="19"/>
      <c r="H17" s="19"/>
      <c r="I17" s="19"/>
      <c r="J17" s="19"/>
      <c r="N17" s="32" t="s">
        <v>212</v>
      </c>
      <c r="O17" s="32" t="s">
        <v>95</v>
      </c>
      <c r="P17" s="32" t="s">
        <v>60</v>
      </c>
      <c r="Q17" s="32" t="s">
        <v>67</v>
      </c>
      <c r="R17" s="32" t="s">
        <v>527</v>
      </c>
      <c r="AD17" s="19"/>
      <c r="AE17" s="19"/>
      <c r="AF17" s="19"/>
      <c r="AG17" s="19"/>
      <c r="AH17" s="19"/>
    </row>
    <row r="18" spans="1:36" ht="15.75" thickBot="1" x14ac:dyDescent="0.3">
      <c r="A18" s="273"/>
      <c r="B18" s="272">
        <v>36</v>
      </c>
      <c r="C18" s="272">
        <v>36</v>
      </c>
      <c r="D18" s="272">
        <v>34</v>
      </c>
      <c r="F18" s="274" t="s">
        <v>675</v>
      </c>
      <c r="G18" s="274"/>
      <c r="H18" s="274"/>
      <c r="I18" s="274"/>
      <c r="J18" s="274"/>
      <c r="N18" s="218">
        <f>SQRT($I$36*R15)</f>
        <v>2.74172154622548</v>
      </c>
      <c r="O18" s="218">
        <f>ABS(S15/N18)</f>
        <v>9.7262490800274187E-2</v>
      </c>
      <c r="P18" s="218">
        <f>$H$36</f>
        <v>36</v>
      </c>
      <c r="Q18" s="218">
        <f>TDIST(O18,P18,2)</f>
        <v>0.92305743569365706</v>
      </c>
      <c r="R18" s="219" t="str">
        <f>IF(Q18&lt;S10,"yes","no")</f>
        <v>no</v>
      </c>
      <c r="AD18" t="s">
        <v>294</v>
      </c>
    </row>
    <row r="19" spans="1:36" x14ac:dyDescent="0.25">
      <c r="A19" s="9"/>
      <c r="B19" s="168">
        <v>38</v>
      </c>
      <c r="C19" s="168">
        <v>34</v>
      </c>
      <c r="D19" s="168">
        <v>50</v>
      </c>
      <c r="F19" s="19" t="s">
        <v>22</v>
      </c>
      <c r="G19" s="19">
        <v>5</v>
      </c>
      <c r="H19" s="19">
        <v>5</v>
      </c>
      <c r="I19" s="19">
        <v>5</v>
      </c>
      <c r="J19" s="19">
        <v>15</v>
      </c>
      <c r="AD19" s="265" t="s">
        <v>682</v>
      </c>
      <c r="AE19" s="265" t="s">
        <v>219</v>
      </c>
      <c r="AF19" s="265" t="s">
        <v>60</v>
      </c>
      <c r="AG19" s="265" t="s">
        <v>240</v>
      </c>
      <c r="AH19" s="265" t="s">
        <v>135</v>
      </c>
      <c r="AI19" s="265" t="s">
        <v>119</v>
      </c>
      <c r="AJ19" s="265" t="s">
        <v>467</v>
      </c>
    </row>
    <row r="20" spans="1:36" x14ac:dyDescent="0.25">
      <c r="A20" s="273"/>
      <c r="F20" s="19" t="s">
        <v>21</v>
      </c>
      <c r="G20" s="19">
        <v>140</v>
      </c>
      <c r="H20" s="19">
        <v>130</v>
      </c>
      <c r="I20" s="19">
        <v>186</v>
      </c>
      <c r="J20" s="19">
        <v>456</v>
      </c>
      <c r="AD20" s="19" t="s">
        <v>676</v>
      </c>
      <c r="AE20" s="19">
        <v>1255.2444444444445</v>
      </c>
      <c r="AF20" s="19">
        <v>2</v>
      </c>
      <c r="AG20" s="19">
        <v>627.62222222222226</v>
      </c>
      <c r="AH20" s="19">
        <v>11.132439889633426</v>
      </c>
      <c r="AI20" s="19">
        <v>1.7223508725008565E-4</v>
      </c>
      <c r="AJ20" s="19">
        <v>3.2594463061441079</v>
      </c>
    </row>
    <row r="21" spans="1:36" ht="15.75" thickBot="1" x14ac:dyDescent="0.3">
      <c r="A21" s="273"/>
      <c r="F21" s="19" t="s">
        <v>465</v>
      </c>
      <c r="G21" s="19">
        <v>28</v>
      </c>
      <c r="H21" s="19">
        <v>26</v>
      </c>
      <c r="I21" s="19">
        <v>37.200000000000003</v>
      </c>
      <c r="J21" s="19">
        <v>30.4</v>
      </c>
      <c r="N21" t="s">
        <v>679</v>
      </c>
      <c r="R21" s="264" t="s">
        <v>34</v>
      </c>
      <c r="S21" s="264">
        <v>0.05</v>
      </c>
      <c r="AD21" s="19" t="s">
        <v>685</v>
      </c>
      <c r="AE21" s="19">
        <v>98.711111111110768</v>
      </c>
      <c r="AF21" s="19">
        <v>2</v>
      </c>
      <c r="AG21" s="19">
        <v>49.355555555555384</v>
      </c>
      <c r="AH21" s="19">
        <v>0.87544343713046613</v>
      </c>
      <c r="AI21" s="19">
        <v>0.4253595167957771</v>
      </c>
      <c r="AJ21" s="19">
        <v>3.2594463061441079</v>
      </c>
    </row>
    <row r="22" spans="1:36" ht="15.75" thickTop="1" x14ac:dyDescent="0.25">
      <c r="A22" s="273"/>
      <c r="F22" s="19" t="s">
        <v>80</v>
      </c>
      <c r="G22" s="19">
        <v>82</v>
      </c>
      <c r="H22" s="19">
        <v>82</v>
      </c>
      <c r="I22" s="19">
        <v>75.700000000000045</v>
      </c>
      <c r="J22" s="19">
        <v>93.971428571428604</v>
      </c>
      <c r="N22" s="32" t="s">
        <v>79</v>
      </c>
      <c r="O22" s="32" t="s">
        <v>43</v>
      </c>
      <c r="P22" s="32" t="s">
        <v>7</v>
      </c>
      <c r="Q22" s="32" t="s">
        <v>31</v>
      </c>
      <c r="R22" s="32" t="s">
        <v>508</v>
      </c>
      <c r="S22" s="32" t="s">
        <v>510</v>
      </c>
      <c r="AD22" s="19" t="s">
        <v>437</v>
      </c>
      <c r="AE22" s="19">
        <v>882.75555555555593</v>
      </c>
      <c r="AF22" s="19">
        <v>4</v>
      </c>
      <c r="AG22" s="19">
        <v>220.68888888888898</v>
      </c>
      <c r="AH22" s="19">
        <v>3.914465904611748</v>
      </c>
      <c r="AI22" s="19">
        <v>9.7039309182118168E-3</v>
      </c>
      <c r="AJ22" s="19">
        <v>2.6335320942137543</v>
      </c>
    </row>
    <row r="23" spans="1:36" x14ac:dyDescent="0.25">
      <c r="A23" s="273"/>
      <c r="F23" s="19"/>
      <c r="G23" s="19"/>
      <c r="H23" s="19"/>
      <c r="I23" s="19"/>
      <c r="J23" s="19"/>
      <c r="N23" s="7" t="s">
        <v>673</v>
      </c>
      <c r="P23">
        <f>J9</f>
        <v>17.533333333333335</v>
      </c>
      <c r="Q23">
        <f>J7</f>
        <v>15</v>
      </c>
      <c r="R23">
        <f>O23^2/Q23</f>
        <v>0</v>
      </c>
      <c r="S23">
        <f>O23*P23</f>
        <v>0</v>
      </c>
      <c r="AD23" s="19" t="s">
        <v>600</v>
      </c>
      <c r="AE23" s="19">
        <v>2029.6</v>
      </c>
      <c r="AF23" s="19">
        <v>36</v>
      </c>
      <c r="AG23" s="19">
        <v>56.377777777777773</v>
      </c>
      <c r="AH23" s="19"/>
      <c r="AI23" s="19"/>
      <c r="AJ23" s="19"/>
    </row>
    <row r="24" spans="1:36" ht="15.75" thickBot="1" x14ac:dyDescent="0.3">
      <c r="A24" s="273"/>
      <c r="F24" s="274" t="s">
        <v>1</v>
      </c>
      <c r="G24" s="274"/>
      <c r="H24" s="274"/>
      <c r="I24" s="274"/>
      <c r="J24" s="274"/>
      <c r="N24" s="7" t="s">
        <v>674</v>
      </c>
      <c r="O24">
        <v>-1</v>
      </c>
      <c r="P24">
        <f>J15</f>
        <v>25.133333333333333</v>
      </c>
      <c r="Q24">
        <f>J13</f>
        <v>15</v>
      </c>
      <c r="R24">
        <f>O24^2/Q24</f>
        <v>6.6666666666666666E-2</v>
      </c>
      <c r="S24">
        <f>O24*P24</f>
        <v>-25.133333333333333</v>
      </c>
      <c r="AD24" s="20" t="s">
        <v>1</v>
      </c>
      <c r="AE24" s="20">
        <v>4266.3111111111111</v>
      </c>
      <c r="AF24" s="20">
        <v>44</v>
      </c>
      <c r="AG24" s="20"/>
      <c r="AH24" s="20"/>
      <c r="AI24" s="20"/>
      <c r="AJ24" s="20"/>
    </row>
    <row r="25" spans="1:36" x14ac:dyDescent="0.25">
      <c r="A25" s="273"/>
      <c r="F25" s="19" t="s">
        <v>22</v>
      </c>
      <c r="G25" s="19">
        <v>15</v>
      </c>
      <c r="H25" s="19">
        <v>15</v>
      </c>
      <c r="I25" s="19">
        <v>15</v>
      </c>
      <c r="J25" s="19"/>
      <c r="N25" s="7" t="s">
        <v>675</v>
      </c>
      <c r="O25">
        <v>1</v>
      </c>
      <c r="P25">
        <f>J21</f>
        <v>30.4</v>
      </c>
      <c r="Q25">
        <f>J19</f>
        <v>15</v>
      </c>
      <c r="R25">
        <f>O25^2/Q25</f>
        <v>6.6666666666666666E-2</v>
      </c>
      <c r="S25">
        <f>O25*P25</f>
        <v>30.4</v>
      </c>
    </row>
    <row r="26" spans="1:36" x14ac:dyDescent="0.25">
      <c r="A26" s="273"/>
      <c r="F26" s="19" t="s">
        <v>21</v>
      </c>
      <c r="G26" s="19">
        <v>379</v>
      </c>
      <c r="H26" s="19">
        <v>334</v>
      </c>
      <c r="I26" s="19">
        <v>383</v>
      </c>
      <c r="J26" s="19"/>
      <c r="N26" s="170"/>
      <c r="O26" s="170"/>
      <c r="P26" s="170"/>
      <c r="Q26" s="170"/>
      <c r="R26" s="170">
        <f>SUM(R23:R25)</f>
        <v>0.13333333333333333</v>
      </c>
      <c r="S26" s="170">
        <f>SUM(S23:S25)</f>
        <v>5.2666666666666657</v>
      </c>
    </row>
    <row r="27" spans="1:36" ht="15.75" thickBot="1" x14ac:dyDescent="0.3">
      <c r="A27" s="273"/>
      <c r="F27" s="19" t="s">
        <v>465</v>
      </c>
      <c r="G27" s="19">
        <v>25.266666666666666</v>
      </c>
      <c r="H27" s="19">
        <v>22.266666666666666</v>
      </c>
      <c r="I27" s="19">
        <v>25.533333333333335</v>
      </c>
      <c r="J27" s="19"/>
      <c r="N27" t="s">
        <v>509</v>
      </c>
    </row>
    <row r="28" spans="1:36" ht="15.75" thickTop="1" x14ac:dyDescent="0.25">
      <c r="A28" s="273"/>
      <c r="F28" s="19" t="s">
        <v>80</v>
      </c>
      <c r="G28" s="19">
        <v>59.066666666666606</v>
      </c>
      <c r="H28" s="19">
        <v>56.06666666666667</v>
      </c>
      <c r="I28" s="19">
        <v>182.55238095238096</v>
      </c>
      <c r="J28" s="19"/>
      <c r="N28" s="32" t="s">
        <v>212</v>
      </c>
      <c r="O28" s="32" t="s">
        <v>95</v>
      </c>
      <c r="P28" s="32" t="s">
        <v>60</v>
      </c>
      <c r="Q28" s="32" t="s">
        <v>67</v>
      </c>
      <c r="R28" s="32" t="s">
        <v>527</v>
      </c>
    </row>
    <row r="29" spans="1:36" x14ac:dyDescent="0.25">
      <c r="A29" s="273"/>
      <c r="F29" s="19"/>
      <c r="G29" s="19"/>
      <c r="H29" s="19"/>
      <c r="I29" s="19"/>
      <c r="J29" s="19"/>
      <c r="N29" s="218">
        <f>SQRT($I$36*R26)</f>
        <v>2.74172154622548</v>
      </c>
      <c r="O29" s="218">
        <f>ABS(S26/N29)</f>
        <v>1.9209341933053961</v>
      </c>
      <c r="P29" s="218">
        <f>$H$36</f>
        <v>36</v>
      </c>
      <c r="Q29" s="218">
        <f>TDIST(O29,P29,2)</f>
        <v>6.2686911944520182E-2</v>
      </c>
      <c r="R29" s="219" t="str">
        <f>IF(Q29&lt;S21,"yes","no")</f>
        <v>no</v>
      </c>
      <c r="AD29" s="19"/>
      <c r="AE29" s="19"/>
      <c r="AF29" s="19"/>
      <c r="AG29" s="19"/>
      <c r="AH29" s="19"/>
    </row>
    <row r="30" spans="1:36" x14ac:dyDescent="0.25">
      <c r="A30" s="273"/>
    </row>
    <row r="31" spans="1:36" ht="15.75" thickBot="1" x14ac:dyDescent="0.3">
      <c r="A31" s="273"/>
      <c r="F31" t="s">
        <v>294</v>
      </c>
    </row>
    <row r="32" spans="1:36" ht="15.75" thickBot="1" x14ac:dyDescent="0.3">
      <c r="A32" s="273"/>
      <c r="F32" s="265" t="s">
        <v>466</v>
      </c>
      <c r="G32" s="265" t="s">
        <v>219</v>
      </c>
      <c r="H32" s="265" t="s">
        <v>60</v>
      </c>
      <c r="I32" s="265" t="s">
        <v>240</v>
      </c>
      <c r="J32" s="265" t="s">
        <v>135</v>
      </c>
      <c r="K32" s="265" t="s">
        <v>119</v>
      </c>
      <c r="L32" s="265" t="s">
        <v>467</v>
      </c>
      <c r="N32" t="s">
        <v>680</v>
      </c>
      <c r="R32" s="264" t="s">
        <v>34</v>
      </c>
      <c r="S32" s="264">
        <v>0.05</v>
      </c>
    </row>
    <row r="33" spans="1:19" ht="15.75" thickTop="1" x14ac:dyDescent="0.25">
      <c r="A33" s="273"/>
      <c r="F33" s="19" t="s">
        <v>105</v>
      </c>
      <c r="G33" s="19">
        <v>1255.2444444444445</v>
      </c>
      <c r="H33" s="19">
        <v>2</v>
      </c>
      <c r="I33" s="19">
        <v>627.62222222222226</v>
      </c>
      <c r="J33" s="19">
        <v>11.132439889633426</v>
      </c>
      <c r="K33" s="19">
        <v>1.7223508725008565E-4</v>
      </c>
      <c r="L33" s="19">
        <v>3.2594463061441079</v>
      </c>
      <c r="N33" s="32" t="s">
        <v>79</v>
      </c>
      <c r="O33" s="32" t="s">
        <v>43</v>
      </c>
      <c r="P33" s="32" t="s">
        <v>7</v>
      </c>
      <c r="Q33" s="32" t="s">
        <v>31</v>
      </c>
      <c r="R33" s="32" t="s">
        <v>508</v>
      </c>
      <c r="S33" s="32" t="s">
        <v>510</v>
      </c>
    </row>
    <row r="34" spans="1:19" x14ac:dyDescent="0.25">
      <c r="A34" s="273"/>
      <c r="F34" s="19" t="s">
        <v>589</v>
      </c>
      <c r="G34" s="19">
        <v>98.711111111110768</v>
      </c>
      <c r="H34" s="19">
        <v>2</v>
      </c>
      <c r="I34" s="19">
        <v>49.355555555555384</v>
      </c>
      <c r="J34" s="19">
        <v>0.87544343713046613</v>
      </c>
      <c r="K34" s="19">
        <v>0.4253595167957771</v>
      </c>
      <c r="L34" s="19">
        <v>3.2594463061441079</v>
      </c>
      <c r="N34" t="s">
        <v>670</v>
      </c>
      <c r="O34">
        <v>-1</v>
      </c>
      <c r="P34">
        <f>G21</f>
        <v>28</v>
      </c>
      <c r="Q34">
        <f>G19</f>
        <v>5</v>
      </c>
      <c r="R34">
        <f>O34^2/Q34</f>
        <v>0.2</v>
      </c>
      <c r="S34">
        <f>O34*P34</f>
        <v>-28</v>
      </c>
    </row>
    <row r="35" spans="1:19" x14ac:dyDescent="0.25">
      <c r="A35" s="273"/>
      <c r="F35" s="19" t="s">
        <v>437</v>
      </c>
      <c r="G35" s="19">
        <v>882.75555555555593</v>
      </c>
      <c r="H35" s="19">
        <v>4</v>
      </c>
      <c r="I35" s="19">
        <v>220.68888888888898</v>
      </c>
      <c r="J35" s="19">
        <v>3.914465904611748</v>
      </c>
      <c r="K35" s="19">
        <v>9.7039309182118168E-3</v>
      </c>
      <c r="L35" s="19">
        <v>2.6335320942137543</v>
      </c>
      <c r="N35" t="s">
        <v>672</v>
      </c>
      <c r="O35">
        <v>0</v>
      </c>
      <c r="P35">
        <f>H21</f>
        <v>26</v>
      </c>
      <c r="Q35">
        <f>H19</f>
        <v>5</v>
      </c>
      <c r="R35">
        <f>O35^2/Q35</f>
        <v>0</v>
      </c>
      <c r="S35">
        <f>O35*P35</f>
        <v>0</v>
      </c>
    </row>
    <row r="36" spans="1:19" x14ac:dyDescent="0.25">
      <c r="A36" s="273"/>
      <c r="F36" s="19" t="s">
        <v>600</v>
      </c>
      <c r="G36" s="19">
        <v>2029.6</v>
      </c>
      <c r="H36" s="19">
        <v>36</v>
      </c>
      <c r="I36" s="19">
        <v>56.377777777777773</v>
      </c>
      <c r="J36" s="19"/>
      <c r="K36" s="19"/>
      <c r="L36" s="19"/>
      <c r="N36" t="s">
        <v>671</v>
      </c>
      <c r="O36">
        <v>1</v>
      </c>
      <c r="P36">
        <f>I21</f>
        <v>37.200000000000003</v>
      </c>
      <c r="Q36">
        <f>I19</f>
        <v>5</v>
      </c>
      <c r="R36">
        <f>O36^2/Q36</f>
        <v>0.2</v>
      </c>
      <c r="S36">
        <f>O36*P36</f>
        <v>37.200000000000003</v>
      </c>
    </row>
    <row r="37" spans="1:19" x14ac:dyDescent="0.25">
      <c r="A37" s="273"/>
      <c r="F37" s="19"/>
      <c r="G37" s="19"/>
      <c r="H37" s="19"/>
      <c r="I37" s="19"/>
      <c r="J37" s="19"/>
      <c r="K37" s="19"/>
      <c r="L37" s="19"/>
      <c r="N37" s="170"/>
      <c r="O37" s="170"/>
      <c r="P37" s="170"/>
      <c r="Q37" s="170"/>
      <c r="R37" s="170">
        <f>SUM(R34:R36)</f>
        <v>0.4</v>
      </c>
      <c r="S37" s="170">
        <f>SUM(S34:S36)</f>
        <v>9.2000000000000028</v>
      </c>
    </row>
    <row r="38" spans="1:19" ht="15.75" thickBot="1" x14ac:dyDescent="0.3">
      <c r="F38" s="20" t="s">
        <v>1</v>
      </c>
      <c r="G38" s="20">
        <v>4266.3111111111111</v>
      </c>
      <c r="H38" s="20">
        <v>44</v>
      </c>
      <c r="I38" s="20"/>
      <c r="J38" s="20"/>
      <c r="K38" s="20"/>
      <c r="L38" s="20"/>
      <c r="N38" t="s">
        <v>509</v>
      </c>
    </row>
    <row r="39" spans="1:19" ht="15.75" thickTop="1" x14ac:dyDescent="0.25">
      <c r="N39" s="32" t="s">
        <v>212</v>
      </c>
      <c r="O39" s="32" t="s">
        <v>95</v>
      </c>
      <c r="P39" s="32" t="s">
        <v>60</v>
      </c>
      <c r="Q39" s="32" t="s">
        <v>67</v>
      </c>
      <c r="R39" s="32" t="s">
        <v>527</v>
      </c>
    </row>
    <row r="40" spans="1:19" x14ac:dyDescent="0.25">
      <c r="N40" s="218">
        <f>SQRT($I$36*R37)</f>
        <v>4.7488010182688338</v>
      </c>
      <c r="O40" s="218">
        <f>ABS(S37/N40)</f>
        <v>1.9373311209728987</v>
      </c>
      <c r="P40" s="218">
        <f>$H$36</f>
        <v>36</v>
      </c>
      <c r="Q40" s="218">
        <f>TDIST(O40,P40,2)</f>
        <v>6.0581630034107048E-2</v>
      </c>
      <c r="R40" s="219" t="str">
        <f>IF(Q40&lt;S32,"yes","no")</f>
        <v>no</v>
      </c>
    </row>
    <row r="42" spans="1:19" x14ac:dyDescent="0.25">
      <c r="B42" s="1294" t="s">
        <v>677</v>
      </c>
      <c r="C42" s="1295"/>
      <c r="D42" s="1296"/>
      <c r="F42" t="s">
        <v>683</v>
      </c>
    </row>
    <row r="43" spans="1:19" ht="15.75" thickBot="1" x14ac:dyDescent="0.3">
      <c r="A43" s="284" t="s">
        <v>676</v>
      </c>
      <c r="B43" s="302" t="s">
        <v>670</v>
      </c>
      <c r="C43" s="302" t="s">
        <v>672</v>
      </c>
      <c r="D43" s="302" t="s">
        <v>671</v>
      </c>
      <c r="N43" t="s">
        <v>681</v>
      </c>
      <c r="R43" s="264" t="s">
        <v>34</v>
      </c>
      <c r="S43" s="264">
        <v>0.05</v>
      </c>
    </row>
    <row r="44" spans="1:19" ht="16.5" thickTop="1" thickBot="1" x14ac:dyDescent="0.3">
      <c r="A44" s="289" t="s">
        <v>673</v>
      </c>
      <c r="B44" s="296">
        <v>15</v>
      </c>
      <c r="C44" s="296">
        <v>21</v>
      </c>
      <c r="D44" s="296">
        <v>11</v>
      </c>
      <c r="F44" t="s">
        <v>62</v>
      </c>
      <c r="N44" s="32" t="s">
        <v>79</v>
      </c>
      <c r="O44" s="32" t="s">
        <v>43</v>
      </c>
      <c r="P44" s="32" t="s">
        <v>7</v>
      </c>
      <c r="Q44" s="32" t="s">
        <v>31</v>
      </c>
      <c r="R44" s="32" t="s">
        <v>508</v>
      </c>
      <c r="S44" s="32" t="s">
        <v>510</v>
      </c>
    </row>
    <row r="45" spans="1:19" x14ac:dyDescent="0.25">
      <c r="A45" s="273"/>
      <c r="B45" s="272">
        <v>23</v>
      </c>
      <c r="C45" s="272">
        <v>11</v>
      </c>
      <c r="D45" s="272">
        <v>8</v>
      </c>
      <c r="F45" s="265" t="s">
        <v>79</v>
      </c>
      <c r="G45" s="265" t="s">
        <v>22</v>
      </c>
      <c r="H45" s="265" t="s">
        <v>21</v>
      </c>
      <c r="I45" s="265" t="s">
        <v>465</v>
      </c>
      <c r="J45" s="265" t="s">
        <v>80</v>
      </c>
      <c r="N45" s="7" t="s">
        <v>673</v>
      </c>
      <c r="O45">
        <v>-1</v>
      </c>
      <c r="P45">
        <f>I9</f>
        <v>10</v>
      </c>
      <c r="Q45">
        <f>I7</f>
        <v>5</v>
      </c>
      <c r="R45">
        <f>O45^2/Q45</f>
        <v>0.2</v>
      </c>
      <c r="S45">
        <f>O45*P45</f>
        <v>-10</v>
      </c>
    </row>
    <row r="46" spans="1:19" x14ac:dyDescent="0.25">
      <c r="A46" s="273"/>
      <c r="B46" s="272">
        <v>26</v>
      </c>
      <c r="C46" s="272">
        <v>28</v>
      </c>
      <c r="D46" s="272">
        <v>2</v>
      </c>
      <c r="F46" s="19" t="s">
        <v>670</v>
      </c>
      <c r="G46" s="19">
        <v>5</v>
      </c>
      <c r="H46" s="19">
        <v>114</v>
      </c>
      <c r="I46" s="19">
        <v>22.8</v>
      </c>
      <c r="J46" s="19">
        <v>38.200000000000045</v>
      </c>
      <c r="N46" s="7" t="s">
        <v>674</v>
      </c>
      <c r="O46">
        <v>0</v>
      </c>
      <c r="P46">
        <f>I15</f>
        <v>29.4</v>
      </c>
      <c r="Q46">
        <f>I13</f>
        <v>5</v>
      </c>
      <c r="R46">
        <f>O46^2/Q46</f>
        <v>0</v>
      </c>
      <c r="S46">
        <f>O46*P46</f>
        <v>0</v>
      </c>
    </row>
    <row r="47" spans="1:19" x14ac:dyDescent="0.25">
      <c r="A47" s="273"/>
      <c r="B47" s="272">
        <v>19</v>
      </c>
      <c r="C47" s="272">
        <v>16</v>
      </c>
      <c r="D47" s="272">
        <v>19</v>
      </c>
      <c r="F47" s="19" t="s">
        <v>672</v>
      </c>
      <c r="G47" s="19">
        <v>5</v>
      </c>
      <c r="H47" s="19">
        <v>99</v>
      </c>
      <c r="I47" s="19">
        <v>19.8</v>
      </c>
      <c r="J47" s="19">
        <v>42.699999999999989</v>
      </c>
      <c r="N47" s="7" t="s">
        <v>675</v>
      </c>
      <c r="O47">
        <v>1</v>
      </c>
      <c r="P47">
        <f>I21</f>
        <v>37.200000000000003</v>
      </c>
      <c r="Q47">
        <f>I19</f>
        <v>5</v>
      </c>
      <c r="R47">
        <f>O47^2/Q47</f>
        <v>0.2</v>
      </c>
      <c r="S47">
        <f>O47*P47</f>
        <v>37.200000000000003</v>
      </c>
    </row>
    <row r="48" spans="1:19" ht="15.75" thickBot="1" x14ac:dyDescent="0.3">
      <c r="A48" s="9"/>
      <c r="B48" s="168">
        <v>31</v>
      </c>
      <c r="C48" s="168">
        <v>23</v>
      </c>
      <c r="D48" s="168">
        <v>10</v>
      </c>
      <c r="F48" s="20" t="s">
        <v>671</v>
      </c>
      <c r="G48" s="20">
        <v>5</v>
      </c>
      <c r="H48" s="20">
        <v>50</v>
      </c>
      <c r="I48" s="20">
        <v>10</v>
      </c>
      <c r="J48" s="20">
        <v>37.5</v>
      </c>
      <c r="N48" s="170"/>
      <c r="O48" s="170"/>
      <c r="P48" s="170"/>
      <c r="Q48" s="170"/>
      <c r="R48" s="170">
        <f>SUM(R45:R47)</f>
        <v>0.4</v>
      </c>
      <c r="S48" s="170">
        <f>SUM(S45:S47)</f>
        <v>27.200000000000003</v>
      </c>
    </row>
    <row r="49" spans="2:18" ht="15.75" thickBot="1" x14ac:dyDescent="0.3">
      <c r="N49" t="s">
        <v>509</v>
      </c>
    </row>
    <row r="50" spans="2:18" ht="15.75" thickTop="1" x14ac:dyDescent="0.25">
      <c r="N50" s="32" t="s">
        <v>212</v>
      </c>
      <c r="O50" s="32" t="s">
        <v>95</v>
      </c>
      <c r="P50" s="32" t="s">
        <v>60</v>
      </c>
      <c r="Q50" s="32" t="s">
        <v>67</v>
      </c>
      <c r="R50" s="32" t="s">
        <v>527</v>
      </c>
    </row>
    <row r="51" spans="2:18" ht="15.75" thickBot="1" x14ac:dyDescent="0.3">
      <c r="F51" t="s">
        <v>294</v>
      </c>
      <c r="N51" s="218">
        <f>SQRT($I$36*R48)</f>
        <v>4.7488010182688338</v>
      </c>
      <c r="O51" s="218">
        <f>ABS(S48/N51)</f>
        <v>5.7277615750503079</v>
      </c>
      <c r="P51" s="218">
        <f>$H$36</f>
        <v>36</v>
      </c>
      <c r="Q51" s="218">
        <f>TDIST(O51,P51,2)</f>
        <v>1.6063932356798048E-6</v>
      </c>
      <c r="R51" s="219" t="str">
        <f>IF(Q51&lt;S43,"yes","no")</f>
        <v>yes</v>
      </c>
    </row>
    <row r="52" spans="2:18" x14ac:dyDescent="0.25">
      <c r="F52" s="265" t="s">
        <v>466</v>
      </c>
      <c r="G52" s="265" t="s">
        <v>219</v>
      </c>
      <c r="H52" s="265" t="s">
        <v>60</v>
      </c>
      <c r="I52" s="265" t="s">
        <v>240</v>
      </c>
      <c r="J52" s="265" t="s">
        <v>135</v>
      </c>
      <c r="K52" s="265" t="s">
        <v>119</v>
      </c>
      <c r="L52" s="265" t="s">
        <v>467</v>
      </c>
    </row>
    <row r="53" spans="2:18" x14ac:dyDescent="0.25">
      <c r="F53" s="19" t="s">
        <v>462</v>
      </c>
      <c r="G53" s="19">
        <v>448.13333333333333</v>
      </c>
      <c r="H53" s="19">
        <v>2</v>
      </c>
      <c r="I53" s="19">
        <v>224.06666666666666</v>
      </c>
      <c r="J53" s="19">
        <v>5.6773648648648649</v>
      </c>
      <c r="K53" s="19">
        <v>1.8400871874626679E-2</v>
      </c>
      <c r="L53" s="19">
        <v>3.8852938346523942</v>
      </c>
    </row>
    <row r="54" spans="2:18" x14ac:dyDescent="0.25">
      <c r="F54" s="19" t="s">
        <v>463</v>
      </c>
      <c r="G54" s="19">
        <v>473.6</v>
      </c>
      <c r="H54" s="19">
        <v>12</v>
      </c>
      <c r="I54" s="19">
        <v>39.466666666666669</v>
      </c>
      <c r="J54" s="19"/>
      <c r="K54" s="19"/>
      <c r="L54" s="19"/>
    </row>
    <row r="55" spans="2:18" x14ac:dyDescent="0.25">
      <c r="F55" s="19"/>
      <c r="G55" s="19"/>
      <c r="H55" s="19"/>
      <c r="I55" s="19"/>
      <c r="J55" s="19"/>
      <c r="K55" s="19"/>
      <c r="L55" s="19"/>
    </row>
    <row r="56" spans="2:18" ht="15.75" thickBot="1" x14ac:dyDescent="0.3">
      <c r="F56" s="20" t="s">
        <v>1</v>
      </c>
      <c r="G56" s="20">
        <v>921.73333333333335</v>
      </c>
      <c r="H56" s="20">
        <v>14</v>
      </c>
      <c r="I56" s="20"/>
      <c r="J56" s="20"/>
      <c r="K56" s="20"/>
      <c r="L56" s="20"/>
    </row>
    <row r="59" spans="2:18" x14ac:dyDescent="0.25">
      <c r="B59" s="13" t="s">
        <v>673</v>
      </c>
      <c r="C59" s="13" t="s">
        <v>674</v>
      </c>
      <c r="D59" s="13" t="s">
        <v>675</v>
      </c>
      <c r="F59" t="s">
        <v>684</v>
      </c>
    </row>
    <row r="60" spans="2:18" x14ac:dyDescent="0.25">
      <c r="B60" s="296">
        <v>15</v>
      </c>
      <c r="C60" s="296">
        <v>33</v>
      </c>
      <c r="D60" s="296">
        <v>28</v>
      </c>
    </row>
    <row r="61" spans="2:18" ht="15.75" thickBot="1" x14ac:dyDescent="0.3">
      <c r="B61" s="272">
        <v>23</v>
      </c>
      <c r="C61" s="272">
        <v>26</v>
      </c>
      <c r="D61" s="272">
        <v>20</v>
      </c>
      <c r="F61" t="s">
        <v>62</v>
      </c>
    </row>
    <row r="62" spans="2:18" x14ac:dyDescent="0.25">
      <c r="B62" s="272">
        <v>26</v>
      </c>
      <c r="C62" s="272">
        <v>15</v>
      </c>
      <c r="D62" s="272">
        <v>18</v>
      </c>
      <c r="F62" s="265" t="s">
        <v>79</v>
      </c>
      <c r="G62" s="265" t="s">
        <v>22</v>
      </c>
      <c r="H62" s="265" t="s">
        <v>21</v>
      </c>
      <c r="I62" s="265" t="s">
        <v>465</v>
      </c>
      <c r="J62" s="265" t="s">
        <v>80</v>
      </c>
    </row>
    <row r="63" spans="2:18" x14ac:dyDescent="0.25">
      <c r="B63" s="272">
        <v>19</v>
      </c>
      <c r="C63" s="272">
        <v>18</v>
      </c>
      <c r="D63" s="272">
        <v>36</v>
      </c>
      <c r="F63" s="19" t="s">
        <v>673</v>
      </c>
      <c r="G63" s="19">
        <v>15</v>
      </c>
      <c r="H63" s="19">
        <v>263</v>
      </c>
      <c r="I63" s="19">
        <v>17.533333333333335</v>
      </c>
      <c r="J63" s="19">
        <v>65.838095238095249</v>
      </c>
    </row>
    <row r="64" spans="2:18" x14ac:dyDescent="0.25">
      <c r="B64" s="272">
        <v>31</v>
      </c>
      <c r="C64" s="272">
        <v>33</v>
      </c>
      <c r="D64" s="272">
        <v>38</v>
      </c>
      <c r="F64" s="19" t="s">
        <v>674</v>
      </c>
      <c r="G64" s="19">
        <v>15</v>
      </c>
      <c r="H64" s="19">
        <v>377</v>
      </c>
      <c r="I64" s="19">
        <v>25.133333333333333</v>
      </c>
      <c r="J64" s="19">
        <v>55.266666666666687</v>
      </c>
    </row>
    <row r="65" spans="2:12" ht="15.75" thickBot="1" x14ac:dyDescent="0.3">
      <c r="B65" s="272">
        <v>21</v>
      </c>
      <c r="C65" s="272">
        <v>25</v>
      </c>
      <c r="D65" s="272">
        <v>16</v>
      </c>
      <c r="F65" s="20" t="s">
        <v>675</v>
      </c>
      <c r="G65" s="20">
        <v>15</v>
      </c>
      <c r="H65" s="20">
        <v>456</v>
      </c>
      <c r="I65" s="20">
        <v>30.4</v>
      </c>
      <c r="J65" s="20">
        <v>93.971428571428604</v>
      </c>
    </row>
    <row r="66" spans="2:12" x14ac:dyDescent="0.25">
      <c r="B66" s="272">
        <v>11</v>
      </c>
      <c r="C66" s="272">
        <v>29</v>
      </c>
      <c r="D66" s="272">
        <v>18</v>
      </c>
    </row>
    <row r="67" spans="2:12" x14ac:dyDescent="0.25">
      <c r="B67" s="272">
        <v>28</v>
      </c>
      <c r="C67" s="272">
        <v>17</v>
      </c>
      <c r="D67" s="272">
        <v>26</v>
      </c>
    </row>
    <row r="68" spans="2:12" ht="15.75" thickBot="1" x14ac:dyDescent="0.3">
      <c r="B68" s="272">
        <v>16</v>
      </c>
      <c r="C68" s="272">
        <v>22</v>
      </c>
      <c r="D68" s="272">
        <v>36</v>
      </c>
      <c r="F68" t="s">
        <v>294</v>
      </c>
    </row>
    <row r="69" spans="2:12" x14ac:dyDescent="0.25">
      <c r="B69" s="272">
        <v>23</v>
      </c>
      <c r="C69" s="272">
        <v>12</v>
      </c>
      <c r="D69" s="272">
        <v>34</v>
      </c>
      <c r="F69" s="265" t="s">
        <v>466</v>
      </c>
      <c r="G69" s="265" t="s">
        <v>219</v>
      </c>
      <c r="H69" s="265" t="s">
        <v>60</v>
      </c>
      <c r="I69" s="265" t="s">
        <v>240</v>
      </c>
      <c r="J69" s="265" t="s">
        <v>135</v>
      </c>
      <c r="K69" s="265" t="s">
        <v>119</v>
      </c>
      <c r="L69" s="265" t="s">
        <v>467</v>
      </c>
    </row>
    <row r="70" spans="2:12" x14ac:dyDescent="0.25">
      <c r="B70" s="272">
        <v>11</v>
      </c>
      <c r="C70" s="272">
        <v>30</v>
      </c>
      <c r="D70" s="272">
        <v>26</v>
      </c>
      <c r="F70" s="19" t="s">
        <v>462</v>
      </c>
      <c r="G70" s="19">
        <v>1255.2444444444436</v>
      </c>
      <c r="H70" s="19">
        <v>2</v>
      </c>
      <c r="I70" s="19">
        <v>627.62222222222181</v>
      </c>
      <c r="J70" s="19">
        <v>8.7544170393658884</v>
      </c>
      <c r="K70" s="19">
        <v>6.6378101581940265E-4</v>
      </c>
      <c r="L70" s="19">
        <v>3.2199422931761248</v>
      </c>
    </row>
    <row r="71" spans="2:12" x14ac:dyDescent="0.25">
      <c r="B71" s="272">
        <v>8</v>
      </c>
      <c r="C71" s="272">
        <v>29</v>
      </c>
      <c r="D71" s="272">
        <v>37</v>
      </c>
      <c r="F71" s="19" t="s">
        <v>463</v>
      </c>
      <c r="G71" s="19">
        <v>3011.0666666666666</v>
      </c>
      <c r="H71" s="19">
        <v>42</v>
      </c>
      <c r="I71" s="19">
        <v>71.692063492063497</v>
      </c>
      <c r="J71" s="19"/>
      <c r="K71" s="19"/>
      <c r="L71" s="19"/>
    </row>
    <row r="72" spans="2:12" x14ac:dyDescent="0.25">
      <c r="B72" s="272">
        <v>2</v>
      </c>
      <c r="C72" s="272">
        <v>39</v>
      </c>
      <c r="D72" s="272">
        <v>39</v>
      </c>
      <c r="F72" s="19"/>
      <c r="G72" s="19"/>
      <c r="H72" s="19"/>
      <c r="I72" s="19"/>
      <c r="J72" s="19"/>
      <c r="K72" s="19"/>
      <c r="L72" s="19"/>
    </row>
    <row r="73" spans="2:12" ht="15.75" thickBot="1" x14ac:dyDescent="0.3">
      <c r="B73" s="272">
        <v>19</v>
      </c>
      <c r="C73" s="272">
        <v>25</v>
      </c>
      <c r="D73" s="272">
        <v>34</v>
      </c>
      <c r="F73" s="20" t="s">
        <v>1</v>
      </c>
      <c r="G73" s="20">
        <v>4266.3111111111102</v>
      </c>
      <c r="H73" s="20">
        <v>44</v>
      </c>
      <c r="I73" s="20"/>
      <c r="J73" s="20"/>
      <c r="K73" s="20"/>
      <c r="L73" s="20"/>
    </row>
    <row r="74" spans="2:12" x14ac:dyDescent="0.25">
      <c r="B74" s="168">
        <v>10</v>
      </c>
      <c r="C74" s="168">
        <v>24</v>
      </c>
      <c r="D74" s="168">
        <v>50</v>
      </c>
    </row>
  </sheetData>
  <mergeCells count="2">
    <mergeCell ref="B3:D3"/>
    <mergeCell ref="B42:D42"/>
  </mergeCells>
  <pageMargins left="0.7" right="0.7" top="0.75" bottom="0.75" header="0.3" footer="0.3"/>
  <ignoredErrors>
    <ignoredError sqref="O4:Q6" formulaRange="1"/>
  </ignoredError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5"/>
  <dimension ref="A1:AP74"/>
  <sheetViews>
    <sheetView zoomScale="104" workbookViewId="0"/>
  </sheetViews>
  <sheetFormatPr defaultRowHeight="15" x14ac:dyDescent="0.25"/>
  <cols>
    <col min="1" max="1" width="7.85546875" customWidth="1"/>
    <col min="2" max="4" width="7.28515625" customWidth="1"/>
    <col min="32" max="32" width="9.140625" customWidth="1"/>
  </cols>
  <sheetData>
    <row r="1" spans="1:37" x14ac:dyDescent="0.25">
      <c r="A1" s="1" t="s">
        <v>669</v>
      </c>
    </row>
    <row r="2" spans="1:37" ht="15.75" thickBot="1" x14ac:dyDescent="0.3">
      <c r="F2" t="s">
        <v>27</v>
      </c>
      <c r="L2" t="s">
        <v>1670</v>
      </c>
      <c r="T2" t="s">
        <v>2461</v>
      </c>
      <c r="AB2" t="s">
        <v>2463</v>
      </c>
    </row>
    <row r="3" spans="1:37" ht="15.75" thickTop="1" x14ac:dyDescent="0.25">
      <c r="B3" s="1294" t="s">
        <v>677</v>
      </c>
      <c r="C3" s="1295"/>
      <c r="D3" s="1296"/>
      <c r="AB3" s="826" t="s">
        <v>79</v>
      </c>
      <c r="AC3" s="826" t="s">
        <v>43</v>
      </c>
      <c r="AD3" s="826" t="s">
        <v>7</v>
      </c>
      <c r="AE3" s="826" t="s">
        <v>31</v>
      </c>
    </row>
    <row r="4" spans="1:37" ht="15.75" thickBot="1" x14ac:dyDescent="0.3">
      <c r="A4" s="284" t="s">
        <v>676</v>
      </c>
      <c r="B4" s="302" t="s">
        <v>670</v>
      </c>
      <c r="C4" s="302" t="s">
        <v>672</v>
      </c>
      <c r="D4" s="302" t="s">
        <v>671</v>
      </c>
      <c r="F4" t="s">
        <v>1666</v>
      </c>
      <c r="G4" t="str">
        <f>IF(COUNTIF(G6:I8,G6)=COUNT(G6:I8),"balanced","unbalanced")</f>
        <v>balanced</v>
      </c>
      <c r="L4" t="s">
        <v>294</v>
      </c>
      <c r="P4" s="1119" t="s">
        <v>34</v>
      </c>
      <c r="Q4" s="1119">
        <v>0.05</v>
      </c>
      <c r="T4" t="s">
        <v>294</v>
      </c>
      <c r="X4" s="1120" t="s">
        <v>34</v>
      </c>
      <c r="Y4" s="1120">
        <v>0.05</v>
      </c>
      <c r="AB4" s="827" t="str">
        <f>F13</f>
        <v>Cold</v>
      </c>
      <c r="AC4" s="1121">
        <v>-1</v>
      </c>
      <c r="AD4" s="827">
        <f>J13</f>
        <v>17.533333333333335</v>
      </c>
      <c r="AE4" s="827">
        <f>J6</f>
        <v>15</v>
      </c>
    </row>
    <row r="5" spans="1:37" ht="15.75" thickTop="1" x14ac:dyDescent="0.25">
      <c r="A5" s="289" t="s">
        <v>673</v>
      </c>
      <c r="B5" s="296">
        <v>15</v>
      </c>
      <c r="C5" s="296">
        <v>21</v>
      </c>
      <c r="D5" s="296">
        <v>11</v>
      </c>
      <c r="G5" s="1119" t="str">
        <f>B4</f>
        <v>Arm</v>
      </c>
      <c r="H5" s="1119" t="str">
        <f>C4</f>
        <v>Neck</v>
      </c>
      <c r="I5" s="1119" t="str">
        <f>D4</f>
        <v>Foot</v>
      </c>
      <c r="L5" s="826"/>
      <c r="M5" s="826" t="s">
        <v>219</v>
      </c>
      <c r="N5" s="826" t="s">
        <v>60</v>
      </c>
      <c r="O5" s="826" t="s">
        <v>240</v>
      </c>
      <c r="P5" s="826" t="s">
        <v>135</v>
      </c>
      <c r="Q5" s="826" t="s">
        <v>67</v>
      </c>
      <c r="R5" s="826" t="s">
        <v>527</v>
      </c>
      <c r="T5" s="826"/>
      <c r="U5" s="826" t="s">
        <v>219</v>
      </c>
      <c r="V5" s="826" t="s">
        <v>60</v>
      </c>
      <c r="W5" s="826" t="s">
        <v>240</v>
      </c>
      <c r="X5" s="826" t="s">
        <v>135</v>
      </c>
      <c r="Y5" s="826" t="s">
        <v>67</v>
      </c>
      <c r="Z5" s="826" t="s">
        <v>527</v>
      </c>
      <c r="AB5" s="7" t="str">
        <f>F14</f>
        <v>Dry</v>
      </c>
      <c r="AC5" s="1099"/>
      <c r="AD5" s="7">
        <f>J14</f>
        <v>25.133333333333333</v>
      </c>
      <c r="AE5" s="7">
        <f>J7</f>
        <v>15</v>
      </c>
    </row>
    <row r="6" spans="1:37" x14ac:dyDescent="0.25">
      <c r="A6" s="273"/>
      <c r="B6" s="272">
        <v>23</v>
      </c>
      <c r="C6" s="272">
        <v>11</v>
      </c>
      <c r="D6" s="272">
        <v>8</v>
      </c>
      <c r="F6" t="str">
        <f>A5</f>
        <v>Cold</v>
      </c>
      <c r="G6" s="1117">
        <f>COUNT(B5:B9)</f>
        <v>5</v>
      </c>
      <c r="H6" s="1104">
        <f>COUNT(C5:C9)</f>
        <v>5</v>
      </c>
      <c r="I6" s="1118">
        <f>COUNT(D5:D9)</f>
        <v>5</v>
      </c>
      <c r="J6">
        <f>COUNT(B5:D9)</f>
        <v>15</v>
      </c>
      <c r="L6" t="s">
        <v>136</v>
      </c>
      <c r="M6">
        <f>DEVSQ(J13:J15)*J6</f>
        <v>1255.2444444444438</v>
      </c>
      <c r="N6">
        <f>COUNT(J13:J15)-1</f>
        <v>2</v>
      </c>
      <c r="O6">
        <f>M6/N6</f>
        <v>627.62222222222192</v>
      </c>
      <c r="P6">
        <f>O6/O9</f>
        <v>11.132439889633419</v>
      </c>
      <c r="Q6">
        <f>FDIST(P6,N6,N9)</f>
        <v>1.7223508725008627E-4</v>
      </c>
      <c r="R6" s="1119" t="str">
        <f>IF(Q6&lt;Q4,"yes","no")</f>
        <v>yes</v>
      </c>
      <c r="T6" t="str">
        <f>F13</f>
        <v>Cold</v>
      </c>
      <c r="U6">
        <f>SUMPRODUCT(G6:I6,(G13:I13-J13)^2)</f>
        <v>448.13333333333344</v>
      </c>
      <c r="V6">
        <f>COUNT(G6:I6)-1</f>
        <v>2</v>
      </c>
      <c r="W6">
        <f>U6/V6</f>
        <v>224.06666666666672</v>
      </c>
      <c r="X6">
        <f>W6/W$9</f>
        <v>3.9743791880173442</v>
      </c>
      <c r="Y6">
        <f>FDIST(X6,V6,V$9)</f>
        <v>2.7568049048006828E-2</v>
      </c>
      <c r="Z6" s="1120" t="str">
        <f>IF(Y6&lt;Y$4,"yes","no")</f>
        <v>yes</v>
      </c>
      <c r="AB6" s="762" t="str">
        <f>F15</f>
        <v>Humid</v>
      </c>
      <c r="AC6" s="1100">
        <v>1</v>
      </c>
      <c r="AD6" s="762">
        <f>J15</f>
        <v>30.4</v>
      </c>
      <c r="AE6" s="762">
        <f>J8</f>
        <v>15</v>
      </c>
    </row>
    <row r="7" spans="1:37" x14ac:dyDescent="0.25">
      <c r="A7" s="273"/>
      <c r="B7" s="272">
        <v>26</v>
      </c>
      <c r="C7" s="272">
        <v>28</v>
      </c>
      <c r="D7" s="272">
        <v>2</v>
      </c>
      <c r="F7" t="str">
        <f>A10</f>
        <v>Dry</v>
      </c>
      <c r="G7" s="501">
        <f>COUNT(B10:B14)</f>
        <v>5</v>
      </c>
      <c r="H7" s="7">
        <f>COUNT(C10:C14)</f>
        <v>5</v>
      </c>
      <c r="I7" s="57">
        <f>COUNT(D10:D14)</f>
        <v>5</v>
      </c>
      <c r="J7">
        <f>COUNT(B10:D14)</f>
        <v>15</v>
      </c>
      <c r="L7" t="s">
        <v>589</v>
      </c>
      <c r="M7">
        <f>DEVSQ(G16:I16)*G9</f>
        <v>98.711111111111208</v>
      </c>
      <c r="N7">
        <f>COUNT(G16:I16)-1</f>
        <v>2</v>
      </c>
      <c r="O7">
        <f>M7/N7</f>
        <v>49.355555555555604</v>
      </c>
      <c r="P7">
        <f>O7/O9</f>
        <v>0.8754434371304699</v>
      </c>
      <c r="Q7">
        <f>FDIST(P7,N7,N9)</f>
        <v>0.42535951679577555</v>
      </c>
      <c r="R7" s="1119" t="str">
        <f>IF(Q7&lt;Q4,"yes","no")</f>
        <v>no</v>
      </c>
      <c r="T7" t="str">
        <f>F14</f>
        <v>Dry</v>
      </c>
      <c r="U7">
        <f>SUMPRODUCT(G7:I7,(G14:I14-J14)^2)</f>
        <v>176.53333333333327</v>
      </c>
      <c r="V7">
        <f>COUNT(G7:I7)-1</f>
        <v>2</v>
      </c>
      <c r="W7">
        <f>U7/V7</f>
        <v>88.266666666666637</v>
      </c>
      <c r="X7">
        <f>W7/W$9</f>
        <v>1.5656286953094201</v>
      </c>
      <c r="Y7">
        <f>FDIST(X7,V7,V$9)</f>
        <v>0.22285201078001493</v>
      </c>
      <c r="Z7" s="1120" t="str">
        <f>IF(Y7&lt;Y$4,"yes","no")</f>
        <v>no</v>
      </c>
      <c r="AC7">
        <f>SUM(AC4:AC6)</f>
        <v>0</v>
      </c>
      <c r="AD7">
        <f>SUMPRODUCT(AC4:AC6,AD4:AD6)</f>
        <v>12.866666666666664</v>
      </c>
      <c r="AE7">
        <f>1/SUMPRODUCT(AC4:AC6^2,1/AE4:AE6)</f>
        <v>7.5</v>
      </c>
    </row>
    <row r="8" spans="1:37" ht="15.75" thickBot="1" x14ac:dyDescent="0.3">
      <c r="A8" s="273"/>
      <c r="B8" s="272">
        <v>19</v>
      </c>
      <c r="C8" s="272">
        <v>16</v>
      </c>
      <c r="D8" s="272">
        <v>19</v>
      </c>
      <c r="F8" t="str">
        <f>A15</f>
        <v>Humid</v>
      </c>
      <c r="G8" s="759">
        <f>COUNT(B15:B19)</f>
        <v>5</v>
      </c>
      <c r="H8" s="760">
        <f>COUNT(C15:C19)</f>
        <v>5</v>
      </c>
      <c r="I8" s="761">
        <f>COUNT(D15:D19)</f>
        <v>5</v>
      </c>
      <c r="J8">
        <f>COUNT(B15:D19)</f>
        <v>15</v>
      </c>
      <c r="L8" t="s">
        <v>1319</v>
      </c>
      <c r="M8">
        <f>M10-M6-M7-M9</f>
        <v>882.75555555555525</v>
      </c>
      <c r="N8">
        <f>N7*N6</f>
        <v>4</v>
      </c>
      <c r="O8">
        <f>M8/N8</f>
        <v>220.68888888888881</v>
      </c>
      <c r="P8">
        <f>O8/O9</f>
        <v>3.9144659046117445</v>
      </c>
      <c r="Q8">
        <f>FDIST(P8,N8,N9)</f>
        <v>9.7039309182118672E-3</v>
      </c>
      <c r="R8" s="1119" t="str">
        <f>IF(Q8&lt;Q4,"yes","no")</f>
        <v>yes</v>
      </c>
      <c r="T8" t="str">
        <f>F15</f>
        <v>Humid</v>
      </c>
      <c r="U8">
        <f>SUMPRODUCT(G8:I8,(G15:I15-J15)^2)</f>
        <v>356.80000000000018</v>
      </c>
      <c r="V8">
        <f>COUNT(G8:I8)-1</f>
        <v>2</v>
      </c>
      <c r="W8">
        <f>U8/V8</f>
        <v>178.40000000000009</v>
      </c>
      <c r="X8">
        <f>W8/W$9</f>
        <v>3.1643673630271989</v>
      </c>
      <c r="Y8">
        <f>FDIST(X8,V8,V$9)</f>
        <v>5.4201318271582435E-2</v>
      </c>
      <c r="Z8" s="1120" t="str">
        <f>IF(Y8&lt;Y$4,"yes","no")</f>
        <v>no</v>
      </c>
      <c r="AB8" t="s">
        <v>65</v>
      </c>
      <c r="AG8" t="s">
        <v>34</v>
      </c>
      <c r="AH8">
        <v>0.05</v>
      </c>
    </row>
    <row r="9" spans="1:37" ht="15.75" thickTop="1" x14ac:dyDescent="0.25">
      <c r="A9" s="273"/>
      <c r="B9" s="272">
        <v>31</v>
      </c>
      <c r="C9" s="272">
        <v>23</v>
      </c>
      <c r="D9" s="168">
        <v>10</v>
      </c>
      <c r="G9">
        <f>COUNT(B5:B19)</f>
        <v>15</v>
      </c>
      <c r="H9">
        <f>COUNT(C5:C19)</f>
        <v>15</v>
      </c>
      <c r="I9">
        <f>COUNT(D5:D19)</f>
        <v>15</v>
      </c>
      <c r="J9">
        <f>COUNT(B5:D19)</f>
        <v>45</v>
      </c>
      <c r="L9" t="s">
        <v>600</v>
      </c>
      <c r="M9">
        <f>SUM(G20:I22)*(G6-1)</f>
        <v>2029.6000000000001</v>
      </c>
      <c r="N9">
        <f>N10-N6-N7-N8</f>
        <v>36</v>
      </c>
      <c r="O9">
        <f>M9/N9</f>
        <v>56.37777777777778</v>
      </c>
      <c r="T9" s="762" t="s">
        <v>588</v>
      </c>
      <c r="U9" s="762">
        <f>SUMPRODUCT(G20:I22,(G6:I8-1))</f>
        <v>2029.6000000000001</v>
      </c>
      <c r="V9" s="762">
        <f>SUM(G6:I8)-COUNT(G6:I6)*COUNT(G6:G8)</f>
        <v>36</v>
      </c>
      <c r="W9" s="762">
        <f>U9/V9</f>
        <v>56.37777777777778</v>
      </c>
      <c r="X9" s="762"/>
      <c r="Y9" s="762"/>
      <c r="Z9" s="762"/>
      <c r="AB9" s="826" t="s">
        <v>1000</v>
      </c>
      <c r="AC9" s="826" t="s">
        <v>95</v>
      </c>
      <c r="AD9" s="826" t="s">
        <v>60</v>
      </c>
      <c r="AE9" s="826" t="s">
        <v>67</v>
      </c>
      <c r="AF9" s="826" t="s">
        <v>68</v>
      </c>
      <c r="AG9" s="826" t="s">
        <v>29</v>
      </c>
      <c r="AH9" s="826" t="s">
        <v>30</v>
      </c>
      <c r="AI9" s="826" t="s">
        <v>527</v>
      </c>
      <c r="AJ9" s="826" t="s">
        <v>64</v>
      </c>
      <c r="AK9" s="826" t="s">
        <v>1009</v>
      </c>
    </row>
    <row r="10" spans="1:37" x14ac:dyDescent="0.25">
      <c r="A10" s="289" t="s">
        <v>674</v>
      </c>
      <c r="B10" s="296">
        <v>33</v>
      </c>
      <c r="C10" s="296">
        <v>25</v>
      </c>
      <c r="D10" s="296">
        <v>30</v>
      </c>
      <c r="L10" s="762" t="s">
        <v>1</v>
      </c>
      <c r="M10" s="762">
        <f>O10*N10</f>
        <v>4266.3111111111102</v>
      </c>
      <c r="N10" s="762">
        <f>J9-1</f>
        <v>44</v>
      </c>
      <c r="O10" s="762">
        <f>J23</f>
        <v>96.961616161616135</v>
      </c>
      <c r="P10" s="762"/>
      <c r="Q10" s="762"/>
      <c r="R10" s="762"/>
      <c r="AB10" s="1097">
        <f>SQRT(SUMPRODUCT(G20:I22*(G6:I8-1))/(AE7*AD10))</f>
        <v>2.74172154622548</v>
      </c>
      <c r="AC10" s="1097">
        <f>AD7/AB10</f>
        <v>4.6929151811131824</v>
      </c>
      <c r="AD10" s="1097">
        <f>SUM(G6:I8)-COUNT(G6:I8)</f>
        <v>36</v>
      </c>
      <c r="AE10" s="1097">
        <f>TDIST(ABS(AC10),AD10,2)</f>
        <v>3.8250150461591423E-5</v>
      </c>
      <c r="AF10" s="1097">
        <f>TINV(AH8,AD10)</f>
        <v>2.028094000980452</v>
      </c>
      <c r="AG10" s="1097">
        <f>AD7-AB10*AF10</f>
        <v>7.3061976464079184</v>
      </c>
      <c r="AH10" s="1097">
        <f>AD7+AB10*AF10</f>
        <v>18.427135686925411</v>
      </c>
      <c r="AI10" s="1098" t="str">
        <f>IF(AE10&lt;AH8,"yes","no")</f>
        <v>yes</v>
      </c>
      <c r="AJ10" s="1097">
        <f>ABS(AD7)/(AB10*SQRT(AE7))</f>
        <v>1.7136103367694215</v>
      </c>
      <c r="AK10" s="1097">
        <f>SQRT(AC10^2/(AC10^2+AD10))</f>
        <v>0.61608540449644889</v>
      </c>
    </row>
    <row r="11" spans="1:37" x14ac:dyDescent="0.25">
      <c r="A11" s="273"/>
      <c r="B11" s="272">
        <v>26</v>
      </c>
      <c r="C11" s="272">
        <v>29</v>
      </c>
      <c r="D11" s="272">
        <v>29</v>
      </c>
      <c r="F11" t="s">
        <v>610</v>
      </c>
      <c r="T11" t="s">
        <v>2462</v>
      </c>
    </row>
    <row r="12" spans="1:37" x14ac:dyDescent="0.25">
      <c r="A12" s="273"/>
      <c r="B12" s="272">
        <v>15</v>
      </c>
      <c r="C12" s="272">
        <v>17</v>
      </c>
      <c r="D12" s="272">
        <v>39</v>
      </c>
      <c r="G12" s="1119" t="str">
        <f>B4</f>
        <v>Arm</v>
      </c>
      <c r="H12" s="1119" t="str">
        <f>C4</f>
        <v>Neck</v>
      </c>
      <c r="I12" s="1119" t="str">
        <f>D4</f>
        <v>Foot</v>
      </c>
    </row>
    <row r="13" spans="1:37" ht="15.75" thickBot="1" x14ac:dyDescent="0.3">
      <c r="A13" s="273"/>
      <c r="B13" s="272">
        <v>18</v>
      </c>
      <c r="C13" s="272">
        <v>22</v>
      </c>
      <c r="D13" s="272">
        <v>25</v>
      </c>
      <c r="F13" t="str">
        <f>A5</f>
        <v>Cold</v>
      </c>
      <c r="G13" s="1117">
        <f>AVERAGE(B5:B9)</f>
        <v>22.8</v>
      </c>
      <c r="H13" s="1104">
        <f>AVERAGE(C5:C9)</f>
        <v>19.8</v>
      </c>
      <c r="I13" s="1118">
        <f>AVERAGE(D5:D9)</f>
        <v>10</v>
      </c>
      <c r="J13">
        <f>AVERAGE(B5:D9)</f>
        <v>17.533333333333335</v>
      </c>
      <c r="T13" t="s">
        <v>294</v>
      </c>
      <c r="X13" s="1120" t="s">
        <v>34</v>
      </c>
      <c r="Y13" s="1120">
        <v>0.05</v>
      </c>
      <c r="AB13" t="s">
        <v>2464</v>
      </c>
    </row>
    <row r="14" spans="1:37" ht="15.75" thickTop="1" x14ac:dyDescent="0.25">
      <c r="A14" s="273"/>
      <c r="B14" s="272">
        <v>33</v>
      </c>
      <c r="C14" s="272">
        <v>12</v>
      </c>
      <c r="D14" s="168">
        <v>24</v>
      </c>
      <c r="F14" t="str">
        <f>A10</f>
        <v>Dry</v>
      </c>
      <c r="G14" s="501">
        <f>AVERAGE(B10:B14)</f>
        <v>25</v>
      </c>
      <c r="H14" s="7">
        <f>AVERAGE(C10:C14)</f>
        <v>21</v>
      </c>
      <c r="I14" s="57">
        <f>AVERAGE(D10:D14)</f>
        <v>29.4</v>
      </c>
      <c r="J14">
        <f>AVERAGE(B10:D14)</f>
        <v>25.133333333333333</v>
      </c>
      <c r="T14" s="826"/>
      <c r="U14" s="826" t="s">
        <v>219</v>
      </c>
      <c r="V14" s="826" t="s">
        <v>60</v>
      </c>
      <c r="W14" s="826" t="s">
        <v>240</v>
      </c>
      <c r="X14" s="826" t="s">
        <v>135</v>
      </c>
      <c r="Y14" s="826" t="s">
        <v>67</v>
      </c>
      <c r="Z14" s="826" t="s">
        <v>527</v>
      </c>
      <c r="AB14" s="826" t="s">
        <v>79</v>
      </c>
      <c r="AC14" s="826" t="s">
        <v>43</v>
      </c>
      <c r="AD14" s="826" t="s">
        <v>7</v>
      </c>
      <c r="AE14" s="826" t="s">
        <v>31</v>
      </c>
    </row>
    <row r="15" spans="1:37" x14ac:dyDescent="0.25">
      <c r="A15" s="289" t="s">
        <v>675</v>
      </c>
      <c r="B15" s="296">
        <v>28</v>
      </c>
      <c r="C15" s="296">
        <v>16</v>
      </c>
      <c r="D15" s="296">
        <v>26</v>
      </c>
      <c r="F15" t="str">
        <f>A15</f>
        <v>Humid</v>
      </c>
      <c r="G15" s="759">
        <f>AVERAGE(B15:B19)</f>
        <v>28</v>
      </c>
      <c r="H15" s="760">
        <f>AVERAGE(C15:C19)</f>
        <v>26</v>
      </c>
      <c r="I15" s="761">
        <f>AVERAGE(D15:D19)</f>
        <v>37.200000000000003</v>
      </c>
      <c r="J15">
        <f>AVERAGE(B15:D19)</f>
        <v>30.4</v>
      </c>
      <c r="T15" t="str">
        <f>G12</f>
        <v>Arm</v>
      </c>
      <c r="U15">
        <f>SUMPRODUCT(G6:G8,(G13:G15-G$16)^2)</f>
        <v>68.133333333333326</v>
      </c>
      <c r="V15">
        <f>COUNT(G6:G8)-1</f>
        <v>2</v>
      </c>
      <c r="W15">
        <f>U15/V15</f>
        <v>34.066666666666663</v>
      </c>
      <c r="X15">
        <f>W15/W$18</f>
        <v>0.60425699645250286</v>
      </c>
      <c r="Y15">
        <f>FDIST(X15,V15,V$18)</f>
        <v>0.55192891761387552</v>
      </c>
      <c r="Z15" s="1120" t="str">
        <f>IF(Y15&lt;Y$13,"yes","no")</f>
        <v>no</v>
      </c>
      <c r="AB15" s="827" t="str">
        <f t="array" ref="AB15:AB17">TRANSPOSE(G12:I12)</f>
        <v>Arm</v>
      </c>
      <c r="AC15" s="1121">
        <v>-1</v>
      </c>
      <c r="AD15" s="827">
        <f t="array" ref="AD15:AD17">TRANSPOSE(G16:I16)</f>
        <v>25.266666666666666</v>
      </c>
      <c r="AE15" s="827">
        <f t="array" ref="AE15:AE17">TRANSPOSE(G9:I9)</f>
        <v>15</v>
      </c>
    </row>
    <row r="16" spans="1:37" x14ac:dyDescent="0.25">
      <c r="A16" s="273"/>
      <c r="B16" s="272">
        <v>20</v>
      </c>
      <c r="C16" s="272">
        <v>18</v>
      </c>
      <c r="D16" s="272">
        <v>37</v>
      </c>
      <c r="G16">
        <f>AVERAGE(B5:B19)</f>
        <v>25.266666666666666</v>
      </c>
      <c r="H16">
        <f>AVERAGE(C5:C19)</f>
        <v>22.266666666666666</v>
      </c>
      <c r="I16">
        <f>AVERAGE(D5:D19)</f>
        <v>25.533333333333335</v>
      </c>
      <c r="J16">
        <f>AVERAGE(B5:D19)</f>
        <v>24.355555555555554</v>
      </c>
      <c r="T16" t="str">
        <f>H12</f>
        <v>Neck</v>
      </c>
      <c r="U16">
        <f>SUMPRODUCT(H6:H8,(H13:H15-H$16)^2)</f>
        <v>108.13333333333333</v>
      </c>
      <c r="V16">
        <f>COUNT(H6:H8)-1</f>
        <v>2</v>
      </c>
      <c r="W16">
        <f>U16/V16</f>
        <v>54.066666666666663</v>
      </c>
      <c r="X16">
        <f>W16/W$18</f>
        <v>0.95900670082774919</v>
      </c>
      <c r="Y16">
        <f>FDIST(X16,V16,V$18)</f>
        <v>0.39284809423164069</v>
      </c>
      <c r="Z16" s="1120" t="str">
        <f>IF(Y16&lt;Y$13,"yes","no")</f>
        <v>no</v>
      </c>
      <c r="AB16" s="7" t="str">
        <v>Neck</v>
      </c>
      <c r="AC16" s="1099"/>
      <c r="AD16" s="7">
        <v>22.266666666666666</v>
      </c>
      <c r="AE16" s="7">
        <v>15</v>
      </c>
    </row>
    <row r="17" spans="1:42" x14ac:dyDescent="0.25">
      <c r="A17" s="273"/>
      <c r="B17" s="272">
        <v>18</v>
      </c>
      <c r="C17" s="272">
        <v>26</v>
      </c>
      <c r="D17" s="272">
        <v>39</v>
      </c>
      <c r="T17" t="str">
        <f>I12</f>
        <v>Foot</v>
      </c>
      <c r="U17">
        <f>SUMPRODUCT(I6:I8,(I13:I15-I$16)^2)</f>
        <v>1961.7333333333336</v>
      </c>
      <c r="V17">
        <f>COUNT(I6:I8)-1</f>
        <v>2</v>
      </c>
      <c r="W17">
        <f>U17/V17</f>
        <v>980.86666666666679</v>
      </c>
      <c r="X17">
        <f>W17/W$18</f>
        <v>17.398108001576666</v>
      </c>
      <c r="Y17">
        <f>FDIST(X17,V17,V$18)</f>
        <v>5.1673061387371191E-6</v>
      </c>
      <c r="Z17" s="1120" t="str">
        <f>IF(Y17&lt;Y$13,"yes","no")</f>
        <v>yes</v>
      </c>
      <c r="AB17" s="762" t="str">
        <v>Foot</v>
      </c>
      <c r="AC17" s="1100">
        <v>1</v>
      </c>
      <c r="AD17" s="762">
        <v>25.533333333333335</v>
      </c>
      <c r="AE17" s="762">
        <v>15</v>
      </c>
    </row>
    <row r="18" spans="1:42" x14ac:dyDescent="0.25">
      <c r="A18" s="273"/>
      <c r="B18" s="272">
        <v>36</v>
      </c>
      <c r="C18" s="272">
        <v>36</v>
      </c>
      <c r="D18" s="272">
        <v>34</v>
      </c>
      <c r="F18" t="s">
        <v>1667</v>
      </c>
      <c r="T18" s="762" t="s">
        <v>588</v>
      </c>
      <c r="U18" s="762">
        <f>SUMPRODUCT(G20:I22,(G6:I8-1))</f>
        <v>2029.6000000000001</v>
      </c>
      <c r="V18" s="762">
        <f>SUM(G6:I8)-COUNT(G6:I6)*COUNT(G6:G8)</f>
        <v>36</v>
      </c>
      <c r="W18" s="762">
        <f>U18/V18</f>
        <v>56.37777777777778</v>
      </c>
      <c r="X18" s="762"/>
      <c r="Y18" s="762"/>
      <c r="Z18" s="762"/>
      <c r="AC18">
        <f>SUM(AC15:AC17)</f>
        <v>0</v>
      </c>
      <c r="AD18">
        <f>SUMPRODUCT(AC15:AC17,AD15:AD17)</f>
        <v>0.26666666666666927</v>
      </c>
      <c r="AE18">
        <f>1/SUMPRODUCT(AC15:AC17^2,1/AE15:AE17)</f>
        <v>7.5</v>
      </c>
    </row>
    <row r="19" spans="1:42" ht="15.75" thickBot="1" x14ac:dyDescent="0.3">
      <c r="A19" s="9"/>
      <c r="B19" s="168">
        <v>38</v>
      </c>
      <c r="C19" s="168">
        <v>34</v>
      </c>
      <c r="D19" s="168">
        <v>50</v>
      </c>
      <c r="G19" s="1119" t="str">
        <f>B4</f>
        <v>Arm</v>
      </c>
      <c r="H19" s="1119" t="str">
        <f>C4</f>
        <v>Neck</v>
      </c>
      <c r="I19" s="1119" t="str">
        <f>D4</f>
        <v>Foot</v>
      </c>
      <c r="AB19" t="s">
        <v>65</v>
      </c>
      <c r="AG19" t="s">
        <v>34</v>
      </c>
      <c r="AH19">
        <v>0.05</v>
      </c>
    </row>
    <row r="20" spans="1:42" ht="15.75" thickTop="1" x14ac:dyDescent="0.25">
      <c r="A20" s="273"/>
      <c r="F20" t="str">
        <f>A5</f>
        <v>Cold</v>
      </c>
      <c r="G20" s="1117">
        <f>VAR(B5:B9)</f>
        <v>38.200000000000045</v>
      </c>
      <c r="H20" s="1104">
        <f>VAR(C5:C9)</f>
        <v>42.699999999999989</v>
      </c>
      <c r="I20" s="1118">
        <f>VAR(D5:D9)</f>
        <v>37.5</v>
      </c>
      <c r="J20">
        <f>VAR(B5:D9)</f>
        <v>65.838095238095249</v>
      </c>
      <c r="AB20" s="826" t="s">
        <v>1000</v>
      </c>
      <c r="AC20" s="826" t="s">
        <v>95</v>
      </c>
      <c r="AD20" s="826" t="s">
        <v>60</v>
      </c>
      <c r="AE20" s="826" t="s">
        <v>67</v>
      </c>
      <c r="AF20" s="826" t="s">
        <v>68</v>
      </c>
      <c r="AG20" s="826" t="s">
        <v>29</v>
      </c>
      <c r="AH20" s="826" t="s">
        <v>30</v>
      </c>
      <c r="AI20" s="826" t="s">
        <v>527</v>
      </c>
      <c r="AJ20" s="826" t="s">
        <v>64</v>
      </c>
      <c r="AK20" s="826" t="s">
        <v>1009</v>
      </c>
    </row>
    <row r="21" spans="1:42" x14ac:dyDescent="0.25">
      <c r="A21" s="273"/>
      <c r="F21" t="str">
        <f>A10</f>
        <v>Dry</v>
      </c>
      <c r="G21" s="501">
        <f>VAR(B10:B14)</f>
        <v>69.5</v>
      </c>
      <c r="H21" s="7">
        <f>VAR(C10:C14)</f>
        <v>44.5</v>
      </c>
      <c r="I21" s="57">
        <f>VAR(D10:D14)</f>
        <v>35.299999999999955</v>
      </c>
      <c r="J21">
        <f>VAR(B10:D14)</f>
        <v>55.266666666666687</v>
      </c>
      <c r="AB21" s="1097">
        <f>SQRT(SUMPRODUCT(G20:I22*(G6:I8-1))/(AE18*AD21))</f>
        <v>2.74172154622548</v>
      </c>
      <c r="AC21" s="1097">
        <f>AD18/AB21</f>
        <v>9.7262490800274187E-2</v>
      </c>
      <c r="AD21" s="1097">
        <f>SUM(G6:I8)-COUNT(G6:I8)</f>
        <v>36</v>
      </c>
      <c r="AE21" s="1097">
        <f>TDIST(ABS(AC21),AD21,2)</f>
        <v>0.92305743569365706</v>
      </c>
      <c r="AF21" s="1097">
        <f>TINV(AH19,AD21)</f>
        <v>2.028094000980452</v>
      </c>
      <c r="AG21" s="1097">
        <f>AD18-AB21*AF21</f>
        <v>-5.293802353592076</v>
      </c>
      <c r="AH21" s="1097">
        <f>AD18+AB21*AF21</f>
        <v>5.8271356869254145</v>
      </c>
      <c r="AI21" s="1098" t="str">
        <f>IF(AE21&lt;AH19,"yes","no")</f>
        <v>no</v>
      </c>
      <c r="AJ21" s="1097">
        <f>ABS(AD18)/(AB21*SQRT(AE18))</f>
        <v>3.5515240140299248E-2</v>
      </c>
      <c r="AK21" s="1097">
        <f>SQRT(AC21^2/(AC21^2+AD21))</f>
        <v>1.620828568639009E-2</v>
      </c>
    </row>
    <row r="22" spans="1:42" x14ac:dyDescent="0.25">
      <c r="A22" s="273"/>
      <c r="F22" t="str">
        <f>A15</f>
        <v>Humid</v>
      </c>
      <c r="G22" s="759">
        <f>VAR(B15:B19)</f>
        <v>82</v>
      </c>
      <c r="H22" s="760">
        <f>VAR(C15:C19)</f>
        <v>82</v>
      </c>
      <c r="I22" s="761">
        <f>VAR(D15:D19)</f>
        <v>75.700000000000045</v>
      </c>
      <c r="J22">
        <f>VAR(B15:D19)</f>
        <v>93.971428571428604</v>
      </c>
    </row>
    <row r="23" spans="1:42" x14ac:dyDescent="0.25">
      <c r="A23" s="273"/>
      <c r="G23">
        <f>VAR(B5:B19)</f>
        <v>59.066666666666606</v>
      </c>
      <c r="H23">
        <f>VAR(C5:C19)</f>
        <v>56.06666666666667</v>
      </c>
      <c r="I23">
        <f>VAR(D5:D19)</f>
        <v>182.55238095238096</v>
      </c>
      <c r="J23">
        <f>VAR(B5:D19)</f>
        <v>96.961616161616135</v>
      </c>
    </row>
    <row r="24" spans="1:42" ht="15.75" thickBot="1" x14ac:dyDescent="0.3">
      <c r="A24" s="273"/>
      <c r="AB24" t="s">
        <v>511</v>
      </c>
      <c r="AG24" t="s">
        <v>2465</v>
      </c>
    </row>
    <row r="25" spans="1:42" ht="15.75" thickTop="1" x14ac:dyDescent="0.25">
      <c r="A25" s="273"/>
      <c r="AC25" t="str">
        <f t="array" ref="AC25:AE25">G12:I12</f>
        <v>Arm</v>
      </c>
      <c r="AD25" t="str">
        <v>Neck</v>
      </c>
      <c r="AE25" t="str">
        <v>Foot</v>
      </c>
      <c r="AG25" s="826" t="s">
        <v>45</v>
      </c>
      <c r="AH25" s="826" t="s">
        <v>2466</v>
      </c>
      <c r="AI25" s="826" t="s">
        <v>43</v>
      </c>
      <c r="AJ25" s="826" t="s">
        <v>7</v>
      </c>
      <c r="AK25" s="826" t="s">
        <v>31</v>
      </c>
    </row>
    <row r="26" spans="1:42" x14ac:dyDescent="0.25">
      <c r="A26" s="273"/>
      <c r="AB26" t="str">
        <f t="array" ref="AB26:AB28">F13:F15</f>
        <v>Cold</v>
      </c>
      <c r="AC26" s="1126"/>
      <c r="AD26" s="1127"/>
      <c r="AE26" s="1128">
        <v>-1</v>
      </c>
      <c r="AG26" t="str">
        <f t="array" ref="AG26">IFERROR(INDEX($AB$26:$AB$28,SMALL(IF($AC$26:$AE$28&lt;&gt;"",ROW($AC$26:$AE$28)-MIN(ROW($AC$26:$AE$28))+1,""),ROW(A1))),"")</f>
        <v>Cold</v>
      </c>
      <c r="AH26" t="str">
        <f t="array" ref="AH26">IFERROR(INDEX($AC$25:$AE$25,,SMALL(IF($AC$26:$AE$28&lt;&gt;"",IF(ROW($AC$26:$AE$28)=MATCH(AG26,$AB$26:$AB$28,0)+ROW($AC$26)-1,COLUMN($AC$26:$AE$28)-COLUMN($AC$26)+1,""),""),COUNTIF($AG$26:AG26,AG26))),"")</f>
        <v>Foot</v>
      </c>
      <c r="AI26">
        <f>IFERROR(INDEX($AC$26:$AE$28,MATCH(AG26,$F$13:$F$15),MATCH(AH26,$G$12:$I$12,0)),0)</f>
        <v>-1</v>
      </c>
      <c r="AJ26">
        <f>IFERROR(INDEX($G$13:$I$15,MATCH(AG26,$F$13:$F$15),MATCH(AH26,$G$12:$I$12,0)),"")</f>
        <v>10</v>
      </c>
      <c r="AK26">
        <f>IFERROR(INDEX($G$6:$I$8,MATCH(AG26,$F$6:$F$8),MATCH(AH26,$G$5:$I$5,0)),1)</f>
        <v>5</v>
      </c>
    </row>
    <row r="27" spans="1:42" x14ac:dyDescent="0.25">
      <c r="A27" s="273"/>
      <c r="AB27" t="str">
        <v>Dry</v>
      </c>
      <c r="AC27" s="1129"/>
      <c r="AD27" s="1099"/>
      <c r="AE27" s="1130"/>
      <c r="AG27" t="str">
        <f t="array" ref="AG27">IFERROR(INDEX($AB$26:$AB$28,SMALL(IF($AC$26:$AE$28&lt;&gt;"",ROW($AC$26:$AE$28)-MIN(ROW($AC$26:$AE$28))+1,""),ROW(A2))),"")</f>
        <v>Humid</v>
      </c>
      <c r="AH27" t="str">
        <f t="array" ref="AH27">IFERROR(INDEX($AC$25:$AE$25,,SMALL(IF($AC$26:$AE$28&lt;&gt;"",IF(ROW($AC$26:$AE$28)=MATCH(AG27,$AB$26:$AB$28,0)+ROW($AC$26)-1,COLUMN($AC$26:$AE$28)-COLUMN($AC$26)+1,""),""),COUNTIF($AG$26:AG27,AG27))),"")</f>
        <v>Foot</v>
      </c>
      <c r="AI27">
        <f>IFERROR(INDEX($AC$26:$AE$28,MATCH(AG27,$F$13:$F$15),MATCH(AH27,$G$12:$I$12,0)),0)</f>
        <v>1</v>
      </c>
      <c r="AJ27">
        <f>IFERROR(INDEX($G$13:$I$15,MATCH(AG27,$F$13:$F$15),MATCH(AH27,$G$12:$I$12,0)),"")</f>
        <v>37.200000000000003</v>
      </c>
      <c r="AK27">
        <f>IFERROR(INDEX($G$6:$I$8,MATCH(AG27,$F$6:$F$8),MATCH(AH27,$G$5:$I$5,0)),1)</f>
        <v>5</v>
      </c>
    </row>
    <row r="28" spans="1:42" x14ac:dyDescent="0.25">
      <c r="A28" s="273"/>
      <c r="AB28" t="str">
        <v>Humid</v>
      </c>
      <c r="AC28" s="1131"/>
      <c r="AD28" s="1132"/>
      <c r="AE28" s="1133">
        <v>1</v>
      </c>
      <c r="AG28" t="str">
        <f t="array" ref="AG28">IFERROR(INDEX($AB$26:$AB$28,SMALL(IF($AC$26:$AE$28&lt;&gt;"",ROW($AC$26:$AE$28)-MIN(ROW($AC$26:$AE$28))+1,""),ROW(A3))),"")</f>
        <v/>
      </c>
      <c r="AH28" t="str">
        <f t="array" ref="AH28">IFERROR(INDEX($AC$25:$AE$25,,SMALL(IF($AC$26:$AE$28&lt;&gt;"",IF(ROW($AC$26:$AE$28)=MATCH(AG28,$AB$26:$AB$28,0)+ROW($AC$26)-1,COLUMN($AC$26:$AE$28)-COLUMN($AC$26)+1,""),""),COUNTIF($AG$26:AG28,AG28))),"")</f>
        <v/>
      </c>
      <c r="AI28">
        <f>IFERROR(INDEX($AC$26:$AE$28,MATCH(AG28,$F$13:$F$15),MATCH(AH28,$G$12:$I$12,0)),0)</f>
        <v>0</v>
      </c>
      <c r="AJ28" t="str">
        <f>IFERROR(INDEX($G$13:$I$15,MATCH(AG28,$F$13:$F$15),MATCH(AH28,$G$12:$I$12,0)),"")</f>
        <v/>
      </c>
      <c r="AK28">
        <f>IFERROR(INDEX($G$6:$I$8,MATCH(AG28,$F$6:$F$8),MATCH(AH28,$G$5:$I$5,0)),1)</f>
        <v>1</v>
      </c>
    </row>
    <row r="29" spans="1:42" x14ac:dyDescent="0.25">
      <c r="A29" s="273"/>
      <c r="AG29" t="str">
        <f t="array" ref="AG29">IFERROR(INDEX($AB$26:$AB$28,SMALL(IF($AC$26:$AE$28&lt;&gt;"",ROW($AC$26:$AE$28)-MIN(ROW($AC$26:$AE$28))+1,""),ROW(A4))),"")</f>
        <v/>
      </c>
      <c r="AH29" t="str">
        <f t="array" ref="AH29">IFERROR(INDEX($AC$25:$AE$25,,SMALL(IF($AC$26:$AE$28&lt;&gt;"",IF(ROW($AC$26:$AE$28)=MATCH(AG29,$AB$26:$AB$28,0)+ROW($AC$26)-1,COLUMN($AC$26:$AE$28)-COLUMN($AC$26)+1,""),""),COUNTIF($AG$26:AG29,AG29))),"")</f>
        <v/>
      </c>
      <c r="AI29">
        <f>IFERROR(INDEX($AC$26:$AE$28,MATCH(AG29,$F$13:$F$15),MATCH(AH29,$G$12:$I$12,0)),0)</f>
        <v>0</v>
      </c>
      <c r="AJ29" t="str">
        <f>IFERROR(INDEX($G$13:$I$15,MATCH(AG29,$F$13:$F$15),MATCH(AH29,$G$12:$I$12,0)),"")</f>
        <v/>
      </c>
      <c r="AK29">
        <f>IFERROR(INDEX($G$6:$I$8,MATCH(AG29,$F$6:$F$8),MATCH(AH29,$G$5:$I$5,0)),1)</f>
        <v>1</v>
      </c>
    </row>
    <row r="30" spans="1:42" x14ac:dyDescent="0.25">
      <c r="A30" s="273"/>
      <c r="AG30" s="1134"/>
      <c r="AH30" s="1134"/>
      <c r="AI30" s="1134">
        <f>SUM(AI26:AI29)</f>
        <v>0</v>
      </c>
      <c r="AJ30" s="1134">
        <f>SUMPRODUCT(AI26:AI29,AJ26:AJ29)</f>
        <v>27.200000000000003</v>
      </c>
      <c r="AK30" s="1134">
        <f>1/SUMPRODUCT(AI26:AI29^2,1/AK26:AK29)</f>
        <v>2.5</v>
      </c>
    </row>
    <row r="31" spans="1:42" ht="15.75" thickBot="1" x14ac:dyDescent="0.3">
      <c r="A31" s="273"/>
      <c r="AG31" t="s">
        <v>65</v>
      </c>
      <c r="AN31" t="s">
        <v>34</v>
      </c>
      <c r="AO31">
        <v>0.05</v>
      </c>
    </row>
    <row r="32" spans="1:42" ht="15.75" thickTop="1" x14ac:dyDescent="0.25">
      <c r="A32" s="273"/>
      <c r="AG32" s="826" t="s">
        <v>1000</v>
      </c>
      <c r="AH32" s="826" t="s">
        <v>95</v>
      </c>
      <c r="AI32" s="826" t="s">
        <v>60</v>
      </c>
      <c r="AJ32" s="826" t="s">
        <v>67</v>
      </c>
      <c r="AK32" s="826" t="s">
        <v>68</v>
      </c>
      <c r="AL32" s="826" t="s">
        <v>29</v>
      </c>
      <c r="AM32" s="826" t="s">
        <v>30</v>
      </c>
      <c r="AN32" s="826" t="s">
        <v>527</v>
      </c>
      <c r="AO32" s="826" t="s">
        <v>64</v>
      </c>
      <c r="AP32" s="826" t="s">
        <v>1009</v>
      </c>
    </row>
    <row r="33" spans="1:42" x14ac:dyDescent="0.25">
      <c r="A33" s="273"/>
      <c r="AG33" s="1135">
        <f>SQRT(SUMPRODUCT(G20:I22*(G6:I8-1))/(AK30*AI33))</f>
        <v>4.7488010182688338</v>
      </c>
      <c r="AH33" s="1135">
        <f>AJ30/AG33</f>
        <v>5.7277615750503079</v>
      </c>
      <c r="AI33" s="1135">
        <f>SUM(G6:I8)-COUNT(G6:I8)</f>
        <v>36</v>
      </c>
      <c r="AJ33" s="1135">
        <f>TDIST(ABS(AH33),AI33,2)</f>
        <v>1.6063932356798048E-6</v>
      </c>
      <c r="AK33" s="1135">
        <f>TINV(AO31,AI33)</f>
        <v>2.028094000980452</v>
      </c>
      <c r="AL33" s="1135">
        <f>AJ30-AG33*AK33</f>
        <v>17.568985142999118</v>
      </c>
      <c r="AM33" s="1135">
        <f>AJ30+AG33*AK33</f>
        <v>36.831014857000888</v>
      </c>
      <c r="AN33" s="1136" t="str">
        <f>IF(AJ33&lt;AO31,"yes","no")</f>
        <v>yes</v>
      </c>
      <c r="AO33" s="1135">
        <f>ABS(AJ30)/(AG33*SQRT(AK30))</f>
        <v>3.6225544943104877</v>
      </c>
      <c r="AP33" s="1135">
        <f>SQRT(AH33^2/(AH33^2+AI33))</f>
        <v>0.69050658220622163</v>
      </c>
    </row>
    <row r="34" spans="1:42" x14ac:dyDescent="0.25">
      <c r="A34" s="273"/>
    </row>
    <row r="35" spans="1:42" x14ac:dyDescent="0.25">
      <c r="A35" s="273"/>
    </row>
    <row r="36" spans="1:42" ht="15.75" thickBot="1" x14ac:dyDescent="0.3">
      <c r="A36" s="273"/>
      <c r="AB36" t="s">
        <v>511</v>
      </c>
      <c r="AG36" t="s">
        <v>2465</v>
      </c>
    </row>
    <row r="37" spans="1:42" ht="15.75" thickTop="1" x14ac:dyDescent="0.25">
      <c r="A37" s="273"/>
      <c r="AC37" t="str">
        <f t="array" ref="AC37:AE37">G12:I12</f>
        <v>Arm</v>
      </c>
      <c r="AD37" t="str">
        <v>Neck</v>
      </c>
      <c r="AE37" t="str">
        <v>Foot</v>
      </c>
      <c r="AG37" s="826" t="s">
        <v>45</v>
      </c>
      <c r="AH37" s="826" t="s">
        <v>2466</v>
      </c>
      <c r="AI37" s="826" t="s">
        <v>43</v>
      </c>
      <c r="AJ37" s="826" t="s">
        <v>7</v>
      </c>
      <c r="AK37" s="826" t="s">
        <v>31</v>
      </c>
    </row>
    <row r="38" spans="1:42" x14ac:dyDescent="0.25">
      <c r="AB38" t="str">
        <f t="array" ref="AB38:AB40">F13:F15</f>
        <v>Cold</v>
      </c>
      <c r="AC38" s="1137">
        <v>-0.5</v>
      </c>
      <c r="AD38" s="1138">
        <v>-0.5</v>
      </c>
      <c r="AE38" s="1139"/>
      <c r="AG38" t="str">
        <f t="array" ref="AG38">IFERROR(INDEX($AB$38:$AB$40,SMALL(IF($AC$38:$AE$40&lt;&gt;"",ROW($AC$38:$AE$40)-MIN(ROW($AC$38:$AE$40))+1,""),ROW(A1))),"")</f>
        <v>Cold</v>
      </c>
      <c r="AH38" t="str">
        <f t="array" ref="AH38">IFERROR(INDEX($AC$37:$AE$37,,SMALL(IF($AC$38:$AE$40&lt;&gt;"",IF(ROW($AC$38:$AE$40)=MATCH(AG38,$AB$38:$AB$40,0)+ROW($AC$38)-1,COLUMN($AC$38:$AE$40)-COLUMN($AC$38)+1,""),""),COUNTIF($AG$38:AG38,AG38))),"")</f>
        <v>Arm</v>
      </c>
      <c r="AI38">
        <f>IFERROR(INDEX($AC$38:$AE$40,MATCH(AG38,$F$13:$F$15),MATCH(AH38,$G$12:$I$12,0)),0)</f>
        <v>-0.5</v>
      </c>
      <c r="AJ38">
        <f>IFERROR(INDEX($G$13:$I$15,MATCH(AG38,$F$13:$F$15),MATCH(AH38,$G$12:$I$12,0)),"")</f>
        <v>22.8</v>
      </c>
      <c r="AK38">
        <f>IFERROR(INDEX($G$6:$I$8,MATCH(AG38,$F$6:$F$8),MATCH(AH38,$G$5:$I$5,0)),1)</f>
        <v>5</v>
      </c>
    </row>
    <row r="39" spans="1:42" x14ac:dyDescent="0.25">
      <c r="AB39" t="str">
        <v>Dry</v>
      </c>
      <c r="AC39" s="1129"/>
      <c r="AD39" s="1099"/>
      <c r="AE39" s="1130"/>
      <c r="AG39" t="str">
        <f t="array" ref="AG39">IFERROR(INDEX($AB$38:$AB$40,SMALL(IF($AC$38:$AE$40&lt;&gt;"",ROW($AC$38:$AE$40)-MIN(ROW($AC$38:$AE$40))+1,""),ROW(A2))),"")</f>
        <v>Cold</v>
      </c>
      <c r="AH39" t="str">
        <f t="array" ref="AH39">IFERROR(INDEX($AC$37:$AE$37,,SMALL(IF($AC$38:$AE$40&lt;&gt;"",IF(ROW($AC$38:$AE$40)=MATCH(AG39,$AB$38:$AB$40,0)+ROW($AC$38)-1,COLUMN($AC$38:$AE$40)-COLUMN($AC$38)+1,""),""),COUNTIF($AG$38:AG39,AG39))),"")</f>
        <v>Neck</v>
      </c>
      <c r="AI39">
        <f>IFERROR(INDEX($AC$38:$AE$40,MATCH(AG39,$F$13:$F$15),MATCH(AH39,$G$12:$I$12,0)),0)</f>
        <v>-0.5</v>
      </c>
      <c r="AJ39">
        <f>IFERROR(INDEX($G$13:$I$15,MATCH(AG39,$F$13:$F$15),MATCH(AH39,$G$12:$I$12,0)),"")</f>
        <v>19.8</v>
      </c>
      <c r="AK39">
        <f>IFERROR(INDEX($G$6:$I$8,MATCH(AG39,$F$6:$F$8),MATCH(AH39,$G$5:$I$5,0)),1)</f>
        <v>5</v>
      </c>
    </row>
    <row r="40" spans="1:42" x14ac:dyDescent="0.25">
      <c r="AB40" t="str">
        <v>Humid</v>
      </c>
      <c r="AC40" s="1131">
        <v>0.5</v>
      </c>
      <c r="AD40" s="1132">
        <v>0.5</v>
      </c>
      <c r="AE40" s="1133"/>
      <c r="AG40" t="str">
        <f t="array" ref="AG40">IFERROR(INDEX($AB$38:$AB$40,SMALL(IF($AC$38:$AE$40&lt;&gt;"",ROW($AC$38:$AE$40)-MIN(ROW($AC$38:$AE$40))+1,""),ROW(A3))),"")</f>
        <v>Humid</v>
      </c>
      <c r="AH40" t="str">
        <f t="array" ref="AH40">IFERROR(INDEX($AC$37:$AE$37,,SMALL(IF($AC$38:$AE$40&lt;&gt;"",IF(ROW($AC$38:$AE$40)=MATCH(AG40,$AB$38:$AB$40,0)+ROW($AC$38)-1,COLUMN($AC$38:$AE$40)-COLUMN($AC$38)+1,""),""),COUNTIF($AG$38:AG40,AG40))),"")</f>
        <v>Arm</v>
      </c>
      <c r="AI40">
        <f>IFERROR(INDEX($AC$38:$AE$40,MATCH(AG40,$F$13:$F$15),MATCH(AH40,$G$12:$I$12,0)),0)</f>
        <v>0.5</v>
      </c>
      <c r="AJ40">
        <f>IFERROR(INDEX($G$13:$I$15,MATCH(AG40,$F$13:$F$15),MATCH(AH40,$G$12:$I$12,0)),"")</f>
        <v>28</v>
      </c>
      <c r="AK40">
        <f>IFERROR(INDEX($G$6:$I$8,MATCH(AG40,$F$6:$F$8),MATCH(AH40,$G$5:$I$5,0)),1)</f>
        <v>5</v>
      </c>
    </row>
    <row r="41" spans="1:42" x14ac:dyDescent="0.25">
      <c r="AG41" t="str">
        <f t="array" ref="AG41">IFERROR(INDEX($AB$38:$AB$40,SMALL(IF($AC$38:$AE$40&lt;&gt;"",ROW($AC$38:$AE$40)-MIN(ROW($AC$38:$AE$40))+1,""),ROW(A4))),"")</f>
        <v>Humid</v>
      </c>
      <c r="AH41" t="str">
        <f t="array" ref="AH41">IFERROR(INDEX($AC$37:$AE$37,,SMALL(IF($AC$38:$AE$40&lt;&gt;"",IF(ROW($AC$38:$AE$40)=MATCH(AG41,$AB$38:$AB$40,0)+ROW($AC$38)-1,COLUMN($AC$38:$AE$40)-COLUMN($AC$38)+1,""),""),COUNTIF($AG$38:AG41,AG41))),"")</f>
        <v>Neck</v>
      </c>
      <c r="AI41">
        <f>IFERROR(INDEX($AC$38:$AE$40,MATCH(AG41,$F$13:$F$15),MATCH(AH41,$G$12:$I$12,0)),0)</f>
        <v>0.5</v>
      </c>
      <c r="AJ41">
        <f>IFERROR(INDEX($G$13:$I$15,MATCH(AG41,$F$13:$F$15),MATCH(AH41,$G$12:$I$12,0)),"")</f>
        <v>26</v>
      </c>
      <c r="AK41">
        <f>IFERROR(INDEX($G$6:$I$8,MATCH(AG41,$F$6:$F$8),MATCH(AH41,$G$5:$I$5,0)),1)</f>
        <v>5</v>
      </c>
    </row>
    <row r="42" spans="1:42" x14ac:dyDescent="0.25">
      <c r="B42" s="1294" t="s">
        <v>677</v>
      </c>
      <c r="C42" s="1295"/>
      <c r="D42" s="1296"/>
      <c r="AG42" s="1140"/>
      <c r="AH42" s="1140"/>
      <c r="AI42" s="1140">
        <f>SUM(AI38:AI41)</f>
        <v>0</v>
      </c>
      <c r="AJ42" s="1140">
        <f>SUMPRODUCT(AI38:AI41,AJ38:AJ41)</f>
        <v>5.6999999999999993</v>
      </c>
      <c r="AK42" s="1140">
        <f>1/SUMPRODUCT(AI38:AI41^2,1/AK38:AK41)</f>
        <v>5</v>
      </c>
    </row>
    <row r="43" spans="1:42" ht="15.75" thickBot="1" x14ac:dyDescent="0.3">
      <c r="A43" s="284" t="s">
        <v>676</v>
      </c>
      <c r="B43" s="302" t="s">
        <v>670</v>
      </c>
      <c r="C43" s="302" t="s">
        <v>672</v>
      </c>
      <c r="D43" s="302" t="s">
        <v>671</v>
      </c>
      <c r="AG43" t="s">
        <v>65</v>
      </c>
      <c r="AN43" t="s">
        <v>34</v>
      </c>
      <c r="AO43">
        <v>0.05</v>
      </c>
    </row>
    <row r="44" spans="1:42" ht="15.75" thickTop="1" x14ac:dyDescent="0.25">
      <c r="A44" s="289" t="s">
        <v>673</v>
      </c>
      <c r="B44" s="296">
        <v>15</v>
      </c>
      <c r="C44" s="296">
        <v>21</v>
      </c>
      <c r="D44" s="296">
        <v>11</v>
      </c>
      <c r="AG44" s="826" t="s">
        <v>1000</v>
      </c>
      <c r="AH44" s="826" t="s">
        <v>95</v>
      </c>
      <c r="AI44" s="826" t="s">
        <v>60</v>
      </c>
      <c r="AJ44" s="826" t="s">
        <v>67</v>
      </c>
      <c r="AK44" s="826" t="s">
        <v>68</v>
      </c>
      <c r="AL44" s="826" t="s">
        <v>29</v>
      </c>
      <c r="AM44" s="826" t="s">
        <v>30</v>
      </c>
      <c r="AN44" s="826" t="s">
        <v>527</v>
      </c>
      <c r="AO44" s="826" t="s">
        <v>64</v>
      </c>
      <c r="AP44" s="826" t="s">
        <v>1009</v>
      </c>
    </row>
    <row r="45" spans="1:42" x14ac:dyDescent="0.25">
      <c r="A45" s="273"/>
      <c r="B45" s="272">
        <v>23</v>
      </c>
      <c r="C45" s="272">
        <v>11</v>
      </c>
      <c r="D45" s="272">
        <v>8</v>
      </c>
      <c r="AG45" s="1141">
        <f>SQRT(SUMPRODUCT(G20:I22*(G6:I8-1))/(AK42*AI45))</f>
        <v>3.3579094025234744</v>
      </c>
      <c r="AH45" s="1141">
        <f>AJ42/AG45</f>
        <v>1.697484749206289</v>
      </c>
      <c r="AI45" s="1141">
        <f>SUM(G6:I8)-COUNT(G6:I8)</f>
        <v>36</v>
      </c>
      <c r="AJ45" s="1141">
        <f>TDIST(ABS(AH45),AI45,2)</f>
        <v>9.8235257349545607E-2</v>
      </c>
      <c r="AK45" s="1141">
        <f>TINV(AO43,AI45)</f>
        <v>2.028094000980452</v>
      </c>
      <c r="AL45" s="1141">
        <f>AJ42-AG45*AK45</f>
        <v>-1.1101559150937126</v>
      </c>
      <c r="AM45" s="1141">
        <f>AJ42+AG45*AK45</f>
        <v>12.510155915093712</v>
      </c>
      <c r="AN45" s="1142" t="str">
        <f>IF(AJ45&lt;AO43,"yes","no")</f>
        <v>no</v>
      </c>
      <c r="AO45" s="1141">
        <f>ABS(AJ42)/(AG45*SQRT(AK42))</f>
        <v>0.75913825799888879</v>
      </c>
      <c r="AP45" s="1141">
        <f>SQRT(AH45^2/(AH45^2+AI45))</f>
        <v>0.27222915167910905</v>
      </c>
    </row>
    <row r="46" spans="1:42" x14ac:dyDescent="0.25">
      <c r="A46" s="273"/>
      <c r="B46" s="272">
        <v>26</v>
      </c>
      <c r="C46" s="272">
        <v>28</v>
      </c>
      <c r="D46" s="272">
        <v>2</v>
      </c>
    </row>
    <row r="47" spans="1:42" x14ac:dyDescent="0.25">
      <c r="A47" s="273"/>
      <c r="B47" s="272">
        <v>19</v>
      </c>
      <c r="C47" s="272">
        <v>16</v>
      </c>
      <c r="D47" s="272">
        <v>19</v>
      </c>
    </row>
    <row r="48" spans="1:42" ht="15.75" thickBot="1" x14ac:dyDescent="0.3">
      <c r="A48" s="9"/>
      <c r="B48" s="168">
        <v>31</v>
      </c>
      <c r="C48" s="168">
        <v>23</v>
      </c>
      <c r="D48" s="168">
        <v>10</v>
      </c>
      <c r="AB48" t="s">
        <v>511</v>
      </c>
      <c r="AG48" t="s">
        <v>2465</v>
      </c>
    </row>
    <row r="49" spans="2:42" ht="15.75" thickTop="1" x14ac:dyDescent="0.25">
      <c r="AC49" t="str">
        <f t="array" ref="AC49:AE49">G12:I12</f>
        <v>Arm</v>
      </c>
      <c r="AD49" t="str">
        <v>Neck</v>
      </c>
      <c r="AE49" t="str">
        <v>Foot</v>
      </c>
      <c r="AG49" s="826" t="s">
        <v>45</v>
      </c>
      <c r="AH49" s="826" t="s">
        <v>2466</v>
      </c>
      <c r="AI49" s="826" t="s">
        <v>43</v>
      </c>
      <c r="AJ49" s="826" t="s">
        <v>7</v>
      </c>
      <c r="AK49" s="826" t="s">
        <v>31</v>
      </c>
    </row>
    <row r="50" spans="2:42" x14ac:dyDescent="0.25">
      <c r="AB50" t="str">
        <f t="array" ref="AB50:AB52">F13:F15</f>
        <v>Cold</v>
      </c>
      <c r="AC50" s="1137"/>
      <c r="AD50" s="1138"/>
      <c r="AE50" s="1139">
        <v>-1</v>
      </c>
      <c r="AG50" t="str">
        <f t="array" ref="AG50">IFERROR(INDEX($AB$50:$AB$52,SMALL(IF($AC$50:$AE$52&lt;&gt;"",ROW($AC$50:$AE$52)-MIN(ROW($AC$50:$AE$52))+1,""),ROW(A1))),"")</f>
        <v>Cold</v>
      </c>
      <c r="AH50" t="str">
        <f t="array" ref="AH50">IFERROR(INDEX($AC$49:$AE$49,,SMALL(IF($AC$50:$AE$52&lt;&gt;"",IF(ROW($AC$50:$AE$52)=MATCH(AG50,$AB$50:$AB$52,0)+ROW($AC$50)-1,COLUMN($AC$50:$AE$52)-COLUMN($AC$50)+1,""),""),COUNTIF($AG$50:AG50,AG50))),"")</f>
        <v>Foot</v>
      </c>
      <c r="AI50">
        <f>IFERROR(INDEX($AC$50:$AE$52,MATCH(AG50,$F$13:$F$15),MATCH(AH50,$G$12:$I$12,0)),0)</f>
        <v>-1</v>
      </c>
      <c r="AJ50">
        <f>IFERROR(INDEX($G$13:$I$15,MATCH(AG50,$F$13:$F$15),MATCH(AH50,$G$12:$I$12,0)),"")</f>
        <v>10</v>
      </c>
      <c r="AK50">
        <f>IFERROR(INDEX($G$6:$I$8,MATCH(AG50,$F$6:$F$8),MATCH(AH50,$G$5:$I$5,0)),1)</f>
        <v>5</v>
      </c>
    </row>
    <row r="51" spans="2:42" x14ac:dyDescent="0.25">
      <c r="AB51" t="str">
        <v>Dry</v>
      </c>
      <c r="AC51" s="1129"/>
      <c r="AD51" s="1099"/>
      <c r="AE51" s="1130"/>
      <c r="AG51" t="str">
        <f t="array" ref="AG51">IFERROR(INDEX($AB$50:$AB$52,SMALL(IF($AC$50:$AE$52&lt;&gt;"",ROW($AC$50:$AE$52)-MIN(ROW($AC$50:$AE$52))+1,""),ROW(A2))),"")</f>
        <v>Humid</v>
      </c>
      <c r="AH51" t="str">
        <f t="array" ref="AH51">IFERROR(INDEX($AC$49:$AE$49,,SMALL(IF($AC$50:$AE$52&lt;&gt;"",IF(ROW($AC$50:$AE$52)=MATCH(AG51,$AB$50:$AB$52,0)+ROW($AC$50)-1,COLUMN($AC$50:$AE$52)-COLUMN($AC$50)+1,""),""),COUNTIF($AG$50:AG51,AG51))),"")</f>
        <v>Foot</v>
      </c>
      <c r="AI51">
        <f>IFERROR(INDEX($AC$50:$AE$52,MATCH(AG51,$F$13:$F$15),MATCH(AH51,$G$12:$I$12,0)),0)</f>
        <v>1</v>
      </c>
      <c r="AJ51">
        <f>IFERROR(INDEX($G$13:$I$15,MATCH(AG51,$F$13:$F$15),MATCH(AH51,$G$12:$I$12,0)),"")</f>
        <v>37.200000000000003</v>
      </c>
      <c r="AK51">
        <f>IFERROR(INDEX($G$6:$I$8,MATCH(AG51,$F$6:$F$8),MATCH(AH51,$G$5:$I$5,0)),1)</f>
        <v>5</v>
      </c>
    </row>
    <row r="52" spans="2:42" x14ac:dyDescent="0.25">
      <c r="AB52" t="str">
        <v>Humid</v>
      </c>
      <c r="AC52" s="1131"/>
      <c r="AD52" s="1132"/>
      <c r="AE52" s="1133">
        <v>1</v>
      </c>
      <c r="AG52" s="1140"/>
      <c r="AH52" s="1140"/>
      <c r="AI52" s="1140">
        <f>SUM(AI50:AI51)</f>
        <v>0</v>
      </c>
      <c r="AJ52" s="1140">
        <f>SUMPRODUCT(AI50:AI51,AJ50:AJ51)</f>
        <v>27.200000000000003</v>
      </c>
      <c r="AK52" s="1140">
        <f>1/SUMPRODUCT(AI50:AI51^2,1/AK50:AK51)</f>
        <v>2.5</v>
      </c>
    </row>
    <row r="53" spans="2:42" ht="15.75" thickBot="1" x14ac:dyDescent="0.3">
      <c r="AG53" t="s">
        <v>65</v>
      </c>
      <c r="AN53" t="s">
        <v>34</v>
      </c>
      <c r="AO53">
        <v>0.05</v>
      </c>
    </row>
    <row r="54" spans="2:42" ht="15.75" thickTop="1" x14ac:dyDescent="0.25">
      <c r="AG54" s="826" t="s">
        <v>1000</v>
      </c>
      <c r="AH54" s="826" t="s">
        <v>95</v>
      </c>
      <c r="AI54" s="826" t="s">
        <v>60</v>
      </c>
      <c r="AJ54" s="826" t="s">
        <v>67</v>
      </c>
      <c r="AK54" s="826" t="s">
        <v>68</v>
      </c>
      <c r="AL54" s="826" t="s">
        <v>29</v>
      </c>
      <c r="AM54" s="826" t="s">
        <v>30</v>
      </c>
      <c r="AN54" s="826" t="s">
        <v>527</v>
      </c>
      <c r="AO54" s="826" t="s">
        <v>64</v>
      </c>
      <c r="AP54" s="826" t="s">
        <v>1009</v>
      </c>
    </row>
    <row r="55" spans="2:42" x14ac:dyDescent="0.25">
      <c r="AG55" s="1141">
        <f>SQRT(SUMPRODUCT(G20:I22*(G6:I8-1))/(AK52*AI55))</f>
        <v>4.7488010182688338</v>
      </c>
      <c r="AH55" s="1141">
        <f>AJ52/AG55</f>
        <v>5.7277615750503079</v>
      </c>
      <c r="AI55" s="1141">
        <f>SUM(G6:I8)-COUNT(G6:I8)</f>
        <v>36</v>
      </c>
      <c r="AJ55" s="1141">
        <f>TDIST(ABS(AH55),AI55,2)</f>
        <v>1.6063932356798048E-6</v>
      </c>
      <c r="AK55" s="1141">
        <f>TINV(AO53,AI55)</f>
        <v>2.028094000980452</v>
      </c>
      <c r="AL55" s="1141">
        <f>AJ52-AG55*AK55</f>
        <v>17.568985142999118</v>
      </c>
      <c r="AM55" s="1141">
        <f>AJ52+AG55*AK55</f>
        <v>36.831014857000888</v>
      </c>
      <c r="AN55" s="1142" t="str">
        <f>IF(AJ55&lt;AO53,"yes","no")</f>
        <v>yes</v>
      </c>
      <c r="AO55" s="1141">
        <f>ABS(AJ52)/(AG55*SQRT(AK52))</f>
        <v>3.6225544943104877</v>
      </c>
      <c r="AP55" s="1141">
        <f>SQRT(AH55^2/(AH55^2+AI55))</f>
        <v>0.69050658220622163</v>
      </c>
    </row>
    <row r="58" spans="2:42" ht="15.75" thickBot="1" x14ac:dyDescent="0.3">
      <c r="AB58" t="s">
        <v>511</v>
      </c>
      <c r="AG58" t="s">
        <v>2465</v>
      </c>
    </row>
    <row r="59" spans="2:42" ht="15.75" thickTop="1" x14ac:dyDescent="0.25">
      <c r="B59" s="13" t="s">
        <v>673</v>
      </c>
      <c r="C59" s="13" t="s">
        <v>674</v>
      </c>
      <c r="D59" s="13" t="s">
        <v>675</v>
      </c>
      <c r="AC59" t="str">
        <f t="array" ref="AC59:AE59">G12:I12</f>
        <v>Arm</v>
      </c>
      <c r="AD59" t="str">
        <v>Neck</v>
      </c>
      <c r="AE59" t="str">
        <v>Foot</v>
      </c>
      <c r="AG59" s="826" t="s">
        <v>45</v>
      </c>
      <c r="AH59" s="826" t="s">
        <v>2466</v>
      </c>
      <c r="AI59" s="826" t="s">
        <v>43</v>
      </c>
      <c r="AJ59" s="826" t="s">
        <v>7</v>
      </c>
      <c r="AK59" s="826" t="s">
        <v>31</v>
      </c>
    </row>
    <row r="60" spans="2:42" x14ac:dyDescent="0.25">
      <c r="B60" s="296">
        <v>15</v>
      </c>
      <c r="C60" s="296">
        <v>33</v>
      </c>
      <c r="D60" s="296">
        <v>28</v>
      </c>
      <c r="AB60" t="str">
        <f t="array" ref="AB60:AB62">F13:F15</f>
        <v>Cold</v>
      </c>
      <c r="AC60" s="1144"/>
      <c r="AD60" s="1138"/>
      <c r="AE60" s="1146"/>
      <c r="AG60" t="str">
        <f t="array" ref="AG60">IFERROR(INDEX($AB$60:$AB$62,SMALL(IF($AC$60:$AE$62&lt;&gt;"",ROW($AC$60:$AE$62)-MIN(ROW($AC$60:$AE$62))+1,""),ROW(A1))),"")</f>
        <v>Humid</v>
      </c>
      <c r="AH60" t="str">
        <f t="array" ref="AH60">IFERROR(INDEX($AC$59:$AE$59,,SMALL(IF($AC$60:$AE$62&lt;&gt;"",IF(ROW($AC$60:$AE$62)=MATCH(AG60,$AB$60:$AB$62,0)+ROW($AC$60)-1,COLUMN($AC$60:$AE$62)-COLUMN($AC$60)+1,""),""),COUNTIF($AG$60:AG60,AG60))),"")</f>
        <v>Arm</v>
      </c>
      <c r="AI60">
        <f>IFERROR(INDEX($AC$60:$AE$62,MATCH(AG60,$F$13:$F$15),MATCH(AH60,$G$12:$I$12,0)),0)</f>
        <v>-1</v>
      </c>
      <c r="AJ60">
        <f>IFERROR(INDEX($G$13:$I$15,MATCH(AG60,$F$13:$F$15),MATCH(AH60,$G$12:$I$12,0)),"")</f>
        <v>28</v>
      </c>
      <c r="AK60">
        <f>IFERROR(INDEX($G$6:$I$8,MATCH(AG60,$F$6:$F$8),MATCH(AH60,$G$5:$I$5,0)),1)</f>
        <v>5</v>
      </c>
    </row>
    <row r="61" spans="2:42" x14ac:dyDescent="0.25">
      <c r="B61" s="272">
        <v>23</v>
      </c>
      <c r="C61" s="272">
        <v>26</v>
      </c>
      <c r="D61" s="272">
        <v>20</v>
      </c>
      <c r="AB61" t="str">
        <v>Dry</v>
      </c>
      <c r="AC61" s="1129"/>
      <c r="AD61" s="1099"/>
      <c r="AE61" s="1130"/>
      <c r="AG61" t="str">
        <f t="array" ref="AG61">IFERROR(INDEX($AB$60:$AB$62,SMALL(IF($AC$60:$AE$62&lt;&gt;"",ROW($AC$60:$AE$62)-MIN(ROW($AC$60:$AE$62))+1,""),ROW(A2))),"")</f>
        <v>Humid</v>
      </c>
      <c r="AH61" t="str">
        <f t="array" ref="AH61">IFERROR(INDEX($AC$59:$AE$59,,SMALL(IF($AC$60:$AE$62&lt;&gt;"",IF(ROW($AC$60:$AE$62)=MATCH(AG61,$AB$60:$AB$62,0)+ROW($AC$60)-1,COLUMN($AC$60:$AE$62)-COLUMN($AC$60)+1,""),""),COUNTIF($AG$60:AG61,AG61))),"")</f>
        <v>Foot</v>
      </c>
      <c r="AI61">
        <f>IFERROR(INDEX($AC$60:$AE$62,MATCH(AG61,$F$13:$F$15),MATCH(AH61,$G$12:$I$12,0)),0)</f>
        <v>1</v>
      </c>
      <c r="AJ61">
        <f>IFERROR(INDEX($G$13:$I$15,MATCH(AG61,$F$13:$F$15),MATCH(AH61,$G$12:$I$12,0)),"")</f>
        <v>37.200000000000003</v>
      </c>
      <c r="AK61">
        <f>IFERROR(INDEX($G$6:$I$8,MATCH(AG61,$F$6:$F$8),MATCH(AH61,$G$5:$I$5,0)),1)</f>
        <v>5</v>
      </c>
    </row>
    <row r="62" spans="2:42" x14ac:dyDescent="0.25">
      <c r="B62" s="272">
        <v>26</v>
      </c>
      <c r="C62" s="272">
        <v>15</v>
      </c>
      <c r="D62" s="272">
        <v>18</v>
      </c>
      <c r="AB62" t="str">
        <v>Humid</v>
      </c>
      <c r="AC62" s="1131">
        <v>-1</v>
      </c>
      <c r="AD62" s="1132"/>
      <c r="AE62" s="1133">
        <v>1</v>
      </c>
      <c r="AG62" s="1150"/>
      <c r="AH62" s="1150"/>
      <c r="AI62" s="1150">
        <f>SUM(AI60:AI61)</f>
        <v>0</v>
      </c>
      <c r="AJ62" s="1150">
        <f>SUMPRODUCT(AI60:AI61,AJ60:AJ61)</f>
        <v>9.2000000000000028</v>
      </c>
      <c r="AK62" s="1150">
        <f>1/SUMPRODUCT(AI60:AI61^2,1/AK60:AK61)</f>
        <v>2.5</v>
      </c>
    </row>
    <row r="63" spans="2:42" ht="15.75" thickBot="1" x14ac:dyDescent="0.3">
      <c r="B63" s="272">
        <v>19</v>
      </c>
      <c r="C63" s="272">
        <v>18</v>
      </c>
      <c r="D63" s="272">
        <v>36</v>
      </c>
      <c r="AG63" t="s">
        <v>65</v>
      </c>
      <c r="AN63" t="s">
        <v>34</v>
      </c>
      <c r="AO63">
        <v>0.05</v>
      </c>
    </row>
    <row r="64" spans="2:42" ht="15.75" thickTop="1" x14ac:dyDescent="0.25">
      <c r="B64" s="272">
        <v>31</v>
      </c>
      <c r="C64" s="272">
        <v>33</v>
      </c>
      <c r="D64" s="272">
        <v>38</v>
      </c>
      <c r="AG64" s="826" t="s">
        <v>1000</v>
      </c>
      <c r="AH64" s="826" t="s">
        <v>95</v>
      </c>
      <c r="AI64" s="826" t="s">
        <v>60</v>
      </c>
      <c r="AJ64" s="826" t="s">
        <v>67</v>
      </c>
      <c r="AK64" s="826" t="s">
        <v>68</v>
      </c>
      <c r="AL64" s="826" t="s">
        <v>29</v>
      </c>
      <c r="AM64" s="826" t="s">
        <v>30</v>
      </c>
      <c r="AN64" s="826" t="s">
        <v>527</v>
      </c>
      <c r="AO64" s="826" t="s">
        <v>64</v>
      </c>
      <c r="AP64" s="826" t="s">
        <v>1009</v>
      </c>
    </row>
    <row r="65" spans="2:42" x14ac:dyDescent="0.25">
      <c r="B65" s="272">
        <v>21</v>
      </c>
      <c r="C65" s="272">
        <v>25</v>
      </c>
      <c r="D65" s="272">
        <v>16</v>
      </c>
      <c r="AG65" s="1151">
        <f>SQRT(SUMPRODUCT(G20:I22*(G6:I8-1))/(AK62*AI65))</f>
        <v>4.7488010182688338</v>
      </c>
      <c r="AH65" s="1151">
        <f>AJ62/AG65</f>
        <v>1.9373311209728987</v>
      </c>
      <c r="AI65" s="1151">
        <f>SUM(G6:I8)-COUNT(G6:I8)</f>
        <v>36</v>
      </c>
      <c r="AJ65" s="1151">
        <f>TDIST(ABS(AH65),AI65,2)</f>
        <v>6.0581630034107048E-2</v>
      </c>
      <c r="AK65" s="1151">
        <f>TINV(AO63,AI65)</f>
        <v>2.028094000980452</v>
      </c>
      <c r="AL65" s="1151">
        <f>AJ62-AG65*AK65</f>
        <v>-0.43101485700088027</v>
      </c>
      <c r="AM65" s="1151">
        <f>AJ62+AG65*AK65</f>
        <v>18.831014857000888</v>
      </c>
      <c r="AN65" s="1152" t="str">
        <f>IF(AJ65&lt;AO63,"yes","no")</f>
        <v>no</v>
      </c>
      <c r="AO65" s="1151">
        <f>ABS(AJ62)/(AG65*SQRT(AK62))</f>
        <v>1.2252757848403122</v>
      </c>
      <c r="AP65" s="1151">
        <f>SQRT(AH65^2/(AH65^2+AI65))</f>
        <v>0.30726813525438873</v>
      </c>
    </row>
    <row r="66" spans="2:42" x14ac:dyDescent="0.25">
      <c r="B66" s="272">
        <v>11</v>
      </c>
      <c r="C66" s="272">
        <v>29</v>
      </c>
      <c r="D66" s="272">
        <v>18</v>
      </c>
    </row>
    <row r="67" spans="2:42" x14ac:dyDescent="0.25">
      <c r="B67" s="272">
        <v>28</v>
      </c>
      <c r="C67" s="272">
        <v>17</v>
      </c>
      <c r="D67" s="272">
        <v>26</v>
      </c>
    </row>
    <row r="68" spans="2:42" x14ac:dyDescent="0.25">
      <c r="B68" s="272">
        <v>16</v>
      </c>
      <c r="C68" s="272">
        <v>22</v>
      </c>
      <c r="D68" s="272">
        <v>36</v>
      </c>
    </row>
    <row r="69" spans="2:42" x14ac:dyDescent="0.25">
      <c r="B69" s="272">
        <v>23</v>
      </c>
      <c r="C69" s="272">
        <v>12</v>
      </c>
      <c r="D69" s="272">
        <v>34</v>
      </c>
    </row>
    <row r="70" spans="2:42" x14ac:dyDescent="0.25">
      <c r="B70" s="272">
        <v>11</v>
      </c>
      <c r="C70" s="272">
        <v>30</v>
      </c>
      <c r="D70" s="272">
        <v>26</v>
      </c>
    </row>
    <row r="71" spans="2:42" x14ac:dyDescent="0.25">
      <c r="B71" s="272">
        <v>8</v>
      </c>
      <c r="C71" s="272">
        <v>29</v>
      </c>
      <c r="D71" s="272">
        <v>37</v>
      </c>
    </row>
    <row r="72" spans="2:42" x14ac:dyDescent="0.25">
      <c r="B72" s="272">
        <v>2</v>
      </c>
      <c r="C72" s="272">
        <v>39</v>
      </c>
      <c r="D72" s="272">
        <v>39</v>
      </c>
    </row>
    <row r="73" spans="2:42" x14ac:dyDescent="0.25">
      <c r="B73" s="272">
        <v>19</v>
      </c>
      <c r="C73" s="272">
        <v>25</v>
      </c>
      <c r="D73" s="272">
        <v>34</v>
      </c>
    </row>
    <row r="74" spans="2:42" x14ac:dyDescent="0.25">
      <c r="B74" s="168">
        <v>10</v>
      </c>
      <c r="C74" s="168">
        <v>24</v>
      </c>
      <c r="D74" s="168">
        <v>50</v>
      </c>
    </row>
  </sheetData>
  <mergeCells count="2">
    <mergeCell ref="B3:D3"/>
    <mergeCell ref="B42:D42"/>
  </mergeCells>
  <pageMargins left="0.7" right="0.7" top="0.75" bottom="0.75" header="0.3" footer="0.3"/>
  <ignoredErrors>
    <ignoredError sqref="G6:I8 G13:I15 G20:I22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6"/>
  <dimension ref="A1:AH42"/>
  <sheetViews>
    <sheetView workbookViewId="0"/>
  </sheetViews>
  <sheetFormatPr defaultRowHeight="15" x14ac:dyDescent="0.25"/>
  <cols>
    <col min="6" max="6" width="9.140625" customWidth="1"/>
    <col min="21" max="24" width="9.140625" customWidth="1"/>
  </cols>
  <sheetData>
    <row r="1" spans="1:29" x14ac:dyDescent="0.25">
      <c r="A1" s="1" t="s">
        <v>2436</v>
      </c>
    </row>
    <row r="3" spans="1:29" ht="15.75" thickBot="1" x14ac:dyDescent="0.3">
      <c r="B3" s="1294" t="s">
        <v>677</v>
      </c>
      <c r="C3" s="1295"/>
      <c r="D3" s="1296"/>
      <c r="F3" t="s">
        <v>27</v>
      </c>
      <c r="L3" t="s">
        <v>1670</v>
      </c>
      <c r="T3" t="s">
        <v>2472</v>
      </c>
    </row>
    <row r="4" spans="1:29" ht="15.75" thickTop="1" x14ac:dyDescent="0.25">
      <c r="A4" s="284" t="s">
        <v>676</v>
      </c>
      <c r="B4" s="302" t="s">
        <v>670</v>
      </c>
      <c r="C4" s="302" t="s">
        <v>672</v>
      </c>
      <c r="D4" s="302" t="s">
        <v>671</v>
      </c>
      <c r="T4" s="826" t="s">
        <v>79</v>
      </c>
      <c r="U4" s="826" t="s">
        <v>43</v>
      </c>
      <c r="V4" s="826" t="s">
        <v>7</v>
      </c>
      <c r="W4" s="826" t="s">
        <v>31</v>
      </c>
    </row>
    <row r="5" spans="1:29" ht="15.75" thickBot="1" x14ac:dyDescent="0.3">
      <c r="A5" s="289" t="s">
        <v>673</v>
      </c>
      <c r="B5" s="296">
        <v>15</v>
      </c>
      <c r="C5" s="296">
        <v>21</v>
      </c>
      <c r="D5" s="296">
        <v>11</v>
      </c>
      <c r="F5" t="s">
        <v>1666</v>
      </c>
      <c r="G5" t="str">
        <f>IF(COUNTIF(G7:I9,G7)=COUNT(G7:I9),"balanced","unbalanced")</f>
        <v>balanced</v>
      </c>
      <c r="L5" t="s">
        <v>294</v>
      </c>
      <c r="P5" s="1120" t="s">
        <v>34</v>
      </c>
      <c r="Q5" s="1120">
        <v>0.05</v>
      </c>
      <c r="T5" s="1140" t="str">
        <f>F14</f>
        <v>Cold</v>
      </c>
      <c r="U5" s="1143">
        <v>-1</v>
      </c>
      <c r="V5" s="1140">
        <f>J14</f>
        <v>17.533333333333335</v>
      </c>
      <c r="W5" s="1140">
        <f>J7</f>
        <v>15</v>
      </c>
    </row>
    <row r="6" spans="1:29" ht="15.75" thickTop="1" x14ac:dyDescent="0.25">
      <c r="A6" s="273"/>
      <c r="B6" s="272">
        <v>23</v>
      </c>
      <c r="C6" s="272">
        <v>11</v>
      </c>
      <c r="D6" s="272">
        <v>8</v>
      </c>
      <c r="G6" s="1120" t="str">
        <f>B4</f>
        <v>Arm</v>
      </c>
      <c r="H6" s="1120" t="str">
        <f>C4</f>
        <v>Neck</v>
      </c>
      <c r="I6" s="1120" t="str">
        <f>D4</f>
        <v>Foot</v>
      </c>
      <c r="L6" s="826"/>
      <c r="M6" s="826" t="s">
        <v>219</v>
      </c>
      <c r="N6" s="826" t="s">
        <v>60</v>
      </c>
      <c r="O6" s="826" t="s">
        <v>240</v>
      </c>
      <c r="P6" s="826" t="s">
        <v>135</v>
      </c>
      <c r="Q6" s="826" t="s">
        <v>67</v>
      </c>
      <c r="R6" s="826" t="s">
        <v>527</v>
      </c>
      <c r="T6" s="7" t="str">
        <f>F15</f>
        <v>Dry</v>
      </c>
      <c r="U6" s="1099">
        <v>1</v>
      </c>
      <c r="V6" s="7">
        <f>J15</f>
        <v>25.133333333333333</v>
      </c>
      <c r="W6" s="7">
        <f>J8</f>
        <v>15</v>
      </c>
    </row>
    <row r="7" spans="1:29" x14ac:dyDescent="0.25">
      <c r="A7" s="273"/>
      <c r="B7" s="272">
        <v>26</v>
      </c>
      <c r="C7" s="272">
        <v>28</v>
      </c>
      <c r="D7" s="272">
        <v>2</v>
      </c>
      <c r="F7" t="str">
        <f>A5</f>
        <v>Cold</v>
      </c>
      <c r="G7" s="1069">
        <f>COUNT(B5:B9)</f>
        <v>5</v>
      </c>
      <c r="H7" s="1042">
        <f>COUNT(C5:C9)</f>
        <v>5</v>
      </c>
      <c r="I7" s="1070">
        <f>COUNT(D5:D9)</f>
        <v>5</v>
      </c>
      <c r="J7">
        <f>COUNT(B5:D9)</f>
        <v>15</v>
      </c>
      <c r="L7" t="s">
        <v>136</v>
      </c>
      <c r="M7">
        <f>DEVSQ(J14:J16)*J7</f>
        <v>1255.2444444444438</v>
      </c>
      <c r="N7">
        <f>COUNT(J14:J16)-1</f>
        <v>2</v>
      </c>
      <c r="O7">
        <f>M7/N7</f>
        <v>627.62222222222192</v>
      </c>
      <c r="P7">
        <f>O7/O10</f>
        <v>11.132439889633419</v>
      </c>
      <c r="Q7">
        <f>FDIST(P7,N7,N10)</f>
        <v>1.7223508725008627E-4</v>
      </c>
      <c r="R7" s="1120" t="str">
        <f>IF(Q7&lt;Q5,"yes","no")</f>
        <v>yes</v>
      </c>
      <c r="T7" s="762" t="str">
        <f>F16</f>
        <v>Humid</v>
      </c>
      <c r="U7" s="1100"/>
      <c r="V7" s="762">
        <f>J16</f>
        <v>30.4</v>
      </c>
      <c r="W7" s="762">
        <f>J9</f>
        <v>15</v>
      </c>
    </row>
    <row r="8" spans="1:29" x14ac:dyDescent="0.25">
      <c r="A8" s="273"/>
      <c r="B8" s="272">
        <v>19</v>
      </c>
      <c r="C8" s="272">
        <v>16</v>
      </c>
      <c r="D8" s="272">
        <v>19</v>
      </c>
      <c r="F8" t="str">
        <f>A10</f>
        <v>Dry</v>
      </c>
      <c r="G8" s="501">
        <f>COUNT(B10:B14)</f>
        <v>5</v>
      </c>
      <c r="H8" s="7">
        <f>COUNT(C10:C14)</f>
        <v>5</v>
      </c>
      <c r="I8" s="57">
        <f>COUNT(D10:D14)</f>
        <v>5</v>
      </c>
      <c r="J8">
        <f>COUNT(B10:D14)</f>
        <v>15</v>
      </c>
      <c r="L8" t="s">
        <v>589</v>
      </c>
      <c r="M8">
        <f>DEVSQ(G17:I17)*G10</f>
        <v>98.711111111111208</v>
      </c>
      <c r="N8">
        <f>COUNT(G17:I17)-1</f>
        <v>2</v>
      </c>
      <c r="O8">
        <f>M8/N8</f>
        <v>49.355555555555604</v>
      </c>
      <c r="P8">
        <f>O8/O10</f>
        <v>0.8754434371304699</v>
      </c>
      <c r="Q8">
        <f>FDIST(P8,N8,N10)</f>
        <v>0.42535951679577555</v>
      </c>
      <c r="R8" s="1120" t="str">
        <f>IF(Q8&lt;Q5,"yes","no")</f>
        <v>no</v>
      </c>
      <c r="U8">
        <f>SUM(U5:U7)</f>
        <v>0</v>
      </c>
      <c r="V8">
        <f>SUMPRODUCT(U5:U7,V5:V7)</f>
        <v>7.5999999999999979</v>
      </c>
      <c r="W8">
        <f>SUMPRODUCT(ABS(U5:U7),W5:W7)/SUMPRODUCT(ABS(U5:U7))</f>
        <v>15</v>
      </c>
    </row>
    <row r="9" spans="1:29" ht="15.75" thickBot="1" x14ac:dyDescent="0.3">
      <c r="A9" s="273"/>
      <c r="B9" s="272">
        <v>31</v>
      </c>
      <c r="C9" s="272">
        <v>23</v>
      </c>
      <c r="D9" s="168">
        <v>10</v>
      </c>
      <c r="F9" t="str">
        <f>A15</f>
        <v>Humid</v>
      </c>
      <c r="G9" s="759">
        <f>COUNT(B15:B19)</f>
        <v>5</v>
      </c>
      <c r="H9" s="760">
        <f>COUNT(C15:C19)</f>
        <v>5</v>
      </c>
      <c r="I9" s="761">
        <f>COUNT(D15:D19)</f>
        <v>5</v>
      </c>
      <c r="J9">
        <f>COUNT(B15:D19)</f>
        <v>15</v>
      </c>
      <c r="L9" t="s">
        <v>1319</v>
      </c>
      <c r="M9">
        <f>M11-M7-M8-M10</f>
        <v>882.75555555555525</v>
      </c>
      <c r="N9">
        <f>N8*N7</f>
        <v>4</v>
      </c>
      <c r="O9">
        <f>M9/N9</f>
        <v>220.68888888888881</v>
      </c>
      <c r="P9">
        <f>O9/O10</f>
        <v>3.9144659046117445</v>
      </c>
      <c r="Q9">
        <f>FDIST(P9,N9,N10)</f>
        <v>9.7039309182118672E-3</v>
      </c>
      <c r="R9" s="1120" t="str">
        <f>IF(Q9&lt;Q5,"yes","no")</f>
        <v>yes</v>
      </c>
      <c r="T9" t="s">
        <v>1612</v>
      </c>
      <c r="Y9" t="s">
        <v>34</v>
      </c>
      <c r="Z9">
        <v>0.05</v>
      </c>
    </row>
    <row r="10" spans="1:29" ht="15.75" thickTop="1" x14ac:dyDescent="0.25">
      <c r="A10" s="289" t="s">
        <v>674</v>
      </c>
      <c r="B10" s="296">
        <v>33</v>
      </c>
      <c r="C10" s="296">
        <v>25</v>
      </c>
      <c r="D10" s="296">
        <v>30</v>
      </c>
      <c r="G10">
        <f>COUNT(B5:B19)</f>
        <v>15</v>
      </c>
      <c r="H10">
        <f>COUNT(C5:C19)</f>
        <v>15</v>
      </c>
      <c r="I10">
        <f>COUNT(D5:D19)</f>
        <v>15</v>
      </c>
      <c r="J10">
        <f>COUNT(B5:D19)</f>
        <v>45</v>
      </c>
      <c r="L10" t="s">
        <v>600</v>
      </c>
      <c r="M10">
        <f>SUM(G21:I23)*(G7-1)</f>
        <v>2029.6000000000001</v>
      </c>
      <c r="N10">
        <f>N11-N7-N8-N9</f>
        <v>36</v>
      </c>
      <c r="O10">
        <f>M10/N10</f>
        <v>56.37777777777778</v>
      </c>
      <c r="T10" s="826" t="s">
        <v>1000</v>
      </c>
      <c r="U10" s="826" t="s">
        <v>1610</v>
      </c>
      <c r="V10" s="826" t="s">
        <v>60</v>
      </c>
      <c r="W10" s="826" t="s">
        <v>534</v>
      </c>
      <c r="X10" s="826" t="s">
        <v>111</v>
      </c>
      <c r="Y10" s="826" t="s">
        <v>29</v>
      </c>
      <c r="Z10" s="826" t="s">
        <v>30</v>
      </c>
      <c r="AA10" s="826" t="s">
        <v>527</v>
      </c>
      <c r="AB10" s="826" t="s">
        <v>1235</v>
      </c>
      <c r="AC10" s="826" t="s">
        <v>1009</v>
      </c>
    </row>
    <row r="11" spans="1:29" x14ac:dyDescent="0.25">
      <c r="A11" s="273"/>
      <c r="B11" s="272">
        <v>26</v>
      </c>
      <c r="C11" s="272">
        <v>29</v>
      </c>
      <c r="D11" s="272">
        <v>29</v>
      </c>
      <c r="L11" s="762" t="s">
        <v>1</v>
      </c>
      <c r="M11" s="762">
        <f>O11*N11</f>
        <v>4266.3111111111102</v>
      </c>
      <c r="N11" s="762">
        <f>J10-1</f>
        <v>44</v>
      </c>
      <c r="O11" s="762">
        <f>J24</f>
        <v>96.961616161616135</v>
      </c>
      <c r="P11" s="762"/>
      <c r="Q11" s="762"/>
      <c r="R11" s="762"/>
      <c r="T11" s="1141">
        <f>SQRT(SUMPRODUCT(G21:I23*(G7:I9-1))/(W8*V11))</f>
        <v>1.9386898974613034</v>
      </c>
      <c r="U11" s="1141">
        <f>V8/T11</f>
        <v>3.9201731075981403</v>
      </c>
      <c r="V11" s="1141">
        <f>SUM(G7:I9)-COUNT(G7:I9)</f>
        <v>36</v>
      </c>
      <c r="W11" s="1141">
        <f>[1]!QCRIT(COUNT(W5:W7),V11,Z9,2)</f>
        <v>3.4569999999999999</v>
      </c>
      <c r="X11" s="1141">
        <f>T11*W11</f>
        <v>6.7020509755237256</v>
      </c>
      <c r="Y11" s="1141">
        <f>V8-T11*W11</f>
        <v>0.89794902447627223</v>
      </c>
      <c r="Z11" s="1141">
        <f>V8+T11*W11</f>
        <v>14.302050975523724</v>
      </c>
      <c r="AA11" s="1142" t="str">
        <f>IF(ABS(U11)&gt;W11,"yes","no")</f>
        <v>yes</v>
      </c>
      <c r="AB11" s="1141">
        <f>ABS(V8)/(T11*SQRT(W8))</f>
        <v>1.0121843439985183</v>
      </c>
      <c r="AC11" s="1141">
        <f>SQRT(U11^2/(U11^2+V11))</f>
        <v>0.54696551145225958</v>
      </c>
    </row>
    <row r="12" spans="1:29" x14ac:dyDescent="0.25">
      <c r="A12" s="273"/>
      <c r="B12" s="272">
        <v>15</v>
      </c>
      <c r="C12" s="272">
        <v>17</v>
      </c>
      <c r="D12" s="272">
        <v>39</v>
      </c>
      <c r="F12" t="s">
        <v>610</v>
      </c>
    </row>
    <row r="13" spans="1:29" x14ac:dyDescent="0.25">
      <c r="A13" s="273"/>
      <c r="B13" s="272">
        <v>18</v>
      </c>
      <c r="C13" s="272">
        <v>22</v>
      </c>
      <c r="D13" s="272">
        <v>25</v>
      </c>
      <c r="G13" s="1120" t="str">
        <f>B4</f>
        <v>Arm</v>
      </c>
      <c r="H13" s="1120" t="str">
        <f>C4</f>
        <v>Neck</v>
      </c>
      <c r="I13" s="1120" t="str">
        <f>D4</f>
        <v>Foot</v>
      </c>
    </row>
    <row r="14" spans="1:29" ht="15.75" thickBot="1" x14ac:dyDescent="0.3">
      <c r="A14" s="273"/>
      <c r="B14" s="272">
        <v>33</v>
      </c>
      <c r="C14" s="272">
        <v>12</v>
      </c>
      <c r="D14" s="168">
        <v>24</v>
      </c>
      <c r="F14" t="str">
        <f>A5</f>
        <v>Cold</v>
      </c>
      <c r="G14" s="1069">
        <f>AVERAGE(B5:B9)</f>
        <v>22.8</v>
      </c>
      <c r="H14" s="1042">
        <f>AVERAGE(C5:C9)</f>
        <v>19.8</v>
      </c>
      <c r="I14" s="1070">
        <f>AVERAGE(D5:D9)</f>
        <v>10</v>
      </c>
      <c r="J14">
        <f>AVERAGE(B5:D9)</f>
        <v>17.533333333333335</v>
      </c>
      <c r="T14" t="s">
        <v>2469</v>
      </c>
    </row>
    <row r="15" spans="1:29" ht="15.75" thickTop="1" x14ac:dyDescent="0.25">
      <c r="A15" s="289" t="s">
        <v>675</v>
      </c>
      <c r="B15" s="296">
        <v>28</v>
      </c>
      <c r="C15" s="296">
        <v>16</v>
      </c>
      <c r="D15" s="296">
        <v>26</v>
      </c>
      <c r="F15" t="str">
        <f>A10</f>
        <v>Dry</v>
      </c>
      <c r="G15" s="501">
        <f>AVERAGE(B10:B14)</f>
        <v>25</v>
      </c>
      <c r="H15" s="7">
        <f>AVERAGE(C10:C14)</f>
        <v>21</v>
      </c>
      <c r="I15" s="57">
        <f>AVERAGE(D10:D14)</f>
        <v>29.4</v>
      </c>
      <c r="J15">
        <f>AVERAGE(B10:D14)</f>
        <v>25.133333333333333</v>
      </c>
      <c r="T15" s="826" t="s">
        <v>79</v>
      </c>
      <c r="U15" s="826" t="s">
        <v>43</v>
      </c>
      <c r="V15" s="826" t="s">
        <v>7</v>
      </c>
      <c r="W15" s="826" t="s">
        <v>31</v>
      </c>
    </row>
    <row r="16" spans="1:29" x14ac:dyDescent="0.25">
      <c r="A16" s="273"/>
      <c r="B16" s="272">
        <v>20</v>
      </c>
      <c r="C16" s="272">
        <v>18</v>
      </c>
      <c r="D16" s="272">
        <v>37</v>
      </c>
      <c r="F16" t="str">
        <f>A15</f>
        <v>Humid</v>
      </c>
      <c r="G16" s="759">
        <f>AVERAGE(B15:B19)</f>
        <v>28</v>
      </c>
      <c r="H16" s="760">
        <f>AVERAGE(C15:C19)</f>
        <v>26</v>
      </c>
      <c r="I16" s="761">
        <f>AVERAGE(D15:D19)</f>
        <v>37.200000000000003</v>
      </c>
      <c r="J16">
        <f>AVERAGE(B15:D19)</f>
        <v>30.4</v>
      </c>
      <c r="T16" s="1140" t="str">
        <f t="array" ref="T16:T18">TRANSPOSE(G13:I13)</f>
        <v>Arm</v>
      </c>
      <c r="U16" s="1143">
        <v>1</v>
      </c>
      <c r="V16" s="1140">
        <f t="array" ref="V16:V18">TRANSPOSE(G17:I17)</f>
        <v>25.266666666666666</v>
      </c>
      <c r="W16" s="1140">
        <f t="array" ref="W16:W18">TRANSPOSE(G10:I10)</f>
        <v>15</v>
      </c>
    </row>
    <row r="17" spans="1:34" x14ac:dyDescent="0.25">
      <c r="A17" s="273"/>
      <c r="B17" s="272">
        <v>18</v>
      </c>
      <c r="C17" s="272">
        <v>26</v>
      </c>
      <c r="D17" s="272">
        <v>39</v>
      </c>
      <c r="G17">
        <f>AVERAGE(B5:B19)</f>
        <v>25.266666666666666</v>
      </c>
      <c r="H17">
        <f>AVERAGE(C5:C19)</f>
        <v>22.266666666666666</v>
      </c>
      <c r="I17">
        <f>AVERAGE(D5:D19)</f>
        <v>25.533333333333335</v>
      </c>
      <c r="J17">
        <f>AVERAGE(B5:D19)</f>
        <v>24.355555555555554</v>
      </c>
      <c r="T17" s="7" t="str">
        <v>Neck</v>
      </c>
      <c r="U17" s="1099">
        <v>-1</v>
      </c>
      <c r="V17" s="7">
        <v>22.266666666666666</v>
      </c>
      <c r="W17" s="7">
        <v>15</v>
      </c>
    </row>
    <row r="18" spans="1:34" x14ac:dyDescent="0.25">
      <c r="A18" s="273"/>
      <c r="B18" s="272">
        <v>36</v>
      </c>
      <c r="C18" s="272">
        <v>36</v>
      </c>
      <c r="D18" s="272">
        <v>34</v>
      </c>
      <c r="T18" s="762" t="str">
        <v>Foot</v>
      </c>
      <c r="U18" s="1100"/>
      <c r="V18" s="762">
        <v>25.533333333333335</v>
      </c>
      <c r="W18" s="762">
        <v>15</v>
      </c>
    </row>
    <row r="19" spans="1:34" x14ac:dyDescent="0.25">
      <c r="A19" s="9"/>
      <c r="B19" s="168">
        <v>38</v>
      </c>
      <c r="C19" s="168">
        <v>34</v>
      </c>
      <c r="D19" s="168">
        <v>50</v>
      </c>
      <c r="F19" t="s">
        <v>1667</v>
      </c>
      <c r="U19">
        <f>SUM(U16:U18)</f>
        <v>0</v>
      </c>
      <c r="V19">
        <f>SUMPRODUCT(U16:U18,V16:V18)</f>
        <v>3</v>
      </c>
      <c r="W19">
        <f>SUMPRODUCT(ABS(U16:U18),W16:W18)/SUMPRODUCT(ABS(U16:U18))</f>
        <v>15</v>
      </c>
    </row>
    <row r="20" spans="1:34" ht="15.75" thickBot="1" x14ac:dyDescent="0.3">
      <c r="G20" s="1120" t="str">
        <f>B4</f>
        <v>Arm</v>
      </c>
      <c r="H20" s="1120" t="str">
        <f>C4</f>
        <v>Neck</v>
      </c>
      <c r="I20" s="1120" t="str">
        <f>D4</f>
        <v>Foot</v>
      </c>
      <c r="T20" t="s">
        <v>1612</v>
      </c>
      <c r="Y20" t="s">
        <v>34</v>
      </c>
      <c r="Z20">
        <v>0.05</v>
      </c>
    </row>
    <row r="21" spans="1:34" ht="15.75" thickTop="1" x14ac:dyDescent="0.25">
      <c r="F21" t="str">
        <f>A5</f>
        <v>Cold</v>
      </c>
      <c r="G21" s="1069">
        <f>VAR(B5:B9)</f>
        <v>38.200000000000045</v>
      </c>
      <c r="H21" s="1042">
        <f>VAR(C5:C9)</f>
        <v>42.699999999999989</v>
      </c>
      <c r="I21" s="1070">
        <f>VAR(D5:D9)</f>
        <v>37.5</v>
      </c>
      <c r="J21">
        <f>VAR(B5:D9)</f>
        <v>65.838095238095249</v>
      </c>
      <c r="T21" s="826" t="s">
        <v>1000</v>
      </c>
      <c r="U21" s="826" t="s">
        <v>1610</v>
      </c>
      <c r="V21" s="826" t="s">
        <v>60</v>
      </c>
      <c r="W21" s="826" t="s">
        <v>534</v>
      </c>
      <c r="X21" s="826" t="s">
        <v>111</v>
      </c>
      <c r="Y21" s="826" t="s">
        <v>29</v>
      </c>
      <c r="Z21" s="826" t="s">
        <v>30</v>
      </c>
      <c r="AA21" s="826" t="s">
        <v>527</v>
      </c>
      <c r="AB21" s="826" t="s">
        <v>64</v>
      </c>
      <c r="AC21" s="826" t="s">
        <v>1009</v>
      </c>
    </row>
    <row r="22" spans="1:34" x14ac:dyDescent="0.25">
      <c r="F22" t="str">
        <f>A10</f>
        <v>Dry</v>
      </c>
      <c r="G22" s="501">
        <f>VAR(B10:B14)</f>
        <v>69.5</v>
      </c>
      <c r="H22" s="7">
        <f>VAR(C10:C14)</f>
        <v>44.5</v>
      </c>
      <c r="I22" s="57">
        <f>VAR(D10:D14)</f>
        <v>35.299999999999955</v>
      </c>
      <c r="J22">
        <f>VAR(B10:D14)</f>
        <v>55.266666666666687</v>
      </c>
      <c r="T22" s="1141">
        <f>SQRT(SUMPRODUCT(G21:I23*(G7:I9-1))/(W19*V22))</f>
        <v>1.9386898974613034</v>
      </c>
      <c r="U22" s="1141">
        <f>V19/T22</f>
        <v>1.5474367529992663</v>
      </c>
      <c r="V22" s="1141">
        <f>SUM(G7:I9)-COUNT(G7:I9)</f>
        <v>36</v>
      </c>
      <c r="W22" s="1141">
        <f>[1]!QCRIT(COUNT(W16:W18),V22,Z20,2)</f>
        <v>3.4569999999999999</v>
      </c>
      <c r="X22" s="1141">
        <f>T22*W22</f>
        <v>6.7020509755237256</v>
      </c>
      <c r="Y22" s="1141">
        <f>V19-T22*W22</f>
        <v>-3.7020509755237256</v>
      </c>
      <c r="Z22" s="1141">
        <f>V19+T22*W22</f>
        <v>9.7020509755237256</v>
      </c>
      <c r="AA22" s="1142" t="str">
        <f>IF(ABS(U22)&gt;W22,"yes","no")</f>
        <v>no</v>
      </c>
      <c r="AB22" s="1141">
        <f>ABS(V19)/(T22*SQRT(W19))</f>
        <v>0.39954645157836255</v>
      </c>
      <c r="AC22" s="1141">
        <f>SQRT(U22^2/(U22^2+V22))</f>
        <v>0.24973422072959611</v>
      </c>
    </row>
    <row r="23" spans="1:34" x14ac:dyDescent="0.25">
      <c r="F23" t="str">
        <f>A15</f>
        <v>Humid</v>
      </c>
      <c r="G23" s="759">
        <f>VAR(B15:B19)</f>
        <v>82</v>
      </c>
      <c r="H23" s="760">
        <f>VAR(C15:C19)</f>
        <v>82</v>
      </c>
      <c r="I23" s="761">
        <f>VAR(D15:D19)</f>
        <v>75.700000000000045</v>
      </c>
      <c r="J23">
        <f>VAR(B15:D19)</f>
        <v>93.971428571428604</v>
      </c>
    </row>
    <row r="24" spans="1:34" x14ac:dyDescent="0.25">
      <c r="G24">
        <f>VAR(B5:B19)</f>
        <v>59.066666666666606</v>
      </c>
      <c r="H24">
        <f>VAR(C5:C19)</f>
        <v>56.06666666666667</v>
      </c>
      <c r="I24">
        <f>VAR(D5:D19)</f>
        <v>182.55238095238096</v>
      </c>
      <c r="J24">
        <f>VAR(B5:D19)</f>
        <v>96.961616161616135</v>
      </c>
    </row>
    <row r="25" spans="1:34" ht="15.75" thickBot="1" x14ac:dyDescent="0.3">
      <c r="T25" t="s">
        <v>511</v>
      </c>
      <c r="Y25" t="s">
        <v>2470</v>
      </c>
    </row>
    <row r="26" spans="1:34" ht="15.75" thickTop="1" x14ac:dyDescent="0.25">
      <c r="U26" t="str">
        <f t="array" ref="U26:W26">G13:I13</f>
        <v>Arm</v>
      </c>
      <c r="V26" t="str">
        <v>Neck</v>
      </c>
      <c r="W26" t="str">
        <v>Foot</v>
      </c>
      <c r="Y26" s="826" t="s">
        <v>79</v>
      </c>
      <c r="Z26" s="826" t="s">
        <v>43</v>
      </c>
      <c r="AA26" s="826" t="s">
        <v>7</v>
      </c>
      <c r="AB26" s="826" t="s">
        <v>31</v>
      </c>
      <c r="AC26" s="826" t="s">
        <v>56</v>
      </c>
      <c r="AD26" s="826" t="s">
        <v>2471</v>
      </c>
    </row>
    <row r="27" spans="1:34" x14ac:dyDescent="0.25">
      <c r="T27" t="str">
        <f t="array" ref="T27:T29">F14:F16</f>
        <v>Cold</v>
      </c>
      <c r="U27" s="1144">
        <v>1</v>
      </c>
      <c r="V27" s="1145"/>
      <c r="W27" s="1146">
        <v>-1</v>
      </c>
      <c r="Y27" t="str">
        <f t="array" ref="Y27">INDEX(T27:T29,MIN(IF(U27:W29=1,ROW(U27:W29)-ROW(U27)+1)))</f>
        <v>Cold</v>
      </c>
      <c r="Z27" t="str">
        <f t="array" ref="Z27">INDEX(U26:W26,MIN(IF(U27:W29=1,COLUMN(U27:W29)-COLUMN(U27)+1)))</f>
        <v>Arm</v>
      </c>
      <c r="AA27">
        <f>INDEX(G14:I16,MATCH(Y27,F14:F16),MATCH(Z27,G13:I13,0))</f>
        <v>22.8</v>
      </c>
      <c r="AB27">
        <f>INDEX(G7:I9,MATCH(Y27,F7:F9),MATCH(Z27,G6:I6,0))</f>
        <v>5</v>
      </c>
    </row>
    <row r="28" spans="1:34" x14ac:dyDescent="0.25">
      <c r="T28" t="str">
        <v>Dry</v>
      </c>
      <c r="U28" s="1129"/>
      <c r="V28" s="1099"/>
      <c r="W28" s="1130"/>
      <c r="Y28" s="762" t="str">
        <f t="array" ref="Y28">INDEX(T27:T29,MIN(IF(U27:W29=-1,ROW(U27:W29)-ROW(U27)+1)))</f>
        <v>Cold</v>
      </c>
      <c r="Z28" s="762" t="str">
        <f t="array" ref="Z28">INDEX(U26:W26,MIN(IF(U27:W29=-1,COLUMN(U27:W29)-COLUMN(U27)+1)))</f>
        <v>Foot</v>
      </c>
      <c r="AA28" s="762">
        <f>INDEX(G14:I16,MATCH(Y28,F14:F16),MATCH(Z28,G13:I13,0))</f>
        <v>10</v>
      </c>
      <c r="AB28" s="762">
        <f>INDEX(G7:I9,MATCH(Y28,F7:F9),MATCH(Z28,G6:I6,0))</f>
        <v>5</v>
      </c>
      <c r="AC28" s="762"/>
      <c r="AD28" s="762"/>
    </row>
    <row r="29" spans="1:34" x14ac:dyDescent="0.25">
      <c r="T29" t="str">
        <v>Humid</v>
      </c>
      <c r="U29" s="1131"/>
      <c r="V29" s="1132"/>
      <c r="W29" s="1133"/>
      <c r="AA29">
        <f>$AA$27-$AA$28</f>
        <v>12.8</v>
      </c>
      <c r="AB29">
        <f>HARMEAN($AB$27,$AB$28)</f>
        <v>5</v>
      </c>
      <c r="AC29">
        <f>COUNT(G7:I9)</f>
        <v>9</v>
      </c>
      <c r="AD29">
        <f>[1]!ADJK(COUNT(G7:G9),COUNT(G7:I7))</f>
        <v>7</v>
      </c>
    </row>
    <row r="30" spans="1:34" ht="15.75" thickBot="1" x14ac:dyDescent="0.3">
      <c r="Y30" t="s">
        <v>1612</v>
      </c>
      <c r="AF30" t="s">
        <v>34</v>
      </c>
      <c r="AG30">
        <v>0.05</v>
      </c>
    </row>
    <row r="31" spans="1:34" ht="15.75" thickTop="1" x14ac:dyDescent="0.25">
      <c r="Y31" s="826" t="s">
        <v>1000</v>
      </c>
      <c r="Z31" s="826" t="s">
        <v>1610</v>
      </c>
      <c r="AA31" s="826" t="s">
        <v>60</v>
      </c>
      <c r="AB31" s="826" t="s">
        <v>534</v>
      </c>
      <c r="AC31" s="826" t="s">
        <v>111</v>
      </c>
      <c r="AD31" s="826" t="s">
        <v>29</v>
      </c>
      <c r="AE31" s="826" t="s">
        <v>30</v>
      </c>
      <c r="AF31" s="826" t="s">
        <v>527</v>
      </c>
      <c r="AG31" s="826" t="s">
        <v>64</v>
      </c>
      <c r="AH31" s="826" t="s">
        <v>1009</v>
      </c>
    </row>
    <row r="32" spans="1:34" x14ac:dyDescent="0.25">
      <c r="Y32" s="1141">
        <f>SQRT(SUMPRODUCT(G21:I23*(G7:I9-1))/(AB29*AA32))</f>
        <v>3.3579094025234744</v>
      </c>
      <c r="Z32" s="1141">
        <f>AA29/Y32</f>
        <v>3.8118955771650005</v>
      </c>
      <c r="AA32" s="1141">
        <f>SUM(G7:I9)-COUNT(G7:I9)</f>
        <v>36</v>
      </c>
      <c r="AB32" s="1141">
        <f>[1]!QCRIT(AD29,AA32,AG30,2)</f>
        <v>4.4139999999999997</v>
      </c>
      <c r="AC32" s="1141">
        <f>Y32*AB32</f>
        <v>14.821812102738615</v>
      </c>
      <c r="AD32" s="1141">
        <f>AA29-Y32*AB32</f>
        <v>-2.0218121027386147</v>
      </c>
      <c r="AE32" s="1141">
        <f>AA29+Y32*AB32</f>
        <v>27.621812102738616</v>
      </c>
      <c r="AF32" s="1142" t="str">
        <f>IF(ABS(Z32)&gt;AB32,"yes","no")</f>
        <v>no</v>
      </c>
      <c r="AG32" s="1141">
        <f>ABS(AA29)/(Y32*SQRT(AB29))</f>
        <v>1.704731526734347</v>
      </c>
      <c r="AH32" s="1141">
        <f>SQRT(Z32^2/(Z32^2+AA32))</f>
        <v>0.53624590837488595</v>
      </c>
    </row>
    <row r="35" spans="20:34" ht="15.75" thickBot="1" x14ac:dyDescent="0.3">
      <c r="T35" t="s">
        <v>511</v>
      </c>
      <c r="Y35" t="s">
        <v>2470</v>
      </c>
    </row>
    <row r="36" spans="20:34" ht="15.75" thickTop="1" x14ac:dyDescent="0.25">
      <c r="U36" t="str">
        <f t="array" ref="U36:W36">G13:I13</f>
        <v>Arm</v>
      </c>
      <c r="V36" t="str">
        <v>Neck</v>
      </c>
      <c r="W36" t="str">
        <v>Foot</v>
      </c>
      <c r="Y36" s="826" t="s">
        <v>79</v>
      </c>
      <c r="Z36" s="826" t="s">
        <v>43</v>
      </c>
      <c r="AA36" s="826" t="s">
        <v>7</v>
      </c>
      <c r="AB36" s="826" t="s">
        <v>31</v>
      </c>
      <c r="AC36" s="826" t="s">
        <v>56</v>
      </c>
      <c r="AD36" s="826" t="s">
        <v>2471</v>
      </c>
    </row>
    <row r="37" spans="20:34" x14ac:dyDescent="0.25">
      <c r="T37" t="str">
        <f t="array" ref="T37:T39">F14:F16</f>
        <v>Cold</v>
      </c>
      <c r="U37" s="1144"/>
      <c r="V37" s="1145"/>
      <c r="W37" s="1146">
        <v>-1</v>
      </c>
      <c r="Y37" t="str">
        <f t="array" ref="Y37">INDEX(T37:T39,MIN(IF(U37:W39=1,ROW(U37:W39)-ROW(U37)+1)))</f>
        <v>Dry</v>
      </c>
      <c r="Z37" t="str">
        <f t="array" ref="Z37">INDEX(U36:W36,MIN(IF(U37:W39=1,COLUMN(U37:W39)-COLUMN(U37)+1)))</f>
        <v>Foot</v>
      </c>
      <c r="AA37">
        <f>INDEX(G14:I16,MATCH(Y37,F14:F16),MATCH(Z37,G13:I13,0))</f>
        <v>29.4</v>
      </c>
      <c r="AB37">
        <f>INDEX(G7:I9,MATCH(Y37,F7:F9),MATCH(Z37,G6:I6,0))</f>
        <v>5</v>
      </c>
    </row>
    <row r="38" spans="20:34" x14ac:dyDescent="0.25">
      <c r="T38" t="str">
        <v>Dry</v>
      </c>
      <c r="U38" s="1129"/>
      <c r="V38" s="1099"/>
      <c r="W38" s="1130">
        <v>1</v>
      </c>
      <c r="Y38" s="762" t="str">
        <f t="array" ref="Y38">INDEX(T37:T39,MIN(IF(U37:W39=-1,ROW(U37:W39)-ROW(U37)+1)))</f>
        <v>Cold</v>
      </c>
      <c r="Z38" s="762" t="str">
        <f t="array" ref="Z38">INDEX(U36:W36,MIN(IF(U37:W39=-1,COLUMN(U37:W39)-COLUMN(U37)+1)))</f>
        <v>Foot</v>
      </c>
      <c r="AA38" s="762">
        <f>INDEX(G14:I16,MATCH(Y38,F14:F16),MATCH(Z38,G13:I13,0))</f>
        <v>10</v>
      </c>
      <c r="AB38" s="762">
        <f>INDEX(G7:I9,MATCH(Y38,F7:F9),MATCH(Z38,G6:I6,0))</f>
        <v>5</v>
      </c>
      <c r="AC38" s="762"/>
      <c r="AD38" s="762"/>
    </row>
    <row r="39" spans="20:34" x14ac:dyDescent="0.25">
      <c r="T39" t="str">
        <v>Humid</v>
      </c>
      <c r="U39" s="1131"/>
      <c r="V39" s="1132"/>
      <c r="W39" s="1133"/>
      <c r="AA39">
        <f>$AA$37-$AA$38</f>
        <v>19.399999999999999</v>
      </c>
      <c r="AB39">
        <f>HARMEAN($AB$37,$AB$38)</f>
        <v>5</v>
      </c>
      <c r="AC39">
        <f>COUNT(G7:I9)</f>
        <v>9</v>
      </c>
      <c r="AD39">
        <f>[1]!ADJK(COUNT(G7:G9),COUNT(G7:I7))</f>
        <v>7</v>
      </c>
    </row>
    <row r="40" spans="20:34" ht="15.75" thickBot="1" x14ac:dyDescent="0.3">
      <c r="Y40" t="s">
        <v>1612</v>
      </c>
      <c r="AF40" t="s">
        <v>34</v>
      </c>
      <c r="AG40">
        <v>0.05</v>
      </c>
    </row>
    <row r="41" spans="20:34" ht="15.75" thickTop="1" x14ac:dyDescent="0.25">
      <c r="Y41" s="826" t="s">
        <v>1000</v>
      </c>
      <c r="Z41" s="826" t="s">
        <v>1610</v>
      </c>
      <c r="AA41" s="826" t="s">
        <v>60</v>
      </c>
      <c r="AB41" s="826" t="s">
        <v>534</v>
      </c>
      <c r="AC41" s="826" t="s">
        <v>111</v>
      </c>
      <c r="AD41" s="826" t="s">
        <v>29</v>
      </c>
      <c r="AE41" s="826" t="s">
        <v>30</v>
      </c>
      <c r="AF41" s="826" t="s">
        <v>527</v>
      </c>
      <c r="AG41" s="826" t="s">
        <v>64</v>
      </c>
      <c r="AH41" s="826" t="s">
        <v>1009</v>
      </c>
    </row>
    <row r="42" spans="20:34" x14ac:dyDescent="0.25">
      <c r="Y42" s="1141">
        <f>SQRT(SUMPRODUCT(G21:I23*(G7:I9-1))/(AB39*AA42))</f>
        <v>3.3579094025234744</v>
      </c>
      <c r="Z42" s="1141">
        <f>AA39/Y42</f>
        <v>5.777404234140703</v>
      </c>
      <c r="AA42" s="1141">
        <f>SUM(G7:I9)-COUNT(G7:I9)</f>
        <v>36</v>
      </c>
      <c r="AB42" s="1141">
        <f>[1]!QCRIT(AD39,AA42,AG40,2)</f>
        <v>4.4139999999999997</v>
      </c>
      <c r="AC42" s="1141">
        <f>Y42*AB42</f>
        <v>14.821812102738615</v>
      </c>
      <c r="AD42" s="1141">
        <f>AA39-Y42*AB42</f>
        <v>4.5781878972613832</v>
      </c>
      <c r="AE42" s="1141">
        <f>AA39+Y42*AB42</f>
        <v>34.22181210273861</v>
      </c>
      <c r="AF42" s="1142" t="str">
        <f>IF(ABS(Z42)&gt;AB42,"yes","no")</f>
        <v>yes</v>
      </c>
      <c r="AG42" s="1141">
        <f>ABS(AA39)/(Y42*SQRT(AB39))</f>
        <v>2.5837337202067445</v>
      </c>
      <c r="AH42" s="1141">
        <f>SQRT(Z42^2/(Z42^2+AA42))</f>
        <v>0.69361841755989961</v>
      </c>
    </row>
  </sheetData>
  <mergeCells count="1">
    <mergeCell ref="B3:D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AE30"/>
  <sheetViews>
    <sheetView topLeftCell="H1" zoomScaleNormal="100" workbookViewId="0">
      <selection activeCell="Y7" sqref="Y7"/>
    </sheetView>
  </sheetViews>
  <sheetFormatPr defaultRowHeight="15" x14ac:dyDescent="0.25"/>
  <cols>
    <col min="4" max="15" width="4.42578125" customWidth="1"/>
    <col min="16" max="16" width="2.7109375" customWidth="1"/>
    <col min="25" max="25" width="19.5703125" customWidth="1"/>
    <col min="32" max="32" width="23.42578125" customWidth="1"/>
  </cols>
  <sheetData>
    <row r="1" spans="1:31" x14ac:dyDescent="0.25">
      <c r="A1" s="1" t="s">
        <v>633</v>
      </c>
      <c r="S1" s="189" t="s">
        <v>652</v>
      </c>
    </row>
    <row r="3" spans="1:31" x14ac:dyDescent="0.25">
      <c r="A3" s="283" t="s">
        <v>620</v>
      </c>
      <c r="B3" s="284" t="s">
        <v>653</v>
      </c>
      <c r="C3" s="285" t="s">
        <v>657</v>
      </c>
      <c r="D3" s="1294" t="s">
        <v>621</v>
      </c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6"/>
      <c r="Q3" s="297" t="s">
        <v>10</v>
      </c>
      <c r="S3" s="13" t="s">
        <v>573</v>
      </c>
      <c r="T3" s="13" t="s">
        <v>41</v>
      </c>
      <c r="U3" s="13" t="s">
        <v>42</v>
      </c>
      <c r="V3" s="13" t="s">
        <v>43</v>
      </c>
    </row>
    <row r="4" spans="1:31" x14ac:dyDescent="0.25">
      <c r="A4" s="273" t="s">
        <v>130</v>
      </c>
      <c r="B4" s="272" t="s">
        <v>654</v>
      </c>
      <c r="C4" s="8" t="s">
        <v>658</v>
      </c>
      <c r="D4" s="287">
        <v>23</v>
      </c>
      <c r="E4" s="287">
        <v>18</v>
      </c>
      <c r="F4" s="287">
        <v>26</v>
      </c>
      <c r="G4" s="287">
        <v>32</v>
      </c>
      <c r="H4" s="287">
        <v>13</v>
      </c>
      <c r="I4" s="287">
        <v>31</v>
      </c>
      <c r="J4" s="287">
        <v>26</v>
      </c>
      <c r="K4" s="287">
        <v>34</v>
      </c>
      <c r="L4" s="287">
        <v>17</v>
      </c>
      <c r="M4" s="287">
        <v>23</v>
      </c>
      <c r="N4" s="287">
        <v>28</v>
      </c>
      <c r="O4" s="288">
        <v>26</v>
      </c>
      <c r="Q4" s="296">
        <f>AVERAGE(D4:O4)</f>
        <v>24.75</v>
      </c>
      <c r="S4" s="283">
        <f>COUNT(D4:O4)</f>
        <v>12</v>
      </c>
      <c r="T4" s="286">
        <f>COUNTA(S9:S10)</f>
        <v>2</v>
      </c>
      <c r="U4" s="286">
        <f>COUNTA(T8:U8)</f>
        <v>2</v>
      </c>
      <c r="V4" s="285">
        <f>COUNTA(S19:S20)</f>
        <v>2</v>
      </c>
      <c r="Y4" s="295" t="s">
        <v>22</v>
      </c>
      <c r="Z4" s="245" t="s">
        <v>219</v>
      </c>
      <c r="AA4" s="295" t="s">
        <v>60</v>
      </c>
      <c r="AB4" s="245" t="s">
        <v>240</v>
      </c>
      <c r="AC4" s="1299" t="s">
        <v>651</v>
      </c>
      <c r="AD4" s="1299"/>
      <c r="AE4" s="1299"/>
    </row>
    <row r="5" spans="1:31" x14ac:dyDescent="0.25">
      <c r="A5" s="273" t="s">
        <v>130</v>
      </c>
      <c r="B5" s="272" t="s">
        <v>654</v>
      </c>
      <c r="C5" s="8" t="s">
        <v>659</v>
      </c>
      <c r="D5" s="7">
        <v>24</v>
      </c>
      <c r="E5" s="7">
        <v>25</v>
      </c>
      <c r="F5" s="7">
        <v>14</v>
      </c>
      <c r="G5" s="7">
        <v>17</v>
      </c>
      <c r="H5" s="7">
        <v>30</v>
      </c>
      <c r="I5" s="7">
        <v>18</v>
      </c>
      <c r="J5" s="7">
        <v>11</v>
      </c>
      <c r="K5" s="7">
        <v>16</v>
      </c>
      <c r="L5" s="7">
        <v>25</v>
      </c>
      <c r="M5" s="7">
        <v>18</v>
      </c>
      <c r="N5" s="7">
        <v>14</v>
      </c>
      <c r="O5" s="8">
        <v>25</v>
      </c>
      <c r="Q5" s="272">
        <f t="shared" ref="Q5:Q11" si="0">AVERAGE(D5:O5)</f>
        <v>19.75</v>
      </c>
      <c r="X5" s="292" t="s">
        <v>241</v>
      </c>
      <c r="Y5" s="289">
        <v>1</v>
      </c>
      <c r="Z5" s="287">
        <f>DEVSQ(D4:O11)</f>
        <v>6867.65625</v>
      </c>
      <c r="AA5" s="287">
        <f>S4*T4*U4*V4-1</f>
        <v>95</v>
      </c>
      <c r="AB5" s="288">
        <f t="shared" ref="AB5:AB17" si="1">Z5/AA5</f>
        <v>72.29111842105263</v>
      </c>
      <c r="AC5" s="1297" t="s">
        <v>638</v>
      </c>
      <c r="AD5" s="1298"/>
      <c r="AE5" s="1298"/>
    </row>
    <row r="6" spans="1:31" x14ac:dyDescent="0.25">
      <c r="A6" s="273" t="s">
        <v>130</v>
      </c>
      <c r="B6" s="272" t="s">
        <v>655</v>
      </c>
      <c r="C6" s="8" t="s">
        <v>658</v>
      </c>
      <c r="D6" s="7">
        <v>16</v>
      </c>
      <c r="E6" s="7">
        <v>31</v>
      </c>
      <c r="F6" s="7">
        <v>17</v>
      </c>
      <c r="G6" s="7">
        <v>11</v>
      </c>
      <c r="H6" s="7">
        <v>34</v>
      </c>
      <c r="I6" s="7">
        <v>24</v>
      </c>
      <c r="J6" s="7">
        <v>24</v>
      </c>
      <c r="K6" s="7">
        <v>19</v>
      </c>
      <c r="L6" s="7">
        <v>31</v>
      </c>
      <c r="M6" s="7">
        <v>16</v>
      </c>
      <c r="N6" s="7">
        <v>11</v>
      </c>
      <c r="O6" s="8">
        <v>19</v>
      </c>
      <c r="Q6" s="272">
        <f t="shared" si="0"/>
        <v>21.083333333333332</v>
      </c>
      <c r="S6" s="189" t="s">
        <v>609</v>
      </c>
      <c r="X6" s="292" t="s">
        <v>213</v>
      </c>
      <c r="Y6" s="273">
        <f>S4*U4*V4</f>
        <v>48</v>
      </c>
      <c r="Z6" s="7">
        <f>DEVSQ(V9:V10)*Y6</f>
        <v>0.84375</v>
      </c>
      <c r="AA6" s="7">
        <f>T4-1</f>
        <v>1</v>
      </c>
      <c r="AB6" s="8">
        <f t="shared" si="1"/>
        <v>0.84375</v>
      </c>
      <c r="AC6" s="1297" t="s">
        <v>639</v>
      </c>
      <c r="AD6" s="1298"/>
      <c r="AE6" s="1298"/>
    </row>
    <row r="7" spans="1:31" x14ac:dyDescent="0.25">
      <c r="A7" s="273" t="s">
        <v>130</v>
      </c>
      <c r="B7" s="272" t="s">
        <v>655</v>
      </c>
      <c r="C7" s="8" t="s">
        <v>659</v>
      </c>
      <c r="D7" s="7">
        <v>31</v>
      </c>
      <c r="E7" s="7">
        <v>29</v>
      </c>
      <c r="F7" s="7">
        <v>40</v>
      </c>
      <c r="G7" s="7">
        <v>31</v>
      </c>
      <c r="H7" s="7">
        <v>35</v>
      </c>
      <c r="I7" s="7">
        <v>25</v>
      </c>
      <c r="J7" s="7">
        <v>18</v>
      </c>
      <c r="K7" s="7">
        <v>29</v>
      </c>
      <c r="L7" s="7">
        <v>36</v>
      </c>
      <c r="M7" s="7">
        <v>42</v>
      </c>
      <c r="N7" s="7">
        <v>40</v>
      </c>
      <c r="O7" s="8">
        <v>36</v>
      </c>
      <c r="Q7" s="272">
        <f t="shared" si="0"/>
        <v>32.666666666666664</v>
      </c>
      <c r="X7" s="292" t="s">
        <v>131</v>
      </c>
      <c r="Y7" s="273">
        <f>S4*T4*V4</f>
        <v>48</v>
      </c>
      <c r="Z7" s="7">
        <f>DEVSQ(T11:U11)*Y7</f>
        <v>810.84375</v>
      </c>
      <c r="AA7" s="7">
        <f>U4-1</f>
        <v>1</v>
      </c>
      <c r="AB7" s="8">
        <f t="shared" si="1"/>
        <v>810.84375</v>
      </c>
      <c r="AC7" s="1297" t="s">
        <v>640</v>
      </c>
      <c r="AD7" s="1298"/>
      <c r="AE7" s="1298"/>
    </row>
    <row r="8" spans="1:31" x14ac:dyDescent="0.25">
      <c r="A8" s="273" t="s">
        <v>108</v>
      </c>
      <c r="B8" s="272" t="s">
        <v>654</v>
      </c>
      <c r="C8" s="8" t="s">
        <v>658</v>
      </c>
      <c r="D8" s="7">
        <v>19</v>
      </c>
      <c r="E8" s="7">
        <v>28</v>
      </c>
      <c r="F8" s="7">
        <v>31</v>
      </c>
      <c r="G8" s="7">
        <v>23</v>
      </c>
      <c r="H8" s="7">
        <v>19</v>
      </c>
      <c r="I8" s="7">
        <v>14</v>
      </c>
      <c r="J8" s="7">
        <v>4</v>
      </c>
      <c r="K8" s="7">
        <v>29</v>
      </c>
      <c r="L8" s="7">
        <v>18</v>
      </c>
      <c r="M8" s="7">
        <v>22</v>
      </c>
      <c r="N8" s="7">
        <v>18</v>
      </c>
      <c r="O8" s="8">
        <v>24</v>
      </c>
      <c r="Q8" s="272">
        <f t="shared" si="0"/>
        <v>20.75</v>
      </c>
      <c r="T8" s="13" t="s">
        <v>654</v>
      </c>
      <c r="U8" s="13" t="s">
        <v>655</v>
      </c>
      <c r="X8" s="293" t="s">
        <v>132</v>
      </c>
      <c r="Y8" s="273">
        <f>S4*T4*U4</f>
        <v>48</v>
      </c>
      <c r="Z8" s="7">
        <f>DEVSQ(V19:V20)*Y8</f>
        <v>25.010416666666785</v>
      </c>
      <c r="AA8" s="7">
        <f>V4-1</f>
        <v>1</v>
      </c>
      <c r="AB8" s="8">
        <f t="shared" si="1"/>
        <v>25.010416666666785</v>
      </c>
      <c r="AC8" s="1297" t="s">
        <v>641</v>
      </c>
      <c r="AD8" s="1298"/>
      <c r="AE8" s="1298"/>
    </row>
    <row r="9" spans="1:31" x14ac:dyDescent="0.25">
      <c r="A9" s="273" t="s">
        <v>108</v>
      </c>
      <c r="B9" s="272" t="s">
        <v>654</v>
      </c>
      <c r="C9" s="8" t="s">
        <v>659</v>
      </c>
      <c r="D9" s="7">
        <v>29</v>
      </c>
      <c r="E9" s="7">
        <v>25</v>
      </c>
      <c r="F9" s="7">
        <v>17</v>
      </c>
      <c r="G9" s="7">
        <v>12</v>
      </c>
      <c r="H9" s="7">
        <v>26</v>
      </c>
      <c r="I9" s="7">
        <v>35</v>
      </c>
      <c r="J9" s="7">
        <v>10</v>
      </c>
      <c r="K9" s="7">
        <v>23</v>
      </c>
      <c r="L9" s="7">
        <v>26</v>
      </c>
      <c r="M9" s="7">
        <v>18</v>
      </c>
      <c r="N9" s="7">
        <v>24</v>
      </c>
      <c r="O9" s="8">
        <v>16</v>
      </c>
      <c r="Q9" s="272">
        <f t="shared" si="0"/>
        <v>21.75</v>
      </c>
      <c r="S9" t="s">
        <v>130</v>
      </c>
      <c r="T9" s="289">
        <f>AVERAGEIFS($Q$4:$Q$11,$A$4:$A$11,$S9,$B$4:$B$11,T$8)</f>
        <v>22.25</v>
      </c>
      <c r="U9" s="288">
        <f>AVERAGEIFS($Q$4:$Q$11,$A$4:$A$11,$S9,$B$4:$B$11,U$8)</f>
        <v>26.875</v>
      </c>
      <c r="V9">
        <f>AVERAGE(T9:U9)</f>
        <v>24.5625</v>
      </c>
      <c r="X9" s="292" t="s">
        <v>634</v>
      </c>
      <c r="Y9" s="273">
        <f>S4*V4</f>
        <v>24</v>
      </c>
      <c r="Z9" s="7">
        <f>DEVSQ(T9:U10)*Y9</f>
        <v>845.53125</v>
      </c>
      <c r="AA9" s="7">
        <f>T4*U4-1</f>
        <v>3</v>
      </c>
      <c r="AB9" s="8">
        <f t="shared" si="1"/>
        <v>281.84375</v>
      </c>
      <c r="AC9" s="1297" t="s">
        <v>642</v>
      </c>
      <c r="AD9" s="1298"/>
      <c r="AE9" s="1298"/>
    </row>
    <row r="10" spans="1:31" x14ac:dyDescent="0.25">
      <c r="A10" s="273" t="s">
        <v>108</v>
      </c>
      <c r="B10" s="272" t="s">
        <v>655</v>
      </c>
      <c r="C10" s="8" t="s">
        <v>658</v>
      </c>
      <c r="D10" s="7">
        <v>28</v>
      </c>
      <c r="E10" s="7">
        <v>37</v>
      </c>
      <c r="F10" s="7">
        <v>22</v>
      </c>
      <c r="G10" s="7">
        <v>44</v>
      </c>
      <c r="H10" s="7">
        <v>37</v>
      </c>
      <c r="I10" s="7">
        <v>42</v>
      </c>
      <c r="J10" s="7">
        <v>30</v>
      </c>
      <c r="K10" s="7">
        <v>37</v>
      </c>
      <c r="L10" s="7">
        <v>25</v>
      </c>
      <c r="M10" s="7">
        <v>38</v>
      </c>
      <c r="N10" s="7">
        <v>41</v>
      </c>
      <c r="O10" s="8">
        <v>28</v>
      </c>
      <c r="Q10" s="272">
        <f t="shared" si="0"/>
        <v>34.083333333333336</v>
      </c>
      <c r="S10" t="s">
        <v>108</v>
      </c>
      <c r="T10" s="9">
        <f>AVERAGEIFS($Q$4:$Q$11,$A$4:$A$11,$S10,$B$4:$B$11,T$8)</f>
        <v>21.25</v>
      </c>
      <c r="U10" s="11">
        <f>AVERAGEIFS($Q$4:$Q$11,$A$4:$A$11,$S10,$B$4:$B$11,U$8)</f>
        <v>28.25</v>
      </c>
      <c r="V10">
        <f>AVERAGE(T10:U10)</f>
        <v>24.75</v>
      </c>
      <c r="X10" s="294" t="s">
        <v>622</v>
      </c>
      <c r="Y10" s="273" t="s">
        <v>623</v>
      </c>
      <c r="Z10" s="7">
        <f>Z9-Z6-Z7</f>
        <v>33.84375</v>
      </c>
      <c r="AA10" s="7">
        <f>AA9-AA6-AA7</f>
        <v>1</v>
      </c>
      <c r="AB10" s="8">
        <f t="shared" si="1"/>
        <v>33.84375</v>
      </c>
      <c r="AC10" s="1297" t="s">
        <v>643</v>
      </c>
      <c r="AD10" s="1298"/>
      <c r="AE10" s="1298"/>
    </row>
    <row r="11" spans="1:31" x14ac:dyDescent="0.25">
      <c r="A11" s="9" t="s">
        <v>108</v>
      </c>
      <c r="B11" s="168" t="s">
        <v>655</v>
      </c>
      <c r="C11" s="11" t="s">
        <v>659</v>
      </c>
      <c r="D11" s="10">
        <v>35</v>
      </c>
      <c r="E11" s="10">
        <v>23</v>
      </c>
      <c r="F11" s="10">
        <v>24</v>
      </c>
      <c r="G11" s="10">
        <v>11</v>
      </c>
      <c r="H11" s="10">
        <v>23</v>
      </c>
      <c r="I11" s="10">
        <v>30</v>
      </c>
      <c r="J11" s="10">
        <v>26</v>
      </c>
      <c r="K11" s="10">
        <v>16</v>
      </c>
      <c r="L11" s="10">
        <v>23</v>
      </c>
      <c r="M11" s="10">
        <v>14</v>
      </c>
      <c r="N11" s="10">
        <v>19</v>
      </c>
      <c r="O11" s="11">
        <v>25</v>
      </c>
      <c r="Q11" s="168">
        <f t="shared" si="0"/>
        <v>22.416666666666668</v>
      </c>
      <c r="T11">
        <f>AVERAGE(T9:T10)</f>
        <v>21.75</v>
      </c>
      <c r="U11">
        <f>AVERAGE(U9:U10)</f>
        <v>27.5625</v>
      </c>
      <c r="V11">
        <f>AVERAGE(T11:U11)</f>
        <v>24.65625</v>
      </c>
      <c r="X11" s="294" t="s">
        <v>635</v>
      </c>
      <c r="Y11" s="273">
        <f>S4*U4</f>
        <v>24</v>
      </c>
      <c r="Z11" s="7">
        <f>DEVSQ(T14:U15)*Y11</f>
        <v>472.19791666666663</v>
      </c>
      <c r="AA11" s="7">
        <f>T4*V4-1</f>
        <v>3</v>
      </c>
      <c r="AB11" s="8">
        <f t="shared" si="1"/>
        <v>157.39930555555554</v>
      </c>
      <c r="AC11" s="1297" t="s">
        <v>644</v>
      </c>
      <c r="AD11" s="1298"/>
      <c r="AE11" s="1298"/>
    </row>
    <row r="12" spans="1:31" x14ac:dyDescent="0.25">
      <c r="X12" s="293" t="s">
        <v>624</v>
      </c>
      <c r="Y12" s="273" t="s">
        <v>625</v>
      </c>
      <c r="Z12" s="7">
        <f>Z11-Z6-Z8</f>
        <v>446.34374999999983</v>
      </c>
      <c r="AA12" s="7">
        <f>AA11-AA6-AA8</f>
        <v>1</v>
      </c>
      <c r="AB12" s="8">
        <f t="shared" si="1"/>
        <v>446.34374999999983</v>
      </c>
      <c r="AC12" s="1297" t="s">
        <v>645</v>
      </c>
      <c r="AD12" s="1298"/>
      <c r="AE12" s="1298"/>
    </row>
    <row r="13" spans="1:31" x14ac:dyDescent="0.25">
      <c r="T13" s="13" t="s">
        <v>658</v>
      </c>
      <c r="U13" s="13" t="s">
        <v>659</v>
      </c>
      <c r="X13" s="294" t="s">
        <v>636</v>
      </c>
      <c r="Y13" s="273">
        <f>S4*T4</f>
        <v>24</v>
      </c>
      <c r="Z13" s="7">
        <f>DEVSQ(T19:U20)*Y13</f>
        <v>858.86458333333337</v>
      </c>
      <c r="AA13" s="7">
        <f>U4*V4-1</f>
        <v>3</v>
      </c>
      <c r="AB13" s="8">
        <f t="shared" si="1"/>
        <v>286.28819444444446</v>
      </c>
      <c r="AC13" s="1297" t="s">
        <v>646</v>
      </c>
      <c r="AD13" s="1298"/>
      <c r="AE13" s="1298"/>
    </row>
    <row r="14" spans="1:31" x14ac:dyDescent="0.25">
      <c r="S14" t="s">
        <v>130</v>
      </c>
      <c r="T14" s="289">
        <f>AVERAGEIFS($Q$4:$Q$11,$A$4:$A$11,$S14,$C$4:$C$11,T$13)</f>
        <v>22.916666666666664</v>
      </c>
      <c r="U14" s="288">
        <f>AVERAGEIFS($Q$4:$Q$11,$A$4:$A$11,$S14,$C$4:$C$11,U$13)</f>
        <v>26.208333333333332</v>
      </c>
      <c r="V14">
        <f>AVERAGE(T14:U14)</f>
        <v>24.5625</v>
      </c>
      <c r="X14" s="293" t="s">
        <v>626</v>
      </c>
      <c r="Y14" s="273" t="s">
        <v>627</v>
      </c>
      <c r="Z14" s="7">
        <f>Z13-Z7-Z8</f>
        <v>23.010416666666586</v>
      </c>
      <c r="AA14" s="7">
        <f>AA13-AA7-AA8</f>
        <v>1</v>
      </c>
      <c r="AB14" s="8">
        <f t="shared" si="1"/>
        <v>23.010416666666586</v>
      </c>
      <c r="AC14" s="1297" t="s">
        <v>647</v>
      </c>
      <c r="AD14" s="1298"/>
      <c r="AE14" s="1298"/>
    </row>
    <row r="15" spans="1:31" x14ac:dyDescent="0.25">
      <c r="S15" t="s">
        <v>108</v>
      </c>
      <c r="T15" s="9">
        <f>AVERAGEIFS($Q$4:$Q$11,$A$4:$A$11,$S15,$C$4:$C$11,T$13)</f>
        <v>27.416666666666668</v>
      </c>
      <c r="U15" s="11">
        <f>AVERAGEIFS($Q$4:$Q$11,$A$4:$A$11,$S15,$C$4:$C$11,U$13)</f>
        <v>22.083333333333336</v>
      </c>
      <c r="V15">
        <f>AVERAGE(T15:U15)</f>
        <v>24.75</v>
      </c>
      <c r="X15" s="189" t="s">
        <v>637</v>
      </c>
      <c r="Y15" s="273">
        <f>S4</f>
        <v>12</v>
      </c>
      <c r="Z15" s="7">
        <f>DEVSQ(Q4:Q11)*Y15</f>
        <v>2623.2395833333335</v>
      </c>
      <c r="AA15" s="7">
        <f>T4*U4*V4-1</f>
        <v>7</v>
      </c>
      <c r="AB15" s="8">
        <f t="shared" si="1"/>
        <v>374.74851190476193</v>
      </c>
      <c r="AC15" s="1297" t="s">
        <v>648</v>
      </c>
      <c r="AD15" s="1298"/>
      <c r="AE15" s="1298"/>
    </row>
    <row r="16" spans="1:31" x14ac:dyDescent="0.25">
      <c r="T16">
        <f>AVERAGE(T14:T15)</f>
        <v>25.166666666666664</v>
      </c>
      <c r="U16">
        <f>AVERAGE(U14:U15)</f>
        <v>24.145833333333336</v>
      </c>
      <c r="V16">
        <f>AVERAGE(T16:U16)</f>
        <v>24.65625</v>
      </c>
      <c r="X16" s="189" t="s">
        <v>628</v>
      </c>
      <c r="Y16" s="290" t="s">
        <v>629</v>
      </c>
      <c r="Z16" s="7">
        <f>Z15-Z6-Z7-Z8-Z10-Z12-Z14</f>
        <v>1283.3437500000005</v>
      </c>
      <c r="AA16" s="7">
        <f>AA15-AA6-AA7-AA8-AA10-AA12-AA14</f>
        <v>1</v>
      </c>
      <c r="AB16" s="8">
        <f t="shared" si="1"/>
        <v>1283.3437500000005</v>
      </c>
      <c r="AC16" s="1297" t="s">
        <v>649</v>
      </c>
      <c r="AD16" s="1298"/>
      <c r="AE16" s="1298"/>
    </row>
    <row r="17" spans="19:31" x14ac:dyDescent="0.25">
      <c r="X17" s="189" t="s">
        <v>588</v>
      </c>
      <c r="Y17" s="291" t="s">
        <v>630</v>
      </c>
      <c r="Z17" s="10">
        <f>Z5-Z6-Z7-Z8-Z10-Z12-Z14-Z16</f>
        <v>4244.4166666666661</v>
      </c>
      <c r="AA17" s="10">
        <f>AA5-AA6-AA7-AA8-AA10-AA12-AA14-AA16</f>
        <v>88</v>
      </c>
      <c r="AB17" s="11">
        <f t="shared" si="1"/>
        <v>48.232007575757571</v>
      </c>
      <c r="AC17" s="1297" t="s">
        <v>650</v>
      </c>
      <c r="AD17" s="1298"/>
      <c r="AE17" s="1298"/>
    </row>
    <row r="18" spans="19:31" x14ac:dyDescent="0.25">
      <c r="T18" s="13" t="s">
        <v>654</v>
      </c>
      <c r="U18" s="13" t="s">
        <v>655</v>
      </c>
    </row>
    <row r="19" spans="19:31" ht="15.75" thickBot="1" x14ac:dyDescent="0.3">
      <c r="S19" t="s">
        <v>658</v>
      </c>
      <c r="T19" s="289">
        <f>AVERAGEIFS($Q$4:$Q$11,$C$4:$C$11,$S19,$B$4:$B$11,T$18)</f>
        <v>22.75</v>
      </c>
      <c r="U19" s="288">
        <f>AVERAGEIFS($Q$4:$Q$11,$C$4:$C$11,$S19,$B$4:$B$11,U$18)</f>
        <v>27.583333333333336</v>
      </c>
      <c r="V19">
        <f>AVERAGE(T19:U19)</f>
        <v>25.166666666666668</v>
      </c>
      <c r="Y19" t="s">
        <v>294</v>
      </c>
    </row>
    <row r="20" spans="19:31" x14ac:dyDescent="0.25">
      <c r="S20" t="s">
        <v>659</v>
      </c>
      <c r="T20" s="9">
        <f>AVERAGEIFS($Q$4:$Q$11,$C$4:$C$11,$S20,$B$4:$B$11,T$18)</f>
        <v>20.75</v>
      </c>
      <c r="U20" s="11">
        <f>AVERAGEIFS($Q$4:$Q$11,$C$4:$C$11,$S20,$B$4:$B$11,U$18)</f>
        <v>27.541666666666664</v>
      </c>
      <c r="V20">
        <f>AVERAGE(T20:U20)</f>
        <v>24.145833333333332</v>
      </c>
      <c r="Y20" s="265" t="s">
        <v>466</v>
      </c>
      <c r="Z20" s="265" t="s">
        <v>219</v>
      </c>
      <c r="AA20" s="265" t="s">
        <v>60</v>
      </c>
      <c r="AB20" s="265" t="s">
        <v>240</v>
      </c>
      <c r="AC20" s="265" t="s">
        <v>135</v>
      </c>
      <c r="AD20" s="265" t="s">
        <v>119</v>
      </c>
      <c r="AE20" s="265" t="s">
        <v>467</v>
      </c>
    </row>
    <row r="21" spans="19:31" x14ac:dyDescent="0.25">
      <c r="T21">
        <f>AVERAGE(T19:T20)</f>
        <v>21.75</v>
      </c>
      <c r="U21">
        <f>AVERAGE(U19:U20)</f>
        <v>27.5625</v>
      </c>
      <c r="V21">
        <f>AVERAGE(T21:U21)</f>
        <v>24.65625</v>
      </c>
      <c r="Y21" s="19" t="s">
        <v>631</v>
      </c>
      <c r="Z21" s="19">
        <f t="shared" ref="Z21:AA23" si="2">Z6</f>
        <v>0.84375</v>
      </c>
      <c r="AA21" s="19">
        <f t="shared" si="2"/>
        <v>1</v>
      </c>
      <c r="AB21" s="19">
        <f>Z21/AA21</f>
        <v>0.84375</v>
      </c>
      <c r="AC21" s="19">
        <f t="shared" ref="AC21:AC27" si="3">AB21/AB$28</f>
        <v>1.7493569984096756E-2</v>
      </c>
      <c r="AD21">
        <f t="shared" ref="AD21:AD27" si="4">FDIST(AC21,AA21,AA$28)</f>
        <v>0.89507801695319222</v>
      </c>
      <c r="AE21">
        <f t="shared" ref="AE21:AE27" si="5">FINV(0.05,AA21,AA$28)</f>
        <v>3.9493210068606932</v>
      </c>
    </row>
    <row r="22" spans="19:31" x14ac:dyDescent="0.25">
      <c r="Y22" s="19" t="s">
        <v>656</v>
      </c>
      <c r="Z22" s="19">
        <f t="shared" si="2"/>
        <v>810.84375</v>
      </c>
      <c r="AA22" s="19">
        <f t="shared" si="2"/>
        <v>1</v>
      </c>
      <c r="AB22" s="19">
        <f t="shared" ref="AB22:AB28" si="6">Z22/AA22</f>
        <v>810.84375</v>
      </c>
      <c r="AC22" s="19">
        <f t="shared" si="3"/>
        <v>16.811320754716984</v>
      </c>
      <c r="AD22">
        <f t="shared" si="4"/>
        <v>9.177926727043635E-5</v>
      </c>
      <c r="AE22">
        <f t="shared" si="5"/>
        <v>3.9493210068606932</v>
      </c>
    </row>
    <row r="23" spans="19:31" x14ac:dyDescent="0.25">
      <c r="Y23" s="19" t="s">
        <v>660</v>
      </c>
      <c r="Z23" s="19">
        <f t="shared" si="2"/>
        <v>25.010416666666785</v>
      </c>
      <c r="AA23" s="19">
        <f t="shared" si="2"/>
        <v>1</v>
      </c>
      <c r="AB23" s="19">
        <f t="shared" si="6"/>
        <v>25.010416666666785</v>
      </c>
      <c r="AC23" s="19">
        <f t="shared" si="3"/>
        <v>0.51854396952859894</v>
      </c>
      <c r="AD23">
        <f t="shared" si="4"/>
        <v>0.47337178271106939</v>
      </c>
      <c r="AE23">
        <f t="shared" si="5"/>
        <v>3.9493210068606932</v>
      </c>
    </row>
    <row r="24" spans="19:31" x14ac:dyDescent="0.25">
      <c r="Y24" s="19" t="s">
        <v>622</v>
      </c>
      <c r="Z24" s="19">
        <f>Z10</f>
        <v>33.84375</v>
      </c>
      <c r="AA24" s="19">
        <f>AA10</f>
        <v>1</v>
      </c>
      <c r="AB24" s="19">
        <f t="shared" si="6"/>
        <v>33.84375</v>
      </c>
      <c r="AC24" s="19">
        <f t="shared" si="3"/>
        <v>0.70168652936210318</v>
      </c>
      <c r="AD24">
        <f t="shared" si="4"/>
        <v>0.40448689763874979</v>
      </c>
      <c r="AE24">
        <f t="shared" si="5"/>
        <v>3.9493210068606932</v>
      </c>
    </row>
    <row r="25" spans="19:31" x14ac:dyDescent="0.25">
      <c r="Y25" s="19" t="s">
        <v>624</v>
      </c>
      <c r="Z25" s="19">
        <f>Z12</f>
        <v>446.34374999999983</v>
      </c>
      <c r="AA25" s="19">
        <f>AA12</f>
        <v>1</v>
      </c>
      <c r="AB25" s="19">
        <f t="shared" si="6"/>
        <v>446.34374999999983</v>
      </c>
      <c r="AC25" s="19">
        <f t="shared" si="3"/>
        <v>9.2540985215871814</v>
      </c>
      <c r="AD25">
        <f t="shared" si="4"/>
        <v>3.0965102604328444E-3</v>
      </c>
      <c r="AE25">
        <f t="shared" si="5"/>
        <v>3.9493210068606932</v>
      </c>
    </row>
    <row r="26" spans="19:31" x14ac:dyDescent="0.25">
      <c r="Y26" s="19" t="s">
        <v>626</v>
      </c>
      <c r="Z26">
        <f>Z14</f>
        <v>23.010416666666586</v>
      </c>
      <c r="AA26">
        <f>AA14</f>
        <v>1</v>
      </c>
      <c r="AB26" s="19">
        <f t="shared" si="6"/>
        <v>23.010416666666586</v>
      </c>
      <c r="AC26" s="19">
        <f t="shared" si="3"/>
        <v>0.47707772956629135</v>
      </c>
      <c r="AD26">
        <f t="shared" si="4"/>
        <v>0.49156686051230858</v>
      </c>
      <c r="AE26">
        <f t="shared" si="5"/>
        <v>3.9493210068606932</v>
      </c>
    </row>
    <row r="27" spans="19:31" x14ac:dyDescent="0.25">
      <c r="Y27" s="19" t="s">
        <v>628</v>
      </c>
      <c r="Z27">
        <f>Z16</f>
        <v>1283.3437500000005</v>
      </c>
      <c r="AA27">
        <f>AA16</f>
        <v>1</v>
      </c>
      <c r="AB27" s="19">
        <f t="shared" si="6"/>
        <v>1283.3437500000005</v>
      </c>
      <c r="AC27" s="19">
        <f t="shared" si="3"/>
        <v>26.607719945811176</v>
      </c>
      <c r="AD27">
        <f t="shared" si="4"/>
        <v>1.5228732447781372E-6</v>
      </c>
      <c r="AE27">
        <f t="shared" si="5"/>
        <v>3.9493210068606932</v>
      </c>
    </row>
    <row r="28" spans="19:31" x14ac:dyDescent="0.25">
      <c r="Y28" s="19" t="s">
        <v>632</v>
      </c>
      <c r="Z28">
        <f>Z17</f>
        <v>4244.4166666666661</v>
      </c>
      <c r="AA28">
        <f>AA17</f>
        <v>88</v>
      </c>
      <c r="AB28" s="19">
        <f t="shared" si="6"/>
        <v>48.232007575757571</v>
      </c>
    </row>
    <row r="30" spans="19:31" ht="15.75" thickBot="1" x14ac:dyDescent="0.3">
      <c r="Y30" s="20" t="s">
        <v>1</v>
      </c>
      <c r="Z30" s="20">
        <f>Z5</f>
        <v>6867.65625</v>
      </c>
      <c r="AA30" s="20">
        <f>AA5</f>
        <v>95</v>
      </c>
      <c r="AB30" s="20"/>
      <c r="AC30" s="20"/>
      <c r="AD30" s="20"/>
      <c r="AE30" s="20"/>
    </row>
  </sheetData>
  <mergeCells count="15">
    <mergeCell ref="AC17:AE17"/>
    <mergeCell ref="AC4:AE4"/>
    <mergeCell ref="D3:O3"/>
    <mergeCell ref="AC11:AE11"/>
    <mergeCell ref="AC12:AE12"/>
    <mergeCell ref="AC13:AE13"/>
    <mergeCell ref="AC14:AE14"/>
    <mergeCell ref="AC15:AE15"/>
    <mergeCell ref="AC16:AE16"/>
    <mergeCell ref="AC5:AE5"/>
    <mergeCell ref="AC6:AE6"/>
    <mergeCell ref="AC7:AE7"/>
    <mergeCell ref="AC8:AE8"/>
    <mergeCell ref="AC9:AE9"/>
    <mergeCell ref="AC10:AE10"/>
  </mergeCells>
  <pageMargins left="0.7" right="0.7" top="0.75" bottom="0.75" header="0.3" footer="0.3"/>
  <pageSetup paperSize="9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/>
  <dimension ref="A1:AC31"/>
  <sheetViews>
    <sheetView zoomScaleNormal="100" workbookViewId="0"/>
  </sheetViews>
  <sheetFormatPr defaultRowHeight="15" x14ac:dyDescent="0.25"/>
  <cols>
    <col min="4" max="15" width="4.42578125" customWidth="1"/>
  </cols>
  <sheetData>
    <row r="1" spans="1:29" x14ac:dyDescent="0.25">
      <c r="A1" s="1" t="s">
        <v>1696</v>
      </c>
      <c r="Q1" t="s">
        <v>27</v>
      </c>
      <c r="W1" t="s">
        <v>1692</v>
      </c>
    </row>
    <row r="3" spans="1:29" ht="15.75" thickBot="1" x14ac:dyDescent="0.3">
      <c r="A3" s="283" t="s">
        <v>620</v>
      </c>
      <c r="B3" s="284" t="s">
        <v>653</v>
      </c>
      <c r="C3" s="285" t="s">
        <v>657</v>
      </c>
      <c r="D3" s="1294" t="s">
        <v>621</v>
      </c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6"/>
      <c r="T3" s="13" t="s">
        <v>22</v>
      </c>
      <c r="U3" s="13" t="s">
        <v>10</v>
      </c>
      <c r="W3" t="s">
        <v>294</v>
      </c>
      <c r="AA3" s="778" t="s">
        <v>34</v>
      </c>
      <c r="AB3" s="778">
        <v>0.05</v>
      </c>
    </row>
    <row r="4" spans="1:29" ht="15.75" thickTop="1" x14ac:dyDescent="0.25">
      <c r="A4" s="273" t="s">
        <v>130</v>
      </c>
      <c r="B4" s="272" t="s">
        <v>654</v>
      </c>
      <c r="C4" s="8" t="s">
        <v>658</v>
      </c>
      <c r="D4" s="287">
        <v>23</v>
      </c>
      <c r="E4" s="287">
        <v>18</v>
      </c>
      <c r="F4" s="287">
        <v>26</v>
      </c>
      <c r="G4" s="287">
        <v>32</v>
      </c>
      <c r="H4" s="287">
        <v>13</v>
      </c>
      <c r="I4" s="287">
        <v>31</v>
      </c>
      <c r="J4" s="287">
        <v>26</v>
      </c>
      <c r="K4" s="287">
        <v>34</v>
      </c>
      <c r="L4" s="287">
        <v>17</v>
      </c>
      <c r="M4" s="287">
        <v>23</v>
      </c>
      <c r="N4" s="287">
        <v>28</v>
      </c>
      <c r="O4" s="288">
        <v>26</v>
      </c>
      <c r="Q4" s="788" t="str">
        <f t="array" ref="Q4:Q5">[1]!ExtractUnique(A4:A11)</f>
        <v>Male</v>
      </c>
      <c r="R4" s="789"/>
      <c r="S4" s="790"/>
      <c r="T4" s="788">
        <f>SUMIF($Q$22:$Q$29,Q4,$T$22:$T$29)</f>
        <v>48</v>
      </c>
      <c r="U4" s="790">
        <f>IF(T4=0,"",AVERAGEIF($Q$22:$Q$29,Q4,$U$22:$U$29))</f>
        <v>24.5625</v>
      </c>
      <c r="W4" s="754"/>
      <c r="X4" s="754" t="s">
        <v>219</v>
      </c>
      <c r="Y4" s="754" t="s">
        <v>60</v>
      </c>
      <c r="Z4" s="754" t="s">
        <v>240</v>
      </c>
      <c r="AA4" s="754" t="s">
        <v>135</v>
      </c>
      <c r="AB4" s="754" t="s">
        <v>67</v>
      </c>
      <c r="AC4" s="754" t="s">
        <v>527</v>
      </c>
    </row>
    <row r="5" spans="1:29" x14ac:dyDescent="0.25">
      <c r="A5" s="273" t="s">
        <v>130</v>
      </c>
      <c r="B5" s="272" t="s">
        <v>654</v>
      </c>
      <c r="C5" s="8" t="s">
        <v>659</v>
      </c>
      <c r="D5" s="7">
        <v>24</v>
      </c>
      <c r="E5" s="7">
        <v>25</v>
      </c>
      <c r="F5" s="7">
        <v>14</v>
      </c>
      <c r="G5" s="7">
        <v>17</v>
      </c>
      <c r="H5" s="7">
        <v>30</v>
      </c>
      <c r="I5" s="7">
        <v>18</v>
      </c>
      <c r="J5" s="7">
        <v>11</v>
      </c>
      <c r="K5" s="7">
        <v>16</v>
      </c>
      <c r="L5" s="7">
        <v>25</v>
      </c>
      <c r="M5" s="7">
        <v>18</v>
      </c>
      <c r="N5" s="7">
        <v>14</v>
      </c>
      <c r="O5" s="8">
        <v>25</v>
      </c>
      <c r="Q5" s="501" t="str">
        <v>Female</v>
      </c>
      <c r="R5" s="7"/>
      <c r="S5" s="57"/>
      <c r="T5" s="501">
        <f>SUMIF($Q$22:$Q$29,Q5,$T$22:$T$29)</f>
        <v>48</v>
      </c>
      <c r="U5" s="57">
        <f>IF(T5=0,"",AVERAGEIF($Q$22:$Q$29,Q5,$U$22:$U$29))</f>
        <v>24.750000000000004</v>
      </c>
      <c r="W5" t="s">
        <v>213</v>
      </c>
      <c r="X5">
        <f>DEVSQ(U4:U5)*T4</f>
        <v>0.84375000000003197</v>
      </c>
      <c r="Y5">
        <f>COUNT(U4:U5)-1</f>
        <v>1</v>
      </c>
      <c r="Z5">
        <f t="shared" ref="Z5:Z13" si="0">X5/Y5</f>
        <v>0.84375000000003197</v>
      </c>
      <c r="AA5">
        <f>Z5/Z12</f>
        <v>1.7493569984097426E-2</v>
      </c>
      <c r="AB5">
        <f>FDIST(AA5,Y5,Y12)</f>
        <v>0.89507801695319023</v>
      </c>
      <c r="AC5" s="778" t="str">
        <f>IF(AB5&lt;AB3,"yes","no")</f>
        <v>no</v>
      </c>
    </row>
    <row r="6" spans="1:29" x14ac:dyDescent="0.25">
      <c r="A6" s="273" t="s">
        <v>130</v>
      </c>
      <c r="B6" s="272" t="s">
        <v>655</v>
      </c>
      <c r="C6" s="8" t="s">
        <v>658</v>
      </c>
      <c r="D6" s="7">
        <v>16</v>
      </c>
      <c r="E6" s="7">
        <v>31</v>
      </c>
      <c r="F6" s="7">
        <v>17</v>
      </c>
      <c r="G6" s="7">
        <v>11</v>
      </c>
      <c r="H6" s="7">
        <v>34</v>
      </c>
      <c r="I6" s="7">
        <v>24</v>
      </c>
      <c r="J6" s="7">
        <v>24</v>
      </c>
      <c r="K6" s="7">
        <v>19</v>
      </c>
      <c r="L6" s="7">
        <v>31</v>
      </c>
      <c r="M6" s="7">
        <v>16</v>
      </c>
      <c r="N6" s="7">
        <v>11</v>
      </c>
      <c r="O6" s="8">
        <v>19</v>
      </c>
      <c r="Q6" s="501"/>
      <c r="R6" s="7" t="str">
        <f t="array" ref="R6:R7">[1]!ExtractUnique(B4:B11)</f>
        <v>Italian</v>
      </c>
      <c r="S6" s="57"/>
      <c r="T6" s="501">
        <f>SUMIF($R$22:$R$29,R6,$T$22:$T$29)</f>
        <v>48</v>
      </c>
      <c r="U6" s="57">
        <f>IF(T6=0,"",AVERAGEIF($R$22:$R$29,R6,$U$22:$U$29))</f>
        <v>21.75</v>
      </c>
      <c r="W6" t="s">
        <v>131</v>
      </c>
      <c r="X6">
        <f>DEVSQ(U6:U7)*T6</f>
        <v>810.84375000000102</v>
      </c>
      <c r="Y6">
        <f>COUNT(U6:U7)-1</f>
        <v>1</v>
      </c>
      <c r="Z6">
        <f t="shared" si="0"/>
        <v>810.84375000000102</v>
      </c>
      <c r="AA6">
        <f>Z6/Z12</f>
        <v>16.811320754717009</v>
      </c>
      <c r="AB6">
        <f>FDIST(AA6,Y6,Y12)</f>
        <v>9.1779267270435238E-5</v>
      </c>
      <c r="AC6" s="778" t="str">
        <f>IF(AB6&lt;AB3,"yes","no")</f>
        <v>yes</v>
      </c>
    </row>
    <row r="7" spans="1:29" x14ac:dyDescent="0.25">
      <c r="A7" s="273" t="s">
        <v>130</v>
      </c>
      <c r="B7" s="272" t="s">
        <v>655</v>
      </c>
      <c r="C7" s="8" t="s">
        <v>659</v>
      </c>
      <c r="D7" s="7">
        <v>31</v>
      </c>
      <c r="E7" s="7">
        <v>29</v>
      </c>
      <c r="F7" s="7">
        <v>40</v>
      </c>
      <c r="G7" s="7">
        <v>31</v>
      </c>
      <c r="H7" s="7">
        <v>35</v>
      </c>
      <c r="I7" s="7">
        <v>25</v>
      </c>
      <c r="J7" s="7">
        <v>18</v>
      </c>
      <c r="K7" s="7">
        <v>29</v>
      </c>
      <c r="L7" s="7">
        <v>36</v>
      </c>
      <c r="M7" s="7">
        <v>42</v>
      </c>
      <c r="N7" s="7">
        <v>40</v>
      </c>
      <c r="O7" s="8">
        <v>36</v>
      </c>
      <c r="Q7" s="501"/>
      <c r="R7" s="7" t="str">
        <v>Foreign</v>
      </c>
      <c r="S7" s="57"/>
      <c r="T7" s="501">
        <f>SUMIF($R$22:$R$29,R7,$T$22:$T$29)</f>
        <v>48</v>
      </c>
      <c r="U7" s="57">
        <f>IF(T7=0,"",AVERAGEIF($R$22:$R$29,R7,$U$22:$U$29))</f>
        <v>27.562500000000004</v>
      </c>
      <c r="W7" t="s">
        <v>132</v>
      </c>
      <c r="X7">
        <f>DEVSQ(U8:U9)*T8</f>
        <v>25.010416666666607</v>
      </c>
      <c r="Y7">
        <f>COUNT(U8:U9)-1</f>
        <v>1</v>
      </c>
      <c r="Z7">
        <f t="shared" si="0"/>
        <v>25.010416666666607</v>
      </c>
      <c r="AA7">
        <f>Z7/Z12</f>
        <v>0.51854396952859538</v>
      </c>
      <c r="AB7">
        <f>FDIST(AA7,Y7,Y12)</f>
        <v>0.47337178271107072</v>
      </c>
      <c r="AC7" s="778" t="str">
        <f>IF(AB7&lt;AB3,"yes","no")</f>
        <v>no</v>
      </c>
    </row>
    <row r="8" spans="1:29" x14ac:dyDescent="0.25">
      <c r="A8" s="273" t="s">
        <v>108</v>
      </c>
      <c r="B8" s="272" t="s">
        <v>654</v>
      </c>
      <c r="C8" s="8" t="s">
        <v>658</v>
      </c>
      <c r="D8" s="7">
        <v>19</v>
      </c>
      <c r="E8" s="7">
        <v>28</v>
      </c>
      <c r="F8" s="7">
        <v>31</v>
      </c>
      <c r="G8" s="7">
        <v>23</v>
      </c>
      <c r="H8" s="7">
        <v>19</v>
      </c>
      <c r="I8" s="7">
        <v>14</v>
      </c>
      <c r="J8" s="7">
        <v>4</v>
      </c>
      <c r="K8" s="7">
        <v>29</v>
      </c>
      <c r="L8" s="7">
        <v>18</v>
      </c>
      <c r="M8" s="7">
        <v>22</v>
      </c>
      <c r="N8" s="7">
        <v>18</v>
      </c>
      <c r="O8" s="8">
        <v>24</v>
      </c>
      <c r="Q8" s="501"/>
      <c r="R8" s="7"/>
      <c r="S8" s="57" t="str">
        <f t="array" ref="S8:S9">[1]!ExtractUnique(C4:C11)</f>
        <v>Seated</v>
      </c>
      <c r="T8" s="501">
        <f>SUMIF($S$22:$S$29,S8,$T$22:$T$29)</f>
        <v>48</v>
      </c>
      <c r="U8" s="57">
        <f>IF(T8=0,"",AVERAGEIF($S$22:$S$29,S8,$U$22:$U$29))</f>
        <v>25.166666666666664</v>
      </c>
      <c r="W8" t="s">
        <v>622</v>
      </c>
      <c r="X8">
        <f>DEVSQ(U10:U13)*T10-X5-X6</f>
        <v>33.843749999998977</v>
      </c>
      <c r="Y8">
        <f>Y6*Y5</f>
        <v>1</v>
      </c>
      <c r="Z8">
        <f t="shared" si="0"/>
        <v>33.843749999998977</v>
      </c>
      <c r="AA8">
        <f>Z8/Z12</f>
        <v>0.7016865293620822</v>
      </c>
      <c r="AB8">
        <f>FDIST(AA8,Y8,Y12)</f>
        <v>0.404486897638757</v>
      </c>
      <c r="AC8" s="778" t="str">
        <f>IF(AB8&lt;AB3,"yes","no")</f>
        <v>no</v>
      </c>
    </row>
    <row r="9" spans="1:29" x14ac:dyDescent="0.25">
      <c r="A9" s="273" t="s">
        <v>108</v>
      </c>
      <c r="B9" s="272" t="s">
        <v>654</v>
      </c>
      <c r="C9" s="8" t="s">
        <v>659</v>
      </c>
      <c r="D9" s="7">
        <v>29</v>
      </c>
      <c r="E9" s="7">
        <v>25</v>
      </c>
      <c r="F9" s="7">
        <v>17</v>
      </c>
      <c r="G9" s="7">
        <v>12</v>
      </c>
      <c r="H9" s="7">
        <v>26</v>
      </c>
      <c r="I9" s="7">
        <v>35</v>
      </c>
      <c r="J9" s="7">
        <v>10</v>
      </c>
      <c r="K9" s="7">
        <v>23</v>
      </c>
      <c r="L9" s="7">
        <v>26</v>
      </c>
      <c r="M9" s="7">
        <v>18</v>
      </c>
      <c r="N9" s="7">
        <v>24</v>
      </c>
      <c r="O9" s="8">
        <v>16</v>
      </c>
      <c r="Q9" s="759"/>
      <c r="R9" s="760"/>
      <c r="S9" s="761" t="str">
        <v>Prone</v>
      </c>
      <c r="T9" s="759">
        <f>SUMIF($S$22:$S$29,S9,$T$22:$T$29)</f>
        <v>48</v>
      </c>
      <c r="U9" s="761">
        <f>IF(T9=0,"",AVERAGEIF($S$22:$S$29,S9,$U$22:$U$29))</f>
        <v>24.145833333333332</v>
      </c>
      <c r="W9" t="s">
        <v>624</v>
      </c>
      <c r="X9">
        <f>DEVSQ(U14:U17)*T14-X5-X7</f>
        <v>446.34374999999994</v>
      </c>
      <c r="Y9">
        <f>Y7*Y5</f>
        <v>1</v>
      </c>
      <c r="Z9">
        <f t="shared" si="0"/>
        <v>446.34374999999994</v>
      </c>
      <c r="AA9">
        <f>Z9/Z12</f>
        <v>9.2540985215871849</v>
      </c>
      <c r="AB9">
        <f>FDIST(AA9,Y9,Y12)</f>
        <v>3.0965102604328444E-3</v>
      </c>
      <c r="AC9" s="778" t="str">
        <f>IF(AB9&lt;AB3,"yes","no")</f>
        <v>yes</v>
      </c>
    </row>
    <row r="10" spans="1:29" x14ac:dyDescent="0.25">
      <c r="A10" s="273" t="s">
        <v>108</v>
      </c>
      <c r="B10" s="272" t="s">
        <v>655</v>
      </c>
      <c r="C10" s="8" t="s">
        <v>658</v>
      </c>
      <c r="D10" s="7">
        <v>28</v>
      </c>
      <c r="E10" s="7">
        <v>37</v>
      </c>
      <c r="F10" s="7">
        <v>22</v>
      </c>
      <c r="G10" s="7">
        <v>44</v>
      </c>
      <c r="H10" s="7">
        <v>37</v>
      </c>
      <c r="I10" s="7">
        <v>42</v>
      </c>
      <c r="J10" s="7">
        <v>30</v>
      </c>
      <c r="K10" s="7">
        <v>37</v>
      </c>
      <c r="L10" s="7">
        <v>25</v>
      </c>
      <c r="M10" s="7">
        <v>38</v>
      </c>
      <c r="N10" s="7">
        <v>41</v>
      </c>
      <c r="O10" s="8">
        <v>28</v>
      </c>
      <c r="Q10" s="788" t="str">
        <f>$Q$4</f>
        <v>Male</v>
      </c>
      <c r="R10" s="789" t="str">
        <f>$R6</f>
        <v>Italian</v>
      </c>
      <c r="S10" s="790"/>
      <c r="T10" s="788">
        <f>SUMIFS($T$22:$T$29,$Q$22:$Q$29,Q10,$R$22:$R$29,R10)</f>
        <v>24</v>
      </c>
      <c r="U10" s="790">
        <f>IF(T10=0,"",AVERAGEIFS($U$22:$U$29,$Q$22:$Q$29,Q10,$R$22:$R$29,R10))</f>
        <v>22.25</v>
      </c>
      <c r="W10" t="s">
        <v>626</v>
      </c>
      <c r="X10">
        <f>DEVSQ(U18:U21)*T18-X6-X7</f>
        <v>23.010416666665741</v>
      </c>
      <c r="Y10">
        <f>Y7*Y6</f>
        <v>1</v>
      </c>
      <c r="Z10">
        <f t="shared" si="0"/>
        <v>23.010416666665741</v>
      </c>
      <c r="AA10">
        <f>Z10/Z12</f>
        <v>0.47707772956627398</v>
      </c>
      <c r="AB10">
        <f>FDIST(AA10,Y10,Y12)</f>
        <v>0.49156686051231657</v>
      </c>
      <c r="AC10" s="778" t="str">
        <f>IF(AB10&lt;AB3,"yes","no")</f>
        <v>no</v>
      </c>
    </row>
    <row r="11" spans="1:29" x14ac:dyDescent="0.25">
      <c r="A11" s="9" t="s">
        <v>108</v>
      </c>
      <c r="B11" s="168" t="s">
        <v>655</v>
      </c>
      <c r="C11" s="11" t="s">
        <v>659</v>
      </c>
      <c r="D11" s="10">
        <v>35</v>
      </c>
      <c r="E11" s="10">
        <v>23</v>
      </c>
      <c r="F11" s="10">
        <v>24</v>
      </c>
      <c r="G11" s="10">
        <v>11</v>
      </c>
      <c r="H11" s="10">
        <v>23</v>
      </c>
      <c r="I11" s="10">
        <v>30</v>
      </c>
      <c r="J11" s="10">
        <v>26</v>
      </c>
      <c r="K11" s="10">
        <v>16</v>
      </c>
      <c r="L11" s="10">
        <v>23</v>
      </c>
      <c r="M11" s="10">
        <v>14</v>
      </c>
      <c r="N11" s="10">
        <v>19</v>
      </c>
      <c r="O11" s="11">
        <v>25</v>
      </c>
      <c r="Q11" s="501" t="str">
        <f>$Q$4</f>
        <v>Male</v>
      </c>
      <c r="R11" s="7" t="str">
        <f>$R7</f>
        <v>Foreign</v>
      </c>
      <c r="S11" s="57"/>
      <c r="T11" s="501">
        <f>SUMIFS($T$22:$T$29,$Q$22:$Q$29,Q11,$R$22:$R$29,R11)</f>
        <v>24</v>
      </c>
      <c r="U11" s="57">
        <f>IF(T11=0,"",AVERAGEIFS($U$22:$U$29,$Q$22:$Q$29,Q11,$R$22:$R$29,R11))</f>
        <v>26.875</v>
      </c>
      <c r="W11" t="s">
        <v>628</v>
      </c>
      <c r="X11">
        <f>DEVSQ(U22:U29)*T22-X10-X9-X8-X7-X6-X5</f>
        <v>1283.3437500000014</v>
      </c>
      <c r="Y11">
        <f>Y7*Y6*Y5</f>
        <v>1</v>
      </c>
      <c r="Z11">
        <f t="shared" si="0"/>
        <v>1283.3437500000014</v>
      </c>
      <c r="AA11">
        <f>Z11/Z12</f>
        <v>26.607719945811201</v>
      </c>
      <c r="AB11">
        <f>FDIST(AA11,Y11,Y12)</f>
        <v>1.5228732447781175E-6</v>
      </c>
      <c r="AC11" s="778" t="str">
        <f>IF(AB11&lt;AB3,"yes","no")</f>
        <v>yes</v>
      </c>
    </row>
    <row r="12" spans="1:29" x14ac:dyDescent="0.25">
      <c r="Q12" s="501" t="str">
        <f>$Q$5</f>
        <v>Female</v>
      </c>
      <c r="R12" s="7" t="str">
        <f>$R6</f>
        <v>Italian</v>
      </c>
      <c r="S12" s="57"/>
      <c r="T12" s="501">
        <f>SUMIFS($T$22:$T$29,$Q$22:$Q$29,Q12,$R$22:$R$29,R12)</f>
        <v>24</v>
      </c>
      <c r="U12" s="57">
        <f>IF(T12=0,"",AVERAGEIFS($U$22:$U$29,$Q$22:$Q$29,Q12,$R$22:$R$29,R12))</f>
        <v>21.25</v>
      </c>
      <c r="W12" t="s">
        <v>600</v>
      </c>
      <c r="X12">
        <f>X13-X11-X10-X9-X8-X7-X6-X5</f>
        <v>4244.4166666666652</v>
      </c>
      <c r="Y12">
        <f>T30-(Y5+1)*(Y6+1)*(Y7+1)</f>
        <v>88</v>
      </c>
      <c r="Z12">
        <f t="shared" si="0"/>
        <v>48.232007575757557</v>
      </c>
    </row>
    <row r="13" spans="1:29" x14ac:dyDescent="0.25">
      <c r="Q13" s="759" t="str">
        <f>$Q$5</f>
        <v>Female</v>
      </c>
      <c r="R13" s="760" t="str">
        <f>$R7</f>
        <v>Foreign</v>
      </c>
      <c r="S13" s="761"/>
      <c r="T13" s="759">
        <f>SUMIFS($T$22:$T$29,$Q$22:$Q$29,Q13,$R$22:$R$29,R13)</f>
        <v>24</v>
      </c>
      <c r="U13" s="761">
        <f>IF(T13=0,"",AVERAGEIFS($U$22:$U$29,$Q$22:$Q$29,Q13,$R$22:$R$29,R13))</f>
        <v>28.25</v>
      </c>
      <c r="W13" s="762" t="s">
        <v>1</v>
      </c>
      <c r="X13" s="762">
        <f>U31</f>
        <v>6867.65625</v>
      </c>
      <c r="Y13" s="762">
        <f>T30-1</f>
        <v>95</v>
      </c>
      <c r="Z13" s="762">
        <f t="shared" si="0"/>
        <v>72.29111842105263</v>
      </c>
      <c r="AA13" s="762"/>
      <c r="AB13" s="762"/>
      <c r="AC13" s="762"/>
    </row>
    <row r="14" spans="1:29" x14ac:dyDescent="0.25">
      <c r="Q14" s="788" t="str">
        <f>$Q$4</f>
        <v>Male</v>
      </c>
      <c r="R14" s="789"/>
      <c r="S14" s="790" t="str">
        <f>$S8</f>
        <v>Seated</v>
      </c>
      <c r="T14" s="788">
        <f>SUMIFS($T$22:$T$29,$Q$22:$Q$29,Q14,$S$22:$S$29,S14)</f>
        <v>24</v>
      </c>
      <c r="U14" s="790">
        <f>IF(T14=0,"",AVERAGEIFS($U$22:$U$29,$Q$22:$Q$29,Q14,$S$22:$S$29,S14))</f>
        <v>22.916666666666664</v>
      </c>
    </row>
    <row r="15" spans="1:29" x14ac:dyDescent="0.25">
      <c r="Q15" s="501" t="str">
        <f>$Q$4</f>
        <v>Male</v>
      </c>
      <c r="R15" s="7"/>
      <c r="S15" s="57" t="str">
        <f>$S9</f>
        <v>Prone</v>
      </c>
      <c r="T15" s="501">
        <f>SUMIFS($T$22:$T$29,$Q$22:$Q$29,Q15,$S$22:$S$29,S15)</f>
        <v>24</v>
      </c>
      <c r="U15" s="57">
        <f>IF(T15=0,"",AVERAGEIFS($U$22:$U$29,$Q$22:$Q$29,Q15,$S$22:$S$29,S15))</f>
        <v>26.208333333333332</v>
      </c>
    </row>
    <row r="16" spans="1:29" x14ac:dyDescent="0.25">
      <c r="Q16" s="501" t="str">
        <f>$Q$5</f>
        <v>Female</v>
      </c>
      <c r="R16" s="7"/>
      <c r="S16" s="57" t="str">
        <f>$S8</f>
        <v>Seated</v>
      </c>
      <c r="T16" s="501">
        <f>SUMIFS($T$22:$T$29,$Q$22:$Q$29,Q16,$S$22:$S$29,S16)</f>
        <v>24</v>
      </c>
      <c r="U16" s="57">
        <f>IF(T16=0,"",AVERAGEIFS($U$22:$U$29,$Q$22:$Q$29,Q16,$S$22:$S$29,S16))</f>
        <v>27.416666666666668</v>
      </c>
    </row>
    <row r="17" spans="17:21" x14ac:dyDescent="0.25">
      <c r="Q17" s="759" t="str">
        <f>$Q$5</f>
        <v>Female</v>
      </c>
      <c r="R17" s="760"/>
      <c r="S17" s="761" t="str">
        <f>$S9</f>
        <v>Prone</v>
      </c>
      <c r="T17" s="759">
        <f>SUMIFS($T$22:$T$29,$Q$22:$Q$29,Q17,$S$22:$S$29,S17)</f>
        <v>24</v>
      </c>
      <c r="U17" s="761">
        <f>IF(T17=0,"",AVERAGEIFS($U$22:$U$29,$Q$22:$Q$29,Q17,$S$22:$S$29,S17))</f>
        <v>22.083333333333336</v>
      </c>
    </row>
    <row r="18" spans="17:21" x14ac:dyDescent="0.25">
      <c r="Q18" s="788"/>
      <c r="R18" s="789" t="str">
        <f>$R$6</f>
        <v>Italian</v>
      </c>
      <c r="S18" s="790" t="str">
        <f>$S8</f>
        <v>Seated</v>
      </c>
      <c r="T18" s="788">
        <f>SUMIFS($T$22:$T$29,$R$22:$R$29,R18,$S$22:$S$29,S18)</f>
        <v>24</v>
      </c>
      <c r="U18" s="790">
        <f>IF(T18=0,"",AVERAGEIFS($U$22:$U$29,$R$22:$R$29,R18,$S$22:$S$29,S18))</f>
        <v>22.75</v>
      </c>
    </row>
    <row r="19" spans="17:21" x14ac:dyDescent="0.25">
      <c r="Q19" s="501"/>
      <c r="R19" s="7" t="str">
        <f>$R$6</f>
        <v>Italian</v>
      </c>
      <c r="S19" s="57" t="str">
        <f>$S9</f>
        <v>Prone</v>
      </c>
      <c r="T19" s="501">
        <f>SUMIFS($T$22:$T$29,$R$22:$R$29,R19,$S$22:$S$29,S19)</f>
        <v>24</v>
      </c>
      <c r="U19" s="57">
        <f>IF(T19=0,"",AVERAGEIFS($U$22:$U$29,$R$22:$R$29,R19,$S$22:$S$29,S19))</f>
        <v>20.75</v>
      </c>
    </row>
    <row r="20" spans="17:21" x14ac:dyDescent="0.25">
      <c r="Q20" s="501"/>
      <c r="R20" s="7" t="str">
        <f>$R$7</f>
        <v>Foreign</v>
      </c>
      <c r="S20" s="57" t="str">
        <f>$S8</f>
        <v>Seated</v>
      </c>
      <c r="T20" s="501">
        <f>SUMIFS($T$22:$T$29,$R$22:$R$29,R20,$S$22:$S$29,S20)</f>
        <v>24</v>
      </c>
      <c r="U20" s="57">
        <f>IF(T20=0,"",AVERAGEIFS($U$22:$U$29,$R$22:$R$29,R20,$S$22:$S$29,S20))</f>
        <v>27.583333333333336</v>
      </c>
    </row>
    <row r="21" spans="17:21" x14ac:dyDescent="0.25">
      <c r="Q21" s="759"/>
      <c r="R21" s="760" t="str">
        <f>$R$7</f>
        <v>Foreign</v>
      </c>
      <c r="S21" s="761" t="str">
        <f>$S9</f>
        <v>Prone</v>
      </c>
      <c r="T21" s="759">
        <f>SUMIFS($T$22:$T$29,$R$22:$R$29,R21,$S$22:$S$29,S21)</f>
        <v>24</v>
      </c>
      <c r="U21" s="761">
        <f>IF(T21=0,"",AVERAGEIFS($U$22:$U$29,$R$22:$R$29,R21,$S$22:$S$29,S21))</f>
        <v>27.541666666666664</v>
      </c>
    </row>
    <row r="22" spans="17:21" x14ac:dyDescent="0.25">
      <c r="Q22" s="788" t="str">
        <f>A4</f>
        <v>Male</v>
      </c>
      <c r="R22" s="789" t="str">
        <f>B4</f>
        <v>Italian</v>
      </c>
      <c r="S22" s="790" t="str">
        <f>C4</f>
        <v>Seated</v>
      </c>
      <c r="T22" s="788">
        <f>COUNT(D4:O4)</f>
        <v>12</v>
      </c>
      <c r="U22" s="790">
        <f>AVERAGE(D4:O4)</f>
        <v>24.75</v>
      </c>
    </row>
    <row r="23" spans="17:21" x14ac:dyDescent="0.25">
      <c r="Q23" s="501" t="str">
        <f t="shared" ref="Q23:Q29" si="1">A5</f>
        <v>Male</v>
      </c>
      <c r="R23" s="7" t="str">
        <f t="shared" ref="R23:R29" si="2">B5</f>
        <v>Italian</v>
      </c>
      <c r="S23" s="57" t="str">
        <f t="shared" ref="S23:S29" si="3">C5</f>
        <v>Prone</v>
      </c>
      <c r="T23" s="501">
        <f t="shared" ref="T23:T29" si="4">COUNT(D5:O5)</f>
        <v>12</v>
      </c>
      <c r="U23" s="57">
        <f t="shared" ref="U23:U29" si="5">AVERAGE(D5:O5)</f>
        <v>19.75</v>
      </c>
    </row>
    <row r="24" spans="17:21" x14ac:dyDescent="0.25">
      <c r="Q24" s="501" t="str">
        <f t="shared" si="1"/>
        <v>Male</v>
      </c>
      <c r="R24" s="7" t="str">
        <f t="shared" si="2"/>
        <v>Foreign</v>
      </c>
      <c r="S24" s="57" t="str">
        <f t="shared" si="3"/>
        <v>Seated</v>
      </c>
      <c r="T24" s="501">
        <f t="shared" si="4"/>
        <v>12</v>
      </c>
      <c r="U24" s="57">
        <f t="shared" si="5"/>
        <v>21.083333333333332</v>
      </c>
    </row>
    <row r="25" spans="17:21" x14ac:dyDescent="0.25">
      <c r="Q25" s="501" t="str">
        <f t="shared" si="1"/>
        <v>Male</v>
      </c>
      <c r="R25" s="7" t="str">
        <f t="shared" si="2"/>
        <v>Foreign</v>
      </c>
      <c r="S25" s="57" t="str">
        <f t="shared" si="3"/>
        <v>Prone</v>
      </c>
      <c r="T25" s="501">
        <f t="shared" si="4"/>
        <v>12</v>
      </c>
      <c r="U25" s="57">
        <f t="shared" si="5"/>
        <v>32.666666666666664</v>
      </c>
    </row>
    <row r="26" spans="17:21" x14ac:dyDescent="0.25">
      <c r="Q26" s="501" t="str">
        <f t="shared" si="1"/>
        <v>Female</v>
      </c>
      <c r="R26" s="7" t="str">
        <f t="shared" si="2"/>
        <v>Italian</v>
      </c>
      <c r="S26" s="57" t="str">
        <f t="shared" si="3"/>
        <v>Seated</v>
      </c>
      <c r="T26" s="501">
        <f t="shared" si="4"/>
        <v>12</v>
      </c>
      <c r="U26" s="57">
        <f t="shared" si="5"/>
        <v>20.75</v>
      </c>
    </row>
    <row r="27" spans="17:21" x14ac:dyDescent="0.25">
      <c r="Q27" s="501" t="str">
        <f t="shared" si="1"/>
        <v>Female</v>
      </c>
      <c r="R27" s="7" t="str">
        <f t="shared" si="2"/>
        <v>Italian</v>
      </c>
      <c r="S27" s="57" t="str">
        <f t="shared" si="3"/>
        <v>Prone</v>
      </c>
      <c r="T27" s="501">
        <f t="shared" si="4"/>
        <v>12</v>
      </c>
      <c r="U27" s="57">
        <f t="shared" si="5"/>
        <v>21.75</v>
      </c>
    </row>
    <row r="28" spans="17:21" x14ac:dyDescent="0.25">
      <c r="Q28" s="501" t="str">
        <f t="shared" si="1"/>
        <v>Female</v>
      </c>
      <c r="R28" s="7" t="str">
        <f t="shared" si="2"/>
        <v>Foreign</v>
      </c>
      <c r="S28" s="57" t="str">
        <f t="shared" si="3"/>
        <v>Seated</v>
      </c>
      <c r="T28" s="501">
        <f t="shared" si="4"/>
        <v>12</v>
      </c>
      <c r="U28" s="57">
        <f t="shared" si="5"/>
        <v>34.083333333333336</v>
      </c>
    </row>
    <row r="29" spans="17:21" x14ac:dyDescent="0.25">
      <c r="Q29" s="759" t="str">
        <f t="shared" si="1"/>
        <v>Female</v>
      </c>
      <c r="R29" s="760" t="str">
        <f t="shared" si="2"/>
        <v>Foreign</v>
      </c>
      <c r="S29" s="761" t="str">
        <f t="shared" si="3"/>
        <v>Prone</v>
      </c>
      <c r="T29" s="759">
        <f t="shared" si="4"/>
        <v>12</v>
      </c>
      <c r="U29" s="761">
        <f t="shared" si="5"/>
        <v>22.416666666666668</v>
      </c>
    </row>
    <row r="30" spans="17:21" x14ac:dyDescent="0.25">
      <c r="T30">
        <f>SUM(T22:T29)</f>
        <v>96</v>
      </c>
      <c r="U30">
        <f>AVERAGE(U22:U29)</f>
        <v>24.65625</v>
      </c>
    </row>
    <row r="31" spans="17:21" x14ac:dyDescent="0.25">
      <c r="T31" s="13" t="s">
        <v>619</v>
      </c>
      <c r="U31" s="791">
        <f>DEVSQ(D4:O11)</f>
        <v>6867.65625</v>
      </c>
    </row>
  </sheetData>
  <mergeCells count="1">
    <mergeCell ref="D3:O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/>
  <dimension ref="A1:R98"/>
  <sheetViews>
    <sheetView workbookViewId="0"/>
  </sheetViews>
  <sheetFormatPr defaultRowHeight="15" x14ac:dyDescent="0.25"/>
  <sheetData>
    <row r="1" spans="1:18" x14ac:dyDescent="0.25">
      <c r="A1" s="1" t="s">
        <v>1697</v>
      </c>
      <c r="F1" t="s">
        <v>27</v>
      </c>
      <c r="L1" t="s">
        <v>1694</v>
      </c>
    </row>
    <row r="3" spans="1:18" ht="15.75" thickBot="1" x14ac:dyDescent="0.3">
      <c r="A3" s="788" t="str">
        <f t="array" ref="A3:D98">[1]!Anova3Cols('ANOVA 3.2'!A4:O11)</f>
        <v>Male</v>
      </c>
      <c r="B3" s="789" t="str">
        <v>Italian</v>
      </c>
      <c r="C3" s="789" t="str">
        <v>Seated</v>
      </c>
      <c r="D3" s="790">
        <v>23</v>
      </c>
      <c r="I3" s="13" t="s">
        <v>22</v>
      </c>
      <c r="J3" s="13" t="s">
        <v>10</v>
      </c>
      <c r="L3" t="s">
        <v>294</v>
      </c>
      <c r="P3" s="778" t="s">
        <v>34</v>
      </c>
      <c r="Q3" s="778">
        <v>0.05</v>
      </c>
    </row>
    <row r="4" spans="1:18" ht="15.75" thickTop="1" x14ac:dyDescent="0.25">
      <c r="A4" s="501" t="str">
        <v>Male</v>
      </c>
      <c r="B4" s="7" t="str">
        <v>Italian</v>
      </c>
      <c r="C4" s="7" t="str">
        <v>Seated</v>
      </c>
      <c r="D4" s="57">
        <v>18</v>
      </c>
      <c r="F4" s="788" t="str">
        <f t="array" ref="F4:F5">[1]!SortUnique(A3:A98)</f>
        <v>Female</v>
      </c>
      <c r="G4" s="789"/>
      <c r="H4" s="790"/>
      <c r="I4" s="788">
        <f>SUMIF($F$22:$F$29,F4,$I$22:$I$29)</f>
        <v>48</v>
      </c>
      <c r="J4" s="790">
        <f>IF(I4=0,"",AVERAGEIF($F$22:$F$29,F4,$J$22:$J$29))</f>
        <v>24.75</v>
      </c>
      <c r="L4" s="754"/>
      <c r="M4" s="754" t="s">
        <v>219</v>
      </c>
      <c r="N4" s="754" t="s">
        <v>60</v>
      </c>
      <c r="O4" s="754" t="s">
        <v>240</v>
      </c>
      <c r="P4" s="754" t="s">
        <v>135</v>
      </c>
      <c r="Q4" s="754" t="s">
        <v>67</v>
      </c>
      <c r="R4" s="754" t="s">
        <v>527</v>
      </c>
    </row>
    <row r="5" spans="1:18" x14ac:dyDescent="0.25">
      <c r="A5" s="501" t="str">
        <v>Male</v>
      </c>
      <c r="B5" s="7" t="str">
        <v>Italian</v>
      </c>
      <c r="C5" s="7" t="str">
        <v>Seated</v>
      </c>
      <c r="D5" s="57">
        <v>26</v>
      </c>
      <c r="F5" s="501" t="str">
        <v>Male</v>
      </c>
      <c r="G5" s="7"/>
      <c r="H5" s="57"/>
      <c r="I5" s="501">
        <f>SUMIF($F$22:$F$29,F5,$I$22:$I$29)</f>
        <v>48</v>
      </c>
      <c r="J5" s="57">
        <f>IF(I5=0,"",AVERAGEIF($F$22:$F$29,F5,$J$22:$J$29))</f>
        <v>24.5625</v>
      </c>
      <c r="L5" t="s">
        <v>213</v>
      </c>
      <c r="M5">
        <f t="array" ref="M5:M12">[1]!SSAnova3(A3:D98)</f>
        <v>0.84374999999727152</v>
      </c>
      <c r="N5">
        <f>COUNT(J4:J5)-1</f>
        <v>1</v>
      </c>
      <c r="O5">
        <f t="shared" ref="O5:O13" si="0">M5/N5</f>
        <v>0.84374999999727152</v>
      </c>
      <c r="P5">
        <f>O5/O12</f>
        <v>1.749356998404018E-2</v>
      </c>
      <c r="Q5">
        <f>FDIST(P5,N5,N12)</f>
        <v>0.89507801695336087</v>
      </c>
      <c r="R5" s="778" t="str">
        <f>IF(Q5&lt;Q3,"yes","no")</f>
        <v>no</v>
      </c>
    </row>
    <row r="6" spans="1:18" x14ac:dyDescent="0.25">
      <c r="A6" s="501" t="str">
        <v>Male</v>
      </c>
      <c r="B6" s="7" t="str">
        <v>Italian</v>
      </c>
      <c r="C6" s="7" t="str">
        <v>Seated</v>
      </c>
      <c r="D6" s="57">
        <v>32</v>
      </c>
      <c r="F6" s="501"/>
      <c r="G6" s="7" t="str">
        <f t="array" ref="G6:G7">[1]!SortUnique(B3:B98)</f>
        <v>Foreign</v>
      </c>
      <c r="H6" s="57"/>
      <c r="I6" s="501">
        <f>SUMIF($G$22:$G$29,G6,$I$22:$I$29)</f>
        <v>48</v>
      </c>
      <c r="J6" s="57">
        <f>IF(I6=0,"",AVERAGEIF($G$22:$G$29,G6,$J$22:$J$29))</f>
        <v>27.562499999999996</v>
      </c>
      <c r="L6" t="s">
        <v>131</v>
      </c>
      <c r="M6">
        <v>810.84375</v>
      </c>
      <c r="N6">
        <f>COUNT(J6:J7)-1</f>
        <v>1</v>
      </c>
      <c r="O6">
        <f t="shared" si="0"/>
        <v>810.84375</v>
      </c>
      <c r="P6">
        <f>O6/O12</f>
        <v>16.811320754716977</v>
      </c>
      <c r="Q6">
        <f>FDIST(P6,N6,N12)</f>
        <v>9.1779267270436851E-5</v>
      </c>
      <c r="R6" s="778" t="str">
        <f>IF(Q6&lt;Q3,"yes","no")</f>
        <v>yes</v>
      </c>
    </row>
    <row r="7" spans="1:18" x14ac:dyDescent="0.25">
      <c r="A7" s="501" t="str">
        <v>Male</v>
      </c>
      <c r="B7" s="7" t="str">
        <v>Italian</v>
      </c>
      <c r="C7" s="7" t="str">
        <v>Seated</v>
      </c>
      <c r="D7" s="57">
        <v>13</v>
      </c>
      <c r="F7" s="501"/>
      <c r="G7" s="7" t="str">
        <v>Italian</v>
      </c>
      <c r="H7" s="57"/>
      <c r="I7" s="501">
        <f>SUMIF($G$22:$G$29,G7,$I$22:$I$29)</f>
        <v>48</v>
      </c>
      <c r="J7" s="57">
        <f>IF(I7=0,"",AVERAGEIF($G$22:$G$29,G7,$J$22:$J$29))</f>
        <v>21.75</v>
      </c>
      <c r="L7" t="s">
        <v>132</v>
      </c>
      <c r="M7">
        <v>25.01041666666606</v>
      </c>
      <c r="N7">
        <f>COUNT(J8:J9)-1</f>
        <v>1</v>
      </c>
      <c r="O7">
        <f t="shared" si="0"/>
        <v>25.01041666666606</v>
      </c>
      <c r="P7">
        <f>O7/O12</f>
        <v>0.51854396952858361</v>
      </c>
      <c r="Q7">
        <f>FDIST(P7,N7,N12)</f>
        <v>0.47337178271107583</v>
      </c>
      <c r="R7" s="778" t="str">
        <f>IF(Q7&lt;Q3,"yes","no")</f>
        <v>no</v>
      </c>
    </row>
    <row r="8" spans="1:18" x14ac:dyDescent="0.25">
      <c r="A8" s="501" t="str">
        <v>Male</v>
      </c>
      <c r="B8" s="7" t="str">
        <v>Italian</v>
      </c>
      <c r="C8" s="7" t="str">
        <v>Seated</v>
      </c>
      <c r="D8" s="57">
        <v>31</v>
      </c>
      <c r="F8" s="501"/>
      <c r="G8" s="7"/>
      <c r="H8" s="57" t="str">
        <f t="array" ref="H8:H9">[1]!SortUnique(C3:C98)</f>
        <v>Prone</v>
      </c>
      <c r="I8" s="501">
        <f>SUMIF($H$22:$H$29,H8,$I$22:$I$29)</f>
        <v>48</v>
      </c>
      <c r="J8" s="57">
        <f>IF(I8=0,"",AVERAGEIF($H$22:$H$29,H8,$J$22:$J$29))</f>
        <v>24.145833333333336</v>
      </c>
      <c r="L8" t="s">
        <v>622</v>
      </c>
      <c r="M8">
        <v>33.843749999995453</v>
      </c>
      <c r="N8">
        <f>N6*N5</f>
        <v>1</v>
      </c>
      <c r="O8">
        <f t="shared" si="0"/>
        <v>33.843749999995453</v>
      </c>
      <c r="P8">
        <f>O8/O12</f>
        <v>0.70168652936200859</v>
      </c>
      <c r="Q8">
        <f>FDIST(P8,N8,N12)</f>
        <v>0.40448689763878154</v>
      </c>
      <c r="R8" s="778" t="str">
        <f>IF(Q8&lt;Q3,"yes","no")</f>
        <v>no</v>
      </c>
    </row>
    <row r="9" spans="1:18" x14ac:dyDescent="0.25">
      <c r="A9" s="501" t="str">
        <v>Male</v>
      </c>
      <c r="B9" s="7" t="str">
        <v>Italian</v>
      </c>
      <c r="C9" s="7" t="str">
        <v>Seated</v>
      </c>
      <c r="D9" s="57">
        <v>26</v>
      </c>
      <c r="F9" s="759"/>
      <c r="G9" s="760"/>
      <c r="H9" s="761" t="str">
        <v>Seated</v>
      </c>
      <c r="I9" s="759">
        <f>SUMIF($H$22:$H$29,H9,$I$22:$I$29)</f>
        <v>48</v>
      </c>
      <c r="J9" s="761">
        <f>IF(I9=0,"",AVERAGEIF($H$22:$H$29,H9,$J$22:$J$29))</f>
        <v>25.166666666666668</v>
      </c>
      <c r="L9" t="s">
        <v>624</v>
      </c>
      <c r="M9">
        <v>446.34374999999818</v>
      </c>
      <c r="N9">
        <f>N7*N5</f>
        <v>1</v>
      </c>
      <c r="O9">
        <f t="shared" si="0"/>
        <v>446.34374999999818</v>
      </c>
      <c r="P9">
        <f>O9/O12</f>
        <v>9.2540985215871423</v>
      </c>
      <c r="Q9">
        <f>FDIST(P9,N9,N12)</f>
        <v>3.0965102604329033E-3</v>
      </c>
      <c r="R9" s="778" t="str">
        <f>IF(Q9&lt;Q3,"yes","no")</f>
        <v>yes</v>
      </c>
    </row>
    <row r="10" spans="1:18" x14ac:dyDescent="0.25">
      <c r="A10" s="501" t="str">
        <v>Male</v>
      </c>
      <c r="B10" s="7" t="str">
        <v>Italian</v>
      </c>
      <c r="C10" s="7" t="str">
        <v>Seated</v>
      </c>
      <c r="D10" s="57">
        <v>34</v>
      </c>
      <c r="F10" s="788" t="str">
        <f>$F$4</f>
        <v>Female</v>
      </c>
      <c r="G10" s="789" t="str">
        <f>$G6</f>
        <v>Foreign</v>
      </c>
      <c r="H10" s="790"/>
      <c r="I10" s="788">
        <f>SUMIFS($I$22:$I$29,$F$22:$F$29,F10,$G$22:$G$29,G10)</f>
        <v>24</v>
      </c>
      <c r="J10" s="790">
        <f>IF(I10=0,"",AVERAGEIFS($J$22:$J$29,$F$22:$F$29,F10,$G$22:$G$29,G10))</f>
        <v>28.25</v>
      </c>
      <c r="L10" t="s">
        <v>626</v>
      </c>
      <c r="M10">
        <v>23.01041666666606</v>
      </c>
      <c r="N10">
        <f>N7*N6</f>
        <v>1</v>
      </c>
      <c r="O10">
        <f t="shared" si="0"/>
        <v>23.01041666666606</v>
      </c>
      <c r="P10">
        <f>O10/O12</f>
        <v>0.47707772956628025</v>
      </c>
      <c r="Q10">
        <f>FDIST(P10,N10,N12)</f>
        <v>0.49156686051231357</v>
      </c>
      <c r="R10" s="778" t="str">
        <f>IF(Q10&lt;Q3,"yes","no")</f>
        <v>no</v>
      </c>
    </row>
    <row r="11" spans="1:18" x14ac:dyDescent="0.25">
      <c r="A11" s="501" t="str">
        <v>Male</v>
      </c>
      <c r="B11" s="7" t="str">
        <v>Italian</v>
      </c>
      <c r="C11" s="7" t="str">
        <v>Seated</v>
      </c>
      <c r="D11" s="57">
        <v>17</v>
      </c>
      <c r="F11" s="501" t="str">
        <f>$F$4</f>
        <v>Female</v>
      </c>
      <c r="G11" s="7" t="str">
        <f>$G7</f>
        <v>Italian</v>
      </c>
      <c r="H11" s="57"/>
      <c r="I11" s="501">
        <f>SUMIFS($I$22:$I$29,$F$22:$F$29,F11,$G$22:$G$29,G11)</f>
        <v>24</v>
      </c>
      <c r="J11" s="57">
        <f>IF(I11=0,"",AVERAGEIFS($J$22:$J$29,$F$22:$F$29,F11,$G$22:$G$29,G11))</f>
        <v>21.25</v>
      </c>
      <c r="L11" t="s">
        <v>628</v>
      </c>
      <c r="M11">
        <v>1283.3437499999982</v>
      </c>
      <c r="N11">
        <f>N7*N6*N5</f>
        <v>1</v>
      </c>
      <c r="O11">
        <f t="shared" si="0"/>
        <v>1283.3437499999982</v>
      </c>
      <c r="P11">
        <f>O11/O12</f>
        <v>26.607719945811116</v>
      </c>
      <c r="Q11">
        <f>FDIST(P11,N11,N12)</f>
        <v>1.522873244778166E-6</v>
      </c>
      <c r="R11" s="778" t="str">
        <f>IF(Q11&lt;Q3,"yes","no")</f>
        <v>yes</v>
      </c>
    </row>
    <row r="12" spans="1:18" x14ac:dyDescent="0.25">
      <c r="A12" s="501" t="str">
        <v>Male</v>
      </c>
      <c r="B12" s="7" t="str">
        <v>Italian</v>
      </c>
      <c r="C12" s="7" t="str">
        <v>Seated</v>
      </c>
      <c r="D12" s="57">
        <v>23</v>
      </c>
      <c r="F12" s="501" t="str">
        <f>$F$5</f>
        <v>Male</v>
      </c>
      <c r="G12" s="7" t="str">
        <f>$G6</f>
        <v>Foreign</v>
      </c>
      <c r="H12" s="57"/>
      <c r="I12" s="501">
        <f>SUMIFS($I$22:$I$29,$F$22:$F$29,F12,$G$22:$G$29,G12)</f>
        <v>24</v>
      </c>
      <c r="J12" s="57">
        <f>IF(I12=0,"",AVERAGEIFS($J$22:$J$29,$F$22:$F$29,F12,$G$22:$G$29,G12))</f>
        <v>26.875</v>
      </c>
      <c r="L12" t="s">
        <v>600</v>
      </c>
      <c r="M12">
        <v>4244.4166666666679</v>
      </c>
      <c r="N12">
        <f>I30-(N5+1)*(N6+1)*(N7+1)</f>
        <v>88</v>
      </c>
      <c r="O12">
        <f t="shared" si="0"/>
        <v>48.232007575757592</v>
      </c>
    </row>
    <row r="13" spans="1:18" x14ac:dyDescent="0.25">
      <c r="A13" s="501" t="str">
        <v>Male</v>
      </c>
      <c r="B13" s="7" t="str">
        <v>Italian</v>
      </c>
      <c r="C13" s="7" t="str">
        <v>Seated</v>
      </c>
      <c r="D13" s="57">
        <v>28</v>
      </c>
      <c r="F13" s="759" t="str">
        <f>$F$5</f>
        <v>Male</v>
      </c>
      <c r="G13" s="760" t="str">
        <f>$G7</f>
        <v>Italian</v>
      </c>
      <c r="H13" s="761"/>
      <c r="I13" s="759">
        <f>SUMIFS($I$22:$I$29,$F$22:$F$29,F13,$G$22:$G$29,G13)</f>
        <v>24</v>
      </c>
      <c r="J13" s="761">
        <f>IF(I13=0,"",AVERAGEIFS($J$22:$J$29,$F$22:$F$29,F13,$G$22:$G$29,G13))</f>
        <v>22.25</v>
      </c>
      <c r="L13" s="762" t="s">
        <v>1</v>
      </c>
      <c r="M13" s="762">
        <f>J31</f>
        <v>6867.65625</v>
      </c>
      <c r="N13" s="762">
        <f>I30-1</f>
        <v>95</v>
      </c>
      <c r="O13" s="762">
        <f t="shared" si="0"/>
        <v>72.29111842105263</v>
      </c>
      <c r="P13" s="762"/>
      <c r="Q13" s="762"/>
      <c r="R13" s="762"/>
    </row>
    <row r="14" spans="1:18" x14ac:dyDescent="0.25">
      <c r="A14" s="501" t="str">
        <v>Male</v>
      </c>
      <c r="B14" s="7" t="str">
        <v>Italian</v>
      </c>
      <c r="C14" s="7" t="str">
        <v>Seated</v>
      </c>
      <c r="D14" s="57">
        <v>26</v>
      </c>
      <c r="F14" s="788" t="str">
        <f>$F$4</f>
        <v>Female</v>
      </c>
      <c r="G14" s="789"/>
      <c r="H14" s="790" t="str">
        <f>$H8</f>
        <v>Prone</v>
      </c>
      <c r="I14" s="788">
        <f>SUMIFS($I$22:$I$29,$F$22:$F$29,F14,$H$22:$H$29,H14)</f>
        <v>24</v>
      </c>
      <c r="J14" s="790">
        <f>IF(I14=0,"",AVERAGEIFS($J$22:$J$29,$F$22:$F$29,F14,$H$22:$H$29,H14))</f>
        <v>22.083333333333336</v>
      </c>
    </row>
    <row r="15" spans="1:18" x14ac:dyDescent="0.25">
      <c r="A15" s="501" t="str">
        <v>Male</v>
      </c>
      <c r="B15" s="7" t="str">
        <v>Italian</v>
      </c>
      <c r="C15" s="7" t="str">
        <v>Prone</v>
      </c>
      <c r="D15" s="57">
        <v>24</v>
      </c>
      <c r="F15" s="501" t="str">
        <f>$F$4</f>
        <v>Female</v>
      </c>
      <c r="G15" s="7"/>
      <c r="H15" s="57" t="str">
        <f>$H9</f>
        <v>Seated</v>
      </c>
      <c r="I15" s="501">
        <f>SUMIFS($I$22:$I$29,$F$22:$F$29,F15,$H$22:$H$29,H15)</f>
        <v>24</v>
      </c>
      <c r="J15" s="57">
        <f>IF(I15=0,"",AVERAGEIFS($J$22:$J$29,$F$22:$F$29,F15,$H$22:$H$29,H15))</f>
        <v>27.416666666666668</v>
      </c>
    </row>
    <row r="16" spans="1:18" x14ac:dyDescent="0.25">
      <c r="A16" s="501" t="str">
        <v>Male</v>
      </c>
      <c r="B16" s="7" t="str">
        <v>Italian</v>
      </c>
      <c r="C16" s="7" t="str">
        <v>Prone</v>
      </c>
      <c r="D16" s="57">
        <v>25</v>
      </c>
      <c r="F16" s="501" t="str">
        <f>$F$5</f>
        <v>Male</v>
      </c>
      <c r="G16" s="7"/>
      <c r="H16" s="57" t="str">
        <f>$H8</f>
        <v>Prone</v>
      </c>
      <c r="I16" s="501">
        <f>SUMIFS($I$22:$I$29,$F$22:$F$29,F16,$H$22:$H$29,H16)</f>
        <v>24</v>
      </c>
      <c r="J16" s="57">
        <f>IF(I16=0,"",AVERAGEIFS($J$22:$J$29,$F$22:$F$29,F16,$H$22:$H$29,H16))</f>
        <v>26.208333333333332</v>
      </c>
    </row>
    <row r="17" spans="1:10" x14ac:dyDescent="0.25">
      <c r="A17" s="501" t="str">
        <v>Male</v>
      </c>
      <c r="B17" s="7" t="str">
        <v>Italian</v>
      </c>
      <c r="C17" s="7" t="str">
        <v>Prone</v>
      </c>
      <c r="D17" s="57">
        <v>14</v>
      </c>
      <c r="F17" s="759" t="str">
        <f>$F$5</f>
        <v>Male</v>
      </c>
      <c r="G17" s="760"/>
      <c r="H17" s="761" t="str">
        <f>$H9</f>
        <v>Seated</v>
      </c>
      <c r="I17" s="759">
        <f>SUMIFS($I$22:$I$29,$F$22:$F$29,F17,$H$22:$H$29,H17)</f>
        <v>24</v>
      </c>
      <c r="J17" s="761">
        <f>IF(I17=0,"",AVERAGEIFS($J$22:$J$29,$F$22:$F$29,F17,$H$22:$H$29,H17))</f>
        <v>22.916666666666664</v>
      </c>
    </row>
    <row r="18" spans="1:10" x14ac:dyDescent="0.25">
      <c r="A18" s="501" t="str">
        <v>Male</v>
      </c>
      <c r="B18" s="7" t="str">
        <v>Italian</v>
      </c>
      <c r="C18" s="7" t="str">
        <v>Prone</v>
      </c>
      <c r="D18" s="57">
        <v>17</v>
      </c>
      <c r="F18" s="788"/>
      <c r="G18" s="789" t="str">
        <f>$G$6</f>
        <v>Foreign</v>
      </c>
      <c r="H18" s="790" t="str">
        <f>$H8</f>
        <v>Prone</v>
      </c>
      <c r="I18" s="788">
        <f>SUMIFS($I$22:$I$29,$G$22:$G$29,G18,$H$22:$H$29,H18)</f>
        <v>24</v>
      </c>
      <c r="J18" s="790">
        <f>IF(I18=0,"",AVERAGEIFS($J$22:$J$29,$G$22:$G$29,G18,$H$22:$H$29,H18))</f>
        <v>27.541666666666664</v>
      </c>
    </row>
    <row r="19" spans="1:10" x14ac:dyDescent="0.25">
      <c r="A19" s="501" t="str">
        <v>Male</v>
      </c>
      <c r="B19" s="7" t="str">
        <v>Italian</v>
      </c>
      <c r="C19" s="7" t="str">
        <v>Prone</v>
      </c>
      <c r="D19" s="57">
        <v>30</v>
      </c>
      <c r="F19" s="501"/>
      <c r="G19" s="7" t="str">
        <f>$G$6</f>
        <v>Foreign</v>
      </c>
      <c r="H19" s="57" t="str">
        <f>$H9</f>
        <v>Seated</v>
      </c>
      <c r="I19" s="501">
        <f>SUMIFS($I$22:$I$29,$G$22:$G$29,G19,$H$22:$H$29,H19)</f>
        <v>24</v>
      </c>
      <c r="J19" s="57">
        <f>IF(I19=0,"",AVERAGEIFS($J$22:$J$29,$G$22:$G$29,G19,$H$22:$H$29,H19))</f>
        <v>27.583333333333336</v>
      </c>
    </row>
    <row r="20" spans="1:10" x14ac:dyDescent="0.25">
      <c r="A20" s="501" t="str">
        <v>Male</v>
      </c>
      <c r="B20" s="7" t="str">
        <v>Italian</v>
      </c>
      <c r="C20" s="7" t="str">
        <v>Prone</v>
      </c>
      <c r="D20" s="57">
        <v>18</v>
      </c>
      <c r="F20" s="501"/>
      <c r="G20" s="7" t="str">
        <f>$G$7</f>
        <v>Italian</v>
      </c>
      <c r="H20" s="57" t="str">
        <f>$H8</f>
        <v>Prone</v>
      </c>
      <c r="I20" s="501">
        <f>SUMIFS($I$22:$I$29,$G$22:$G$29,G20,$H$22:$H$29,H20)</f>
        <v>24</v>
      </c>
      <c r="J20" s="57">
        <f>IF(I20=0,"",AVERAGEIFS($J$22:$J$29,$G$22:$G$29,G20,$H$22:$H$29,H20))</f>
        <v>20.75</v>
      </c>
    </row>
    <row r="21" spans="1:10" x14ac:dyDescent="0.25">
      <c r="A21" s="501" t="str">
        <v>Male</v>
      </c>
      <c r="B21" s="7" t="str">
        <v>Italian</v>
      </c>
      <c r="C21" s="7" t="str">
        <v>Prone</v>
      </c>
      <c r="D21" s="57">
        <v>11</v>
      </c>
      <c r="F21" s="759"/>
      <c r="G21" s="760" t="str">
        <f>$G$7</f>
        <v>Italian</v>
      </c>
      <c r="H21" s="761" t="str">
        <f>$H9</f>
        <v>Seated</v>
      </c>
      <c r="I21" s="759">
        <f>SUMIFS($I$22:$I$29,$G$22:$G$29,G21,$H$22:$H$29,H21)</f>
        <v>24</v>
      </c>
      <c r="J21" s="761">
        <f>IF(I21=0,"",AVERAGEIFS($J$22:$J$29,$G$22:$G$29,G21,$H$22:$H$29,H21))</f>
        <v>22.75</v>
      </c>
    </row>
    <row r="22" spans="1:10" x14ac:dyDescent="0.25">
      <c r="A22" s="501" t="str">
        <v>Male</v>
      </c>
      <c r="B22" s="7" t="str">
        <v>Italian</v>
      </c>
      <c r="C22" s="7" t="str">
        <v>Prone</v>
      </c>
      <c r="D22" s="57">
        <v>16</v>
      </c>
      <c r="F22" s="788" t="str">
        <f>$F$4</f>
        <v>Female</v>
      </c>
      <c r="G22" s="789" t="str">
        <f t="shared" ref="G22:H29" si="1">G18</f>
        <v>Foreign</v>
      </c>
      <c r="H22" s="790" t="str">
        <f t="shared" si="1"/>
        <v>Prone</v>
      </c>
      <c r="I22" s="788">
        <f>COUNTIFS($A$3:$A$98,$F22,$B$3:$B$98,$G22,$C$3:$C$98,$H22)</f>
        <v>12</v>
      </c>
      <c r="J22" s="790">
        <f>IF(I22=0,"",AVERAGEIFS($D$3:$D$98,$A$3:$A$98,$F22,$B$3:$B$98,$G22,$C$3:$C$98,$H22))</f>
        <v>22.416666666666668</v>
      </c>
    </row>
    <row r="23" spans="1:10" x14ac:dyDescent="0.25">
      <c r="A23" s="501" t="str">
        <v>Male</v>
      </c>
      <c r="B23" s="7" t="str">
        <v>Italian</v>
      </c>
      <c r="C23" s="7" t="str">
        <v>Prone</v>
      </c>
      <c r="D23" s="57">
        <v>25</v>
      </c>
      <c r="F23" s="501" t="str">
        <f>$F$4</f>
        <v>Female</v>
      </c>
      <c r="G23" s="7" t="str">
        <f t="shared" si="1"/>
        <v>Foreign</v>
      </c>
      <c r="H23" s="57" t="str">
        <f t="shared" si="1"/>
        <v>Seated</v>
      </c>
      <c r="I23" s="501">
        <f t="shared" ref="I23:I29" si="2">COUNTIFS($A$3:$A$98,$F23,$B$3:$B$98,$G23,$C$3:$C$98,$H23)</f>
        <v>12</v>
      </c>
      <c r="J23" s="57">
        <f t="shared" ref="J23:J29" si="3">IF(I23=0,"",AVERAGEIFS($D$3:$D$98,$A$3:$A$98,$F23,$B$3:$B$98,$G23,$C$3:$C$98,$H23))</f>
        <v>34.083333333333336</v>
      </c>
    </row>
    <row r="24" spans="1:10" x14ac:dyDescent="0.25">
      <c r="A24" s="501" t="str">
        <v>Male</v>
      </c>
      <c r="B24" s="7" t="str">
        <v>Italian</v>
      </c>
      <c r="C24" s="7" t="str">
        <v>Prone</v>
      </c>
      <c r="D24" s="57">
        <v>18</v>
      </c>
      <c r="F24" s="501" t="str">
        <f>$F$4</f>
        <v>Female</v>
      </c>
      <c r="G24" s="7" t="str">
        <f t="shared" si="1"/>
        <v>Italian</v>
      </c>
      <c r="H24" s="57" t="str">
        <f t="shared" si="1"/>
        <v>Prone</v>
      </c>
      <c r="I24" s="501">
        <f t="shared" si="2"/>
        <v>12</v>
      </c>
      <c r="J24" s="57">
        <f t="shared" si="3"/>
        <v>21.75</v>
      </c>
    </row>
    <row r="25" spans="1:10" x14ac:dyDescent="0.25">
      <c r="A25" s="501" t="str">
        <v>Male</v>
      </c>
      <c r="B25" s="7" t="str">
        <v>Italian</v>
      </c>
      <c r="C25" s="7" t="str">
        <v>Prone</v>
      </c>
      <c r="D25" s="57">
        <v>14</v>
      </c>
      <c r="F25" s="501" t="str">
        <f>$F$4</f>
        <v>Female</v>
      </c>
      <c r="G25" s="7" t="str">
        <f t="shared" si="1"/>
        <v>Italian</v>
      </c>
      <c r="H25" s="57" t="str">
        <f t="shared" si="1"/>
        <v>Seated</v>
      </c>
      <c r="I25" s="501">
        <f t="shared" si="2"/>
        <v>12</v>
      </c>
      <c r="J25" s="57">
        <f t="shared" si="3"/>
        <v>20.75</v>
      </c>
    </row>
    <row r="26" spans="1:10" x14ac:dyDescent="0.25">
      <c r="A26" s="501" t="str">
        <v>Male</v>
      </c>
      <c r="B26" s="7" t="str">
        <v>Italian</v>
      </c>
      <c r="C26" s="7" t="str">
        <v>Prone</v>
      </c>
      <c r="D26" s="57">
        <v>25</v>
      </c>
      <c r="F26" s="501" t="str">
        <f>$F$5</f>
        <v>Male</v>
      </c>
      <c r="G26" s="7" t="str">
        <f t="shared" si="1"/>
        <v>Foreign</v>
      </c>
      <c r="H26" s="57" t="str">
        <f t="shared" si="1"/>
        <v>Prone</v>
      </c>
      <c r="I26" s="501">
        <f t="shared" si="2"/>
        <v>12</v>
      </c>
      <c r="J26" s="57">
        <f t="shared" si="3"/>
        <v>32.666666666666664</v>
      </c>
    </row>
    <row r="27" spans="1:10" x14ac:dyDescent="0.25">
      <c r="A27" s="501" t="str">
        <v>Male</v>
      </c>
      <c r="B27" s="7" t="str">
        <v>Foreign</v>
      </c>
      <c r="C27" s="7" t="str">
        <v>Seated</v>
      </c>
      <c r="D27" s="57">
        <v>16</v>
      </c>
      <c r="F27" s="501" t="str">
        <f>$F$5</f>
        <v>Male</v>
      </c>
      <c r="G27" s="7" t="str">
        <f t="shared" si="1"/>
        <v>Foreign</v>
      </c>
      <c r="H27" s="57" t="str">
        <f t="shared" si="1"/>
        <v>Seated</v>
      </c>
      <c r="I27" s="501">
        <f t="shared" si="2"/>
        <v>12</v>
      </c>
      <c r="J27" s="57">
        <f t="shared" si="3"/>
        <v>21.083333333333332</v>
      </c>
    </row>
    <row r="28" spans="1:10" x14ac:dyDescent="0.25">
      <c r="A28" s="501" t="str">
        <v>Male</v>
      </c>
      <c r="B28" s="7" t="str">
        <v>Foreign</v>
      </c>
      <c r="C28" s="7" t="str">
        <v>Seated</v>
      </c>
      <c r="D28" s="57">
        <v>31</v>
      </c>
      <c r="F28" s="501" t="str">
        <f>$F$5</f>
        <v>Male</v>
      </c>
      <c r="G28" s="7" t="str">
        <f t="shared" si="1"/>
        <v>Italian</v>
      </c>
      <c r="H28" s="57" t="str">
        <f t="shared" si="1"/>
        <v>Prone</v>
      </c>
      <c r="I28" s="501">
        <f t="shared" si="2"/>
        <v>12</v>
      </c>
      <c r="J28" s="57">
        <f t="shared" si="3"/>
        <v>19.75</v>
      </c>
    </row>
    <row r="29" spans="1:10" x14ac:dyDescent="0.25">
      <c r="A29" s="501" t="str">
        <v>Male</v>
      </c>
      <c r="B29" s="7" t="str">
        <v>Foreign</v>
      </c>
      <c r="C29" s="7" t="str">
        <v>Seated</v>
      </c>
      <c r="D29" s="57">
        <v>17</v>
      </c>
      <c r="F29" s="759" t="str">
        <f>$F$5</f>
        <v>Male</v>
      </c>
      <c r="G29" s="760" t="str">
        <f t="shared" si="1"/>
        <v>Italian</v>
      </c>
      <c r="H29" s="761" t="str">
        <f t="shared" si="1"/>
        <v>Seated</v>
      </c>
      <c r="I29" s="759">
        <f t="shared" si="2"/>
        <v>12</v>
      </c>
      <c r="J29" s="761">
        <f t="shared" si="3"/>
        <v>24.75</v>
      </c>
    </row>
    <row r="30" spans="1:10" x14ac:dyDescent="0.25">
      <c r="A30" s="501" t="str">
        <v>Male</v>
      </c>
      <c r="B30" s="7" t="str">
        <v>Foreign</v>
      </c>
      <c r="C30" s="7" t="str">
        <v>Seated</v>
      </c>
      <c r="D30" s="57">
        <v>11</v>
      </c>
      <c r="I30">
        <f>SUM(I22:I29)</f>
        <v>96</v>
      </c>
      <c r="J30">
        <f>AVERAGE(J22:J29)</f>
        <v>24.65625</v>
      </c>
    </row>
    <row r="31" spans="1:10" x14ac:dyDescent="0.25">
      <c r="A31" s="501" t="str">
        <v>Male</v>
      </c>
      <c r="B31" s="7" t="str">
        <v>Foreign</v>
      </c>
      <c r="C31" s="7" t="str">
        <v>Seated</v>
      </c>
      <c r="D31" s="57">
        <v>34</v>
      </c>
      <c r="I31" s="13" t="s">
        <v>619</v>
      </c>
      <c r="J31" s="791">
        <f>DEVSQ(D3:D98)</f>
        <v>6867.65625</v>
      </c>
    </row>
    <row r="32" spans="1:10" x14ac:dyDescent="0.25">
      <c r="A32" s="501" t="str">
        <v>Male</v>
      </c>
      <c r="B32" s="7" t="str">
        <v>Foreign</v>
      </c>
      <c r="C32" s="7" t="str">
        <v>Seated</v>
      </c>
      <c r="D32" s="57">
        <v>24</v>
      </c>
    </row>
    <row r="33" spans="1:4" x14ac:dyDescent="0.25">
      <c r="A33" s="501" t="str">
        <v>Male</v>
      </c>
      <c r="B33" s="7" t="str">
        <v>Foreign</v>
      </c>
      <c r="C33" s="7" t="str">
        <v>Seated</v>
      </c>
      <c r="D33" s="57">
        <v>24</v>
      </c>
    </row>
    <row r="34" spans="1:4" x14ac:dyDescent="0.25">
      <c r="A34" s="501" t="str">
        <v>Male</v>
      </c>
      <c r="B34" s="7" t="str">
        <v>Foreign</v>
      </c>
      <c r="C34" s="7" t="str">
        <v>Seated</v>
      </c>
      <c r="D34" s="57">
        <v>19</v>
      </c>
    </row>
    <row r="35" spans="1:4" x14ac:dyDescent="0.25">
      <c r="A35" s="501" t="str">
        <v>Male</v>
      </c>
      <c r="B35" s="7" t="str">
        <v>Foreign</v>
      </c>
      <c r="C35" s="7" t="str">
        <v>Seated</v>
      </c>
      <c r="D35" s="57">
        <v>31</v>
      </c>
    </row>
    <row r="36" spans="1:4" x14ac:dyDescent="0.25">
      <c r="A36" s="501" t="str">
        <v>Male</v>
      </c>
      <c r="B36" s="7" t="str">
        <v>Foreign</v>
      </c>
      <c r="C36" s="7" t="str">
        <v>Seated</v>
      </c>
      <c r="D36" s="57">
        <v>16</v>
      </c>
    </row>
    <row r="37" spans="1:4" x14ac:dyDescent="0.25">
      <c r="A37" s="501" t="str">
        <v>Male</v>
      </c>
      <c r="B37" s="7" t="str">
        <v>Foreign</v>
      </c>
      <c r="C37" s="7" t="str">
        <v>Seated</v>
      </c>
      <c r="D37" s="57">
        <v>11</v>
      </c>
    </row>
    <row r="38" spans="1:4" x14ac:dyDescent="0.25">
      <c r="A38" s="501" t="str">
        <v>Male</v>
      </c>
      <c r="B38" s="7" t="str">
        <v>Foreign</v>
      </c>
      <c r="C38" s="7" t="str">
        <v>Seated</v>
      </c>
      <c r="D38" s="57">
        <v>19</v>
      </c>
    </row>
    <row r="39" spans="1:4" x14ac:dyDescent="0.25">
      <c r="A39" s="501" t="str">
        <v>Male</v>
      </c>
      <c r="B39" s="7" t="str">
        <v>Foreign</v>
      </c>
      <c r="C39" s="7" t="str">
        <v>Prone</v>
      </c>
      <c r="D39" s="57">
        <v>31</v>
      </c>
    </row>
    <row r="40" spans="1:4" x14ac:dyDescent="0.25">
      <c r="A40" s="501" t="str">
        <v>Male</v>
      </c>
      <c r="B40" s="7" t="str">
        <v>Foreign</v>
      </c>
      <c r="C40" s="7" t="str">
        <v>Prone</v>
      </c>
      <c r="D40" s="57">
        <v>29</v>
      </c>
    </row>
    <row r="41" spans="1:4" x14ac:dyDescent="0.25">
      <c r="A41" s="501" t="str">
        <v>Male</v>
      </c>
      <c r="B41" s="7" t="str">
        <v>Foreign</v>
      </c>
      <c r="C41" s="7" t="str">
        <v>Prone</v>
      </c>
      <c r="D41" s="57">
        <v>40</v>
      </c>
    </row>
    <row r="42" spans="1:4" x14ac:dyDescent="0.25">
      <c r="A42" s="501" t="str">
        <v>Male</v>
      </c>
      <c r="B42" s="7" t="str">
        <v>Foreign</v>
      </c>
      <c r="C42" s="7" t="str">
        <v>Prone</v>
      </c>
      <c r="D42" s="57">
        <v>31</v>
      </c>
    </row>
    <row r="43" spans="1:4" x14ac:dyDescent="0.25">
      <c r="A43" s="501" t="str">
        <v>Male</v>
      </c>
      <c r="B43" s="7" t="str">
        <v>Foreign</v>
      </c>
      <c r="C43" s="7" t="str">
        <v>Prone</v>
      </c>
      <c r="D43" s="57">
        <v>35</v>
      </c>
    </row>
    <row r="44" spans="1:4" x14ac:dyDescent="0.25">
      <c r="A44" s="501" t="str">
        <v>Male</v>
      </c>
      <c r="B44" s="7" t="str">
        <v>Foreign</v>
      </c>
      <c r="C44" s="7" t="str">
        <v>Prone</v>
      </c>
      <c r="D44" s="57">
        <v>25</v>
      </c>
    </row>
    <row r="45" spans="1:4" x14ac:dyDescent="0.25">
      <c r="A45" s="501" t="str">
        <v>Male</v>
      </c>
      <c r="B45" s="7" t="str">
        <v>Foreign</v>
      </c>
      <c r="C45" s="7" t="str">
        <v>Prone</v>
      </c>
      <c r="D45" s="57">
        <v>18</v>
      </c>
    </row>
    <row r="46" spans="1:4" x14ac:dyDescent="0.25">
      <c r="A46" s="501" t="str">
        <v>Male</v>
      </c>
      <c r="B46" s="7" t="str">
        <v>Foreign</v>
      </c>
      <c r="C46" s="7" t="str">
        <v>Prone</v>
      </c>
      <c r="D46" s="57">
        <v>29</v>
      </c>
    </row>
    <row r="47" spans="1:4" x14ac:dyDescent="0.25">
      <c r="A47" s="501" t="str">
        <v>Male</v>
      </c>
      <c r="B47" s="7" t="str">
        <v>Foreign</v>
      </c>
      <c r="C47" s="7" t="str">
        <v>Prone</v>
      </c>
      <c r="D47" s="57">
        <v>36</v>
      </c>
    </row>
    <row r="48" spans="1:4" x14ac:dyDescent="0.25">
      <c r="A48" s="501" t="str">
        <v>Male</v>
      </c>
      <c r="B48" s="7" t="str">
        <v>Foreign</v>
      </c>
      <c r="C48" s="7" t="str">
        <v>Prone</v>
      </c>
      <c r="D48" s="57">
        <v>42</v>
      </c>
    </row>
    <row r="49" spans="1:4" x14ac:dyDescent="0.25">
      <c r="A49" s="501" t="str">
        <v>Male</v>
      </c>
      <c r="B49" s="7" t="str">
        <v>Foreign</v>
      </c>
      <c r="C49" s="7" t="str">
        <v>Prone</v>
      </c>
      <c r="D49" s="57">
        <v>40</v>
      </c>
    </row>
    <row r="50" spans="1:4" x14ac:dyDescent="0.25">
      <c r="A50" s="501" t="str">
        <v>Male</v>
      </c>
      <c r="B50" s="7" t="str">
        <v>Foreign</v>
      </c>
      <c r="C50" s="7" t="str">
        <v>Prone</v>
      </c>
      <c r="D50" s="57">
        <v>36</v>
      </c>
    </row>
    <row r="51" spans="1:4" x14ac:dyDescent="0.25">
      <c r="A51" s="501" t="str">
        <v>Female</v>
      </c>
      <c r="B51" s="7" t="str">
        <v>Italian</v>
      </c>
      <c r="C51" s="7" t="str">
        <v>Seated</v>
      </c>
      <c r="D51" s="57">
        <v>19</v>
      </c>
    </row>
    <row r="52" spans="1:4" x14ac:dyDescent="0.25">
      <c r="A52" s="501" t="str">
        <v>Female</v>
      </c>
      <c r="B52" s="7" t="str">
        <v>Italian</v>
      </c>
      <c r="C52" s="7" t="str">
        <v>Seated</v>
      </c>
      <c r="D52" s="57">
        <v>28</v>
      </c>
    </row>
    <row r="53" spans="1:4" x14ac:dyDescent="0.25">
      <c r="A53" s="501" t="str">
        <v>Female</v>
      </c>
      <c r="B53" s="7" t="str">
        <v>Italian</v>
      </c>
      <c r="C53" s="7" t="str">
        <v>Seated</v>
      </c>
      <c r="D53" s="57">
        <v>31</v>
      </c>
    </row>
    <row r="54" spans="1:4" x14ac:dyDescent="0.25">
      <c r="A54" s="501" t="str">
        <v>Female</v>
      </c>
      <c r="B54" s="7" t="str">
        <v>Italian</v>
      </c>
      <c r="C54" s="7" t="str">
        <v>Seated</v>
      </c>
      <c r="D54" s="57">
        <v>23</v>
      </c>
    </row>
    <row r="55" spans="1:4" x14ac:dyDescent="0.25">
      <c r="A55" s="501" t="str">
        <v>Female</v>
      </c>
      <c r="B55" s="7" t="str">
        <v>Italian</v>
      </c>
      <c r="C55" s="7" t="str">
        <v>Seated</v>
      </c>
      <c r="D55" s="57">
        <v>19</v>
      </c>
    </row>
    <row r="56" spans="1:4" x14ac:dyDescent="0.25">
      <c r="A56" s="501" t="str">
        <v>Female</v>
      </c>
      <c r="B56" s="7" t="str">
        <v>Italian</v>
      </c>
      <c r="C56" s="7" t="str">
        <v>Seated</v>
      </c>
      <c r="D56" s="57">
        <v>14</v>
      </c>
    </row>
    <row r="57" spans="1:4" x14ac:dyDescent="0.25">
      <c r="A57" s="501" t="str">
        <v>Female</v>
      </c>
      <c r="B57" s="7" t="str">
        <v>Italian</v>
      </c>
      <c r="C57" s="7" t="str">
        <v>Seated</v>
      </c>
      <c r="D57" s="57">
        <v>4</v>
      </c>
    </row>
    <row r="58" spans="1:4" x14ac:dyDescent="0.25">
      <c r="A58" s="501" t="str">
        <v>Female</v>
      </c>
      <c r="B58" s="7" t="str">
        <v>Italian</v>
      </c>
      <c r="C58" s="7" t="str">
        <v>Seated</v>
      </c>
      <c r="D58" s="57">
        <v>29</v>
      </c>
    </row>
    <row r="59" spans="1:4" x14ac:dyDescent="0.25">
      <c r="A59" s="501" t="str">
        <v>Female</v>
      </c>
      <c r="B59" s="7" t="str">
        <v>Italian</v>
      </c>
      <c r="C59" s="7" t="str">
        <v>Seated</v>
      </c>
      <c r="D59" s="57">
        <v>18</v>
      </c>
    </row>
    <row r="60" spans="1:4" x14ac:dyDescent="0.25">
      <c r="A60" s="501" t="str">
        <v>Female</v>
      </c>
      <c r="B60" s="7" t="str">
        <v>Italian</v>
      </c>
      <c r="C60" s="7" t="str">
        <v>Seated</v>
      </c>
      <c r="D60" s="57">
        <v>22</v>
      </c>
    </row>
    <row r="61" spans="1:4" x14ac:dyDescent="0.25">
      <c r="A61" s="501" t="str">
        <v>Female</v>
      </c>
      <c r="B61" s="7" t="str">
        <v>Italian</v>
      </c>
      <c r="C61" s="7" t="str">
        <v>Seated</v>
      </c>
      <c r="D61" s="57">
        <v>18</v>
      </c>
    </row>
    <row r="62" spans="1:4" x14ac:dyDescent="0.25">
      <c r="A62" s="501" t="str">
        <v>Female</v>
      </c>
      <c r="B62" s="7" t="str">
        <v>Italian</v>
      </c>
      <c r="C62" s="7" t="str">
        <v>Seated</v>
      </c>
      <c r="D62" s="57">
        <v>24</v>
      </c>
    </row>
    <row r="63" spans="1:4" x14ac:dyDescent="0.25">
      <c r="A63" s="501" t="str">
        <v>Female</v>
      </c>
      <c r="B63" s="7" t="str">
        <v>Italian</v>
      </c>
      <c r="C63" s="7" t="str">
        <v>Prone</v>
      </c>
      <c r="D63" s="57">
        <v>29</v>
      </c>
    </row>
    <row r="64" spans="1:4" x14ac:dyDescent="0.25">
      <c r="A64" s="501" t="str">
        <v>Female</v>
      </c>
      <c r="B64" s="7" t="str">
        <v>Italian</v>
      </c>
      <c r="C64" s="7" t="str">
        <v>Prone</v>
      </c>
      <c r="D64" s="57">
        <v>25</v>
      </c>
    </row>
    <row r="65" spans="1:4" x14ac:dyDescent="0.25">
      <c r="A65" s="501" t="str">
        <v>Female</v>
      </c>
      <c r="B65" s="7" t="str">
        <v>Italian</v>
      </c>
      <c r="C65" s="7" t="str">
        <v>Prone</v>
      </c>
      <c r="D65" s="57">
        <v>17</v>
      </c>
    </row>
    <row r="66" spans="1:4" x14ac:dyDescent="0.25">
      <c r="A66" s="501" t="str">
        <v>Female</v>
      </c>
      <c r="B66" s="7" t="str">
        <v>Italian</v>
      </c>
      <c r="C66" s="7" t="str">
        <v>Prone</v>
      </c>
      <c r="D66" s="57">
        <v>12</v>
      </c>
    </row>
    <row r="67" spans="1:4" x14ac:dyDescent="0.25">
      <c r="A67" s="501" t="str">
        <v>Female</v>
      </c>
      <c r="B67" s="7" t="str">
        <v>Italian</v>
      </c>
      <c r="C67" s="7" t="str">
        <v>Prone</v>
      </c>
      <c r="D67" s="57">
        <v>26</v>
      </c>
    </row>
    <row r="68" spans="1:4" x14ac:dyDescent="0.25">
      <c r="A68" s="501" t="str">
        <v>Female</v>
      </c>
      <c r="B68" s="7" t="str">
        <v>Italian</v>
      </c>
      <c r="C68" s="7" t="str">
        <v>Prone</v>
      </c>
      <c r="D68" s="57">
        <v>35</v>
      </c>
    </row>
    <row r="69" spans="1:4" x14ac:dyDescent="0.25">
      <c r="A69" s="501" t="str">
        <v>Female</v>
      </c>
      <c r="B69" s="7" t="str">
        <v>Italian</v>
      </c>
      <c r="C69" s="7" t="str">
        <v>Prone</v>
      </c>
      <c r="D69" s="57">
        <v>10</v>
      </c>
    </row>
    <row r="70" spans="1:4" x14ac:dyDescent="0.25">
      <c r="A70" s="501" t="str">
        <v>Female</v>
      </c>
      <c r="B70" s="7" t="str">
        <v>Italian</v>
      </c>
      <c r="C70" s="7" t="str">
        <v>Prone</v>
      </c>
      <c r="D70" s="57">
        <v>23</v>
      </c>
    </row>
    <row r="71" spans="1:4" x14ac:dyDescent="0.25">
      <c r="A71" s="501" t="str">
        <v>Female</v>
      </c>
      <c r="B71" s="7" t="str">
        <v>Italian</v>
      </c>
      <c r="C71" s="7" t="str">
        <v>Prone</v>
      </c>
      <c r="D71" s="57">
        <v>26</v>
      </c>
    </row>
    <row r="72" spans="1:4" x14ac:dyDescent="0.25">
      <c r="A72" s="501" t="str">
        <v>Female</v>
      </c>
      <c r="B72" s="7" t="str">
        <v>Italian</v>
      </c>
      <c r="C72" s="7" t="str">
        <v>Prone</v>
      </c>
      <c r="D72" s="57">
        <v>18</v>
      </c>
    </row>
    <row r="73" spans="1:4" x14ac:dyDescent="0.25">
      <c r="A73" s="501" t="str">
        <v>Female</v>
      </c>
      <c r="B73" s="7" t="str">
        <v>Italian</v>
      </c>
      <c r="C73" s="7" t="str">
        <v>Prone</v>
      </c>
      <c r="D73" s="57">
        <v>24</v>
      </c>
    </row>
    <row r="74" spans="1:4" x14ac:dyDescent="0.25">
      <c r="A74" s="501" t="str">
        <v>Female</v>
      </c>
      <c r="B74" s="7" t="str">
        <v>Italian</v>
      </c>
      <c r="C74" s="7" t="str">
        <v>Prone</v>
      </c>
      <c r="D74" s="57">
        <v>16</v>
      </c>
    </row>
    <row r="75" spans="1:4" x14ac:dyDescent="0.25">
      <c r="A75" s="501" t="str">
        <v>Female</v>
      </c>
      <c r="B75" s="7" t="str">
        <v>Foreign</v>
      </c>
      <c r="C75" s="7" t="str">
        <v>Seated</v>
      </c>
      <c r="D75" s="57">
        <v>28</v>
      </c>
    </row>
    <row r="76" spans="1:4" x14ac:dyDescent="0.25">
      <c r="A76" s="501" t="str">
        <v>Female</v>
      </c>
      <c r="B76" s="7" t="str">
        <v>Foreign</v>
      </c>
      <c r="C76" s="7" t="str">
        <v>Seated</v>
      </c>
      <c r="D76" s="57">
        <v>37</v>
      </c>
    </row>
    <row r="77" spans="1:4" x14ac:dyDescent="0.25">
      <c r="A77" s="501" t="str">
        <v>Female</v>
      </c>
      <c r="B77" s="7" t="str">
        <v>Foreign</v>
      </c>
      <c r="C77" s="7" t="str">
        <v>Seated</v>
      </c>
      <c r="D77" s="57">
        <v>22</v>
      </c>
    </row>
    <row r="78" spans="1:4" x14ac:dyDescent="0.25">
      <c r="A78" s="501" t="str">
        <v>Female</v>
      </c>
      <c r="B78" s="7" t="str">
        <v>Foreign</v>
      </c>
      <c r="C78" s="7" t="str">
        <v>Seated</v>
      </c>
      <c r="D78" s="57">
        <v>44</v>
      </c>
    </row>
    <row r="79" spans="1:4" x14ac:dyDescent="0.25">
      <c r="A79" s="501" t="str">
        <v>Female</v>
      </c>
      <c r="B79" s="7" t="str">
        <v>Foreign</v>
      </c>
      <c r="C79" s="7" t="str">
        <v>Seated</v>
      </c>
      <c r="D79" s="57">
        <v>37</v>
      </c>
    </row>
    <row r="80" spans="1:4" x14ac:dyDescent="0.25">
      <c r="A80" s="501" t="str">
        <v>Female</v>
      </c>
      <c r="B80" s="7" t="str">
        <v>Foreign</v>
      </c>
      <c r="C80" s="7" t="str">
        <v>Seated</v>
      </c>
      <c r="D80" s="57">
        <v>42</v>
      </c>
    </row>
    <row r="81" spans="1:4" x14ac:dyDescent="0.25">
      <c r="A81" s="501" t="str">
        <v>Female</v>
      </c>
      <c r="B81" s="7" t="str">
        <v>Foreign</v>
      </c>
      <c r="C81" s="7" t="str">
        <v>Seated</v>
      </c>
      <c r="D81" s="57">
        <v>30</v>
      </c>
    </row>
    <row r="82" spans="1:4" x14ac:dyDescent="0.25">
      <c r="A82" s="501" t="str">
        <v>Female</v>
      </c>
      <c r="B82" s="7" t="str">
        <v>Foreign</v>
      </c>
      <c r="C82" s="7" t="str">
        <v>Seated</v>
      </c>
      <c r="D82" s="57">
        <v>37</v>
      </c>
    </row>
    <row r="83" spans="1:4" x14ac:dyDescent="0.25">
      <c r="A83" s="501" t="str">
        <v>Female</v>
      </c>
      <c r="B83" s="7" t="str">
        <v>Foreign</v>
      </c>
      <c r="C83" s="7" t="str">
        <v>Seated</v>
      </c>
      <c r="D83" s="57">
        <v>25</v>
      </c>
    </row>
    <row r="84" spans="1:4" x14ac:dyDescent="0.25">
      <c r="A84" s="501" t="str">
        <v>Female</v>
      </c>
      <c r="B84" s="7" t="str">
        <v>Foreign</v>
      </c>
      <c r="C84" s="7" t="str">
        <v>Seated</v>
      </c>
      <c r="D84" s="57">
        <v>38</v>
      </c>
    </row>
    <row r="85" spans="1:4" x14ac:dyDescent="0.25">
      <c r="A85" s="501" t="str">
        <v>Female</v>
      </c>
      <c r="B85" s="7" t="str">
        <v>Foreign</v>
      </c>
      <c r="C85" s="7" t="str">
        <v>Seated</v>
      </c>
      <c r="D85" s="57">
        <v>41</v>
      </c>
    </row>
    <row r="86" spans="1:4" x14ac:dyDescent="0.25">
      <c r="A86" s="501" t="str">
        <v>Female</v>
      </c>
      <c r="B86" s="7" t="str">
        <v>Foreign</v>
      </c>
      <c r="C86" s="7" t="str">
        <v>Seated</v>
      </c>
      <c r="D86" s="57">
        <v>28</v>
      </c>
    </row>
    <row r="87" spans="1:4" x14ac:dyDescent="0.25">
      <c r="A87" s="501" t="str">
        <v>Female</v>
      </c>
      <c r="B87" s="7" t="str">
        <v>Foreign</v>
      </c>
      <c r="C87" s="7" t="str">
        <v>Prone</v>
      </c>
      <c r="D87" s="57">
        <v>35</v>
      </c>
    </row>
    <row r="88" spans="1:4" x14ac:dyDescent="0.25">
      <c r="A88" s="501" t="str">
        <v>Female</v>
      </c>
      <c r="B88" s="7" t="str">
        <v>Foreign</v>
      </c>
      <c r="C88" s="7" t="str">
        <v>Prone</v>
      </c>
      <c r="D88" s="57">
        <v>23</v>
      </c>
    </row>
    <row r="89" spans="1:4" x14ac:dyDescent="0.25">
      <c r="A89" s="501" t="str">
        <v>Female</v>
      </c>
      <c r="B89" s="7" t="str">
        <v>Foreign</v>
      </c>
      <c r="C89" s="7" t="str">
        <v>Prone</v>
      </c>
      <c r="D89" s="57">
        <v>24</v>
      </c>
    </row>
    <row r="90" spans="1:4" x14ac:dyDescent="0.25">
      <c r="A90" s="501" t="str">
        <v>Female</v>
      </c>
      <c r="B90" s="7" t="str">
        <v>Foreign</v>
      </c>
      <c r="C90" s="7" t="str">
        <v>Prone</v>
      </c>
      <c r="D90" s="57">
        <v>11</v>
      </c>
    </row>
    <row r="91" spans="1:4" x14ac:dyDescent="0.25">
      <c r="A91" s="501" t="str">
        <v>Female</v>
      </c>
      <c r="B91" s="7" t="str">
        <v>Foreign</v>
      </c>
      <c r="C91" s="7" t="str">
        <v>Prone</v>
      </c>
      <c r="D91" s="57">
        <v>23</v>
      </c>
    </row>
    <row r="92" spans="1:4" x14ac:dyDescent="0.25">
      <c r="A92" s="501" t="str">
        <v>Female</v>
      </c>
      <c r="B92" s="7" t="str">
        <v>Foreign</v>
      </c>
      <c r="C92" s="7" t="str">
        <v>Prone</v>
      </c>
      <c r="D92" s="57">
        <v>30</v>
      </c>
    </row>
    <row r="93" spans="1:4" x14ac:dyDescent="0.25">
      <c r="A93" s="501" t="str">
        <v>Female</v>
      </c>
      <c r="B93" s="7" t="str">
        <v>Foreign</v>
      </c>
      <c r="C93" s="7" t="str">
        <v>Prone</v>
      </c>
      <c r="D93" s="57">
        <v>26</v>
      </c>
    </row>
    <row r="94" spans="1:4" x14ac:dyDescent="0.25">
      <c r="A94" s="501" t="str">
        <v>Female</v>
      </c>
      <c r="B94" s="7" t="str">
        <v>Foreign</v>
      </c>
      <c r="C94" s="7" t="str">
        <v>Prone</v>
      </c>
      <c r="D94" s="57">
        <v>16</v>
      </c>
    </row>
    <row r="95" spans="1:4" x14ac:dyDescent="0.25">
      <c r="A95" s="501" t="str">
        <v>Female</v>
      </c>
      <c r="B95" s="7" t="str">
        <v>Foreign</v>
      </c>
      <c r="C95" s="7" t="str">
        <v>Prone</v>
      </c>
      <c r="D95" s="57">
        <v>23</v>
      </c>
    </row>
    <row r="96" spans="1:4" x14ac:dyDescent="0.25">
      <c r="A96" s="501" t="str">
        <v>Female</v>
      </c>
      <c r="B96" s="7" t="str">
        <v>Foreign</v>
      </c>
      <c r="C96" s="7" t="str">
        <v>Prone</v>
      </c>
      <c r="D96" s="57">
        <v>14</v>
      </c>
    </row>
    <row r="97" spans="1:4" x14ac:dyDescent="0.25">
      <c r="A97" s="501" t="str">
        <v>Female</v>
      </c>
      <c r="B97" s="7" t="str">
        <v>Foreign</v>
      </c>
      <c r="C97" s="7" t="str">
        <v>Prone</v>
      </c>
      <c r="D97" s="57">
        <v>19</v>
      </c>
    </row>
    <row r="98" spans="1:4" x14ac:dyDescent="0.25">
      <c r="A98" s="759" t="str">
        <v>Female</v>
      </c>
      <c r="B98" s="760" t="str">
        <v>Foreign</v>
      </c>
      <c r="C98" s="760" t="str">
        <v>Prone</v>
      </c>
      <c r="D98" s="761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/>
  <dimension ref="A1:Y40"/>
  <sheetViews>
    <sheetView zoomScaleNormal="100" workbookViewId="0">
      <selection activeCell="N18" sqref="N18"/>
    </sheetView>
  </sheetViews>
  <sheetFormatPr defaultRowHeight="15" x14ac:dyDescent="0.25"/>
  <cols>
    <col min="1" max="10" width="10.28515625" customWidth="1"/>
  </cols>
  <sheetData>
    <row r="1" spans="1:25" x14ac:dyDescent="0.25">
      <c r="A1" s="1" t="s">
        <v>1697</v>
      </c>
      <c r="F1" t="s">
        <v>27</v>
      </c>
      <c r="L1" t="s">
        <v>1692</v>
      </c>
      <c r="T1" t="s">
        <v>1698</v>
      </c>
    </row>
    <row r="3" spans="1:25" ht="15.75" thickBot="1" x14ac:dyDescent="0.3">
      <c r="A3" s="788" t="s">
        <v>130</v>
      </c>
      <c r="B3" s="789" t="s">
        <v>654</v>
      </c>
      <c r="C3" s="789" t="s">
        <v>658</v>
      </c>
      <c r="D3" s="790">
        <v>23</v>
      </c>
      <c r="I3" s="13" t="s">
        <v>22</v>
      </c>
      <c r="J3" s="13" t="s">
        <v>10</v>
      </c>
      <c r="L3" t="s">
        <v>294</v>
      </c>
      <c r="P3" s="778" t="s">
        <v>34</v>
      </c>
      <c r="Q3" s="778">
        <v>0.05</v>
      </c>
      <c r="T3" s="788" t="str">
        <f t="array" ref="T3:Y14">[1]!Anova3Rows(A3:D38)</f>
        <v>Female</v>
      </c>
      <c r="U3" s="789" t="str">
        <v>Foreign</v>
      </c>
      <c r="V3" s="790" t="str">
        <v>Prone</v>
      </c>
      <c r="W3" s="789">
        <v>35</v>
      </c>
      <c r="X3" s="789">
        <v>23</v>
      </c>
      <c r="Y3" s="790">
        <v>24</v>
      </c>
    </row>
    <row r="4" spans="1:25" ht="15.75" thickTop="1" x14ac:dyDescent="0.25">
      <c r="A4" s="501" t="s">
        <v>130</v>
      </c>
      <c r="B4" s="7" t="s">
        <v>654</v>
      </c>
      <c r="C4" s="7" t="s">
        <v>658</v>
      </c>
      <c r="D4" s="57">
        <v>18</v>
      </c>
      <c r="F4" s="788" t="str">
        <f t="array" ref="F4:F5">[1]!SortUnique(A3:A38)</f>
        <v>Female</v>
      </c>
      <c r="G4" s="789"/>
      <c r="H4" s="790"/>
      <c r="I4" s="788">
        <f>SUMIF($F$27:$F$38,F4,$I$27:$I$38)</f>
        <v>18</v>
      </c>
      <c r="J4" s="790">
        <f>IF(I4=0,"",AVERAGEIF($F$27:$F$38,F4,$J$27:$J$38))</f>
        <v>23.388888888888886</v>
      </c>
      <c r="L4" s="754"/>
      <c r="M4" s="754" t="s">
        <v>219</v>
      </c>
      <c r="N4" s="754" t="s">
        <v>60</v>
      </c>
      <c r="O4" s="754" t="s">
        <v>240</v>
      </c>
      <c r="P4" s="754" t="s">
        <v>135</v>
      </c>
      <c r="Q4" s="754" t="s">
        <v>67</v>
      </c>
      <c r="R4" s="754" t="s">
        <v>527</v>
      </c>
      <c r="T4" s="501" t="str">
        <v>Female</v>
      </c>
      <c r="U4" s="7" t="str">
        <v>Foreign</v>
      </c>
      <c r="V4" s="57" t="str">
        <v>Seated</v>
      </c>
      <c r="W4" s="7">
        <v>28</v>
      </c>
      <c r="X4" s="7">
        <v>37</v>
      </c>
      <c r="Y4" s="57">
        <v>22</v>
      </c>
    </row>
    <row r="5" spans="1:25" x14ac:dyDescent="0.25">
      <c r="A5" s="501" t="s">
        <v>130</v>
      </c>
      <c r="B5" s="7" t="s">
        <v>654</v>
      </c>
      <c r="C5" s="7" t="s">
        <v>658</v>
      </c>
      <c r="D5" s="57">
        <v>26</v>
      </c>
      <c r="F5" s="501" t="str">
        <v>Male</v>
      </c>
      <c r="G5" s="7"/>
      <c r="H5" s="57"/>
      <c r="I5" s="501">
        <f>SUMIF($F$27:$F$38,F5,$I$27:$I$38)</f>
        <v>18</v>
      </c>
      <c r="J5" s="57">
        <f>IF(I5=0,"",AVERAGEIF($F$27:$F$38,F5,$J$27:$J$38))</f>
        <v>27.166666666666668</v>
      </c>
      <c r="L5" t="s">
        <v>213</v>
      </c>
      <c r="M5">
        <f>DEVSQ(J4:J5)*I4</f>
        <v>128.44444444444474</v>
      </c>
      <c r="N5">
        <f>COUNT(J4:J5)-1</f>
        <v>1</v>
      </c>
      <c r="O5">
        <f t="shared" ref="O5:O13" si="0">M5/N5</f>
        <v>128.44444444444474</v>
      </c>
      <c r="P5">
        <f>O5/O12</f>
        <v>3.8662207357859639</v>
      </c>
      <c r="Q5">
        <f>FDIST(P5,N5,N12)</f>
        <v>6.0936352578905784E-2</v>
      </c>
      <c r="R5" s="778" t="str">
        <f>IF(Q5&lt;Q3,"yes","no")</f>
        <v>no</v>
      </c>
      <c r="T5" s="501" t="str">
        <v>Female</v>
      </c>
      <c r="U5" s="7" t="str">
        <v>Foreign</v>
      </c>
      <c r="V5" s="57" t="str">
        <v>Standing</v>
      </c>
      <c r="W5" s="7">
        <v>16</v>
      </c>
      <c r="X5" s="7">
        <v>11</v>
      </c>
      <c r="Y5" s="57">
        <v>19</v>
      </c>
    </row>
    <row r="6" spans="1:25" x14ac:dyDescent="0.25">
      <c r="A6" s="501" t="s">
        <v>130</v>
      </c>
      <c r="B6" s="7" t="s">
        <v>654</v>
      </c>
      <c r="C6" s="7" t="s">
        <v>659</v>
      </c>
      <c r="D6" s="57">
        <v>24</v>
      </c>
      <c r="F6" s="501"/>
      <c r="G6" s="7" t="str">
        <f t="array" ref="G6:G7">[1]!SortUnique(B3:B38)</f>
        <v>Foreign</v>
      </c>
      <c r="H6" s="57"/>
      <c r="I6" s="501">
        <f>SUMIF($G$27:$G$38,G6,$I$27:$I$38)</f>
        <v>18</v>
      </c>
      <c r="J6" s="57">
        <f>IF(I6=0,"",AVERAGEIF($G$27:$G$38,G6,$J$27:$J$38))</f>
        <v>25.333333333333332</v>
      </c>
      <c r="L6" t="s">
        <v>131</v>
      </c>
      <c r="M6">
        <f>DEVSQ(J6:J7)*I6</f>
        <v>0.11111111111110322</v>
      </c>
      <c r="N6">
        <f>COUNT(J6:J7)-1</f>
        <v>1</v>
      </c>
      <c r="O6">
        <f t="shared" si="0"/>
        <v>0.11111111111110322</v>
      </c>
      <c r="P6">
        <f>O6/O12</f>
        <v>3.3444816053509346E-3</v>
      </c>
      <c r="Q6">
        <f>FDIST(P6,N6,N12)</f>
        <v>0.95436166693644486</v>
      </c>
      <c r="R6" s="778" t="str">
        <f>IF(Q6&lt;Q3,"yes","no")</f>
        <v>no</v>
      </c>
      <c r="T6" s="501" t="str">
        <v>Female</v>
      </c>
      <c r="U6" s="7" t="str">
        <v>Italian</v>
      </c>
      <c r="V6" s="57" t="str">
        <v>Prone</v>
      </c>
      <c r="W6" s="7">
        <v>29</v>
      </c>
      <c r="X6" s="7">
        <v>25</v>
      </c>
      <c r="Y6" s="57">
        <v>17</v>
      </c>
    </row>
    <row r="7" spans="1:25" x14ac:dyDescent="0.25">
      <c r="A7" s="501" t="s">
        <v>130</v>
      </c>
      <c r="B7" s="7" t="s">
        <v>654</v>
      </c>
      <c r="C7" s="7" t="s">
        <v>659</v>
      </c>
      <c r="D7" s="57">
        <v>25</v>
      </c>
      <c r="F7" s="501"/>
      <c r="G7" s="7" t="str">
        <v>Italian</v>
      </c>
      <c r="H7" s="57"/>
      <c r="I7" s="501">
        <f>SUMIF($G$27:$G$38,G7,$I$27:$I$38)</f>
        <v>18</v>
      </c>
      <c r="J7" s="57">
        <f>IF(I7=0,"",AVERAGEIF($G$27:$G$38,G7,$J$27:$J$38))</f>
        <v>25.222222222222225</v>
      </c>
      <c r="L7" t="s">
        <v>132</v>
      </c>
      <c r="M7">
        <f>DEVSQ(J8:J10)*I8</f>
        <v>20.222222222222292</v>
      </c>
      <c r="N7">
        <f>COUNT(J8:J10)-1</f>
        <v>2</v>
      </c>
      <c r="O7">
        <f t="shared" si="0"/>
        <v>10.111111111111146</v>
      </c>
      <c r="P7">
        <f>O7/O12</f>
        <v>0.30434782608695771</v>
      </c>
      <c r="Q7">
        <f>FDIST(P7,N7,N12)</f>
        <v>0.74040911820782296</v>
      </c>
      <c r="R7" s="778" t="str">
        <f>IF(Q7&lt;Q3,"yes","no")</f>
        <v>no</v>
      </c>
      <c r="T7" s="501" t="str">
        <v>Female</v>
      </c>
      <c r="U7" s="7" t="str">
        <v>Italian</v>
      </c>
      <c r="V7" s="57" t="str">
        <v>Seated</v>
      </c>
      <c r="W7" s="7">
        <v>19</v>
      </c>
      <c r="X7" s="7">
        <v>28</v>
      </c>
      <c r="Y7" s="57">
        <v>31</v>
      </c>
    </row>
    <row r="8" spans="1:25" x14ac:dyDescent="0.25">
      <c r="A8" s="501" t="s">
        <v>130</v>
      </c>
      <c r="B8" s="7" t="s">
        <v>654</v>
      </c>
      <c r="C8" s="7" t="s">
        <v>659</v>
      </c>
      <c r="D8" s="57">
        <v>14</v>
      </c>
      <c r="F8" s="501"/>
      <c r="G8" s="7"/>
      <c r="H8" s="57" t="str">
        <f t="array" ref="H8:H10">[1]!SortUnique(C3:C38)</f>
        <v>Prone</v>
      </c>
      <c r="I8" s="501">
        <f>SUMIF($H$27:$H$38,H8,$I$27:$I$38)</f>
        <v>12</v>
      </c>
      <c r="J8" s="57">
        <f>IF(I8=0,"",AVERAGEIF($H$27:$H$38,H8,$J$27:$J$38))</f>
        <v>26.333333333333336</v>
      </c>
      <c r="L8" t="s">
        <v>622</v>
      </c>
      <c r="M8">
        <f>DEVSQ(J11:J14)*I11-M5-M6</f>
        <v>7.1111111111108976</v>
      </c>
      <c r="N8">
        <f>N6*N5</f>
        <v>1</v>
      </c>
      <c r="O8">
        <f t="shared" si="0"/>
        <v>7.1111111111108976</v>
      </c>
      <c r="P8">
        <f>O8/O12</f>
        <v>0.21404682274246858</v>
      </c>
      <c r="Q8">
        <f>FDIST(P8,N8,N12)</f>
        <v>0.6477812564436094</v>
      </c>
      <c r="R8" s="778" t="str">
        <f>IF(Q8&lt;Q3,"yes","no")</f>
        <v>no</v>
      </c>
      <c r="T8" s="501" t="str">
        <v>Female</v>
      </c>
      <c r="U8" s="7" t="str">
        <v>Italian</v>
      </c>
      <c r="V8" s="57" t="str">
        <v>Standing</v>
      </c>
      <c r="W8" s="7">
        <v>18</v>
      </c>
      <c r="X8" s="7">
        <v>14</v>
      </c>
      <c r="Y8" s="57">
        <v>25</v>
      </c>
    </row>
    <row r="9" spans="1:25" x14ac:dyDescent="0.25">
      <c r="A9" s="501" t="s">
        <v>130</v>
      </c>
      <c r="B9" s="7" t="s">
        <v>654</v>
      </c>
      <c r="C9" s="7" t="s">
        <v>1695</v>
      </c>
      <c r="D9" s="57">
        <v>42</v>
      </c>
      <c r="F9" s="501"/>
      <c r="G9" s="7"/>
      <c r="H9" s="57" t="str">
        <v>Seated</v>
      </c>
      <c r="I9" s="501">
        <f>SUMIF($H$27:$H$38,H9,$I$27:$I$38)</f>
        <v>12</v>
      </c>
      <c r="J9" s="57">
        <f>IF(I9=0,"",AVERAGEIF($H$27:$H$38,H9,$J$27:$J$38))</f>
        <v>24.666666666666664</v>
      </c>
      <c r="L9" t="s">
        <v>624</v>
      </c>
      <c r="M9">
        <f>DEVSQ(J15:J20)*I15-M5-M7</f>
        <v>681.55555555555509</v>
      </c>
      <c r="N9">
        <f>N7*N5</f>
        <v>2</v>
      </c>
      <c r="O9">
        <f t="shared" si="0"/>
        <v>340.77777777777754</v>
      </c>
      <c r="P9">
        <f>O9/O12</f>
        <v>10.257525083612038</v>
      </c>
      <c r="Q9">
        <f>FDIST(P9,N9,N12)</f>
        <v>6.0318772468172667E-4</v>
      </c>
      <c r="R9" s="778" t="str">
        <f>IF(Q9&lt;Q3,"yes","no")</f>
        <v>yes</v>
      </c>
      <c r="T9" s="501" t="str">
        <v>Male</v>
      </c>
      <c r="U9" s="7" t="str">
        <v>Foreign</v>
      </c>
      <c r="V9" s="57" t="str">
        <v>Prone</v>
      </c>
      <c r="W9" s="7">
        <v>31</v>
      </c>
      <c r="X9" s="7">
        <v>29</v>
      </c>
      <c r="Y9" s="57">
        <v>40</v>
      </c>
    </row>
    <row r="10" spans="1:25" x14ac:dyDescent="0.25">
      <c r="A10" s="501" t="s">
        <v>130</v>
      </c>
      <c r="B10" s="7" t="s">
        <v>654</v>
      </c>
      <c r="C10" s="7" t="s">
        <v>1695</v>
      </c>
      <c r="D10" s="57">
        <v>40</v>
      </c>
      <c r="F10" s="759"/>
      <c r="G10" s="760"/>
      <c r="H10" s="761" t="str">
        <v>Standing</v>
      </c>
      <c r="I10" s="759">
        <f>SUMIF($H$27:$H$38,H10,$I$27:$I$38)</f>
        <v>12</v>
      </c>
      <c r="J10" s="761">
        <f>IF(I10=0,"",AVERAGEIF($H$27:$H$38,H10,$J$27:$J$38))</f>
        <v>24.833333333333336</v>
      </c>
      <c r="L10" t="s">
        <v>626</v>
      </c>
      <c r="M10">
        <f>DEVSQ(J21:J26)*I21-M6-M7</f>
        <v>420.22222222222234</v>
      </c>
      <c r="N10">
        <f>N7*N6</f>
        <v>2</v>
      </c>
      <c r="O10">
        <f t="shared" si="0"/>
        <v>210.11111111111117</v>
      </c>
      <c r="P10">
        <f>O10/O12</f>
        <v>6.324414715719068</v>
      </c>
      <c r="Q10">
        <f>FDIST(P10,N10,N12)</f>
        <v>6.2203326041993454E-3</v>
      </c>
      <c r="R10" s="778" t="str">
        <f>IF(Q10&lt;Q3,"yes","no")</f>
        <v>yes</v>
      </c>
      <c r="T10" s="501" t="str">
        <v>Male</v>
      </c>
      <c r="U10" s="7" t="str">
        <v>Foreign</v>
      </c>
      <c r="V10" s="57" t="str">
        <v>Seated</v>
      </c>
      <c r="W10" s="7">
        <v>16</v>
      </c>
      <c r="X10" s="7">
        <v>31</v>
      </c>
      <c r="Y10" s="57">
        <v>17</v>
      </c>
    </row>
    <row r="11" spans="1:25" x14ac:dyDescent="0.25">
      <c r="A11" s="501" t="s">
        <v>130</v>
      </c>
      <c r="B11" s="7" t="s">
        <v>654</v>
      </c>
      <c r="C11" s="7" t="s">
        <v>1695</v>
      </c>
      <c r="D11" s="57">
        <v>36</v>
      </c>
      <c r="F11" s="788" t="str">
        <f>$F$4</f>
        <v>Female</v>
      </c>
      <c r="G11" s="789" t="str">
        <f>$G6</f>
        <v>Foreign</v>
      </c>
      <c r="H11" s="790"/>
      <c r="I11" s="788">
        <f>SUMIFS($I$27:$I$38,$F$27:$F$38,F11,$G$27:$G$38,G11)</f>
        <v>9</v>
      </c>
      <c r="J11" s="790">
        <f>IF(I11=0,"",AVERAGEIFS($J$27:$J$38,$F$27:$F$38,F11,$G$27:$G$38,G11))</f>
        <v>23.888888888888886</v>
      </c>
      <c r="L11" t="s">
        <v>628</v>
      </c>
      <c r="M11">
        <f>DEVSQ(J27:J38)*I27-M10-M9-M8-M7-M6-M5</f>
        <v>136.22222222222263</v>
      </c>
      <c r="N11">
        <f>N7*N6*N5</f>
        <v>2</v>
      </c>
      <c r="O11">
        <f t="shared" si="0"/>
        <v>68.111111111111313</v>
      </c>
      <c r="P11">
        <f>O11/O12</f>
        <v>2.0501672240802744</v>
      </c>
      <c r="Q11">
        <f>FDIST(P11,N11,N12)</f>
        <v>0.15065967769283994</v>
      </c>
      <c r="R11" s="778" t="str">
        <f>IF(Q11&lt;Q3,"yes","no")</f>
        <v>no</v>
      </c>
      <c r="T11" s="501" t="str">
        <v>Male</v>
      </c>
      <c r="U11" s="7" t="str">
        <v>Foreign</v>
      </c>
      <c r="V11" s="57" t="str">
        <v>Standing</v>
      </c>
      <c r="W11" s="7">
        <v>23</v>
      </c>
      <c r="X11" s="7">
        <v>28</v>
      </c>
      <c r="Y11" s="57">
        <v>26</v>
      </c>
    </row>
    <row r="12" spans="1:25" x14ac:dyDescent="0.25">
      <c r="A12" s="501" t="s">
        <v>130</v>
      </c>
      <c r="B12" s="7" t="s">
        <v>655</v>
      </c>
      <c r="C12" s="7" t="s">
        <v>658</v>
      </c>
      <c r="D12" s="57">
        <v>16</v>
      </c>
      <c r="F12" s="501" t="str">
        <f>$F$4</f>
        <v>Female</v>
      </c>
      <c r="G12" s="7" t="str">
        <f>$G7</f>
        <v>Italian</v>
      </c>
      <c r="H12" s="57"/>
      <c r="I12" s="501">
        <f>SUMIFS($I$27:$I$38,$F$27:$F$38,F12,$G$27:$G$38,G12)</f>
        <v>9</v>
      </c>
      <c r="J12" s="57">
        <f>IF(I12=0,"",AVERAGEIFS($J$27:$J$38,$F$27:$F$38,F12,$G$27:$G$38,G12))</f>
        <v>22.888888888888889</v>
      </c>
      <c r="L12" t="s">
        <v>600</v>
      </c>
      <c r="M12">
        <f>M13-M11-M10-M9-M8-M7-M6-M5</f>
        <v>797.33333333333303</v>
      </c>
      <c r="N12">
        <f>I39-(N5+1)*(N6+1)*(N7+1)</f>
        <v>24</v>
      </c>
      <c r="O12">
        <f t="shared" si="0"/>
        <v>33.222222222222207</v>
      </c>
      <c r="T12" s="501" t="str">
        <v>Male</v>
      </c>
      <c r="U12" s="7" t="str">
        <v>Italian</v>
      </c>
      <c r="V12" s="57" t="str">
        <v>Prone</v>
      </c>
      <c r="W12" s="7">
        <v>24</v>
      </c>
      <c r="X12" s="7">
        <v>25</v>
      </c>
      <c r="Y12" s="57">
        <v>14</v>
      </c>
    </row>
    <row r="13" spans="1:25" x14ac:dyDescent="0.25">
      <c r="A13" s="501" t="s">
        <v>130</v>
      </c>
      <c r="B13" s="7" t="s">
        <v>655</v>
      </c>
      <c r="C13" s="7" t="s">
        <v>658</v>
      </c>
      <c r="D13" s="57">
        <v>31</v>
      </c>
      <c r="F13" s="501" t="str">
        <f>$F$5</f>
        <v>Male</v>
      </c>
      <c r="G13" s="7" t="str">
        <f>$G6</f>
        <v>Foreign</v>
      </c>
      <c r="H13" s="57"/>
      <c r="I13" s="501">
        <f>SUMIFS($I$27:$I$38,$F$27:$F$38,F13,$G$27:$G$38,G13)</f>
        <v>9</v>
      </c>
      <c r="J13" s="57">
        <f>IF(I13=0,"",AVERAGEIFS($J$27:$J$38,$F$27:$F$38,F13,$G$27:$G$38,G13))</f>
        <v>26.777777777777782</v>
      </c>
      <c r="L13" s="762" t="s">
        <v>1</v>
      </c>
      <c r="M13" s="762">
        <f>J40</f>
        <v>2191.2222222222222</v>
      </c>
      <c r="N13" s="762">
        <f>I39-1</f>
        <v>35</v>
      </c>
      <c r="O13" s="762">
        <f t="shared" si="0"/>
        <v>62.606349206349208</v>
      </c>
      <c r="P13" s="762"/>
      <c r="Q13" s="762"/>
      <c r="R13" s="762"/>
      <c r="T13" s="501" t="str">
        <v>Male</v>
      </c>
      <c r="U13" s="7" t="str">
        <v>Italian</v>
      </c>
      <c r="V13" s="57" t="str">
        <v>Seated</v>
      </c>
      <c r="W13" s="7">
        <v>23</v>
      </c>
      <c r="X13" s="7">
        <v>18</v>
      </c>
      <c r="Y13" s="57">
        <v>26</v>
      </c>
    </row>
    <row r="14" spans="1:25" x14ac:dyDescent="0.25">
      <c r="A14" s="501" t="s">
        <v>130</v>
      </c>
      <c r="B14" s="7" t="s">
        <v>655</v>
      </c>
      <c r="C14" s="7" t="s">
        <v>658</v>
      </c>
      <c r="D14" s="57">
        <v>17</v>
      </c>
      <c r="F14" s="759" t="str">
        <f>$F$5</f>
        <v>Male</v>
      </c>
      <c r="G14" s="760" t="str">
        <f>$G7</f>
        <v>Italian</v>
      </c>
      <c r="H14" s="761"/>
      <c r="I14" s="759">
        <f>SUMIFS($I$27:$I$38,$F$27:$F$38,F14,$G$27:$G$38,G14)</f>
        <v>9</v>
      </c>
      <c r="J14" s="761">
        <f>IF(I14=0,"",AVERAGEIFS($J$27:$J$38,$F$27:$F$38,F14,$G$27:$G$38,G14))</f>
        <v>27.555555555555554</v>
      </c>
      <c r="T14" s="759" t="str">
        <v>Male</v>
      </c>
      <c r="U14" s="760" t="str">
        <v>Italian</v>
      </c>
      <c r="V14" s="761" t="str">
        <v>Standing</v>
      </c>
      <c r="W14" s="760">
        <v>42</v>
      </c>
      <c r="X14" s="760">
        <v>40</v>
      </c>
      <c r="Y14" s="761">
        <v>36</v>
      </c>
    </row>
    <row r="15" spans="1:25" x14ac:dyDescent="0.25">
      <c r="A15" s="501" t="s">
        <v>130</v>
      </c>
      <c r="B15" s="7" t="s">
        <v>655</v>
      </c>
      <c r="C15" s="7" t="s">
        <v>659</v>
      </c>
      <c r="D15" s="57">
        <v>31</v>
      </c>
      <c r="F15" s="788" t="str">
        <f>$F$4</f>
        <v>Female</v>
      </c>
      <c r="G15" s="789"/>
      <c r="H15" s="790" t="str">
        <f>$H8</f>
        <v>Prone</v>
      </c>
      <c r="I15" s="788">
        <f t="shared" ref="I15:I20" si="1">SUMIFS($I$27:$I$38,$F$27:$F$38,F15,$H$27:$H$38,H15)</f>
        <v>6</v>
      </c>
      <c r="J15" s="790">
        <f t="shared" ref="J15:J20" si="2">IF(I15=0,"",AVERAGEIFS($J$27:$J$38,$F$27:$F$38,F15,$H$27:$H$38,H15))</f>
        <v>25.5</v>
      </c>
    </row>
    <row r="16" spans="1:25" x14ac:dyDescent="0.25">
      <c r="A16" s="501" t="s">
        <v>130</v>
      </c>
      <c r="B16" s="7" t="s">
        <v>655</v>
      </c>
      <c r="C16" s="7" t="s">
        <v>659</v>
      </c>
      <c r="D16" s="57">
        <v>29</v>
      </c>
      <c r="F16" s="501" t="str">
        <f>$F$4</f>
        <v>Female</v>
      </c>
      <c r="G16" s="7"/>
      <c r="H16" s="57" t="str">
        <f>$H9</f>
        <v>Seated</v>
      </c>
      <c r="I16" s="501">
        <f t="shared" si="1"/>
        <v>6</v>
      </c>
      <c r="J16" s="57">
        <f t="shared" si="2"/>
        <v>27.5</v>
      </c>
    </row>
    <row r="17" spans="1:10" x14ac:dyDescent="0.25">
      <c r="A17" s="501" t="s">
        <v>130</v>
      </c>
      <c r="B17" s="7" t="s">
        <v>655</v>
      </c>
      <c r="C17" s="7" t="s">
        <v>659</v>
      </c>
      <c r="D17" s="57">
        <v>40</v>
      </c>
      <c r="F17" s="501" t="str">
        <f>$F$4</f>
        <v>Female</v>
      </c>
      <c r="G17" s="7"/>
      <c r="H17" s="57" t="str">
        <f>$H10</f>
        <v>Standing</v>
      </c>
      <c r="I17" s="501">
        <f t="shared" si="1"/>
        <v>6</v>
      </c>
      <c r="J17" s="57">
        <f t="shared" si="2"/>
        <v>17.166666666666668</v>
      </c>
    </row>
    <row r="18" spans="1:10" x14ac:dyDescent="0.25">
      <c r="A18" s="501" t="s">
        <v>108</v>
      </c>
      <c r="B18" s="7" t="s">
        <v>654</v>
      </c>
      <c r="C18" s="7" t="s">
        <v>658</v>
      </c>
      <c r="D18" s="57">
        <v>19</v>
      </c>
      <c r="F18" s="501" t="str">
        <f>$F$5</f>
        <v>Male</v>
      </c>
      <c r="G18" s="7"/>
      <c r="H18" s="57" t="str">
        <f>$H8</f>
        <v>Prone</v>
      </c>
      <c r="I18" s="501">
        <f t="shared" si="1"/>
        <v>6</v>
      </c>
      <c r="J18" s="57">
        <f t="shared" si="2"/>
        <v>27.166666666666668</v>
      </c>
    </row>
    <row r="19" spans="1:10" x14ac:dyDescent="0.25">
      <c r="A19" s="501" t="s">
        <v>108</v>
      </c>
      <c r="B19" s="7" t="s">
        <v>654</v>
      </c>
      <c r="C19" s="7" t="s">
        <v>658</v>
      </c>
      <c r="D19" s="57">
        <v>28</v>
      </c>
      <c r="F19" s="501" t="str">
        <f>$F$5</f>
        <v>Male</v>
      </c>
      <c r="G19" s="7"/>
      <c r="H19" s="57" t="str">
        <f>$H9</f>
        <v>Seated</v>
      </c>
      <c r="I19" s="501">
        <f t="shared" si="1"/>
        <v>6</v>
      </c>
      <c r="J19" s="57">
        <f t="shared" si="2"/>
        <v>21.833333333333332</v>
      </c>
    </row>
    <row r="20" spans="1:10" x14ac:dyDescent="0.25">
      <c r="A20" s="501" t="s">
        <v>108</v>
      </c>
      <c r="B20" s="7" t="s">
        <v>654</v>
      </c>
      <c r="C20" s="7" t="s">
        <v>658</v>
      </c>
      <c r="D20" s="57">
        <v>31</v>
      </c>
      <c r="F20" s="759" t="str">
        <f>$F$5</f>
        <v>Male</v>
      </c>
      <c r="G20" s="760"/>
      <c r="H20" s="761" t="str">
        <f>$H10</f>
        <v>Standing</v>
      </c>
      <c r="I20" s="759">
        <f t="shared" si="1"/>
        <v>6</v>
      </c>
      <c r="J20" s="761">
        <f t="shared" si="2"/>
        <v>32.5</v>
      </c>
    </row>
    <row r="21" spans="1:10" x14ac:dyDescent="0.25">
      <c r="A21" s="501" t="s">
        <v>108</v>
      </c>
      <c r="B21" s="7" t="s">
        <v>654</v>
      </c>
      <c r="C21" s="7" t="s">
        <v>659</v>
      </c>
      <c r="D21" s="57">
        <v>29</v>
      </c>
      <c r="F21" s="788"/>
      <c r="G21" s="789" t="str">
        <f>$G$6</f>
        <v>Foreign</v>
      </c>
      <c r="H21" s="790" t="str">
        <f>$H8</f>
        <v>Prone</v>
      </c>
      <c r="I21" s="788">
        <f t="shared" ref="I21:I26" si="3">SUMIFS($I$27:$I$38,$G$27:$G$38,G21,$H$27:$H$38,H21)</f>
        <v>6</v>
      </c>
      <c r="J21" s="790">
        <f t="shared" ref="J21:J26" si="4">IF(I21=0,"",AVERAGEIFS($J$27:$J$38,$G$27:$G$38,G21,$H$27:$H$38,H21))</f>
        <v>30.333333333333336</v>
      </c>
    </row>
    <row r="22" spans="1:10" x14ac:dyDescent="0.25">
      <c r="A22" s="501" t="s">
        <v>108</v>
      </c>
      <c r="B22" s="7" t="s">
        <v>654</v>
      </c>
      <c r="C22" s="7" t="s">
        <v>659</v>
      </c>
      <c r="D22" s="57">
        <v>25</v>
      </c>
      <c r="F22" s="501"/>
      <c r="G22" s="7" t="str">
        <f>$G$6</f>
        <v>Foreign</v>
      </c>
      <c r="H22" s="57" t="str">
        <f>$H9</f>
        <v>Seated</v>
      </c>
      <c r="I22" s="501">
        <f t="shared" si="3"/>
        <v>6</v>
      </c>
      <c r="J22" s="57">
        <f t="shared" si="4"/>
        <v>25.166666666666664</v>
      </c>
    </row>
    <row r="23" spans="1:10" x14ac:dyDescent="0.25">
      <c r="A23" s="501" t="s">
        <v>108</v>
      </c>
      <c r="B23" s="7" t="s">
        <v>654</v>
      </c>
      <c r="C23" s="7" t="s">
        <v>659</v>
      </c>
      <c r="D23" s="57">
        <v>17</v>
      </c>
      <c r="F23" s="501"/>
      <c r="G23" s="7" t="str">
        <f>$G$6</f>
        <v>Foreign</v>
      </c>
      <c r="H23" s="57" t="str">
        <f>$H10</f>
        <v>Standing</v>
      </c>
      <c r="I23" s="501">
        <f t="shared" si="3"/>
        <v>6</v>
      </c>
      <c r="J23" s="57">
        <f t="shared" si="4"/>
        <v>20.5</v>
      </c>
    </row>
    <row r="24" spans="1:10" x14ac:dyDescent="0.25">
      <c r="A24" s="501" t="s">
        <v>108</v>
      </c>
      <c r="B24" s="7" t="s">
        <v>655</v>
      </c>
      <c r="C24" s="7" t="s">
        <v>658</v>
      </c>
      <c r="D24" s="57">
        <v>28</v>
      </c>
      <c r="F24" s="501"/>
      <c r="G24" s="7" t="str">
        <f>$G$7</f>
        <v>Italian</v>
      </c>
      <c r="H24" s="57" t="str">
        <f>$H8</f>
        <v>Prone</v>
      </c>
      <c r="I24" s="501">
        <f t="shared" si="3"/>
        <v>6</v>
      </c>
      <c r="J24" s="57">
        <f t="shared" si="4"/>
        <v>22.333333333333336</v>
      </c>
    </row>
    <row r="25" spans="1:10" x14ac:dyDescent="0.25">
      <c r="A25" s="501" t="s">
        <v>108</v>
      </c>
      <c r="B25" s="7" t="s">
        <v>655</v>
      </c>
      <c r="C25" s="7" t="s">
        <v>658</v>
      </c>
      <c r="D25" s="57">
        <v>37</v>
      </c>
      <c r="F25" s="501"/>
      <c r="G25" s="7" t="str">
        <f>$G$7</f>
        <v>Italian</v>
      </c>
      <c r="H25" s="57" t="str">
        <f>$H9</f>
        <v>Seated</v>
      </c>
      <c r="I25" s="501">
        <f t="shared" si="3"/>
        <v>6</v>
      </c>
      <c r="J25" s="57">
        <f t="shared" si="4"/>
        <v>24.166666666666664</v>
      </c>
    </row>
    <row r="26" spans="1:10" x14ac:dyDescent="0.25">
      <c r="A26" s="501" t="s">
        <v>108</v>
      </c>
      <c r="B26" s="7" t="s">
        <v>655</v>
      </c>
      <c r="C26" s="7" t="s">
        <v>658</v>
      </c>
      <c r="D26" s="57">
        <v>22</v>
      </c>
      <c r="F26" s="759"/>
      <c r="G26" s="760" t="str">
        <f>$G$7</f>
        <v>Italian</v>
      </c>
      <c r="H26" s="761" t="str">
        <f>$H10</f>
        <v>Standing</v>
      </c>
      <c r="I26" s="759">
        <f t="shared" si="3"/>
        <v>6</v>
      </c>
      <c r="J26" s="761">
        <f t="shared" si="4"/>
        <v>29.166666666666668</v>
      </c>
    </row>
    <row r="27" spans="1:10" x14ac:dyDescent="0.25">
      <c r="A27" s="501" t="s">
        <v>108</v>
      </c>
      <c r="B27" s="7" t="s">
        <v>655</v>
      </c>
      <c r="C27" s="7" t="s">
        <v>659</v>
      </c>
      <c r="D27" s="57">
        <v>35</v>
      </c>
      <c r="F27" s="788" t="str">
        <f t="shared" ref="F27:F32" si="5">$F$4</f>
        <v>Female</v>
      </c>
      <c r="G27" s="789" t="str">
        <f t="shared" ref="G27:H38" si="6">G21</f>
        <v>Foreign</v>
      </c>
      <c r="H27" s="790" t="str">
        <f t="shared" si="6"/>
        <v>Prone</v>
      </c>
      <c r="I27" s="788">
        <f>COUNTIFS($A$3:$A$38,$F27,$B$3:$B$38,$G27,$C$3:$C$38,$H27)</f>
        <v>3</v>
      </c>
      <c r="J27" s="790">
        <f>IF(I27=0,"",AVERAGEIFS($D$3:$D$38,$A$3:$A$38,$F27,$B$3:$B$38,$G27,$C$3:$C$38,$H27))</f>
        <v>27.333333333333332</v>
      </c>
    </row>
    <row r="28" spans="1:10" x14ac:dyDescent="0.25">
      <c r="A28" s="501" t="s">
        <v>108</v>
      </c>
      <c r="B28" s="7" t="s">
        <v>655</v>
      </c>
      <c r="C28" s="7" t="s">
        <v>659</v>
      </c>
      <c r="D28" s="57">
        <v>23</v>
      </c>
      <c r="F28" s="501" t="str">
        <f t="shared" si="5"/>
        <v>Female</v>
      </c>
      <c r="G28" s="7" t="str">
        <f t="shared" si="6"/>
        <v>Foreign</v>
      </c>
      <c r="H28" s="57" t="str">
        <f t="shared" si="6"/>
        <v>Seated</v>
      </c>
      <c r="I28" s="501">
        <f t="shared" ref="I28:I38" si="7">COUNTIFS($A$3:$A$38,$F28,$B$3:$B$38,$G28,$C$3:$C$38,$H28)</f>
        <v>3</v>
      </c>
      <c r="J28" s="57">
        <f t="shared" ref="J28:J38" si="8">IF(I28=0,"",AVERAGEIFS($D$3:$D$38,$A$3:$A$38,$F28,$B$3:$B$38,$G28,$C$3:$C$38,$H28))</f>
        <v>29</v>
      </c>
    </row>
    <row r="29" spans="1:10" x14ac:dyDescent="0.25">
      <c r="A29" s="501" t="s">
        <v>108</v>
      </c>
      <c r="B29" s="7" t="s">
        <v>655</v>
      </c>
      <c r="C29" s="7" t="s">
        <v>659</v>
      </c>
      <c r="D29" s="57">
        <v>24</v>
      </c>
      <c r="F29" s="501" t="str">
        <f t="shared" si="5"/>
        <v>Female</v>
      </c>
      <c r="G29" s="7" t="str">
        <f t="shared" si="6"/>
        <v>Foreign</v>
      </c>
      <c r="H29" s="57" t="str">
        <f t="shared" si="6"/>
        <v>Standing</v>
      </c>
      <c r="I29" s="501">
        <f t="shared" si="7"/>
        <v>3</v>
      </c>
      <c r="J29" s="57">
        <f t="shared" si="8"/>
        <v>15.333333333333334</v>
      </c>
    </row>
    <row r="30" spans="1:10" x14ac:dyDescent="0.25">
      <c r="A30" s="501" t="s">
        <v>130</v>
      </c>
      <c r="B30" s="7" t="s">
        <v>655</v>
      </c>
      <c r="C30" s="7" t="s">
        <v>1695</v>
      </c>
      <c r="D30" s="57">
        <v>23</v>
      </c>
      <c r="F30" s="501" t="str">
        <f t="shared" si="5"/>
        <v>Female</v>
      </c>
      <c r="G30" s="7" t="str">
        <f t="shared" si="6"/>
        <v>Italian</v>
      </c>
      <c r="H30" s="57" t="str">
        <f t="shared" si="6"/>
        <v>Prone</v>
      </c>
      <c r="I30" s="501">
        <f t="shared" si="7"/>
        <v>3</v>
      </c>
      <c r="J30" s="57">
        <f t="shared" si="8"/>
        <v>23.666666666666668</v>
      </c>
    </row>
    <row r="31" spans="1:10" x14ac:dyDescent="0.25">
      <c r="A31" s="501" t="s">
        <v>130</v>
      </c>
      <c r="B31" s="7" t="s">
        <v>655</v>
      </c>
      <c r="C31" s="7" t="s">
        <v>1695</v>
      </c>
      <c r="D31" s="57">
        <v>28</v>
      </c>
      <c r="F31" s="501" t="str">
        <f t="shared" si="5"/>
        <v>Female</v>
      </c>
      <c r="G31" s="7" t="str">
        <f t="shared" si="6"/>
        <v>Italian</v>
      </c>
      <c r="H31" s="57" t="str">
        <f t="shared" si="6"/>
        <v>Seated</v>
      </c>
      <c r="I31" s="501">
        <f t="shared" si="7"/>
        <v>3</v>
      </c>
      <c r="J31" s="57">
        <f t="shared" si="8"/>
        <v>26</v>
      </c>
    </row>
    <row r="32" spans="1:10" x14ac:dyDescent="0.25">
      <c r="A32" s="501" t="s">
        <v>130</v>
      </c>
      <c r="B32" s="7" t="s">
        <v>655</v>
      </c>
      <c r="C32" s="7" t="s">
        <v>1695</v>
      </c>
      <c r="D32" s="57">
        <v>26</v>
      </c>
      <c r="F32" s="501" t="str">
        <f t="shared" si="5"/>
        <v>Female</v>
      </c>
      <c r="G32" s="7" t="str">
        <f t="shared" si="6"/>
        <v>Italian</v>
      </c>
      <c r="H32" s="57" t="str">
        <f t="shared" si="6"/>
        <v>Standing</v>
      </c>
      <c r="I32" s="501">
        <f t="shared" si="7"/>
        <v>3</v>
      </c>
      <c r="J32" s="57">
        <f t="shared" si="8"/>
        <v>19</v>
      </c>
    </row>
    <row r="33" spans="1:10" x14ac:dyDescent="0.25">
      <c r="A33" s="501" t="s">
        <v>108</v>
      </c>
      <c r="B33" s="7" t="s">
        <v>654</v>
      </c>
      <c r="C33" s="7" t="s">
        <v>1695</v>
      </c>
      <c r="D33" s="57">
        <v>18</v>
      </c>
      <c r="F33" s="501" t="str">
        <f t="shared" ref="F33:F38" si="9">$F$5</f>
        <v>Male</v>
      </c>
      <c r="G33" s="7" t="str">
        <f t="shared" si="6"/>
        <v>Foreign</v>
      </c>
      <c r="H33" s="57" t="str">
        <f t="shared" si="6"/>
        <v>Prone</v>
      </c>
      <c r="I33" s="501">
        <f t="shared" si="7"/>
        <v>3</v>
      </c>
      <c r="J33" s="57">
        <f t="shared" si="8"/>
        <v>33.333333333333336</v>
      </c>
    </row>
    <row r="34" spans="1:10" x14ac:dyDescent="0.25">
      <c r="A34" s="501" t="s">
        <v>108</v>
      </c>
      <c r="B34" s="7" t="s">
        <v>654</v>
      </c>
      <c r="C34" s="7" t="s">
        <v>1695</v>
      </c>
      <c r="D34" s="57">
        <v>14</v>
      </c>
      <c r="F34" s="501" t="str">
        <f t="shared" si="9"/>
        <v>Male</v>
      </c>
      <c r="G34" s="7" t="str">
        <f t="shared" si="6"/>
        <v>Foreign</v>
      </c>
      <c r="H34" s="57" t="str">
        <f t="shared" si="6"/>
        <v>Seated</v>
      </c>
      <c r="I34" s="501">
        <f t="shared" si="7"/>
        <v>3</v>
      </c>
      <c r="J34" s="57">
        <f t="shared" si="8"/>
        <v>21.333333333333332</v>
      </c>
    </row>
    <row r="35" spans="1:10" x14ac:dyDescent="0.25">
      <c r="A35" s="501" t="s">
        <v>108</v>
      </c>
      <c r="B35" s="7" t="s">
        <v>654</v>
      </c>
      <c r="C35" s="7" t="s">
        <v>1695</v>
      </c>
      <c r="D35" s="57">
        <v>25</v>
      </c>
      <c r="F35" s="501" t="str">
        <f t="shared" si="9"/>
        <v>Male</v>
      </c>
      <c r="G35" s="7" t="str">
        <f t="shared" si="6"/>
        <v>Foreign</v>
      </c>
      <c r="H35" s="57" t="str">
        <f t="shared" si="6"/>
        <v>Standing</v>
      </c>
      <c r="I35" s="501">
        <f t="shared" si="7"/>
        <v>3</v>
      </c>
      <c r="J35" s="57">
        <f t="shared" si="8"/>
        <v>25.666666666666668</v>
      </c>
    </row>
    <row r="36" spans="1:10" x14ac:dyDescent="0.25">
      <c r="A36" s="501" t="s">
        <v>108</v>
      </c>
      <c r="B36" s="7" t="s">
        <v>655</v>
      </c>
      <c r="C36" s="7" t="s">
        <v>1695</v>
      </c>
      <c r="D36" s="57">
        <v>16</v>
      </c>
      <c r="F36" s="501" t="str">
        <f t="shared" si="9"/>
        <v>Male</v>
      </c>
      <c r="G36" s="7" t="str">
        <f t="shared" si="6"/>
        <v>Italian</v>
      </c>
      <c r="H36" s="57" t="str">
        <f t="shared" si="6"/>
        <v>Prone</v>
      </c>
      <c r="I36" s="501">
        <f t="shared" si="7"/>
        <v>3</v>
      </c>
      <c r="J36" s="57">
        <f t="shared" si="8"/>
        <v>21</v>
      </c>
    </row>
    <row r="37" spans="1:10" x14ac:dyDescent="0.25">
      <c r="A37" s="501" t="s">
        <v>108</v>
      </c>
      <c r="B37" s="7" t="s">
        <v>655</v>
      </c>
      <c r="C37" s="7" t="s">
        <v>1695</v>
      </c>
      <c r="D37" s="57">
        <v>11</v>
      </c>
      <c r="F37" s="501" t="str">
        <f t="shared" si="9"/>
        <v>Male</v>
      </c>
      <c r="G37" s="7" t="str">
        <f t="shared" si="6"/>
        <v>Italian</v>
      </c>
      <c r="H37" s="57" t="str">
        <f t="shared" si="6"/>
        <v>Seated</v>
      </c>
      <c r="I37" s="501">
        <f t="shared" si="7"/>
        <v>3</v>
      </c>
      <c r="J37" s="57">
        <f t="shared" si="8"/>
        <v>22.333333333333332</v>
      </c>
    </row>
    <row r="38" spans="1:10" x14ac:dyDescent="0.25">
      <c r="A38" s="759" t="s">
        <v>108</v>
      </c>
      <c r="B38" s="760" t="s">
        <v>655</v>
      </c>
      <c r="C38" s="760" t="s">
        <v>1695</v>
      </c>
      <c r="D38" s="761">
        <v>19</v>
      </c>
      <c r="F38" s="759" t="str">
        <f t="shared" si="9"/>
        <v>Male</v>
      </c>
      <c r="G38" s="760" t="str">
        <f t="shared" si="6"/>
        <v>Italian</v>
      </c>
      <c r="H38" s="761" t="str">
        <f t="shared" si="6"/>
        <v>Standing</v>
      </c>
      <c r="I38" s="759">
        <f t="shared" si="7"/>
        <v>3</v>
      </c>
      <c r="J38" s="761">
        <f t="shared" si="8"/>
        <v>39.333333333333336</v>
      </c>
    </row>
    <row r="39" spans="1:10" x14ac:dyDescent="0.25">
      <c r="I39">
        <f>SUM(I27:I38)</f>
        <v>36</v>
      </c>
      <c r="J39">
        <f>AVERAGE(J27:J38)</f>
        <v>25.277777777777775</v>
      </c>
    </row>
    <row r="40" spans="1:10" x14ac:dyDescent="0.25">
      <c r="I40" s="13" t="s">
        <v>619</v>
      </c>
      <c r="J40" s="791">
        <f>DEVSQ(D3:D38)</f>
        <v>2191.2222222222222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X27"/>
  <sheetViews>
    <sheetView zoomScale="92" zoomScaleNormal="92" workbookViewId="0"/>
  </sheetViews>
  <sheetFormatPr defaultRowHeight="15" x14ac:dyDescent="0.25"/>
  <cols>
    <col min="10" max="10" width="16.5703125" customWidth="1"/>
    <col min="18" max="18" width="17.140625" customWidth="1"/>
  </cols>
  <sheetData>
    <row r="1" spans="1:24" x14ac:dyDescent="0.25">
      <c r="A1" s="1" t="s">
        <v>2621</v>
      </c>
    </row>
    <row r="3" spans="1:24" x14ac:dyDescent="0.25">
      <c r="A3" s="1223" t="s">
        <v>2623</v>
      </c>
      <c r="B3" s="1223" t="s">
        <v>2624</v>
      </c>
      <c r="C3" s="1223" t="s">
        <v>2625</v>
      </c>
      <c r="E3" t="s">
        <v>27</v>
      </c>
      <c r="J3" t="s">
        <v>2621</v>
      </c>
    </row>
    <row r="4" spans="1:24" x14ac:dyDescent="0.25">
      <c r="A4" s="1229">
        <v>1</v>
      </c>
      <c r="B4" s="1230">
        <v>1</v>
      </c>
      <c r="C4" s="1231">
        <v>-11.966950000000001</v>
      </c>
    </row>
    <row r="5" spans="1:24" ht="15.75" thickBot="1" x14ac:dyDescent="0.3">
      <c r="A5" s="1229">
        <v>1</v>
      </c>
      <c r="B5" s="1230">
        <f>B4</f>
        <v>1</v>
      </c>
      <c r="C5" s="1231">
        <v>-17.438790000000001</v>
      </c>
      <c r="E5" t="s">
        <v>1666</v>
      </c>
      <c r="F5" t="str">
        <f>IF(COUNTIF(F7:G10,F7)=COUNT(F7:G10),"balanced","unbalanced")</f>
        <v>balanced</v>
      </c>
      <c r="J5" t="s">
        <v>294</v>
      </c>
      <c r="N5" s="1223" t="s">
        <v>34</v>
      </c>
      <c r="O5" s="1223">
        <v>0.25</v>
      </c>
      <c r="R5" t="s">
        <v>294</v>
      </c>
      <c r="V5" s="1223" t="s">
        <v>34</v>
      </c>
      <c r="W5" s="1223">
        <v>0.25</v>
      </c>
    </row>
    <row r="6" spans="1:24" ht="15.75" thickTop="1" x14ac:dyDescent="0.25">
      <c r="A6" s="1229">
        <v>2</v>
      </c>
      <c r="B6" s="1230">
        <v>1</v>
      </c>
      <c r="C6" s="1231">
        <v>-14.5146</v>
      </c>
      <c r="F6">
        <f t="array" ref="F6:G6">TRANSPOSE([1]!SortUnique(B4:B19))</f>
        <v>1</v>
      </c>
      <c r="G6">
        <v>2</v>
      </c>
      <c r="J6" s="826"/>
      <c r="K6" s="826" t="s">
        <v>219</v>
      </c>
      <c r="L6" s="826" t="s">
        <v>60</v>
      </c>
      <c r="M6" s="826" t="s">
        <v>240</v>
      </c>
      <c r="N6" s="826" t="s">
        <v>135</v>
      </c>
      <c r="O6" s="826" t="s">
        <v>67</v>
      </c>
      <c r="P6" s="826" t="s">
        <v>527</v>
      </c>
      <c r="R6" s="826"/>
      <c r="S6" s="826" t="s">
        <v>219</v>
      </c>
      <c r="T6" s="826" t="s">
        <v>60</v>
      </c>
      <c r="U6" s="826" t="s">
        <v>240</v>
      </c>
      <c r="V6" s="826" t="s">
        <v>135</v>
      </c>
      <c r="W6" s="826" t="s">
        <v>67</v>
      </c>
      <c r="X6" s="826" t="s">
        <v>527</v>
      </c>
    </row>
    <row r="7" spans="1:24" x14ac:dyDescent="0.25">
      <c r="A7" s="1229">
        <v>2</v>
      </c>
      <c r="B7" s="1230">
        <f>B6</f>
        <v>1</v>
      </c>
      <c r="C7" s="1231">
        <v>13.1431</v>
      </c>
      <c r="E7">
        <f t="array" ref="E7:E10">[1]!SortUnique(A4:A19)</f>
        <v>1</v>
      </c>
      <c r="F7" s="1154">
        <f t="array" ref="F7">COUNTIFS($A$4:$A$19,$E7,$B$4:$B$19,F$6)</f>
        <v>2</v>
      </c>
      <c r="G7" s="1176">
        <f t="array" ref="G7">COUNTIFS($A$4:$A$19,$E7,$B$4:$B$19,G$6)</f>
        <v>2</v>
      </c>
      <c r="H7">
        <f t="array" ref="H7">SUM(F7:G7)</f>
        <v>4</v>
      </c>
      <c r="J7" t="s">
        <v>2623</v>
      </c>
      <c r="K7">
        <f>DEVSQ(H15:H18)*H7</f>
        <v>1015.2378627120688</v>
      </c>
      <c r="L7">
        <f>COUNT(H15:H18)-1</f>
        <v>3</v>
      </c>
      <c r="M7">
        <f>K7/L7</f>
        <v>338.41262090402296</v>
      </c>
      <c r="N7">
        <f>M7/M10</f>
        <v>4.7773877635698501</v>
      </c>
      <c r="O7">
        <f>FDIST(N7,L7,L10)</f>
        <v>3.4202463560668618E-2</v>
      </c>
      <c r="P7" s="1223" t="str">
        <f>IF(O7&lt;O5,"yes","no")</f>
        <v>yes</v>
      </c>
      <c r="R7" t="s">
        <v>2623</v>
      </c>
      <c r="S7">
        <f t="shared" ref="S7:X8" si="0">K7</f>
        <v>1015.2378627120688</v>
      </c>
      <c r="T7">
        <f t="shared" si="0"/>
        <v>3</v>
      </c>
      <c r="U7">
        <f t="shared" si="0"/>
        <v>338.41262090402296</v>
      </c>
      <c r="V7">
        <f t="shared" si="0"/>
        <v>4.7773877635698501</v>
      </c>
      <c r="W7">
        <f t="shared" si="0"/>
        <v>3.4202463560668618E-2</v>
      </c>
      <c r="X7" s="1223" t="str">
        <f t="shared" si="0"/>
        <v>yes</v>
      </c>
    </row>
    <row r="8" spans="1:24" x14ac:dyDescent="0.25">
      <c r="A8" s="1229">
        <v>3</v>
      </c>
      <c r="B8" s="1230">
        <v>1</v>
      </c>
      <c r="C8" s="1231">
        <v>-1.3947499999999999</v>
      </c>
      <c r="E8">
        <v>2</v>
      </c>
      <c r="F8" s="501">
        <f t="array" ref="F8">COUNTIFS($A$4:$A$19,$E8,$B$4:$B$19,F$6)</f>
        <v>2</v>
      </c>
      <c r="G8" s="57">
        <f t="array" ref="G8">COUNTIFS($A$4:$A$19,$E8,$B$4:$B$19,G$6)</f>
        <v>2</v>
      </c>
      <c r="H8">
        <f t="array" ref="H8">SUM(F8:G8)</f>
        <v>4</v>
      </c>
      <c r="J8" t="s">
        <v>2626</v>
      </c>
      <c r="K8">
        <f>DEVSQ(F19:G19)*F11</f>
        <v>92.687745365256234</v>
      </c>
      <c r="L8">
        <f>COUNT(F19:G19)-1</f>
        <v>1</v>
      </c>
      <c r="M8">
        <f>K8/L8</f>
        <v>92.687745365256234</v>
      </c>
      <c r="N8">
        <f>M8/M10</f>
        <v>1.3084775010989824</v>
      </c>
      <c r="O8">
        <f>FDIST(N8,L8,L10)</f>
        <v>0.28574148524297355</v>
      </c>
      <c r="P8" s="1223" t="str">
        <f>IF(O8&lt;O5,"yes","no")</f>
        <v>no</v>
      </c>
      <c r="R8" t="s">
        <v>2626</v>
      </c>
      <c r="S8">
        <f t="shared" si="0"/>
        <v>92.687745365256234</v>
      </c>
      <c r="T8">
        <f t="shared" si="0"/>
        <v>1</v>
      </c>
      <c r="U8">
        <f t="shared" si="0"/>
        <v>92.687745365256234</v>
      </c>
      <c r="V8">
        <f t="shared" si="0"/>
        <v>1.3084775010989824</v>
      </c>
      <c r="W8">
        <f t="shared" si="0"/>
        <v>0.28574148524297355</v>
      </c>
      <c r="X8" s="1223" t="str">
        <f t="shared" si="0"/>
        <v>no</v>
      </c>
    </row>
    <row r="9" spans="1:24" x14ac:dyDescent="0.25">
      <c r="A9" s="1229">
        <v>3</v>
      </c>
      <c r="B9" s="1230">
        <f>B8</f>
        <v>1</v>
      </c>
      <c r="C9" s="1231">
        <v>-2.9521000000000002</v>
      </c>
      <c r="E9">
        <v>3</v>
      </c>
      <c r="F9" s="501">
        <f t="array" ref="F9">COUNTIFS($A$4:$A$19,$E9,$B$4:$B$19,F$6)</f>
        <v>2</v>
      </c>
      <c r="G9" s="57">
        <f t="array" ref="G9">COUNTIFS($A$4:$A$19,$E9,$B$4:$B$19,G$6)</f>
        <v>2</v>
      </c>
      <c r="H9">
        <f t="array" ref="H9">SUM(F9:G9)</f>
        <v>4</v>
      </c>
      <c r="J9" t="s">
        <v>2627</v>
      </c>
      <c r="K9">
        <f>K11-K7-K8-K10</f>
        <v>306.68362678371898</v>
      </c>
      <c r="L9">
        <f>L8*L7</f>
        <v>3</v>
      </c>
      <c r="M9">
        <f>K9/L9</f>
        <v>102.22787559457299</v>
      </c>
      <c r="N9">
        <f>M9/M10</f>
        <v>1.4431559929904736</v>
      </c>
      <c r="O9">
        <f>FDIST(N9,L9,L10)</f>
        <v>0.30079442232140891</v>
      </c>
      <c r="P9" s="1223" t="str">
        <f>IF(O9&lt;O5,"yes","no")</f>
        <v>no</v>
      </c>
      <c r="R9" t="s">
        <v>2628</v>
      </c>
      <c r="S9">
        <f>K9+K10</f>
        <v>873.37427473086882</v>
      </c>
      <c r="T9">
        <f>L9+L10</f>
        <v>11</v>
      </c>
      <c r="U9">
        <f>S9/T9</f>
        <v>79.397661339169886</v>
      </c>
    </row>
    <row r="10" spans="1:24" x14ac:dyDescent="0.25">
      <c r="A10" s="1229">
        <v>4</v>
      </c>
      <c r="B10" s="1230">
        <v>1</v>
      </c>
      <c r="C10" s="1231">
        <v>15.25089</v>
      </c>
      <c r="E10">
        <v>4</v>
      </c>
      <c r="F10" s="759">
        <f t="array" ref="F10">COUNTIFS($A$4:$A$19,$E10,$B$4:$B$19,F$6)</f>
        <v>2</v>
      </c>
      <c r="G10" s="761">
        <f t="array" ref="G10">COUNTIFS($A$4:$A$19,$E10,$B$4:$B$19,G$6)</f>
        <v>2</v>
      </c>
      <c r="H10">
        <f t="array" ref="H10">SUM(F10:G10)</f>
        <v>4</v>
      </c>
      <c r="J10" t="s">
        <v>2628</v>
      </c>
      <c r="K10">
        <f>SUM(F23:G26)*(F7-1)</f>
        <v>566.69064794714984</v>
      </c>
      <c r="L10">
        <f>L11-L7-L8-L9</f>
        <v>8</v>
      </c>
      <c r="M10">
        <f>K10/L10</f>
        <v>70.83633099339373</v>
      </c>
      <c r="R10" s="762" t="s">
        <v>1</v>
      </c>
      <c r="S10" s="762">
        <f>K11</f>
        <v>1981.2998828081938</v>
      </c>
      <c r="T10" s="762">
        <f>L11</f>
        <v>15</v>
      </c>
      <c r="U10" s="762">
        <f>M11</f>
        <v>132.08665885387958</v>
      </c>
      <c r="V10" s="762"/>
      <c r="W10" s="762"/>
      <c r="X10" s="762"/>
    </row>
    <row r="11" spans="1:24" x14ac:dyDescent="0.25">
      <c r="A11" s="1229">
        <v>4</v>
      </c>
      <c r="B11" s="1230">
        <f>B10</f>
        <v>1</v>
      </c>
      <c r="C11" s="1231">
        <v>3.3227500000000001</v>
      </c>
      <c r="F11">
        <f t="array" ref="F11">SUM(F7:F10)</f>
        <v>8</v>
      </c>
      <c r="G11">
        <f t="array" ref="G11">SUM(G7:G10)</f>
        <v>8</v>
      </c>
      <c r="H11">
        <f t="array" ref="H11">SUM(H7:H10)</f>
        <v>16</v>
      </c>
      <c r="J11" s="762" t="s">
        <v>1</v>
      </c>
      <c r="K11" s="762">
        <f>M11*L11</f>
        <v>1981.2998828081938</v>
      </c>
      <c r="L11" s="762">
        <f>H11-1</f>
        <v>15</v>
      </c>
      <c r="M11" s="762">
        <f>H27</f>
        <v>132.08665885387958</v>
      </c>
      <c r="N11" s="762"/>
      <c r="O11" s="762"/>
      <c r="P11" s="762"/>
    </row>
    <row r="12" spans="1:24" x14ac:dyDescent="0.25">
      <c r="A12" s="1229">
        <v>1</v>
      </c>
      <c r="B12" s="1230">
        <v>2</v>
      </c>
      <c r="C12" s="1231">
        <v>2.1259600000000001</v>
      </c>
    </row>
    <row r="13" spans="1:24" ht="15.75" thickBot="1" x14ac:dyDescent="0.3">
      <c r="A13" s="1229">
        <v>1</v>
      </c>
      <c r="B13" s="1230">
        <v>2</v>
      </c>
      <c r="C13" s="1231">
        <v>2.4329700000000001</v>
      </c>
      <c r="E13" t="s">
        <v>610</v>
      </c>
      <c r="J13" t="s">
        <v>2629</v>
      </c>
      <c r="R13" t="s">
        <v>2629</v>
      </c>
    </row>
    <row r="14" spans="1:24" ht="15.75" thickTop="1" x14ac:dyDescent="0.25">
      <c r="A14" s="1229">
        <v>2</v>
      </c>
      <c r="B14" s="1230">
        <v>2</v>
      </c>
      <c r="C14" s="1231">
        <v>-1.0581700000000001</v>
      </c>
      <c r="F14">
        <f t="array" ref="F14:G14">TRANSPOSE([1]!SortUnique(B4:B19))</f>
        <v>1</v>
      </c>
      <c r="G14">
        <v>2</v>
      </c>
      <c r="J14" s="826"/>
      <c r="K14" s="826" t="s">
        <v>941</v>
      </c>
      <c r="L14" s="826" t="s">
        <v>790</v>
      </c>
      <c r="M14" s="826" t="s">
        <v>58</v>
      </c>
      <c r="N14" s="826" t="s">
        <v>790</v>
      </c>
      <c r="R14" s="826"/>
      <c r="S14" s="826" t="s">
        <v>941</v>
      </c>
      <c r="T14" s="826" t="s">
        <v>790</v>
      </c>
      <c r="U14" s="826" t="s">
        <v>58</v>
      </c>
      <c r="V14" s="826" t="s">
        <v>790</v>
      </c>
    </row>
    <row r="15" spans="1:24" x14ac:dyDescent="0.25">
      <c r="A15" s="1229">
        <v>2</v>
      </c>
      <c r="B15" s="1230">
        <v>2</v>
      </c>
      <c r="C15" s="1231">
        <v>-3.86374</v>
      </c>
      <c r="E15">
        <f t="array" ref="E15:E18">[1]!SortUnique(A4:A19)</f>
        <v>1</v>
      </c>
      <c r="F15" s="1154">
        <f t="array" ref="F15">AVERAGEIFS($C$4:$C$19,$A$4:$A$19,$E15,$B$4:$B$19,F$14)</f>
        <v>-14.702870000000001</v>
      </c>
      <c r="G15" s="1176">
        <f t="array" ref="G15">AVERAGEIFS($C$4:$C$19,$A$4:$A$19,$E15,$B$4:$B$19,G$14)</f>
        <v>2.2794650000000001</v>
      </c>
      <c r="H15">
        <f t="array" ref="H15">AVERAGE(F15:G15)</f>
        <v>-6.2117025000000003</v>
      </c>
      <c r="J15" t="s">
        <v>2630</v>
      </c>
      <c r="K15">
        <f>K16+K17</f>
        <v>81.058921842430678</v>
      </c>
      <c r="L15" s="1232">
        <f>K15/K$21</f>
        <v>0.55591140631189517</v>
      </c>
      <c r="M15">
        <f>SQRT(K15)</f>
        <v>9.0032728406080569</v>
      </c>
      <c r="N15" s="1232">
        <f>M15/M$21</f>
        <v>0.74559466623085169</v>
      </c>
      <c r="R15" t="s">
        <v>2630</v>
      </c>
      <c r="S15">
        <f>S16+S17</f>
        <v>81.058921842430678</v>
      </c>
      <c r="T15" s="1232">
        <f>S15/S$21</f>
        <v>0.55591140631189517</v>
      </c>
      <c r="U15">
        <f>SQRT(S15)</f>
        <v>9.0032728406080569</v>
      </c>
      <c r="V15" s="1232">
        <f>U15/U$21</f>
        <v>0.74559466623085169</v>
      </c>
    </row>
    <row r="16" spans="1:24" x14ac:dyDescent="0.25">
      <c r="A16" s="1229">
        <v>3</v>
      </c>
      <c r="B16" s="1230">
        <v>2</v>
      </c>
      <c r="C16" s="1231">
        <v>-5.7011500000000002</v>
      </c>
      <c r="E16">
        <v>2</v>
      </c>
      <c r="F16" s="501">
        <f t="array" ref="F16">AVERAGEIFS($C$4:$C$19,$A$4:$A$19,$E16,$B$4:$B$19,F$14)</f>
        <v>-0.68574999999999964</v>
      </c>
      <c r="G16" s="57">
        <f t="array" ref="G16">AVERAGEIFS($C$4:$C$19,$A$4:$A$19,$E16,$B$4:$B$19,G$14)</f>
        <v>-2.4609550000000002</v>
      </c>
      <c r="H16">
        <f t="array" ref="H16">AVERAGE(F16:G16)</f>
        <v>-1.5733524999999999</v>
      </c>
      <c r="J16" t="s">
        <v>2631</v>
      </c>
      <c r="K16">
        <f>IF(P9="yes",M10,(K9+K10)/(L9+L10))</f>
        <v>79.397661339169886</v>
      </c>
      <c r="L16" s="1232">
        <f t="shared" ref="L16:L21" si="1">K16/K$21</f>
        <v>0.54451829076548663</v>
      </c>
      <c r="M16">
        <f t="shared" ref="M16:M21" si="2">SQRT(K16)</f>
        <v>8.9105365348653329</v>
      </c>
      <c r="N16" s="1232">
        <f t="shared" ref="N16:N21" si="3">M16/M$21</f>
        <v>0.73791482622690729</v>
      </c>
      <c r="R16" t="s">
        <v>2631</v>
      </c>
      <c r="S16">
        <f>U9</f>
        <v>79.397661339169886</v>
      </c>
      <c r="T16" s="1232">
        <f t="shared" ref="T16:T21" si="4">S16/S$21</f>
        <v>0.54451829076548663</v>
      </c>
      <c r="U16">
        <f t="shared" ref="U16:U21" si="5">SQRT(S16)</f>
        <v>8.9105365348653329</v>
      </c>
      <c r="V16" s="1232">
        <f t="shared" ref="V16:V21" si="6">U16/U$21</f>
        <v>0.73791482622690729</v>
      </c>
    </row>
    <row r="17" spans="1:22" x14ac:dyDescent="0.25">
      <c r="A17" s="1229">
        <v>3</v>
      </c>
      <c r="B17" s="1230">
        <v>2</v>
      </c>
      <c r="C17" s="1231">
        <v>-8.7137499999999992</v>
      </c>
      <c r="E17">
        <v>3</v>
      </c>
      <c r="F17" s="501">
        <f t="array" ref="F17">AVERAGEIFS($C$4:$C$19,$A$4:$A$19,$E17,$B$4:$B$19,F$14)</f>
        <v>-2.1734249999999999</v>
      </c>
      <c r="G17" s="57">
        <f t="array" ref="G17">AVERAGEIFS($C$4:$C$19,$A$4:$A$19,$E17,$B$4:$B$19,G$14)</f>
        <v>-7.2074499999999997</v>
      </c>
      <c r="H17">
        <f t="array" ref="H17">AVERAGE(F17:G17)</f>
        <v>-4.6904374999999998</v>
      </c>
      <c r="J17" t="s">
        <v>2632</v>
      </c>
      <c r="K17">
        <f>K18+K19</f>
        <v>1.6612605032607934</v>
      </c>
      <c r="L17" s="1232">
        <f t="shared" si="1"/>
        <v>1.1393115546408573E-2</v>
      </c>
      <c r="M17">
        <f t="shared" si="2"/>
        <v>1.2888989499804837</v>
      </c>
      <c r="N17" s="1232">
        <f t="shared" si="3"/>
        <v>0.1067385382437317</v>
      </c>
      <c r="R17" t="s">
        <v>2632</v>
      </c>
      <c r="S17">
        <f>S18+S19</f>
        <v>1.6612605032607934</v>
      </c>
      <c r="T17" s="1232">
        <f t="shared" si="4"/>
        <v>1.1393115546408573E-2</v>
      </c>
      <c r="U17">
        <f t="shared" si="5"/>
        <v>1.2888989499804837</v>
      </c>
      <c r="V17" s="1232">
        <f t="shared" si="6"/>
        <v>0.1067385382437317</v>
      </c>
    </row>
    <row r="18" spans="1:22" x14ac:dyDescent="0.25">
      <c r="A18" s="1229">
        <v>4</v>
      </c>
      <c r="B18" s="1230">
        <v>2</v>
      </c>
      <c r="C18" s="1231">
        <v>11.72134</v>
      </c>
      <c r="E18">
        <v>4</v>
      </c>
      <c r="F18" s="759">
        <f t="array" ref="F18">AVERAGEIFS($C$4:$C$19,$A$4:$A$19,$E18,$B$4:$B$19,F$14)</f>
        <v>9.2868200000000005</v>
      </c>
      <c r="G18" s="761">
        <f t="array" ref="G18">AVERAGEIFS($C$4:$C$19,$A$4:$A$19,$E18,$B$4:$B$19,G$14)</f>
        <v>18.36861</v>
      </c>
      <c r="H18">
        <f t="array" ref="H18">AVERAGE(F18:G18)</f>
        <v>13.827715000000001</v>
      </c>
      <c r="J18" t="s">
        <v>2633</v>
      </c>
      <c r="K18">
        <f>MAX((M8-IF(P9="yes",M9,K16))/(G7*(L7+1)),0)</f>
        <v>1.6612605032607934</v>
      </c>
      <c r="L18" s="1232">
        <f t="shared" si="1"/>
        <v>1.1393115546408573E-2</v>
      </c>
      <c r="M18">
        <f t="shared" si="2"/>
        <v>1.2888989499804837</v>
      </c>
      <c r="N18" s="1232">
        <f t="shared" si="3"/>
        <v>0.1067385382437317</v>
      </c>
      <c r="R18" t="s">
        <v>2633</v>
      </c>
      <c r="S18">
        <f>MAX((U8-S16)/(G7*(T7+1)),0)</f>
        <v>1.6612605032607934</v>
      </c>
      <c r="T18" s="1232">
        <f t="shared" si="4"/>
        <v>1.1393115546408573E-2</v>
      </c>
      <c r="U18">
        <f t="shared" si="5"/>
        <v>1.2888989499804837</v>
      </c>
      <c r="V18" s="1232">
        <f t="shared" si="6"/>
        <v>0.1067385382437317</v>
      </c>
    </row>
    <row r="19" spans="1:22" x14ac:dyDescent="0.25">
      <c r="A19" s="1229">
        <v>4</v>
      </c>
      <c r="B19" s="1230">
        <v>2</v>
      </c>
      <c r="C19" s="1231">
        <v>25.015879999999999</v>
      </c>
      <c r="F19">
        <f t="array" ref="F19">AVERAGE(F15:F18)</f>
        <v>-2.0688062499999993</v>
      </c>
      <c r="G19">
        <f t="array" ref="G19">AVERAGE(G15:G18)</f>
        <v>2.7449175000000001</v>
      </c>
      <c r="H19">
        <f t="array" ref="H19">AVERAGE(H15:H18)</f>
        <v>0.33805562500000041</v>
      </c>
      <c r="J19" t="s">
        <v>2634</v>
      </c>
      <c r="K19">
        <f>IF(P9="yes",MAX((M9-M10)/G7,0),0)</f>
        <v>0</v>
      </c>
      <c r="L19" s="1232">
        <f t="shared" si="1"/>
        <v>0</v>
      </c>
      <c r="M19">
        <f t="shared" si="2"/>
        <v>0</v>
      </c>
      <c r="N19" s="1232">
        <f t="shared" si="3"/>
        <v>0</v>
      </c>
      <c r="R19" t="s">
        <v>2634</v>
      </c>
      <c r="S19">
        <v>0</v>
      </c>
      <c r="T19" s="1232">
        <f t="shared" si="4"/>
        <v>0</v>
      </c>
      <c r="U19">
        <f t="shared" si="5"/>
        <v>0</v>
      </c>
      <c r="V19" s="1232">
        <f t="shared" si="6"/>
        <v>0</v>
      </c>
    </row>
    <row r="20" spans="1:22" x14ac:dyDescent="0.25">
      <c r="J20" t="s">
        <v>2635</v>
      </c>
      <c r="K20">
        <f>MAX((M7-IF(P9="yes",M9,K16))/(G7*(L8+1)),0)</f>
        <v>64.753739891213272</v>
      </c>
      <c r="L20" s="1232">
        <f t="shared" si="1"/>
        <v>0.44408859368810477</v>
      </c>
      <c r="M20">
        <f t="shared" si="2"/>
        <v>8.0469708518928584</v>
      </c>
      <c r="N20" s="1232">
        <f t="shared" si="3"/>
        <v>0.66639972515608437</v>
      </c>
      <c r="R20" t="s">
        <v>2635</v>
      </c>
      <c r="S20">
        <f>MAX((U7-S16)/(G7*(T8+1)),0)</f>
        <v>64.753739891213272</v>
      </c>
      <c r="T20" s="1232">
        <f t="shared" si="4"/>
        <v>0.44408859368810477</v>
      </c>
      <c r="U20">
        <f t="shared" si="5"/>
        <v>8.0469708518928584</v>
      </c>
      <c r="V20" s="1232">
        <f t="shared" si="6"/>
        <v>0.66639972515608437</v>
      </c>
    </row>
    <row r="21" spans="1:22" x14ac:dyDescent="0.25">
      <c r="E21" t="s">
        <v>1667</v>
      </c>
      <c r="J21" s="762" t="s">
        <v>2636</v>
      </c>
      <c r="K21" s="762">
        <f>K15+K20</f>
        <v>145.81266173364395</v>
      </c>
      <c r="L21" s="1233">
        <f t="shared" si="1"/>
        <v>1</v>
      </c>
      <c r="M21" s="762">
        <f t="shared" si="2"/>
        <v>12.07529137261888</v>
      </c>
      <c r="N21" s="1233">
        <f t="shared" si="3"/>
        <v>1</v>
      </c>
      <c r="R21" s="762" t="s">
        <v>2636</v>
      </c>
      <c r="S21" s="762">
        <f>S15+S20</f>
        <v>145.81266173364395</v>
      </c>
      <c r="T21" s="1233">
        <f t="shared" si="4"/>
        <v>1</v>
      </c>
      <c r="U21" s="762">
        <f t="shared" si="5"/>
        <v>12.07529137261888</v>
      </c>
      <c r="V21" s="1233">
        <f t="shared" si="6"/>
        <v>1</v>
      </c>
    </row>
    <row r="22" spans="1:22" x14ac:dyDescent="0.25">
      <c r="F22">
        <f t="array" ref="F22:G22">TRANSPOSE([1]!SortUnique(B4:B19))</f>
        <v>1</v>
      </c>
      <c r="G22">
        <v>2</v>
      </c>
    </row>
    <row r="23" spans="1:22" x14ac:dyDescent="0.25">
      <c r="E23">
        <f t="array" ref="E23:E26">[1]!SortUnique(A4:A19)</f>
        <v>1</v>
      </c>
      <c r="F23" s="1154">
        <f t="array" ref="F23">VAR(IF(($A$4:$A$19=$E23)*($B$4:$B$19=F$22),$C$4:$C$19))</f>
        <v>14.970516492800016</v>
      </c>
      <c r="G23" s="1176">
        <f t="array" ref="G23">VAR(IF(($A$4:$A$19=$E23)*($B$4:$B$19=G$22),$C$4:$C$19))</f>
        <v>4.7127570050000005E-2</v>
      </c>
      <c r="H23">
        <f t="array" ref="H23">VAR(IF($A$4:$A$19=$E23,$C$4:$C$19))</f>
        <v>101.13911537169167</v>
      </c>
      <c r="J23" t="s">
        <v>2637</v>
      </c>
      <c r="K23" s="1234">
        <f>MAX(1,TRUNC((M20/M15)*SQRT(2)))</f>
        <v>1</v>
      </c>
      <c r="R23" t="s">
        <v>2637</v>
      </c>
      <c r="S23" s="1234">
        <f>MAX(1,TRUNC((U20/U15)*SQRT(2)))</f>
        <v>1</v>
      </c>
    </row>
    <row r="24" spans="1:22" x14ac:dyDescent="0.25">
      <c r="E24">
        <v>2</v>
      </c>
      <c r="F24" s="501">
        <f t="array" ref="F24">VAR(IF(($A$4:$A$19=$E24)*($B$4:$B$19=F$22),$C$4:$C$19))</f>
        <v>382.47418464499998</v>
      </c>
      <c r="G24" s="57">
        <f t="array" ref="G24">VAR(IF(($A$4:$A$19=$E24)*($B$4:$B$19=G$22),$C$4:$C$19))</f>
        <v>3.9356115124499951</v>
      </c>
      <c r="H24">
        <f t="array" ref="H24">VAR(IF($A$4:$A$19=$E24,$C$4:$C$19))</f>
        <v>129.85371631649167</v>
      </c>
    </row>
    <row r="25" spans="1:22" x14ac:dyDescent="0.25">
      <c r="E25">
        <v>3</v>
      </c>
      <c r="F25" s="501">
        <f t="array" ref="F25">VAR(IF(($A$4:$A$19=$E25)*($B$4:$B$19=F$22),$C$4:$C$19))</f>
        <v>1.2126695112500006</v>
      </c>
      <c r="G25" s="57">
        <f t="array" ref="G25">VAR(IF(($A$4:$A$19=$E25)*($B$4:$B$19=G$22),$C$4:$C$19))</f>
        <v>4.5378793799999926</v>
      </c>
      <c r="H25">
        <f t="array" ref="H25">VAR(IF($A$4:$A$19=$E25,$C$4:$C$19))</f>
        <v>10.363985530624996</v>
      </c>
    </row>
    <row r="26" spans="1:22" x14ac:dyDescent="0.25">
      <c r="E26">
        <v>4</v>
      </c>
      <c r="F26" s="759">
        <f t="array" ref="F26">VAR(IF(($A$4:$A$19=$E26)*($B$4:$B$19=F$22),$C$4:$C$19))</f>
        <v>71.140261929800005</v>
      </c>
      <c r="G26" s="761">
        <f t="array" ref="G26">VAR(IF(($A$4:$A$19=$E26)*($B$4:$B$19=G$22),$C$4:$C$19))</f>
        <v>88.37239690579986</v>
      </c>
      <c r="H26">
        <f t="array" ref="H26">VAR(IF($A$4:$A$19=$E26,$C$4:$C$19))</f>
        <v>80.663856146566602</v>
      </c>
    </row>
    <row r="27" spans="1:22" x14ac:dyDescent="0.25">
      <c r="F27">
        <f t="array" ref="F27">VAR(IF($B$4:$B$19=F$22,$C$4:$C$19))</f>
        <v>150.11212009476967</v>
      </c>
      <c r="G27">
        <f t="array" ref="G27">VAR(IF($B$4:$B$19=G$22,$C$4:$C$19))</f>
        <v>119.68961382565</v>
      </c>
      <c r="H27">
        <f>VAR(C4:C19)</f>
        <v>132.08665885387958</v>
      </c>
    </row>
  </sheetData>
  <pageMargins left="0.7" right="0.7" top="0.75" bottom="0.75" header="0.3" footer="0.3"/>
  <ignoredErrors>
    <ignoredError sqref="M15:M21 K16 U15:U21 S16" formula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1:S28"/>
  <sheetViews>
    <sheetView workbookViewId="0">
      <selection activeCell="B1" sqref="B1"/>
    </sheetView>
  </sheetViews>
  <sheetFormatPr defaultRowHeight="15" x14ac:dyDescent="0.25"/>
  <cols>
    <col min="1" max="1" width="2.42578125" customWidth="1"/>
    <col min="2" max="2" width="6" customWidth="1"/>
    <col min="13" max="13" width="17.140625" customWidth="1"/>
  </cols>
  <sheetData>
    <row r="1" spans="2:19" x14ac:dyDescent="0.25">
      <c r="B1" s="1" t="s">
        <v>2621</v>
      </c>
      <c r="G1" t="s">
        <v>27</v>
      </c>
      <c r="M1" t="s">
        <v>2621</v>
      </c>
    </row>
    <row r="3" spans="2:19" ht="15.75" thickBot="1" x14ac:dyDescent="0.3">
      <c r="B3" s="1193" t="s">
        <v>1297</v>
      </c>
      <c r="C3" s="1237" t="s">
        <v>2643</v>
      </c>
      <c r="D3" s="1235" t="s">
        <v>2644</v>
      </c>
      <c r="E3" s="1236" t="s">
        <v>2645</v>
      </c>
      <c r="G3" t="s">
        <v>1666</v>
      </c>
      <c r="H3" t="str">
        <f>IF(COUNTIF(H5:J9,H5)=COUNT(H5:J9),"balanced","unbalanced")</f>
        <v>balanced</v>
      </c>
      <c r="M3" t="s">
        <v>294</v>
      </c>
      <c r="Q3" s="1223" t="s">
        <v>34</v>
      </c>
      <c r="R3" s="1223">
        <v>0.25</v>
      </c>
    </row>
    <row r="4" spans="2:19" ht="15.75" thickTop="1" x14ac:dyDescent="0.25">
      <c r="B4" s="1238" t="s">
        <v>2638</v>
      </c>
      <c r="C4" s="1176">
        <v>11.966950000000001</v>
      </c>
      <c r="D4" s="1155">
        <v>12.125959999999999</v>
      </c>
      <c r="E4" s="680">
        <v>15.673450000000001</v>
      </c>
      <c r="H4" s="1223" t="str">
        <f>C3</f>
        <v>Op1</v>
      </c>
      <c r="I4" s="1223" t="str">
        <f>D3</f>
        <v>Op2</v>
      </c>
      <c r="J4" s="1223" t="str">
        <f>E3</f>
        <v>Op3</v>
      </c>
      <c r="M4" s="826"/>
      <c r="N4" s="826" t="s">
        <v>219</v>
      </c>
      <c r="O4" s="826" t="s">
        <v>60</v>
      </c>
      <c r="P4" s="826" t="s">
        <v>240</v>
      </c>
      <c r="Q4" s="826" t="s">
        <v>135</v>
      </c>
      <c r="R4" s="826" t="s">
        <v>67</v>
      </c>
      <c r="S4" s="826" t="s">
        <v>527</v>
      </c>
    </row>
    <row r="5" spans="2:19" x14ac:dyDescent="0.25">
      <c r="B5" s="503"/>
      <c r="C5" s="57">
        <v>12.098100000000001</v>
      </c>
      <c r="D5" s="680">
        <v>12.8452</v>
      </c>
      <c r="E5" s="680">
        <v>12.78345</v>
      </c>
      <c r="G5" t="str">
        <f>B4</f>
        <v>P1</v>
      </c>
      <c r="H5" s="1154">
        <f>COUNT(C4:C7)</f>
        <v>4</v>
      </c>
      <c r="I5" s="1228">
        <f>COUNT(D4:D7)</f>
        <v>4</v>
      </c>
      <c r="J5" s="1176">
        <f>COUNT(E4:E7)</f>
        <v>4</v>
      </c>
      <c r="K5">
        <f>COUNT(C4:E7)</f>
        <v>12</v>
      </c>
      <c r="M5" t="s">
        <v>2623</v>
      </c>
      <c r="N5">
        <f>DEVSQ(K14:K18)*K5</f>
        <v>4402.857442354717</v>
      </c>
      <c r="O5">
        <f>COUNT(K14:K18)-1</f>
        <v>4</v>
      </c>
      <c r="P5">
        <f>N5/O5</f>
        <v>1100.7143605886793</v>
      </c>
      <c r="Q5">
        <f>P5/P8</f>
        <v>369.15938354044107</v>
      </c>
      <c r="R5">
        <f>FDIST(Q5,O5,O8)</f>
        <v>8.9923387419132455E-34</v>
      </c>
      <c r="S5" s="1223" t="str">
        <f>IF(R5&lt;R3,"yes","no")</f>
        <v>yes</v>
      </c>
    </row>
    <row r="6" spans="2:19" x14ac:dyDescent="0.25">
      <c r="B6" s="503"/>
      <c r="C6" s="57">
        <v>15.90911</v>
      </c>
      <c r="D6" s="680">
        <v>11.97681</v>
      </c>
      <c r="E6" s="680">
        <v>9.6744299999999992</v>
      </c>
      <c r="G6" t="str">
        <f>B8</f>
        <v>P2</v>
      </c>
      <c r="H6" s="501">
        <f>COUNT(C8:C11)</f>
        <v>4</v>
      </c>
      <c r="I6" s="7">
        <f>COUNT(D8:D11)</f>
        <v>4</v>
      </c>
      <c r="J6" s="57">
        <f>COUNT(E8:E11)</f>
        <v>4</v>
      </c>
      <c r="K6">
        <f>COUNT(C8:E11)</f>
        <v>12</v>
      </c>
      <c r="M6" t="s">
        <v>2626</v>
      </c>
      <c r="N6">
        <f>DEVSQ(H19:J19)*H10</f>
        <v>0.66341450235999011</v>
      </c>
      <c r="O6">
        <f>COUNT(H19:J19)-1</f>
        <v>2</v>
      </c>
      <c r="P6">
        <f>N6/O6</f>
        <v>0.33170725117999506</v>
      </c>
      <c r="Q6">
        <f>P6/P8</f>
        <v>0.11124852072976636</v>
      </c>
      <c r="R6">
        <f>FDIST(Q6,O6,O8)</f>
        <v>0.89496166275718203</v>
      </c>
      <c r="S6" s="1223" t="str">
        <f>IF(R6&lt;R3,"yes","no")</f>
        <v>no</v>
      </c>
    </row>
    <row r="7" spans="2:19" x14ac:dyDescent="0.25">
      <c r="B7" s="1239" t="s">
        <v>1297</v>
      </c>
      <c r="C7" s="761">
        <v>17.438790000000001</v>
      </c>
      <c r="D7" s="757">
        <v>12.432969999999999</v>
      </c>
      <c r="E7" s="757">
        <v>14.10087</v>
      </c>
      <c r="G7" t="str">
        <f>B12</f>
        <v>P3</v>
      </c>
      <c r="H7" s="501">
        <f>COUNT(C12:C15)</f>
        <v>4</v>
      </c>
      <c r="I7" s="7">
        <f>COUNT(D12:D15)</f>
        <v>4</v>
      </c>
      <c r="J7" s="57">
        <f>COUNT(E12:E15)</f>
        <v>4</v>
      </c>
      <c r="K7">
        <f>COUNT(C12:E15)</f>
        <v>12</v>
      </c>
      <c r="M7" t="s">
        <v>2627</v>
      </c>
      <c r="N7">
        <f>N9-N5-N6-N8</f>
        <v>187.58455566547266</v>
      </c>
      <c r="O7">
        <f>O6*O5</f>
        <v>8</v>
      </c>
      <c r="P7">
        <f>N7/O7</f>
        <v>23.448069458184083</v>
      </c>
      <c r="Q7">
        <f>P7/P8</f>
        <v>7.8640519069518406</v>
      </c>
      <c r="R7">
        <f>FDIST(Q7,O7,O8)</f>
        <v>1.5097930272922274E-6</v>
      </c>
      <c r="S7" s="1223" t="str">
        <f>IF(R7&lt;R3,"yes","no")</f>
        <v>yes</v>
      </c>
    </row>
    <row r="8" spans="2:19" x14ac:dyDescent="0.25">
      <c r="B8" s="503" t="s">
        <v>2639</v>
      </c>
      <c r="C8" s="57">
        <v>6.1451799999999999</v>
      </c>
      <c r="D8" s="680">
        <v>7.3478899999999996</v>
      </c>
      <c r="E8" s="680">
        <v>5.5459199999999997</v>
      </c>
      <c r="G8" t="str">
        <f>B16</f>
        <v>P4</v>
      </c>
      <c r="H8" s="501">
        <f>COUNT(C16:C19)</f>
        <v>4</v>
      </c>
      <c r="I8" s="7">
        <f>COUNT(D16:D19)</f>
        <v>4</v>
      </c>
      <c r="J8" s="57">
        <f>COUNT(E16:E19)</f>
        <v>4</v>
      </c>
      <c r="K8">
        <f>COUNT(C16:E19)</f>
        <v>12</v>
      </c>
      <c r="M8" t="s">
        <v>2628</v>
      </c>
      <c r="N8">
        <f>SUM(H23:J27)*(H5-1)</f>
        <v>134.17550368475023</v>
      </c>
      <c r="O8">
        <f>O9-O5-O6-O7</f>
        <v>45</v>
      </c>
      <c r="P8">
        <f>N8/O8</f>
        <v>2.981677859661116</v>
      </c>
    </row>
    <row r="9" spans="2:19" x14ac:dyDescent="0.25">
      <c r="B9" s="503"/>
      <c r="C9" s="57">
        <v>6.0017800000000001</v>
      </c>
      <c r="D9" s="680">
        <v>8.4523899999999994</v>
      </c>
      <c r="E9" s="680">
        <v>6.5434400000000004</v>
      </c>
      <c r="G9" t="str">
        <f>B20</f>
        <v>P5</v>
      </c>
      <c r="H9" s="759">
        <f>COUNT(C20:C23)</f>
        <v>4</v>
      </c>
      <c r="I9" s="760">
        <f>COUNT(D20:D23)</f>
        <v>4</v>
      </c>
      <c r="J9" s="761">
        <f>COUNT(E20:E23)</f>
        <v>4</v>
      </c>
      <c r="K9">
        <f>COUNT(C20:E23)</f>
        <v>12</v>
      </c>
      <c r="M9" s="762" t="s">
        <v>1</v>
      </c>
      <c r="N9" s="762">
        <f>P9*O9</f>
        <v>4725.2809162072999</v>
      </c>
      <c r="O9" s="762">
        <f>K10-1</f>
        <v>59</v>
      </c>
      <c r="P9" s="762">
        <f>K28</f>
        <v>80.089507054361022</v>
      </c>
      <c r="Q9" s="762"/>
      <c r="R9" s="762"/>
      <c r="S9" s="762"/>
    </row>
    <row r="10" spans="2:19" x14ac:dyDescent="0.25">
      <c r="B10" s="503"/>
      <c r="C10" s="57">
        <v>5.9818100000000003</v>
      </c>
      <c r="D10" s="680">
        <v>5.1009599999999997</v>
      </c>
      <c r="E10" s="680">
        <v>4.3461699999999999</v>
      </c>
      <c r="H10">
        <f>COUNT(C4:C23)</f>
        <v>20</v>
      </c>
      <c r="I10">
        <f>COUNT(D4:D23)</f>
        <v>20</v>
      </c>
      <c r="J10">
        <f>COUNT(E4:E23)</f>
        <v>20</v>
      </c>
      <c r="K10">
        <f>COUNT(C4:E23)</f>
        <v>60</v>
      </c>
    </row>
    <row r="11" spans="2:19" ht="15.75" thickBot="1" x14ac:dyDescent="0.3">
      <c r="B11" s="503"/>
      <c r="C11" s="57">
        <v>6.9156000000000004</v>
      </c>
      <c r="D11" s="680">
        <v>6.5585000000000004</v>
      </c>
      <c r="E11" s="680">
        <v>5.4466799999999997</v>
      </c>
      <c r="M11" t="s">
        <v>2629</v>
      </c>
    </row>
    <row r="12" spans="2:19" ht="15.75" thickTop="1" x14ac:dyDescent="0.25">
      <c r="B12" s="1238" t="s">
        <v>2640</v>
      </c>
      <c r="C12" s="1176">
        <v>-14.5146</v>
      </c>
      <c r="D12" s="1155">
        <v>-11.25817</v>
      </c>
      <c r="E12" s="1155">
        <v>-9.5523799999999994</v>
      </c>
      <c r="G12" t="s">
        <v>610</v>
      </c>
      <c r="M12" s="826"/>
      <c r="N12" s="826" t="s">
        <v>941</v>
      </c>
      <c r="O12" s="826" t="s">
        <v>790</v>
      </c>
      <c r="P12" s="826" t="s">
        <v>58</v>
      </c>
      <c r="Q12" s="826" t="s">
        <v>790</v>
      </c>
    </row>
    <row r="13" spans="2:19" x14ac:dyDescent="0.25">
      <c r="B13" s="503"/>
      <c r="C13" s="57">
        <v>-11.67891</v>
      </c>
      <c r="D13" s="680">
        <v>-10.65401</v>
      </c>
      <c r="E13" s="680">
        <v>-10.14465</v>
      </c>
      <c r="H13" s="1223" t="str">
        <f>C3</f>
        <v>Op1</v>
      </c>
      <c r="I13" s="1223" t="str">
        <f>D3</f>
        <v>Op2</v>
      </c>
      <c r="J13" s="1223" t="str">
        <f>E3</f>
        <v>Op3</v>
      </c>
      <c r="M13" t="s">
        <v>2630</v>
      </c>
      <c r="N13">
        <f>N14+N15</f>
        <v>8.0982757592918588</v>
      </c>
      <c r="O13" s="1232">
        <f>N13/N$19</f>
        <v>8.2744836450047821E-2</v>
      </c>
      <c r="P13">
        <f>SQRT(N13)</f>
        <v>2.8457469598142171</v>
      </c>
      <c r="Q13" s="1232">
        <f>P13/P$19</f>
        <v>0.28765402213431296</v>
      </c>
    </row>
    <row r="14" spans="2:19" x14ac:dyDescent="0.25">
      <c r="B14" s="503"/>
      <c r="C14" s="57">
        <v>-11.789110000000001</v>
      </c>
      <c r="D14" s="680">
        <v>-9.6342099999999995</v>
      </c>
      <c r="E14" s="680">
        <v>-7.3360399999999997</v>
      </c>
      <c r="G14" t="str">
        <f>B4</f>
        <v>P1</v>
      </c>
      <c r="H14" s="1154">
        <f>AVERAGE(C4:C7)</f>
        <v>14.353237499999999</v>
      </c>
      <c r="I14" s="1228">
        <f>AVERAGE(D4:D7)</f>
        <v>12.345234999999999</v>
      </c>
      <c r="J14" s="1176">
        <f>AVERAGE(E4:E7)</f>
        <v>13.05805</v>
      </c>
      <c r="K14">
        <f>AVERAGE(C4:E7)</f>
        <v>13.252174166666668</v>
      </c>
      <c r="M14" t="s">
        <v>2631</v>
      </c>
      <c r="N14">
        <f>IF(S7="yes",P8,(N7+N8)/(O7+O8))</f>
        <v>2.981677859661116</v>
      </c>
      <c r="O14" s="1232">
        <f t="shared" ref="O14:O19" si="0">N14/N$19</f>
        <v>3.0465552690189149E-2</v>
      </c>
      <c r="P14">
        <f t="shared" ref="P14:P19" si="1">SQRT(N14)</f>
        <v>1.7267535607784672</v>
      </c>
      <c r="Q14" s="1232">
        <f t="shared" ref="Q14:Q19" si="2">P14/P$19</f>
        <v>0.17454384174238041</v>
      </c>
    </row>
    <row r="15" spans="2:19" x14ac:dyDescent="0.25">
      <c r="B15" s="1239" t="s">
        <v>1297</v>
      </c>
      <c r="C15" s="761">
        <v>-13.1431</v>
      </c>
      <c r="D15" s="757">
        <v>-8.9637399999999996</v>
      </c>
      <c r="E15" s="757">
        <v>-11.113479999999999</v>
      </c>
      <c r="G15" t="str">
        <f>B8</f>
        <v>P2</v>
      </c>
      <c r="H15" s="501">
        <f>AVERAGE(C8:C11)</f>
        <v>6.2610925000000002</v>
      </c>
      <c r="I15" s="7">
        <f>AVERAGE(D8:D11)</f>
        <v>6.8649349999999991</v>
      </c>
      <c r="J15" s="57">
        <f>AVERAGE(E8:E11)</f>
        <v>5.4705525000000002</v>
      </c>
      <c r="K15">
        <f>AVERAGE(C8:E11)</f>
        <v>6.1988599999999998</v>
      </c>
      <c r="M15" t="s">
        <v>2632</v>
      </c>
      <c r="N15">
        <f>N16+N17</f>
        <v>5.116597899630742</v>
      </c>
      <c r="O15" s="1232">
        <f t="shared" si="0"/>
        <v>5.2279283759858658E-2</v>
      </c>
      <c r="P15">
        <f t="shared" si="1"/>
        <v>2.2619898097981657</v>
      </c>
      <c r="Q15" s="1232">
        <f t="shared" si="2"/>
        <v>0.22864663513784464</v>
      </c>
    </row>
    <row r="16" spans="2:19" x14ac:dyDescent="0.25">
      <c r="B16" s="1238" t="s">
        <v>2641</v>
      </c>
      <c r="C16" s="1176">
        <v>-1.3947499999999999</v>
      </c>
      <c r="D16" s="1155">
        <v>-5.8911499999999997</v>
      </c>
      <c r="E16" s="1155">
        <v>-6.7290099999999997</v>
      </c>
      <c r="G16" t="str">
        <f>B12</f>
        <v>P3</v>
      </c>
      <c r="H16" s="501">
        <f>AVERAGE(C12:C15)</f>
        <v>-12.78143</v>
      </c>
      <c r="I16" s="7">
        <f>AVERAGE(D12:D15)</f>
        <v>-10.127532499999999</v>
      </c>
      <c r="J16" s="57">
        <f>AVERAGE(E12:E15)</f>
        <v>-9.5366374999999994</v>
      </c>
      <c r="K16">
        <f>AVERAGE(C12:E15)</f>
        <v>-10.815200000000003</v>
      </c>
      <c r="M16" t="s">
        <v>2633</v>
      </c>
      <c r="N16">
        <f>MAX((P6-IF(S7="yes",P7,N14))/(J5*(O5+1)),0)</f>
        <v>0</v>
      </c>
      <c r="O16" s="1232">
        <f t="shared" si="0"/>
        <v>0</v>
      </c>
      <c r="P16">
        <f t="shared" si="1"/>
        <v>0</v>
      </c>
      <c r="Q16" s="1232">
        <f t="shared" si="2"/>
        <v>0</v>
      </c>
    </row>
    <row r="17" spans="2:17" x14ac:dyDescent="0.25">
      <c r="B17" s="503"/>
      <c r="C17" s="57">
        <v>-0.97565999999999997</v>
      </c>
      <c r="D17" s="680">
        <v>-4.7845000000000004</v>
      </c>
      <c r="E17" s="680">
        <v>-8.85778</v>
      </c>
      <c r="G17" t="str">
        <f>B16</f>
        <v>P4</v>
      </c>
      <c r="H17" s="501">
        <f>AVERAGE(C16:C19)</f>
        <v>-0.88754999999999995</v>
      </c>
      <c r="I17" s="7">
        <f>AVERAGE(D16:D19)</f>
        <v>-4.0086550000000001</v>
      </c>
      <c r="J17" s="57">
        <f>AVERAGE(E16:E19)</f>
        <v>-8.0560849999999995</v>
      </c>
      <c r="K17">
        <f>AVERAGE(C16:E19)</f>
        <v>-4.317429999999999</v>
      </c>
      <c r="M17" t="s">
        <v>2634</v>
      </c>
      <c r="N17">
        <f>IF(S7="yes",MAX((P7-P8)/J5,0),0)</f>
        <v>5.116597899630742</v>
      </c>
      <c r="O17" s="1232">
        <f t="shared" si="0"/>
        <v>5.2279283759858658E-2</v>
      </c>
      <c r="P17">
        <f t="shared" si="1"/>
        <v>2.2619898097981657</v>
      </c>
      <c r="Q17" s="1232">
        <f t="shared" si="2"/>
        <v>0.22864663513784464</v>
      </c>
    </row>
    <row r="18" spans="2:17" x14ac:dyDescent="0.25">
      <c r="B18" s="503"/>
      <c r="C18" s="57">
        <v>1.7723100000000001</v>
      </c>
      <c r="D18" s="680">
        <v>-1.6452199999999999</v>
      </c>
      <c r="E18" s="680">
        <v>-7.6448799999999997</v>
      </c>
      <c r="G18" t="str">
        <f>B20</f>
        <v>P5</v>
      </c>
      <c r="H18" s="759">
        <f>AVERAGE(C20:C23)</f>
        <v>4.0570750000000002</v>
      </c>
      <c r="I18" s="760">
        <f>AVERAGE(D20:D23)</f>
        <v>5.9302774999999999</v>
      </c>
      <c r="J18" s="761">
        <f>AVERAGE(E20:E23)</f>
        <v>8.9521599999999992</v>
      </c>
      <c r="K18">
        <f>AVERAGE(C20:E23)</f>
        <v>6.3131708333333316</v>
      </c>
      <c r="M18" t="s">
        <v>2635</v>
      </c>
      <c r="N18">
        <f>MAX((P5-IF(S7="yes",P7,N14))/(J5*(O6+1)),0)</f>
        <v>89.77219092754126</v>
      </c>
      <c r="O18" s="1232">
        <f t="shared" si="0"/>
        <v>0.91725516354995229</v>
      </c>
      <c r="P18">
        <f t="shared" si="1"/>
        <v>9.474818780723</v>
      </c>
      <c r="Q18" s="1232">
        <f t="shared" si="2"/>
        <v>0.95773439091950352</v>
      </c>
    </row>
    <row r="19" spans="2:17" x14ac:dyDescent="0.25">
      <c r="B19" s="1239" t="s">
        <v>1297</v>
      </c>
      <c r="C19" s="761">
        <v>-2.9521000000000002</v>
      </c>
      <c r="D19" s="757">
        <v>-3.7137500000000001</v>
      </c>
      <c r="E19" s="757">
        <v>-8.9926700000000004</v>
      </c>
      <c r="H19">
        <f>AVERAGE(C4:C23)</f>
        <v>2.2004849999999987</v>
      </c>
      <c r="I19">
        <f>AVERAGE(D4:D23)</f>
        <v>2.2008519999999994</v>
      </c>
      <c r="J19">
        <f>AVERAGE(E4:E23)</f>
        <v>1.9776080000000007</v>
      </c>
      <c r="K19">
        <f>AVERAGE(C4:E23)</f>
        <v>2.126315</v>
      </c>
      <c r="M19" s="762" t="s">
        <v>2636</v>
      </c>
      <c r="N19" s="762">
        <f>N13+N18</f>
        <v>97.870466686833112</v>
      </c>
      <c r="O19" s="1233">
        <f t="shared" si="0"/>
        <v>1</v>
      </c>
      <c r="P19" s="762">
        <f t="shared" si="1"/>
        <v>9.8929503529954665</v>
      </c>
      <c r="Q19" s="1233">
        <f t="shared" si="2"/>
        <v>1</v>
      </c>
    </row>
    <row r="20" spans="2:17" x14ac:dyDescent="0.25">
      <c r="B20" s="1238" t="s">
        <v>2642</v>
      </c>
      <c r="C20" s="1176">
        <v>5.2508900000000001</v>
      </c>
      <c r="D20" s="1155">
        <v>6.7213399999999996</v>
      </c>
      <c r="E20" s="1155">
        <v>12.00177</v>
      </c>
    </row>
    <row r="21" spans="2:17" x14ac:dyDescent="0.25">
      <c r="B21" s="503"/>
      <c r="C21" s="57">
        <v>4.7655200000000004</v>
      </c>
      <c r="D21" s="680">
        <v>7.3498099999999997</v>
      </c>
      <c r="E21" s="680">
        <v>8.7343299999999999</v>
      </c>
      <c r="G21" t="s">
        <v>1667</v>
      </c>
      <c r="M21" t="s">
        <v>2637</v>
      </c>
      <c r="N21" s="1234">
        <f>MAX(1,TRUNC((P18/P13)*SQRT(2)))</f>
        <v>4</v>
      </c>
    </row>
    <row r="22" spans="2:17" x14ac:dyDescent="0.25">
      <c r="B22" s="503"/>
      <c r="C22" s="57">
        <v>2.8891399999999998</v>
      </c>
      <c r="D22" s="680">
        <v>4.63408</v>
      </c>
      <c r="E22" s="680">
        <v>4.43865</v>
      </c>
      <c r="H22" s="1223" t="str">
        <f>C3</f>
        <v>Op1</v>
      </c>
      <c r="I22" s="1223" t="str">
        <f>D3</f>
        <v>Op2</v>
      </c>
      <c r="J22" s="1223" t="str">
        <f>E3</f>
        <v>Op3</v>
      </c>
    </row>
    <row r="23" spans="2:17" x14ac:dyDescent="0.25">
      <c r="B23" s="420" t="s">
        <v>1297</v>
      </c>
      <c r="C23" s="761">
        <v>3.3227500000000001</v>
      </c>
      <c r="D23" s="757">
        <v>5.0158800000000001</v>
      </c>
      <c r="E23" s="757">
        <v>10.633889999999999</v>
      </c>
      <c r="G23" t="str">
        <f>B4</f>
        <v>P1</v>
      </c>
      <c r="H23" s="1154">
        <f>VAR(C4:C7)</f>
        <v>7.5737955476917023</v>
      </c>
      <c r="I23" s="1228">
        <f>VAR(D4:D7)</f>
        <v>0.1471603125666667</v>
      </c>
      <c r="J23" s="1176">
        <f>VAR(E4:E7)</f>
        <v>6.4840267255999988</v>
      </c>
      <c r="K23">
        <f>VAR(C4:E7)</f>
        <v>4.6277455445537763</v>
      </c>
    </row>
    <row r="24" spans="2:17" x14ac:dyDescent="0.25">
      <c r="G24" t="str">
        <f>B8</f>
        <v>P2</v>
      </c>
      <c r="H24" s="501">
        <f>VAR(C8:C11)</f>
        <v>0.19568582089166678</v>
      </c>
      <c r="I24" s="7">
        <f>VAR(D8:D11)</f>
        <v>1.9862563729666836</v>
      </c>
      <c r="J24" s="57">
        <f>VAR(E8:E11)</f>
        <v>0.80719125009166248</v>
      </c>
      <c r="K24">
        <f>VAR(C8:E11)</f>
        <v>1.1708402498909125</v>
      </c>
    </row>
    <row r="25" spans="2:17" x14ac:dyDescent="0.25">
      <c r="G25" t="str">
        <f>B12</f>
        <v>P3</v>
      </c>
      <c r="H25" s="501">
        <f>VAR(C12:C15)</f>
        <v>1.7783109235333325</v>
      </c>
      <c r="I25" s="7">
        <f>VAR(D12:D15)</f>
        <v>1.051099928825</v>
      </c>
      <c r="J25" s="57">
        <f>VAR(E12:E15)</f>
        <v>2.5663295510916746</v>
      </c>
      <c r="K25">
        <f>VAR(C12:E15)</f>
        <v>3.6438088627090481</v>
      </c>
    </row>
    <row r="26" spans="2:17" x14ac:dyDescent="0.25">
      <c r="G26" t="str">
        <f>B16</f>
        <v>P4</v>
      </c>
      <c r="H26" s="501">
        <f>VAR(C16:C19)</f>
        <v>3.8674123780666672</v>
      </c>
      <c r="I26" s="7">
        <f>VAR(D16:D19)</f>
        <v>3.2728389491000009</v>
      </c>
      <c r="J26" s="57">
        <f>VAR(E16:E19)</f>
        <v>1.1500413143000212</v>
      </c>
      <c r="K26">
        <f>VAR(C16:E19)</f>
        <v>11.656247092781824</v>
      </c>
    </row>
    <row r="27" spans="2:17" x14ac:dyDescent="0.25">
      <c r="G27" t="str">
        <f>B20</f>
        <v>P5</v>
      </c>
      <c r="H27" s="759">
        <f>VAR(C20:C23)</f>
        <v>1.2767979806999961</v>
      </c>
      <c r="I27" s="760">
        <f>VAR(D20:D23)</f>
        <v>1.7190343814916673</v>
      </c>
      <c r="J27" s="761">
        <f>VAR(E20:E23)</f>
        <v>10.849186458</v>
      </c>
      <c r="K27">
        <f>VAR(C20:E23)</f>
        <v>8.2125831457538077</v>
      </c>
    </row>
    <row r="28" spans="2:17" x14ac:dyDescent="0.25">
      <c r="H28">
        <f>VAR(C4:C23)</f>
        <v>86.871072050531609</v>
      </c>
      <c r="I28">
        <f>VAR(D4:D23)</f>
        <v>70.578973739627358</v>
      </c>
      <c r="J28">
        <f>VAR(E4:E23)</f>
        <v>91.214033246943146</v>
      </c>
      <c r="K28">
        <f>VAR(C4:E23)</f>
        <v>80.089507054361022</v>
      </c>
    </row>
  </sheetData>
  <pageMargins left="0.7" right="0.7" top="0.75" bottom="0.75" header="0.3" footer="0.3"/>
  <ignoredErrors>
    <ignoredError sqref="P13:P19" formula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C23"/>
  <sheetViews>
    <sheetView zoomScaleNormal="100" workbookViewId="0"/>
  </sheetViews>
  <sheetFormatPr defaultRowHeight="15" x14ac:dyDescent="0.25"/>
  <cols>
    <col min="43" max="55" width="14" customWidth="1"/>
  </cols>
  <sheetData>
    <row r="1" spans="1:55" x14ac:dyDescent="0.25">
      <c r="A1" s="1" t="s">
        <v>2618</v>
      </c>
    </row>
    <row r="2" spans="1:55" x14ac:dyDescent="0.25">
      <c r="G2" t="s">
        <v>2619</v>
      </c>
      <c r="M2" t="s">
        <v>27</v>
      </c>
      <c r="T2" t="s">
        <v>2620</v>
      </c>
      <c r="AB2" t="s">
        <v>27</v>
      </c>
      <c r="AI2" t="s">
        <v>1670</v>
      </c>
      <c r="AQ2" t="s">
        <v>2496</v>
      </c>
    </row>
    <row r="3" spans="1:55" x14ac:dyDescent="0.25">
      <c r="B3" s="1300" t="s">
        <v>601</v>
      </c>
      <c r="C3" s="1301"/>
      <c r="D3" s="1301"/>
      <c r="E3" s="1302"/>
    </row>
    <row r="4" spans="1:55" ht="15.75" thickBot="1" x14ac:dyDescent="0.3">
      <c r="A4" s="405" t="s">
        <v>602</v>
      </c>
      <c r="B4" s="1225" t="s">
        <v>590</v>
      </c>
      <c r="C4" s="1225" t="s">
        <v>591</v>
      </c>
      <c r="D4" s="1225" t="s">
        <v>592</v>
      </c>
      <c r="E4" s="1225" t="s">
        <v>596</v>
      </c>
      <c r="G4" s="405" t="str">
        <f>IF(A4="","",A4)</f>
        <v>Fertilizer</v>
      </c>
      <c r="H4" s="1225" t="str">
        <f>IF(B4="","",B4)</f>
        <v>Wheat</v>
      </c>
      <c r="I4" s="1225" t="str">
        <f>IF(C4="","",C4)</f>
        <v>Corn</v>
      </c>
      <c r="J4" s="1225" t="str">
        <f>IF(D4="","",D4)</f>
        <v>Soy</v>
      </c>
      <c r="K4" s="1225" t="str">
        <f>IF(E4="","",E4)</f>
        <v>Rice</v>
      </c>
      <c r="M4" t="s">
        <v>1666</v>
      </c>
      <c r="N4" t="str">
        <f>IF(COUNTIF(N6:Q8,N6)=COUNT(N6:Q8),"balanced","unbalanced")</f>
        <v>balanced</v>
      </c>
      <c r="T4" t="s">
        <v>294</v>
      </c>
      <c r="X4" s="1267" t="s">
        <v>34</v>
      </c>
      <c r="Y4" s="1267">
        <v>0.05</v>
      </c>
      <c r="AB4" t="s">
        <v>1666</v>
      </c>
      <c r="AC4" t="str">
        <f>IF(COUNTIF(AC6:AF8,AC6)=COUNT(AC6:AF8),"balanced","unbalanced")</f>
        <v>balanced</v>
      </c>
      <c r="AI4" t="s">
        <v>294</v>
      </c>
      <c r="AM4" s="1267" t="s">
        <v>34</v>
      </c>
      <c r="AN4" s="1267">
        <v>0.05</v>
      </c>
      <c r="AQ4" t="str">
        <f>A5&amp;"-"&amp;B4</f>
        <v>Blend X-Wheat</v>
      </c>
      <c r="AR4" t="str">
        <f>A5&amp;"-"&amp;C4</f>
        <v>Blend X-Corn</v>
      </c>
      <c r="AS4" t="str">
        <f>A5&amp;"-"&amp;D4</f>
        <v>Blend X-Soy</v>
      </c>
      <c r="AT4" t="str">
        <f>A5&amp;"-"&amp;E4</f>
        <v>Blend X-Rice</v>
      </c>
      <c r="AU4" t="str">
        <f>A10&amp;"-"&amp;B4</f>
        <v>Blend Y-Wheat</v>
      </c>
      <c r="AV4" t="str">
        <f>A10&amp;"-"&amp;C4</f>
        <v>Blend Y-Corn</v>
      </c>
      <c r="AW4" t="str">
        <f>A10&amp;"-"&amp;D4</f>
        <v>Blend Y-Soy</v>
      </c>
      <c r="AX4" t="str">
        <f>A10&amp;"-"&amp;E4</f>
        <v>Blend Y-Rice</v>
      </c>
      <c r="AY4" t="str">
        <f>A15&amp;"-"&amp;B4</f>
        <v>Blend Z-Wheat</v>
      </c>
      <c r="AZ4" t="str">
        <f>A15&amp;"-"&amp;C4</f>
        <v>Blend Z-Corn</v>
      </c>
      <c r="BA4" t="str">
        <f>A15&amp;"-"&amp;D4</f>
        <v>Blend Z-Soy</v>
      </c>
      <c r="BB4" t="str">
        <f>A15&amp;"-"&amp;E4</f>
        <v>Blend Z-Rice</v>
      </c>
    </row>
    <row r="5" spans="1:55" ht="15.75" thickTop="1" x14ac:dyDescent="0.25">
      <c r="A5" s="1226" t="s">
        <v>593</v>
      </c>
      <c r="B5" s="1227">
        <v>123</v>
      </c>
      <c r="C5" s="1227">
        <v>128</v>
      </c>
      <c r="D5" s="1227">
        <v>166</v>
      </c>
      <c r="E5" s="1227">
        <v>151</v>
      </c>
      <c r="G5" s="1226" t="str">
        <f>IF(A5="","",A5)</f>
        <v>Blend X</v>
      </c>
      <c r="H5" s="1227">
        <f>[1]!RANK_AVG(B5,$B$5:$E$19,1)</f>
        <v>8</v>
      </c>
      <c r="I5" s="1227">
        <f>[1]!RANK_AVG(C5,$B$5:$E$19,1)</f>
        <v>11</v>
      </c>
      <c r="J5" s="1227">
        <f>[1]!RANK_AVG(D5,$B$5:$E$19,1)</f>
        <v>33</v>
      </c>
      <c r="K5" s="1227">
        <f>[1]!RANK_AVG(E5,$B$5:$E$19,1)</f>
        <v>23</v>
      </c>
      <c r="N5" s="1267" t="str">
        <f>H4</f>
        <v>Wheat</v>
      </c>
      <c r="O5" s="1267" t="str">
        <f>I4</f>
        <v>Corn</v>
      </c>
      <c r="P5" s="1267" t="str">
        <f>J4</f>
        <v>Soy</v>
      </c>
      <c r="Q5" s="1267" t="str">
        <f>K4</f>
        <v>Rice</v>
      </c>
      <c r="T5" s="826"/>
      <c r="U5" s="826" t="s">
        <v>219</v>
      </c>
      <c r="V5" s="826" t="s">
        <v>60</v>
      </c>
      <c r="W5" s="826" t="s">
        <v>240</v>
      </c>
      <c r="X5" s="826" t="s">
        <v>1278</v>
      </c>
      <c r="Y5" s="826" t="s">
        <v>67</v>
      </c>
      <c r="Z5" s="826" t="s">
        <v>527</v>
      </c>
      <c r="AC5" s="1267" t="str">
        <f>H4</f>
        <v>Wheat</v>
      </c>
      <c r="AD5" s="1267" t="str">
        <f>I4</f>
        <v>Corn</v>
      </c>
      <c r="AE5" s="1267" t="str">
        <f>J4</f>
        <v>Soy</v>
      </c>
      <c r="AF5" s="1267" t="str">
        <f>K4</f>
        <v>Rice</v>
      </c>
      <c r="AI5" s="826"/>
      <c r="AJ5" s="826" t="s">
        <v>219</v>
      </c>
      <c r="AK5" s="826" t="s">
        <v>60</v>
      </c>
      <c r="AL5" s="826" t="s">
        <v>240</v>
      </c>
      <c r="AM5" s="826" t="s">
        <v>135</v>
      </c>
      <c r="AN5" s="826" t="s">
        <v>67</v>
      </c>
      <c r="AO5" s="826" t="s">
        <v>527</v>
      </c>
      <c r="AQ5" s="1154">
        <f t="shared" ref="AQ5:AT9" si="0">B5</f>
        <v>123</v>
      </c>
      <c r="AR5" s="1175">
        <f t="shared" si="0"/>
        <v>128</v>
      </c>
      <c r="AS5" s="1175">
        <f t="shared" si="0"/>
        <v>166</v>
      </c>
      <c r="AT5" s="1175">
        <f t="shared" si="0"/>
        <v>151</v>
      </c>
      <c r="AU5" s="1175">
        <f t="shared" ref="AU5:AX9" si="1">B10</f>
        <v>135</v>
      </c>
      <c r="AV5" s="1175">
        <f t="shared" si="1"/>
        <v>175</v>
      </c>
      <c r="AW5" s="1175">
        <f t="shared" si="1"/>
        <v>140</v>
      </c>
      <c r="AX5" s="1175">
        <f t="shared" si="1"/>
        <v>167</v>
      </c>
      <c r="AY5" s="1175">
        <f t="shared" ref="AY5:BB9" si="2">B15</f>
        <v>156</v>
      </c>
      <c r="AZ5" s="1175">
        <f t="shared" si="2"/>
        <v>186</v>
      </c>
      <c r="BA5" s="1175">
        <f t="shared" si="2"/>
        <v>185</v>
      </c>
      <c r="BB5" s="1176">
        <f t="shared" si="2"/>
        <v>175</v>
      </c>
    </row>
    <row r="6" spans="1:55" x14ac:dyDescent="0.25">
      <c r="A6" s="6"/>
      <c r="B6" s="23">
        <v>156</v>
      </c>
      <c r="C6" s="23">
        <v>150</v>
      </c>
      <c r="D6" s="23">
        <v>178</v>
      </c>
      <c r="E6" s="23">
        <v>125</v>
      </c>
      <c r="G6" s="6" t="str">
        <f t="shared" ref="G6:G19" si="3">IF(A6="","",A6)</f>
        <v/>
      </c>
      <c r="H6" s="23">
        <f>[1]!RANK_AVG(B6,$B$5:$E$19,1)</f>
        <v>28.5</v>
      </c>
      <c r="I6" s="23">
        <f>[1]!RANK_AVG(C6,$B$5:$E$19,1)</f>
        <v>22</v>
      </c>
      <c r="J6" s="23">
        <f>[1]!RANK_AVG(D6,$B$5:$E$19,1)</f>
        <v>45.5</v>
      </c>
      <c r="K6" s="23">
        <f>[1]!RANK_AVG(E6,$B$5:$E$19,1)</f>
        <v>9</v>
      </c>
      <c r="M6" t="str">
        <f>G5</f>
        <v>Blend X</v>
      </c>
      <c r="N6" s="1154">
        <f>COUNT(H5:H9)</f>
        <v>5</v>
      </c>
      <c r="O6" s="1175">
        <f>COUNT(I5:I9)</f>
        <v>5</v>
      </c>
      <c r="P6" s="1175">
        <f>COUNT(J5:J9)</f>
        <v>5</v>
      </c>
      <c r="Q6" s="1176">
        <f>COUNT(K5:K9)</f>
        <v>5</v>
      </c>
      <c r="R6">
        <f>COUNT(H5:K9)</f>
        <v>20</v>
      </c>
      <c r="T6" t="s">
        <v>136</v>
      </c>
      <c r="U6">
        <f>DEVSQ(R13:R15)*R6</f>
        <v>4004.4249999999988</v>
      </c>
      <c r="V6">
        <f>COUNT(R13:R15)-1</f>
        <v>2</v>
      </c>
      <c r="X6">
        <f>U6/W10</f>
        <v>13.132911339633125</v>
      </c>
      <c r="Y6">
        <f>CHIDIST(X6,V6)</f>
        <v>1.406774660310579E-3</v>
      </c>
      <c r="Z6" s="1267" t="str">
        <f>IF(Y6&lt;Y4,"yes","no")</f>
        <v>yes</v>
      </c>
      <c r="AB6" t="str">
        <f>G5</f>
        <v>Blend X</v>
      </c>
      <c r="AC6" s="1154">
        <f>COUNT(H5:H9)</f>
        <v>5</v>
      </c>
      <c r="AD6" s="1175">
        <f>COUNT(I5:I9)</f>
        <v>5</v>
      </c>
      <c r="AE6" s="1175">
        <f>COUNT(J5:J9)</f>
        <v>5</v>
      </c>
      <c r="AF6" s="1176">
        <f>COUNT(K5:K9)</f>
        <v>5</v>
      </c>
      <c r="AG6">
        <f>COUNT(H5:K9)</f>
        <v>20</v>
      </c>
      <c r="AI6" t="s">
        <v>136</v>
      </c>
      <c r="AJ6">
        <f>DEVSQ(AG13:AG15)*AG6</f>
        <v>4004.4249999999988</v>
      </c>
      <c r="AK6">
        <f>COUNT(AG13:AG15)-1</f>
        <v>2</v>
      </c>
      <c r="AL6">
        <f>AJ6/AK6</f>
        <v>2002.2124999999994</v>
      </c>
      <c r="AM6">
        <f>AL6/AL9</f>
        <v>9.8541151862522902</v>
      </c>
      <c r="AN6">
        <f>FDIST(AM6,AK6,AK9)</f>
        <v>2.5965373876970138E-4</v>
      </c>
      <c r="AO6" s="1267" t="str">
        <f>IF(AN6&lt;AN4,"yes","no")</f>
        <v>yes</v>
      </c>
      <c r="AQ6" s="501">
        <f t="shared" si="0"/>
        <v>156</v>
      </c>
      <c r="AR6" s="7">
        <f t="shared" si="0"/>
        <v>150</v>
      </c>
      <c r="AS6" s="7">
        <f t="shared" si="0"/>
        <v>178</v>
      </c>
      <c r="AT6" s="7">
        <f t="shared" si="0"/>
        <v>125</v>
      </c>
      <c r="AU6" s="7">
        <f t="shared" si="1"/>
        <v>130</v>
      </c>
      <c r="AV6" s="7">
        <f t="shared" si="1"/>
        <v>132</v>
      </c>
      <c r="AW6" s="7">
        <f t="shared" si="1"/>
        <v>145</v>
      </c>
      <c r="AX6" s="7">
        <f t="shared" si="1"/>
        <v>183</v>
      </c>
      <c r="AY6" s="7">
        <f t="shared" si="2"/>
        <v>180</v>
      </c>
      <c r="AZ6" s="7">
        <f t="shared" si="2"/>
        <v>138</v>
      </c>
      <c r="BA6" s="7">
        <f t="shared" si="2"/>
        <v>206</v>
      </c>
      <c r="BB6" s="57">
        <f t="shared" si="2"/>
        <v>173</v>
      </c>
    </row>
    <row r="7" spans="1:55" x14ac:dyDescent="0.25">
      <c r="A7" s="6"/>
      <c r="B7" s="23">
        <v>112</v>
      </c>
      <c r="C7" s="23">
        <v>174</v>
      </c>
      <c r="D7" s="23">
        <v>187</v>
      </c>
      <c r="E7" s="23">
        <v>117</v>
      </c>
      <c r="G7" s="6" t="str">
        <f t="shared" si="3"/>
        <v/>
      </c>
      <c r="H7" s="23">
        <f>[1]!RANK_AVG(B7,$B$5:$E$19,1)</f>
        <v>3</v>
      </c>
      <c r="I7" s="23">
        <f>[1]!RANK_AVG(C7,$B$5:$E$19,1)</f>
        <v>40</v>
      </c>
      <c r="J7" s="23">
        <f>[1]!RANK_AVG(D7,$B$5:$E$19,1)</f>
        <v>52.5</v>
      </c>
      <c r="K7" s="23">
        <f>[1]!RANK_AVG(E7,$B$5:$E$19,1)</f>
        <v>5</v>
      </c>
      <c r="M7" t="str">
        <f>G10</f>
        <v>Blend Y</v>
      </c>
      <c r="N7" s="501">
        <f>COUNT(H10:H14)</f>
        <v>5</v>
      </c>
      <c r="O7" s="7">
        <f>COUNT(I10:I14)</f>
        <v>5</v>
      </c>
      <c r="P7" s="7">
        <f>COUNT(J10:J14)</f>
        <v>5</v>
      </c>
      <c r="Q7" s="57">
        <f>COUNT(K10:K14)</f>
        <v>5</v>
      </c>
      <c r="R7">
        <f>COUNT(H10:K14)</f>
        <v>20</v>
      </c>
      <c r="T7" t="s">
        <v>589</v>
      </c>
      <c r="U7">
        <f>DEVSQ(N16:Q16)*N9</f>
        <v>1339.0333333333331</v>
      </c>
      <c r="V7">
        <f>COUNT(N16:Q16)-1</f>
        <v>3</v>
      </c>
      <c r="X7">
        <f>U7/W10</f>
        <v>4.3914934222716315</v>
      </c>
      <c r="Y7">
        <f>CHIDIST(X7,V7)</f>
        <v>0.22217544189066898</v>
      </c>
      <c r="Z7" s="1267" t="str">
        <f>IF(Y7&lt;Y4,"yes","no")</f>
        <v>no</v>
      </c>
      <c r="AB7" t="str">
        <f>G10</f>
        <v>Blend Y</v>
      </c>
      <c r="AC7" s="501">
        <f>COUNT(H10:H14)</f>
        <v>5</v>
      </c>
      <c r="AD7" s="7">
        <f>COUNT(I10:I14)</f>
        <v>5</v>
      </c>
      <c r="AE7" s="7">
        <f>COUNT(J10:J14)</f>
        <v>5</v>
      </c>
      <c r="AF7" s="57">
        <f>COUNT(K10:K14)</f>
        <v>5</v>
      </c>
      <c r="AG7">
        <f>COUNT(H10:K14)</f>
        <v>20</v>
      </c>
      <c r="AI7" t="s">
        <v>589</v>
      </c>
      <c r="AJ7">
        <f>DEVSQ(AC16:AF16)*AC9</f>
        <v>1339.0333333333331</v>
      </c>
      <c r="AK7">
        <f>COUNT(AC16:AF16)-1</f>
        <v>3</v>
      </c>
      <c r="AL7">
        <f>AJ7/AK7</f>
        <v>446.34444444444438</v>
      </c>
      <c r="AM7">
        <f>AL7/AL9</f>
        <v>2.1967346464470392</v>
      </c>
      <c r="AN7">
        <f>FDIST(AM7,AK7,AK9)</f>
        <v>0.10056819461085001</v>
      </c>
      <c r="AO7" s="1267" t="str">
        <f>IF(AN7&lt;AN4,"yes","no")</f>
        <v>no</v>
      </c>
      <c r="AQ7" s="501">
        <f t="shared" si="0"/>
        <v>112</v>
      </c>
      <c r="AR7" s="7">
        <f t="shared" si="0"/>
        <v>174</v>
      </c>
      <c r="AS7" s="7">
        <f t="shared" si="0"/>
        <v>187</v>
      </c>
      <c r="AT7" s="7">
        <f t="shared" si="0"/>
        <v>117</v>
      </c>
      <c r="AU7" s="7">
        <f t="shared" si="1"/>
        <v>176</v>
      </c>
      <c r="AV7" s="7">
        <f t="shared" si="1"/>
        <v>120</v>
      </c>
      <c r="AW7" s="7">
        <f t="shared" si="1"/>
        <v>159</v>
      </c>
      <c r="AX7" s="7">
        <f t="shared" si="1"/>
        <v>142</v>
      </c>
      <c r="AY7" s="7">
        <f t="shared" si="2"/>
        <v>147</v>
      </c>
      <c r="AZ7" s="7">
        <f t="shared" si="2"/>
        <v>178</v>
      </c>
      <c r="BA7" s="7">
        <f t="shared" si="2"/>
        <v>188</v>
      </c>
      <c r="BB7" s="57">
        <f t="shared" si="2"/>
        <v>154</v>
      </c>
    </row>
    <row r="8" spans="1:55" x14ac:dyDescent="0.25">
      <c r="A8" s="6"/>
      <c r="B8" s="23">
        <v>100</v>
      </c>
      <c r="C8" s="23">
        <v>116</v>
      </c>
      <c r="D8" s="23">
        <v>153</v>
      </c>
      <c r="E8" s="23">
        <v>155</v>
      </c>
      <c r="G8" s="6" t="str">
        <f t="shared" si="3"/>
        <v/>
      </c>
      <c r="H8" s="23">
        <f>[1]!RANK_AVG(B8,$B$5:$E$19,1)</f>
        <v>1</v>
      </c>
      <c r="I8" s="23">
        <f>[1]!RANK_AVG(C8,$B$5:$E$19,1)</f>
        <v>4</v>
      </c>
      <c r="J8" s="23">
        <f>[1]!RANK_AVG(D8,$B$5:$E$19,1)</f>
        <v>24</v>
      </c>
      <c r="K8" s="23">
        <f>[1]!RANK_AVG(E8,$B$5:$E$19,1)</f>
        <v>26.5</v>
      </c>
      <c r="M8" t="str">
        <f>G15</f>
        <v>Blend Z</v>
      </c>
      <c r="N8" s="759">
        <f>COUNT(H15:H19)</f>
        <v>5</v>
      </c>
      <c r="O8" s="760">
        <f>COUNT(I15:I19)</f>
        <v>5</v>
      </c>
      <c r="P8" s="760">
        <f>COUNT(J15:J19)</f>
        <v>5</v>
      </c>
      <c r="Q8" s="761">
        <f>COUNT(K15:K19)</f>
        <v>5</v>
      </c>
      <c r="R8">
        <f>COUNT(H15:K19)</f>
        <v>20</v>
      </c>
      <c r="T8" t="s">
        <v>1319</v>
      </c>
      <c r="U8">
        <f>U10-U6-U7-U9</f>
        <v>2893.6416666666664</v>
      </c>
      <c r="V8">
        <f>V7*V6</f>
        <v>6</v>
      </c>
      <c r="X8">
        <f>U8/W10</f>
        <v>9.4899865666110799</v>
      </c>
      <c r="Y8">
        <f>CHIDIST(X8,V8)</f>
        <v>0.1478385579051768</v>
      </c>
      <c r="Z8" s="1267" t="str">
        <f>IF(Y8&lt;Y4,"yes","no")</f>
        <v>no</v>
      </c>
      <c r="AB8" t="str">
        <f>G15</f>
        <v>Blend Z</v>
      </c>
      <c r="AC8" s="759">
        <f>COUNT(H15:H19)</f>
        <v>5</v>
      </c>
      <c r="AD8" s="760">
        <f>COUNT(I15:I19)</f>
        <v>5</v>
      </c>
      <c r="AE8" s="760">
        <f>COUNT(J15:J19)</f>
        <v>5</v>
      </c>
      <c r="AF8" s="761">
        <f>COUNT(K15:K19)</f>
        <v>5</v>
      </c>
      <c r="AG8">
        <f>COUNT(H15:K19)</f>
        <v>20</v>
      </c>
      <c r="AI8" t="s">
        <v>1319</v>
      </c>
      <c r="AJ8">
        <f>AJ10-AJ6-AJ7-AJ9</f>
        <v>2893.6416666666664</v>
      </c>
      <c r="AK8">
        <f>AK7*AK6</f>
        <v>6</v>
      </c>
      <c r="AL8">
        <f>AJ8/AK8</f>
        <v>482.27361111111105</v>
      </c>
      <c r="AM8">
        <f>AL8/AL9</f>
        <v>2.3735641023011951</v>
      </c>
      <c r="AN8">
        <f>FDIST(AM8,AK8,AK9)</f>
        <v>4.3470169179556671E-2</v>
      </c>
      <c r="AO8" s="1267" t="str">
        <f>IF(AN8&lt;AN4,"yes","no")</f>
        <v>yes</v>
      </c>
      <c r="AQ8" s="501">
        <f t="shared" si="0"/>
        <v>100</v>
      </c>
      <c r="AR8" s="7">
        <f t="shared" si="0"/>
        <v>116</v>
      </c>
      <c r="AS8" s="7">
        <f t="shared" si="0"/>
        <v>153</v>
      </c>
      <c r="AT8" s="7">
        <f t="shared" si="0"/>
        <v>155</v>
      </c>
      <c r="AU8" s="7">
        <f t="shared" si="1"/>
        <v>120</v>
      </c>
      <c r="AV8" s="7">
        <f t="shared" si="1"/>
        <v>187</v>
      </c>
      <c r="AW8" s="7">
        <f t="shared" si="1"/>
        <v>131</v>
      </c>
      <c r="AX8" s="7">
        <f t="shared" si="1"/>
        <v>167</v>
      </c>
      <c r="AY8" s="7">
        <f t="shared" si="2"/>
        <v>146</v>
      </c>
      <c r="AZ8" s="7">
        <f t="shared" si="2"/>
        <v>176</v>
      </c>
      <c r="BA8" s="7">
        <f t="shared" si="2"/>
        <v>165</v>
      </c>
      <c r="BB8" s="57">
        <f t="shared" si="2"/>
        <v>191</v>
      </c>
    </row>
    <row r="9" spans="1:55" x14ac:dyDescent="0.25">
      <c r="A9" s="6"/>
      <c r="B9" s="168">
        <v>168</v>
      </c>
      <c r="C9" s="168">
        <v>109</v>
      </c>
      <c r="D9" s="168">
        <v>195</v>
      </c>
      <c r="E9" s="168">
        <v>158</v>
      </c>
      <c r="G9" s="6" t="str">
        <f t="shared" si="3"/>
        <v/>
      </c>
      <c r="H9" s="168">
        <f>[1]!RANK_AVG(B9,$B$5:$E$19,1)</f>
        <v>36.5</v>
      </c>
      <c r="I9" s="168">
        <f>[1]!RANK_AVG(C9,$B$5:$E$19,1)</f>
        <v>2</v>
      </c>
      <c r="J9" s="168">
        <f>[1]!RANK_AVG(D9,$B$5:$E$19,1)</f>
        <v>59</v>
      </c>
      <c r="K9" s="168">
        <f>[1]!RANK_AVG(E9,$B$5:$E$19,1)</f>
        <v>30</v>
      </c>
      <c r="N9">
        <f>COUNT(H5:H19)</f>
        <v>15</v>
      </c>
      <c r="O9">
        <f>COUNT(I5:I19)</f>
        <v>15</v>
      </c>
      <c r="P9">
        <f>COUNT(J5:J19)</f>
        <v>15</v>
      </c>
      <c r="Q9">
        <f>COUNT(K5:K19)</f>
        <v>15</v>
      </c>
      <c r="R9">
        <f>COUNT(H5:K19)</f>
        <v>60</v>
      </c>
      <c r="T9" t="s">
        <v>600</v>
      </c>
      <c r="U9">
        <f>SUM(N20:Q22)*(N6-1)</f>
        <v>9752.9000000000015</v>
      </c>
      <c r="V9">
        <f>V10-SUM(V6:V8)</f>
        <v>48</v>
      </c>
      <c r="AC9">
        <f>COUNT(H5:H19)</f>
        <v>15</v>
      </c>
      <c r="AD9">
        <f>COUNT(I5:I19)</f>
        <v>15</v>
      </c>
      <c r="AE9">
        <f>COUNT(J5:J19)</f>
        <v>15</v>
      </c>
      <c r="AF9">
        <f>COUNT(K5:K19)</f>
        <v>15</v>
      </c>
      <c r="AG9">
        <f>COUNT(H5:K19)</f>
        <v>60</v>
      </c>
      <c r="AI9" t="s">
        <v>600</v>
      </c>
      <c r="AJ9">
        <f>SUM(AC20:AF22)*(AC6-1)</f>
        <v>9752.9000000000015</v>
      </c>
      <c r="AK9">
        <f>AK10-AK6-AK7-AK8</f>
        <v>48</v>
      </c>
      <c r="AL9">
        <f>AJ9/AK9</f>
        <v>203.1854166666667</v>
      </c>
      <c r="AQ9" s="759">
        <f t="shared" si="0"/>
        <v>168</v>
      </c>
      <c r="AR9" s="760">
        <f t="shared" si="0"/>
        <v>109</v>
      </c>
      <c r="AS9" s="760">
        <f t="shared" si="0"/>
        <v>195</v>
      </c>
      <c r="AT9" s="760">
        <f t="shared" si="0"/>
        <v>158</v>
      </c>
      <c r="AU9" s="760">
        <f t="shared" si="1"/>
        <v>155</v>
      </c>
      <c r="AV9" s="760">
        <f t="shared" si="1"/>
        <v>184</v>
      </c>
      <c r="AW9" s="760">
        <f t="shared" si="1"/>
        <v>126</v>
      </c>
      <c r="AX9" s="760">
        <f t="shared" si="1"/>
        <v>168</v>
      </c>
      <c r="AY9" s="760">
        <f t="shared" si="2"/>
        <v>193</v>
      </c>
      <c r="AZ9" s="760">
        <f t="shared" si="2"/>
        <v>190</v>
      </c>
      <c r="BA9" s="760">
        <f t="shared" si="2"/>
        <v>188</v>
      </c>
      <c r="BB9" s="761">
        <f t="shared" si="2"/>
        <v>169</v>
      </c>
    </row>
    <row r="10" spans="1:55" x14ac:dyDescent="0.25">
      <c r="A10" s="1226" t="s">
        <v>594</v>
      </c>
      <c r="B10" s="1227">
        <v>135</v>
      </c>
      <c r="C10" s="1227">
        <v>175</v>
      </c>
      <c r="D10" s="1227">
        <v>140</v>
      </c>
      <c r="E10" s="1227">
        <v>167</v>
      </c>
      <c r="G10" s="1226" t="str">
        <f t="shared" si="3"/>
        <v>Blend Y</v>
      </c>
      <c r="H10" s="1227">
        <f>[1]!RANK_AVG(B10,$B$5:$E$19,1)</f>
        <v>15</v>
      </c>
      <c r="I10" s="1227">
        <f>[1]!RANK_AVG(C10,$B$5:$E$19,1)</f>
        <v>41.5</v>
      </c>
      <c r="J10" s="1227">
        <f>[1]!RANK_AVG(D10,$B$5:$E$19,1)</f>
        <v>17</v>
      </c>
      <c r="K10" s="1227">
        <f>[1]!RANK_AVG(E10,$B$5:$E$19,1)</f>
        <v>34.5</v>
      </c>
      <c r="T10" s="762" t="s">
        <v>1</v>
      </c>
      <c r="U10" s="762">
        <f>V10*W10</f>
        <v>17990</v>
      </c>
      <c r="V10" s="762">
        <f>R9-1</f>
        <v>59</v>
      </c>
      <c r="W10" s="762">
        <f>R23</f>
        <v>304.91525423728814</v>
      </c>
      <c r="X10" s="762"/>
      <c r="Y10" s="762"/>
      <c r="Z10" s="762"/>
      <c r="AI10" s="762" t="s">
        <v>1</v>
      </c>
      <c r="AJ10" s="762">
        <f>AL10*AK10</f>
        <v>17990</v>
      </c>
      <c r="AK10" s="762">
        <f>AG9-1</f>
        <v>59</v>
      </c>
      <c r="AL10" s="762">
        <f>AG23</f>
        <v>304.91525423728814</v>
      </c>
      <c r="AM10" s="762"/>
      <c r="AN10" s="762"/>
      <c r="AO10" s="762"/>
    </row>
    <row r="11" spans="1:55" x14ac:dyDescent="0.25">
      <c r="A11" s="6"/>
      <c r="B11" s="23">
        <v>130</v>
      </c>
      <c r="C11" s="23">
        <v>132</v>
      </c>
      <c r="D11" s="23">
        <v>145</v>
      </c>
      <c r="E11" s="23">
        <v>183</v>
      </c>
      <c r="G11" s="6" t="str">
        <f t="shared" si="3"/>
        <v/>
      </c>
      <c r="H11" s="23">
        <f>[1]!RANK_AVG(B11,$B$5:$E$19,1)</f>
        <v>12</v>
      </c>
      <c r="I11" s="23">
        <f>[1]!RANK_AVG(C11,$B$5:$E$19,1)</f>
        <v>14</v>
      </c>
      <c r="J11" s="23">
        <f>[1]!RANK_AVG(D11,$B$5:$E$19,1)</f>
        <v>19</v>
      </c>
      <c r="K11" s="23">
        <f>[1]!RANK_AVG(E11,$B$5:$E$19,1)</f>
        <v>48</v>
      </c>
      <c r="M11" t="s">
        <v>610</v>
      </c>
      <c r="AB11" t="s">
        <v>610</v>
      </c>
      <c r="AQ11" t="s">
        <v>1570</v>
      </c>
    </row>
    <row r="12" spans="1:55" x14ac:dyDescent="0.25">
      <c r="A12" s="6"/>
      <c r="B12" s="23">
        <v>176</v>
      </c>
      <c r="C12" s="23">
        <v>120</v>
      </c>
      <c r="D12" s="23">
        <v>159</v>
      </c>
      <c r="E12" s="23">
        <v>142</v>
      </c>
      <c r="G12" s="6" t="str">
        <f t="shared" si="3"/>
        <v/>
      </c>
      <c r="H12" s="23">
        <f>[1]!RANK_AVG(B12,$B$5:$E$19,1)</f>
        <v>43.5</v>
      </c>
      <c r="I12" s="23">
        <f>[1]!RANK_AVG(C12,$B$5:$E$19,1)</f>
        <v>6.5</v>
      </c>
      <c r="J12" s="23">
        <f>[1]!RANK_AVG(D12,$B$5:$E$19,1)</f>
        <v>31</v>
      </c>
      <c r="K12" s="23">
        <f>[1]!RANK_AVG(E12,$B$5:$E$19,1)</f>
        <v>18</v>
      </c>
      <c r="N12" s="1267" t="str">
        <f>H4</f>
        <v>Wheat</v>
      </c>
      <c r="O12" s="1267" t="str">
        <f>I4</f>
        <v>Corn</v>
      </c>
      <c r="P12" s="1267" t="str">
        <f>J4</f>
        <v>Soy</v>
      </c>
      <c r="Q12" s="1267" t="str">
        <f>K4</f>
        <v>Rice</v>
      </c>
      <c r="AC12" s="1267" t="str">
        <f>H4</f>
        <v>Wheat</v>
      </c>
      <c r="AD12" s="1267" t="str">
        <f>I4</f>
        <v>Corn</v>
      </c>
      <c r="AE12" s="1267" t="str">
        <f>J4</f>
        <v>Soy</v>
      </c>
      <c r="AF12" s="1267" t="str">
        <f>K4</f>
        <v>Rice</v>
      </c>
    </row>
    <row r="13" spans="1:55" x14ac:dyDescent="0.25">
      <c r="A13" s="6"/>
      <c r="B13" s="23">
        <v>120</v>
      </c>
      <c r="C13" s="23">
        <v>187</v>
      </c>
      <c r="D13" s="23">
        <v>131</v>
      </c>
      <c r="E13" s="23">
        <v>167</v>
      </c>
      <c r="G13" s="6" t="str">
        <f t="shared" si="3"/>
        <v/>
      </c>
      <c r="H13" s="23">
        <f>[1]!RANK_AVG(B13,$B$5:$E$19,1)</f>
        <v>6.5</v>
      </c>
      <c r="I13" s="23">
        <f>[1]!RANK_AVG(C13,$B$5:$E$19,1)</f>
        <v>52.5</v>
      </c>
      <c r="J13" s="23">
        <f>[1]!RANK_AVG(D13,$B$5:$E$19,1)</f>
        <v>13</v>
      </c>
      <c r="K13" s="23">
        <f>[1]!RANK_AVG(E13,$B$5:$E$19,1)</f>
        <v>34.5</v>
      </c>
      <c r="M13" t="str">
        <f>G5</f>
        <v>Blend X</v>
      </c>
      <c r="N13" s="1154">
        <f>AVERAGE(H5:H9)</f>
        <v>15.4</v>
      </c>
      <c r="O13" s="1175">
        <f>AVERAGE(I5:I9)</f>
        <v>15.8</v>
      </c>
      <c r="P13" s="1175">
        <f>AVERAGE(J5:J9)</f>
        <v>42.8</v>
      </c>
      <c r="Q13" s="1176">
        <f>AVERAGE(K5:K9)</f>
        <v>18.7</v>
      </c>
      <c r="R13">
        <f>AVERAGE(H5:K9)</f>
        <v>23.175000000000001</v>
      </c>
      <c r="AB13" t="str">
        <f>G5</f>
        <v>Blend X</v>
      </c>
      <c r="AC13" s="1154">
        <f>AVERAGE(H5:H9)</f>
        <v>15.4</v>
      </c>
      <c r="AD13" s="1175">
        <f>AVERAGE(I5:I9)</f>
        <v>15.8</v>
      </c>
      <c r="AE13" s="1175">
        <f>AVERAGE(J5:J9)</f>
        <v>42.8</v>
      </c>
      <c r="AF13" s="1176">
        <f>AVERAGE(K5:K9)</f>
        <v>18.7</v>
      </c>
      <c r="AG13">
        <f>AVERAGE(H5:K9)</f>
        <v>23.175000000000001</v>
      </c>
      <c r="AQ13" s="959"/>
      <c r="AR13" s="959" t="str">
        <f>AQ4</f>
        <v>Blend X-Wheat</v>
      </c>
      <c r="AS13" s="959" t="str">
        <f t="shared" ref="AS13:BC13" si="4">AR4</f>
        <v>Blend X-Corn</v>
      </c>
      <c r="AT13" s="959" t="str">
        <f t="shared" si="4"/>
        <v>Blend X-Soy</v>
      </c>
      <c r="AU13" s="959" t="str">
        <f t="shared" si="4"/>
        <v>Blend X-Rice</v>
      </c>
      <c r="AV13" s="959" t="str">
        <f t="shared" si="4"/>
        <v>Blend Y-Wheat</v>
      </c>
      <c r="AW13" s="959" t="str">
        <f t="shared" si="4"/>
        <v>Blend Y-Corn</v>
      </c>
      <c r="AX13" s="959" t="str">
        <f t="shared" si="4"/>
        <v>Blend Y-Soy</v>
      </c>
      <c r="AY13" s="959" t="str">
        <f t="shared" si="4"/>
        <v>Blend Y-Rice</v>
      </c>
      <c r="AZ13" s="959" t="str">
        <f t="shared" si="4"/>
        <v>Blend Z-Wheat</v>
      </c>
      <c r="BA13" s="959" t="str">
        <f t="shared" si="4"/>
        <v>Blend Z-Corn</v>
      </c>
      <c r="BB13" s="959" t="str">
        <f t="shared" si="4"/>
        <v>Blend Z-Soy</v>
      </c>
      <c r="BC13" s="959" t="str">
        <f t="shared" si="4"/>
        <v>Blend Z-Rice</v>
      </c>
    </row>
    <row r="14" spans="1:55" x14ac:dyDescent="0.25">
      <c r="A14" s="6"/>
      <c r="B14" s="168">
        <v>155</v>
      </c>
      <c r="C14" s="168">
        <v>184</v>
      </c>
      <c r="D14" s="168">
        <v>126</v>
      </c>
      <c r="E14" s="168">
        <v>168</v>
      </c>
      <c r="G14" s="6" t="str">
        <f t="shared" si="3"/>
        <v/>
      </c>
      <c r="H14" s="168">
        <f>[1]!RANK_AVG(B14,$B$5:$E$19,1)</f>
        <v>26.5</v>
      </c>
      <c r="I14" s="168">
        <f>[1]!RANK_AVG(C14,$B$5:$E$19,1)</f>
        <v>49</v>
      </c>
      <c r="J14" s="168">
        <f>[1]!RANK_AVG(D14,$B$5:$E$19,1)</f>
        <v>10</v>
      </c>
      <c r="K14" s="168">
        <f>[1]!RANK_AVG(E14,$B$5:$E$19,1)</f>
        <v>36.5</v>
      </c>
      <c r="M14" t="str">
        <f>G10</f>
        <v>Blend Y</v>
      </c>
      <c r="N14" s="501">
        <f>AVERAGE(H10:H14)</f>
        <v>20.7</v>
      </c>
      <c r="O14" s="7">
        <f>AVERAGE(I10:I14)</f>
        <v>32.700000000000003</v>
      </c>
      <c r="P14" s="7">
        <f>AVERAGE(J10:J14)</f>
        <v>18</v>
      </c>
      <c r="Q14" s="57">
        <f>AVERAGE(K10:K14)</f>
        <v>34.299999999999997</v>
      </c>
      <c r="R14">
        <f>AVERAGE(H10:K14)</f>
        <v>26.425000000000001</v>
      </c>
      <c r="AB14" t="str">
        <f>G10</f>
        <v>Blend Y</v>
      </c>
      <c r="AC14" s="501">
        <f>AVERAGE(H10:H14)</f>
        <v>20.7</v>
      </c>
      <c r="AD14" s="7">
        <f>AVERAGE(I10:I14)</f>
        <v>32.700000000000003</v>
      </c>
      <c r="AE14" s="7">
        <f>AVERAGE(J10:J14)</f>
        <v>18</v>
      </c>
      <c r="AF14" s="57">
        <f>AVERAGE(K10:K14)</f>
        <v>34.299999999999997</v>
      </c>
      <c r="AG14">
        <f>AVERAGE(H10:K14)</f>
        <v>26.425000000000001</v>
      </c>
      <c r="AQ14" t="s">
        <v>1044</v>
      </c>
      <c r="AR14">
        <f>[1]!SHAPIRO(AQ5:AQ9)</f>
        <v>0.92268400795125094</v>
      </c>
      <c r="AS14">
        <f>[1]!SHAPIRO(AR5:AR9)</f>
        <v>0.93350691556913146</v>
      </c>
      <c r="AT14">
        <f>[1]!SHAPIRO(AS5:AS9)</f>
        <v>0.97593328631017617</v>
      </c>
      <c r="AU14">
        <f>[1]!SHAPIRO(AT5:AT9)</f>
        <v>0.83978613681088299</v>
      </c>
      <c r="AV14">
        <f>[1]!SHAPIRO(AU5:AU9)</f>
        <v>0.93791878195628597</v>
      </c>
      <c r="AW14">
        <f>[1]!SHAPIRO(AV5:AV9)</f>
        <v>0.83278304581891249</v>
      </c>
      <c r="AX14">
        <f>[1]!SHAPIRO(AW5:AW9)</f>
        <v>0.96668939170449497</v>
      </c>
      <c r="AY14">
        <f>[1]!SHAPIRO(AX5:AX9)</f>
        <v>0.86936838379521997</v>
      </c>
      <c r="AZ14">
        <f>[1]!SHAPIRO(AY5:AY9)</f>
        <v>0.86684195196188341</v>
      </c>
      <c r="BA14">
        <f>[1]!SHAPIRO(AZ5:AZ9)</f>
        <v>0.79700665936474946</v>
      </c>
      <c r="BB14">
        <f>[1]!SHAPIRO(BA5:BA9)</f>
        <v>0.92139239022776465</v>
      </c>
      <c r="BC14">
        <f>[1]!SHAPIRO(BB5:BB9)</f>
        <v>0.96417119297817433</v>
      </c>
    </row>
    <row r="15" spans="1:55" x14ac:dyDescent="0.25">
      <c r="A15" s="1226" t="s">
        <v>595</v>
      </c>
      <c r="B15" s="1227">
        <v>156</v>
      </c>
      <c r="C15" s="1227">
        <v>186</v>
      </c>
      <c r="D15" s="1227">
        <v>185</v>
      </c>
      <c r="E15" s="1227">
        <v>175</v>
      </c>
      <c r="G15" s="1226" t="str">
        <f t="shared" si="3"/>
        <v>Blend Z</v>
      </c>
      <c r="H15" s="1227">
        <f>[1]!RANK_AVG(B15,$B$5:$E$19,1)</f>
        <v>28.5</v>
      </c>
      <c r="I15" s="1227">
        <f>[1]!RANK_AVG(C15,$B$5:$E$19,1)</f>
        <v>51</v>
      </c>
      <c r="J15" s="1227">
        <f>[1]!RANK_AVG(D15,$B$5:$E$19,1)</f>
        <v>50</v>
      </c>
      <c r="K15" s="1227">
        <f>[1]!RANK_AVG(E15,$B$5:$E$19,1)</f>
        <v>41.5</v>
      </c>
      <c r="M15" t="str">
        <f>G15</f>
        <v>Blend Z</v>
      </c>
      <c r="N15" s="759">
        <f>AVERAGE(H15:H19)</f>
        <v>34.9</v>
      </c>
      <c r="O15" s="760">
        <f>AVERAGE(I15:I19)</f>
        <v>42.4</v>
      </c>
      <c r="P15" s="760">
        <f>AVERAGE(J15:J19)</f>
        <v>50.2</v>
      </c>
      <c r="Q15" s="761">
        <f>AVERAGE(K15:K19)</f>
        <v>40.1</v>
      </c>
      <c r="R15">
        <f>AVERAGE(H15:K19)</f>
        <v>41.9</v>
      </c>
      <c r="AB15" t="str">
        <f>G15</f>
        <v>Blend Z</v>
      </c>
      <c r="AC15" s="759">
        <f>AVERAGE(H15:H19)</f>
        <v>34.9</v>
      </c>
      <c r="AD15" s="760">
        <f>AVERAGE(I15:I19)</f>
        <v>42.4</v>
      </c>
      <c r="AE15" s="760">
        <f>AVERAGE(J15:J19)</f>
        <v>50.2</v>
      </c>
      <c r="AF15" s="761">
        <f>AVERAGE(K15:K19)</f>
        <v>40.1</v>
      </c>
      <c r="AG15">
        <f>AVERAGE(H15:K19)</f>
        <v>41.9</v>
      </c>
      <c r="AQ15" t="s">
        <v>67</v>
      </c>
      <c r="AR15">
        <f>[1]!SWTEST(AQ5:AQ9)</f>
        <v>0.54740050094878168</v>
      </c>
      <c r="AS15">
        <f>[1]!SWTEST(AR5:AR9)</f>
        <v>0.62047246574748005</v>
      </c>
      <c r="AT15">
        <f>[1]!SWTEST(AS5:AS9)</f>
        <v>0.91178226479890678</v>
      </c>
      <c r="AU15">
        <f>[1]!SWTEST(AT5:AT9)</f>
        <v>0.16433159971727418</v>
      </c>
      <c r="AV15">
        <f>[1]!SWTEST(AU5:AU9)</f>
        <v>0.65126390671214074</v>
      </c>
      <c r="AW15">
        <f>[1]!SWTEST(AV5:AV9)</f>
        <v>0.14594009459737733</v>
      </c>
      <c r="AX15">
        <f>[1]!SWTEST(AW5:AW9)</f>
        <v>0.85361072485299871</v>
      </c>
      <c r="AY15">
        <f>[1]!SWTEST(AX5:AX9)</f>
        <v>0.26387562943518694</v>
      </c>
      <c r="AZ15">
        <f>[1]!SWTEST(AY5:AY9)</f>
        <v>0.25387018258048832</v>
      </c>
      <c r="BA15">
        <f>[1]!SWTEST(AZ5:AZ9)</f>
        <v>7.6590899186371408E-2</v>
      </c>
      <c r="BB15">
        <f>[1]!SWTEST(BA5:BA9)</f>
        <v>0.5389618272983826</v>
      </c>
      <c r="BC15">
        <f>[1]!SWTEST(BB5:BB9)</f>
        <v>0.83668779995217535</v>
      </c>
    </row>
    <row r="16" spans="1:55" x14ac:dyDescent="0.25">
      <c r="A16" s="6"/>
      <c r="B16" s="23">
        <v>180</v>
      </c>
      <c r="C16" s="23">
        <v>138</v>
      </c>
      <c r="D16" s="23">
        <v>206</v>
      </c>
      <c r="E16" s="23">
        <v>173</v>
      </c>
      <c r="G16" s="6" t="str">
        <f t="shared" si="3"/>
        <v/>
      </c>
      <c r="H16" s="23">
        <f>[1]!RANK_AVG(B16,$B$5:$E$19,1)</f>
        <v>47</v>
      </c>
      <c r="I16" s="23">
        <f>[1]!RANK_AVG(C16,$B$5:$E$19,1)</f>
        <v>16</v>
      </c>
      <c r="J16" s="23">
        <f>[1]!RANK_AVG(D16,$B$5:$E$19,1)</f>
        <v>60</v>
      </c>
      <c r="K16" s="23">
        <f>[1]!RANK_AVG(E16,$B$5:$E$19,1)</f>
        <v>39</v>
      </c>
      <c r="N16">
        <f>AVERAGE(H5:H19)</f>
        <v>23.666666666666668</v>
      </c>
      <c r="O16">
        <f>AVERAGE(I5:I19)</f>
        <v>30.3</v>
      </c>
      <c r="P16">
        <f>AVERAGE(J5:J19)</f>
        <v>37</v>
      </c>
      <c r="Q16">
        <f>AVERAGE(K5:K19)</f>
        <v>31.033333333333335</v>
      </c>
      <c r="R16">
        <f>AVERAGE(H5:K19)</f>
        <v>30.5</v>
      </c>
      <c r="AC16">
        <f>AVERAGE(H5:H19)</f>
        <v>23.666666666666668</v>
      </c>
      <c r="AD16">
        <f>AVERAGE(I5:I19)</f>
        <v>30.3</v>
      </c>
      <c r="AE16">
        <f>AVERAGE(J5:J19)</f>
        <v>37</v>
      </c>
      <c r="AF16">
        <f>AVERAGE(K5:K19)</f>
        <v>31.033333333333335</v>
      </c>
      <c r="AG16">
        <f>AVERAGE(H5:K19)</f>
        <v>30.5</v>
      </c>
      <c r="AQ16" t="s">
        <v>106</v>
      </c>
      <c r="AR16">
        <v>0.05</v>
      </c>
      <c r="AS16">
        <v>0.05</v>
      </c>
      <c r="AT16">
        <v>0.05</v>
      </c>
      <c r="AU16">
        <v>0.05</v>
      </c>
      <c r="AV16">
        <v>0.05</v>
      </c>
      <c r="AW16">
        <v>0.05</v>
      </c>
      <c r="AX16">
        <v>0.05</v>
      </c>
      <c r="AY16">
        <v>0.05</v>
      </c>
      <c r="AZ16">
        <v>0.05</v>
      </c>
      <c r="BA16">
        <v>0.05</v>
      </c>
      <c r="BB16">
        <v>0.05</v>
      </c>
      <c r="BC16">
        <v>0.05</v>
      </c>
    </row>
    <row r="17" spans="1:55" x14ac:dyDescent="0.25">
      <c r="A17" s="6"/>
      <c r="B17" s="23">
        <v>147</v>
      </c>
      <c r="C17" s="23">
        <v>178</v>
      </c>
      <c r="D17" s="23">
        <v>188</v>
      </c>
      <c r="E17" s="23">
        <v>154</v>
      </c>
      <c r="G17" s="6" t="str">
        <f t="shared" si="3"/>
        <v/>
      </c>
      <c r="H17" s="23">
        <f>[1]!RANK_AVG(B17,$B$5:$E$19,1)</f>
        <v>21</v>
      </c>
      <c r="I17" s="23">
        <f>[1]!RANK_AVG(C17,$B$5:$E$19,1)</f>
        <v>45.5</v>
      </c>
      <c r="J17" s="23">
        <f>[1]!RANK_AVG(D17,$B$5:$E$19,1)</f>
        <v>54.5</v>
      </c>
      <c r="K17" s="23">
        <f>[1]!RANK_AVG(E17,$B$5:$E$19,1)</f>
        <v>25</v>
      </c>
      <c r="AQ17" s="762" t="s">
        <v>1571</v>
      </c>
      <c r="AR17" s="880" t="str">
        <f>IF(AR15&lt;AR16,"no","yes")</f>
        <v>yes</v>
      </c>
      <c r="AS17" s="880" t="str">
        <f t="shared" ref="AS17:BC17" si="5">IF(AS15&lt;AS16,"no","yes")</f>
        <v>yes</v>
      </c>
      <c r="AT17" s="880" t="str">
        <f t="shared" si="5"/>
        <v>yes</v>
      </c>
      <c r="AU17" s="880" t="str">
        <f t="shared" si="5"/>
        <v>yes</v>
      </c>
      <c r="AV17" s="880" t="str">
        <f t="shared" si="5"/>
        <v>yes</v>
      </c>
      <c r="AW17" s="880" t="str">
        <f t="shared" si="5"/>
        <v>yes</v>
      </c>
      <c r="AX17" s="880" t="str">
        <f t="shared" si="5"/>
        <v>yes</v>
      </c>
      <c r="AY17" s="880" t="str">
        <f t="shared" si="5"/>
        <v>yes</v>
      </c>
      <c r="AZ17" s="880" t="str">
        <f t="shared" si="5"/>
        <v>yes</v>
      </c>
      <c r="BA17" s="880" t="str">
        <f t="shared" si="5"/>
        <v>yes</v>
      </c>
      <c r="BB17" s="880" t="str">
        <f t="shared" si="5"/>
        <v>yes</v>
      </c>
      <c r="BC17" s="880" t="str">
        <f t="shared" si="5"/>
        <v>yes</v>
      </c>
    </row>
    <row r="18" spans="1:55" x14ac:dyDescent="0.25">
      <c r="A18" s="6"/>
      <c r="B18" s="23">
        <v>146</v>
      </c>
      <c r="C18" s="23">
        <v>176</v>
      </c>
      <c r="D18" s="23">
        <v>165</v>
      </c>
      <c r="E18" s="23">
        <v>191</v>
      </c>
      <c r="G18" s="6" t="str">
        <f t="shared" si="3"/>
        <v/>
      </c>
      <c r="H18" s="23">
        <f>[1]!RANK_AVG(B18,$B$5:$E$19,1)</f>
        <v>20</v>
      </c>
      <c r="I18" s="23">
        <f>[1]!RANK_AVG(C18,$B$5:$E$19,1)</f>
        <v>43.5</v>
      </c>
      <c r="J18" s="23">
        <f>[1]!RANK_AVG(D18,$B$5:$E$19,1)</f>
        <v>32</v>
      </c>
      <c r="K18" s="23">
        <f>[1]!RANK_AVG(E18,$B$5:$E$19,1)</f>
        <v>57</v>
      </c>
      <c r="M18" t="s">
        <v>1667</v>
      </c>
      <c r="AB18" t="s">
        <v>1667</v>
      </c>
    </row>
    <row r="19" spans="1:55" x14ac:dyDescent="0.25">
      <c r="A19" s="134"/>
      <c r="B19" s="168">
        <v>193</v>
      </c>
      <c r="C19" s="168">
        <v>190</v>
      </c>
      <c r="D19" s="168">
        <v>188</v>
      </c>
      <c r="E19" s="168">
        <v>169</v>
      </c>
      <c r="G19" s="134" t="str">
        <f t="shared" si="3"/>
        <v/>
      </c>
      <c r="H19" s="168">
        <f>[1]!RANK_AVG(B19,$B$5:$E$19,1)</f>
        <v>58</v>
      </c>
      <c r="I19" s="168">
        <f>[1]!RANK_AVG(C19,$B$5:$E$19,1)</f>
        <v>56</v>
      </c>
      <c r="J19" s="168">
        <f>[1]!RANK_AVG(D19,$B$5:$E$19,1)</f>
        <v>54.5</v>
      </c>
      <c r="K19" s="168">
        <f>[1]!RANK_AVG(E19,$B$5:$E$19,1)</f>
        <v>38</v>
      </c>
      <c r="N19" s="1267" t="str">
        <f>H4</f>
        <v>Wheat</v>
      </c>
      <c r="O19" s="1267" t="str">
        <f>I4</f>
        <v>Corn</v>
      </c>
      <c r="P19" s="1267" t="str">
        <f>J4</f>
        <v>Soy</v>
      </c>
      <c r="Q19" s="1267" t="str">
        <f>K4</f>
        <v>Rice</v>
      </c>
      <c r="AC19" s="1267" t="str">
        <f>H4</f>
        <v>Wheat</v>
      </c>
      <c r="AD19" s="1267" t="str">
        <f>I4</f>
        <v>Corn</v>
      </c>
      <c r="AE19" s="1267" t="str">
        <f>J4</f>
        <v>Soy</v>
      </c>
      <c r="AF19" s="1267" t="str">
        <f>K4</f>
        <v>Rice</v>
      </c>
    </row>
    <row r="20" spans="1:55" x14ac:dyDescent="0.25">
      <c r="M20" t="str">
        <f>G5</f>
        <v>Blend X</v>
      </c>
      <c r="N20" s="1154">
        <f>VAR(H5:H9)</f>
        <v>258.17500000000001</v>
      </c>
      <c r="O20" s="1175">
        <f>VAR(I5:I9)</f>
        <v>244.2</v>
      </c>
      <c r="P20" s="1175">
        <f>VAR(J5:J9)</f>
        <v>203.32499999999982</v>
      </c>
      <c r="Q20" s="1176">
        <f>VAR(K5:K9)</f>
        <v>122.19999999999999</v>
      </c>
      <c r="R20">
        <f>VAR(H5:K9)</f>
        <v>311.13881578947371</v>
      </c>
      <c r="AB20" t="str">
        <f>G5</f>
        <v>Blend X</v>
      </c>
      <c r="AC20" s="1154">
        <f>VAR(H5:H9)</f>
        <v>258.17500000000001</v>
      </c>
      <c r="AD20" s="1175">
        <f>VAR(I5:I9)</f>
        <v>244.2</v>
      </c>
      <c r="AE20" s="1175">
        <f>VAR(J5:J9)</f>
        <v>203.32499999999982</v>
      </c>
      <c r="AF20" s="1176">
        <f>VAR(K5:K9)</f>
        <v>122.19999999999999</v>
      </c>
      <c r="AG20">
        <f>VAR(H5:K9)</f>
        <v>311.13881578947371</v>
      </c>
    </row>
    <row r="21" spans="1:55" x14ac:dyDescent="0.25">
      <c r="M21" t="str">
        <f>G10</f>
        <v>Blend Y</v>
      </c>
      <c r="N21" s="501">
        <f>VAR(H10:H14)</f>
        <v>215.82500000000005</v>
      </c>
      <c r="O21" s="7">
        <f>VAR(I10:I14)</f>
        <v>442.82500000000005</v>
      </c>
      <c r="P21" s="7">
        <f>VAR(J10:J14)</f>
        <v>65</v>
      </c>
      <c r="Q21" s="57">
        <f>VAR(K10:K14)</f>
        <v>114.57500000000005</v>
      </c>
      <c r="R21">
        <f>VAR(H10:K14)</f>
        <v>230.45460526315793</v>
      </c>
      <c r="AB21" t="str">
        <f>G10</f>
        <v>Blend Y</v>
      </c>
      <c r="AC21" s="501">
        <f>VAR(H10:H14)</f>
        <v>215.82500000000005</v>
      </c>
      <c r="AD21" s="7">
        <f>VAR(I10:I14)</f>
        <v>442.82500000000005</v>
      </c>
      <c r="AE21" s="7">
        <f>VAR(J10:J14)</f>
        <v>65</v>
      </c>
      <c r="AF21" s="57">
        <f>VAR(K10:K14)</f>
        <v>114.57500000000005</v>
      </c>
      <c r="AG21">
        <f>VAR(H10:K14)</f>
        <v>230.45460526315793</v>
      </c>
    </row>
    <row r="22" spans="1:55" x14ac:dyDescent="0.25">
      <c r="M22" t="str">
        <f>G15</f>
        <v>Blend Z</v>
      </c>
      <c r="N22" s="759">
        <f>VAR(H15:H19)</f>
        <v>284.04999999999995</v>
      </c>
      <c r="O22" s="760">
        <f>VAR(I15:I19)</f>
        <v>241.67500000000018</v>
      </c>
      <c r="P22" s="760">
        <f>VAR(J15:J19)</f>
        <v>116.07499999999982</v>
      </c>
      <c r="Q22" s="761">
        <f>VAR(K15:K19)</f>
        <v>130.29999999999995</v>
      </c>
      <c r="R22">
        <f>VAR(H15:K19)</f>
        <v>194.48947368421068</v>
      </c>
      <c r="AB22" t="str">
        <f>G15</f>
        <v>Blend Z</v>
      </c>
      <c r="AC22" s="759">
        <f>VAR(H15:H19)</f>
        <v>284.04999999999995</v>
      </c>
      <c r="AD22" s="760">
        <f>VAR(I15:I19)</f>
        <v>241.67500000000018</v>
      </c>
      <c r="AE22" s="760">
        <f>VAR(J15:J19)</f>
        <v>116.07499999999982</v>
      </c>
      <c r="AF22" s="761">
        <f>VAR(K15:K19)</f>
        <v>130.29999999999995</v>
      </c>
      <c r="AG22">
        <f>VAR(H15:K19)</f>
        <v>194.48947368421068</v>
      </c>
    </row>
    <row r="23" spans="1:55" x14ac:dyDescent="0.25">
      <c r="N23">
        <f>VAR(H5:H19)</f>
        <v>289.20238095238102</v>
      </c>
      <c r="O23">
        <f>VAR(I5:I19)</f>
        <v>394.77857142857141</v>
      </c>
      <c r="P23">
        <f>VAR(J5:J19)</f>
        <v>313</v>
      </c>
      <c r="Q23">
        <f>VAR(K5:K19)</f>
        <v>192.37380952380954</v>
      </c>
      <c r="R23">
        <f>VAR(H5:K19)</f>
        <v>304.91525423728814</v>
      </c>
      <c r="AC23">
        <f>VAR(H5:H19)</f>
        <v>289.20238095238102</v>
      </c>
      <c r="AD23">
        <f>VAR(I5:I19)</f>
        <v>394.77857142857141</v>
      </c>
      <c r="AE23">
        <f>VAR(J5:J19)</f>
        <v>313</v>
      </c>
      <c r="AF23">
        <f>VAR(K5:K19)</f>
        <v>192.37380952380954</v>
      </c>
      <c r="AG23">
        <f>VAR(H5:K19)</f>
        <v>304.91525423728814</v>
      </c>
    </row>
  </sheetData>
  <mergeCells count="1">
    <mergeCell ref="B3:E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O22"/>
  <sheetViews>
    <sheetView workbookViewId="0"/>
  </sheetViews>
  <sheetFormatPr defaultRowHeight="15" x14ac:dyDescent="0.25"/>
  <cols>
    <col min="1" max="1" width="10.28515625" customWidth="1"/>
    <col min="2" max="2" width="11" customWidth="1"/>
    <col min="3" max="3" width="5.5703125" customWidth="1"/>
    <col min="4" max="4" width="11.42578125" customWidth="1"/>
    <col min="5" max="5" width="9.140625" customWidth="1"/>
    <col min="6" max="6" width="3.85546875" customWidth="1"/>
    <col min="7" max="7" width="37.42578125" customWidth="1"/>
    <col min="8" max="8" width="9.140625" customWidth="1"/>
    <col min="9" max="11" width="11.140625" customWidth="1"/>
    <col min="12" max="12" width="10" customWidth="1"/>
  </cols>
  <sheetData>
    <row r="1" spans="1:15" x14ac:dyDescent="0.25">
      <c r="A1" s="1" t="s">
        <v>222</v>
      </c>
      <c r="B1" s="1"/>
    </row>
    <row r="2" spans="1:15" x14ac:dyDescent="0.25">
      <c r="A2" s="1"/>
      <c r="B2" s="1"/>
      <c r="D2" t="s">
        <v>223</v>
      </c>
      <c r="E2">
        <f>COVAR(A4:A18,B4:B18)</f>
        <v>-90.946666666666673</v>
      </c>
      <c r="G2" s="16" t="s">
        <v>232</v>
      </c>
      <c r="N2" s="1" t="s">
        <v>238</v>
      </c>
    </row>
    <row r="3" spans="1:15" x14ac:dyDescent="0.25">
      <c r="A3" s="99" t="s">
        <v>227</v>
      </c>
      <c r="B3" s="99" t="s">
        <v>228</v>
      </c>
      <c r="D3" t="s">
        <v>224</v>
      </c>
      <c r="E3">
        <f>VARP(A4:A18)</f>
        <v>144.77333333333334</v>
      </c>
      <c r="G3" s="16" t="s">
        <v>233</v>
      </c>
      <c r="I3" s="1303" t="s">
        <v>72</v>
      </c>
      <c r="J3" s="1304"/>
      <c r="K3" s="1305" t="s">
        <v>229</v>
      </c>
      <c r="L3" s="1306"/>
    </row>
    <row r="4" spans="1:15" x14ac:dyDescent="0.25">
      <c r="A4" s="50">
        <v>5</v>
      </c>
      <c r="B4" s="100">
        <v>80</v>
      </c>
      <c r="D4" t="s">
        <v>225</v>
      </c>
      <c r="E4">
        <f>E2/E3</f>
        <v>-0.62820040523116594</v>
      </c>
      <c r="G4" s="16" t="s">
        <v>234</v>
      </c>
      <c r="I4" s="102" t="s">
        <v>227</v>
      </c>
      <c r="J4" s="103" t="s">
        <v>228</v>
      </c>
      <c r="K4" s="102" t="s">
        <v>231</v>
      </c>
      <c r="L4" s="108" t="s">
        <v>239</v>
      </c>
      <c r="N4" s="13" t="s">
        <v>4</v>
      </c>
      <c r="O4" s="13" t="s">
        <v>230</v>
      </c>
    </row>
    <row r="5" spans="1:15" x14ac:dyDescent="0.25">
      <c r="A5" s="50">
        <v>23</v>
      </c>
      <c r="B5" s="50">
        <v>78</v>
      </c>
      <c r="D5" t="s">
        <v>226</v>
      </c>
      <c r="E5">
        <f>AVERAGE(B4:B18)-E4*AVERAGE(A4:A18)</f>
        <v>85.720421194817945</v>
      </c>
      <c r="G5" s="16" t="s">
        <v>235</v>
      </c>
      <c r="I5" s="35">
        <v>5</v>
      </c>
      <c r="J5" s="104">
        <v>80</v>
      </c>
      <c r="K5" s="6">
        <f t="shared" ref="K5:K19" si="0">I5*$E$4+$E$5</f>
        <v>82.579419168662113</v>
      </c>
      <c r="L5" s="8">
        <f>J5-K5</f>
        <v>-2.5794191686621133</v>
      </c>
      <c r="N5">
        <v>4</v>
      </c>
      <c r="O5" s="128">
        <f>N5*$E$4+$E$5</f>
        <v>83.207619573893282</v>
      </c>
    </row>
    <row r="6" spans="1:15" x14ac:dyDescent="0.25">
      <c r="A6" s="50">
        <v>25</v>
      </c>
      <c r="B6" s="50">
        <v>60</v>
      </c>
      <c r="I6" s="35">
        <v>23</v>
      </c>
      <c r="J6" s="36">
        <v>78</v>
      </c>
      <c r="K6" s="6">
        <f t="shared" si="0"/>
        <v>71.271811874501125</v>
      </c>
      <c r="L6" s="8">
        <f t="shared" ref="L6:L18" si="1">J6-K6</f>
        <v>6.7281881254988747</v>
      </c>
      <c r="N6">
        <v>24</v>
      </c>
      <c r="O6" s="128">
        <f>N6*$E$4+$E$5</f>
        <v>70.643611469269956</v>
      </c>
    </row>
    <row r="7" spans="1:15" x14ac:dyDescent="0.25">
      <c r="A7" s="50">
        <v>48</v>
      </c>
      <c r="B7" s="50">
        <v>53</v>
      </c>
      <c r="I7" s="35">
        <v>25</v>
      </c>
      <c r="J7" s="36">
        <v>60</v>
      </c>
      <c r="K7" s="6">
        <f t="shared" si="0"/>
        <v>70.015411064038801</v>
      </c>
      <c r="L7" s="8">
        <f t="shared" si="1"/>
        <v>-10.015411064038801</v>
      </c>
      <c r="N7">
        <v>44</v>
      </c>
      <c r="O7" s="128">
        <f>N7*$E$4+$E$5</f>
        <v>58.079603364646644</v>
      </c>
    </row>
    <row r="8" spans="1:15" x14ac:dyDescent="0.25">
      <c r="A8" s="101">
        <v>17</v>
      </c>
      <c r="B8" s="50">
        <v>85</v>
      </c>
      <c r="D8" s="30"/>
      <c r="I8" s="35">
        <v>48</v>
      </c>
      <c r="J8" s="36">
        <v>53</v>
      </c>
      <c r="K8" s="6">
        <f t="shared" si="0"/>
        <v>55.566801743721982</v>
      </c>
      <c r="L8" s="8">
        <f t="shared" si="1"/>
        <v>-2.5668017437219817</v>
      </c>
    </row>
    <row r="9" spans="1:15" x14ac:dyDescent="0.25">
      <c r="A9" s="101">
        <v>8</v>
      </c>
      <c r="B9" s="50">
        <v>84</v>
      </c>
      <c r="I9" s="105">
        <v>17</v>
      </c>
      <c r="J9" s="36">
        <v>85</v>
      </c>
      <c r="K9" s="6">
        <f t="shared" si="0"/>
        <v>75.041014305888126</v>
      </c>
      <c r="L9" s="8">
        <f t="shared" si="1"/>
        <v>9.958985694111874</v>
      </c>
      <c r="N9" s="1" t="s">
        <v>237</v>
      </c>
    </row>
    <row r="10" spans="1:15" x14ac:dyDescent="0.25">
      <c r="A10" s="50">
        <v>4</v>
      </c>
      <c r="B10" s="50">
        <v>73</v>
      </c>
      <c r="I10" s="105">
        <v>8</v>
      </c>
      <c r="J10" s="36">
        <v>84</v>
      </c>
      <c r="K10" s="6">
        <f t="shared" si="0"/>
        <v>80.69481795296862</v>
      </c>
      <c r="L10" s="8">
        <f t="shared" si="1"/>
        <v>3.30518204703138</v>
      </c>
    </row>
    <row r="11" spans="1:15" x14ac:dyDescent="0.25">
      <c r="A11" s="50">
        <v>26</v>
      </c>
      <c r="B11" s="50">
        <v>79</v>
      </c>
      <c r="I11" s="35">
        <v>4</v>
      </c>
      <c r="J11" s="36">
        <v>73</v>
      </c>
      <c r="K11" s="6">
        <f t="shared" si="0"/>
        <v>83.207619573893282</v>
      </c>
      <c r="L11" s="8">
        <f t="shared" si="1"/>
        <v>-10.207619573893282</v>
      </c>
      <c r="N11" s="13" t="s">
        <v>4</v>
      </c>
      <c r="O11" s="13" t="s">
        <v>230</v>
      </c>
    </row>
    <row r="12" spans="1:15" x14ac:dyDescent="0.25">
      <c r="A12" s="50">
        <v>11</v>
      </c>
      <c r="B12" s="50">
        <v>81</v>
      </c>
      <c r="I12" s="35">
        <v>26</v>
      </c>
      <c r="J12" s="36">
        <v>79</v>
      </c>
      <c r="K12" s="6">
        <f t="shared" si="0"/>
        <v>69.387210658807632</v>
      </c>
      <c r="L12" s="8">
        <f t="shared" si="1"/>
        <v>9.6127893411923679</v>
      </c>
      <c r="N12">
        <v>4</v>
      </c>
      <c r="O12" s="128">
        <f>FORECAST(N12,$J$5:$J$19,$I$5:$I$19)</f>
        <v>83.207619573893282</v>
      </c>
    </row>
    <row r="13" spans="1:15" x14ac:dyDescent="0.25">
      <c r="A13" s="50">
        <v>19</v>
      </c>
      <c r="B13" s="50">
        <v>75</v>
      </c>
      <c r="I13" s="35">
        <v>11</v>
      </c>
      <c r="J13" s="36">
        <v>81</v>
      </c>
      <c r="K13" s="6">
        <f t="shared" si="0"/>
        <v>78.810216737275113</v>
      </c>
      <c r="L13" s="8">
        <f t="shared" si="1"/>
        <v>2.1897832627248874</v>
      </c>
      <c r="N13">
        <v>24</v>
      </c>
      <c r="O13" s="128">
        <f>FORECAST(N13,$J$5:$J$19,$I$5:$I$19)</f>
        <v>70.64361146926997</v>
      </c>
    </row>
    <row r="14" spans="1:15" x14ac:dyDescent="0.25">
      <c r="A14" s="50">
        <v>14</v>
      </c>
      <c r="B14" s="50">
        <v>68</v>
      </c>
      <c r="I14" s="35">
        <v>19</v>
      </c>
      <c r="J14" s="36">
        <v>75</v>
      </c>
      <c r="K14" s="6">
        <f t="shared" si="0"/>
        <v>73.784613495425788</v>
      </c>
      <c r="L14" s="8">
        <f t="shared" si="1"/>
        <v>1.2153865045742123</v>
      </c>
      <c r="N14">
        <v>44</v>
      </c>
      <c r="O14" s="128">
        <f>FORECAST(N14,$J$5:$J$19,$I$5:$I$19)</f>
        <v>58.079603364646644</v>
      </c>
    </row>
    <row r="15" spans="1:15" x14ac:dyDescent="0.25">
      <c r="A15" s="50">
        <v>35</v>
      </c>
      <c r="B15" s="50">
        <v>72</v>
      </c>
      <c r="I15" s="35">
        <v>14</v>
      </c>
      <c r="J15" s="36">
        <v>68</v>
      </c>
      <c r="K15" s="6">
        <f t="shared" si="0"/>
        <v>76.925615521581619</v>
      </c>
      <c r="L15" s="8">
        <f t="shared" si="1"/>
        <v>-8.9256155215816193</v>
      </c>
    </row>
    <row r="16" spans="1:15" x14ac:dyDescent="0.25">
      <c r="A16" s="50">
        <v>29</v>
      </c>
      <c r="B16" s="50">
        <v>58</v>
      </c>
      <c r="I16" s="35">
        <v>35</v>
      </c>
      <c r="J16" s="36">
        <v>72</v>
      </c>
      <c r="K16" s="6">
        <f t="shared" si="0"/>
        <v>63.733407011727138</v>
      </c>
      <c r="L16" s="8">
        <f t="shared" si="1"/>
        <v>8.2665929882728619</v>
      </c>
      <c r="N16" s="1" t="s">
        <v>236</v>
      </c>
    </row>
    <row r="17" spans="1:15" x14ac:dyDescent="0.25">
      <c r="A17" s="50">
        <v>4</v>
      </c>
      <c r="B17" s="50">
        <v>92</v>
      </c>
      <c r="I17" s="35">
        <v>29</v>
      </c>
      <c r="J17" s="36">
        <v>58</v>
      </c>
      <c r="K17" s="6">
        <f t="shared" si="0"/>
        <v>67.502609443114125</v>
      </c>
      <c r="L17" s="8">
        <f t="shared" si="1"/>
        <v>-9.5026094431141246</v>
      </c>
    </row>
    <row r="18" spans="1:15" x14ac:dyDescent="0.25">
      <c r="A18" s="51">
        <v>23</v>
      </c>
      <c r="B18" s="51">
        <v>65</v>
      </c>
      <c r="I18" s="35">
        <v>4</v>
      </c>
      <c r="J18" s="36">
        <v>92</v>
      </c>
      <c r="K18" s="6">
        <f t="shared" si="0"/>
        <v>83.207619573893282</v>
      </c>
      <c r="L18" s="8">
        <f t="shared" si="1"/>
        <v>8.7923804261067176</v>
      </c>
      <c r="N18" s="13" t="s">
        <v>4</v>
      </c>
      <c r="O18" s="13" t="s">
        <v>230</v>
      </c>
    </row>
    <row r="19" spans="1:15" x14ac:dyDescent="0.25">
      <c r="I19" s="106">
        <v>23</v>
      </c>
      <c r="J19" s="107">
        <v>65</v>
      </c>
      <c r="K19" s="83">
        <f t="shared" si="0"/>
        <v>71.271811874501125</v>
      </c>
      <c r="L19" s="85">
        <f>J19-K19</f>
        <v>-6.2718118745011253</v>
      </c>
      <c r="N19">
        <v>4</v>
      </c>
      <c r="O19" s="128">
        <f t="array" ref="O19:O21">TREND(J5:J19,I5:I19,N19:N21)</f>
        <v>83.207619573893282</v>
      </c>
    </row>
    <row r="20" spans="1:15" x14ac:dyDescent="0.25">
      <c r="N20">
        <v>24</v>
      </c>
      <c r="O20" s="128">
        <v>70.643611469269956</v>
      </c>
    </row>
    <row r="21" spans="1:15" x14ac:dyDescent="0.25">
      <c r="I21">
        <f>AVERAGE(I5:I19)</f>
        <v>19.399999999999999</v>
      </c>
      <c r="J21">
        <f>AVERAGE(J5:J19)</f>
        <v>73.533333333333331</v>
      </c>
      <c r="N21">
        <v>44</v>
      </c>
      <c r="O21" s="128">
        <v>58.079603364646644</v>
      </c>
    </row>
    <row r="22" spans="1:15" x14ac:dyDescent="0.25">
      <c r="I22">
        <f>STDEV(I5:I19)</f>
        <v>12.45448857698644</v>
      </c>
      <c r="J22">
        <f>STDEV(J5:J19)</f>
        <v>10.966616007988378</v>
      </c>
    </row>
  </sheetData>
  <mergeCells count="2">
    <mergeCell ref="I3:J3"/>
    <mergeCell ref="K3:L3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AP22"/>
  <sheetViews>
    <sheetView workbookViewId="0"/>
  </sheetViews>
  <sheetFormatPr defaultRowHeight="15" x14ac:dyDescent="0.25"/>
  <cols>
    <col min="1" max="2" width="11" customWidth="1"/>
    <col min="3" max="3" width="5.7109375" customWidth="1"/>
    <col min="4" max="4" width="7.85546875" customWidth="1"/>
    <col min="6" max="6" width="5.42578125" customWidth="1"/>
    <col min="8" max="8" width="13.28515625" customWidth="1"/>
    <col min="9" max="9" width="8.140625" customWidth="1"/>
    <col min="10" max="13" width="12.5703125" customWidth="1"/>
    <col min="14" max="14" width="6.5703125" customWidth="1"/>
    <col min="15" max="15" width="5.5703125" customWidth="1"/>
    <col min="16" max="16" width="9" customWidth="1"/>
    <col min="17" max="17" width="4.85546875" customWidth="1"/>
    <col min="18" max="18" width="9" customWidth="1"/>
    <col min="20" max="22" width="10.85546875" customWidth="1"/>
    <col min="26" max="26" width="5.85546875" customWidth="1"/>
    <col min="27" max="27" width="6.7109375" customWidth="1"/>
    <col min="29" max="29" width="5.140625" customWidth="1"/>
    <col min="33" max="33" width="4" customWidth="1"/>
    <col min="34" max="34" width="26.42578125" customWidth="1"/>
    <col min="39" max="39" width="15.28515625" customWidth="1"/>
    <col min="42" max="42" width="19.5703125" customWidth="1"/>
  </cols>
  <sheetData>
    <row r="1" spans="1:42" x14ac:dyDescent="0.25">
      <c r="A1" s="1" t="s">
        <v>244</v>
      </c>
      <c r="J1" t="s">
        <v>247</v>
      </c>
      <c r="T1" t="s">
        <v>248</v>
      </c>
    </row>
    <row r="3" spans="1:42" x14ac:dyDescent="0.25">
      <c r="A3" s="102" t="s">
        <v>227</v>
      </c>
      <c r="B3" s="103" t="s">
        <v>228</v>
      </c>
      <c r="D3" s="13" t="s">
        <v>31</v>
      </c>
      <c r="E3" s="114">
        <f>COUNT(A4:A18)</f>
        <v>15</v>
      </c>
      <c r="I3" s="13"/>
      <c r="J3" s="1303" t="s">
        <v>72</v>
      </c>
      <c r="K3" s="1304"/>
      <c r="L3" s="1305" t="s">
        <v>229</v>
      </c>
      <c r="M3" s="1306"/>
      <c r="P3" s="91" t="s">
        <v>219</v>
      </c>
      <c r="Q3" s="91" t="s">
        <v>60</v>
      </c>
      <c r="R3" s="91" t="s">
        <v>240</v>
      </c>
      <c r="T3" s="1303" t="s">
        <v>72</v>
      </c>
      <c r="U3" s="1304"/>
      <c r="V3" s="112" t="s">
        <v>229</v>
      </c>
      <c r="W3" s="1303" t="s">
        <v>219</v>
      </c>
      <c r="X3" s="1307"/>
      <c r="Y3" s="1304"/>
      <c r="AB3" s="91" t="s">
        <v>219</v>
      </c>
      <c r="AC3" s="91" t="s">
        <v>60</v>
      </c>
      <c r="AD3" s="91" t="s">
        <v>240</v>
      </c>
      <c r="AF3" t="s">
        <v>253</v>
      </c>
      <c r="AJ3" t="s">
        <v>256</v>
      </c>
      <c r="AM3" s="17" t="s">
        <v>280</v>
      </c>
    </row>
    <row r="4" spans="1:42" x14ac:dyDescent="0.25">
      <c r="A4" s="35">
        <v>5</v>
      </c>
      <c r="B4" s="104">
        <v>80</v>
      </c>
      <c r="D4" s="13" t="s">
        <v>120</v>
      </c>
      <c r="E4" s="90">
        <f>CORREL(A4:A18,B4:B18)</f>
        <v>-0.71343017438658085</v>
      </c>
      <c r="I4" s="7"/>
      <c r="J4" s="102" t="s">
        <v>227</v>
      </c>
      <c r="K4" s="103" t="s">
        <v>228</v>
      </c>
      <c r="L4" s="102" t="s">
        <v>231</v>
      </c>
      <c r="M4" s="108" t="s">
        <v>239</v>
      </c>
      <c r="O4" s="117" t="s">
        <v>241</v>
      </c>
      <c r="P4" s="96">
        <f>DEVSQ(K5:K19)</f>
        <v>1683.7333333333333</v>
      </c>
      <c r="Q4" s="98">
        <f>COUNT(K5:K19)-1</f>
        <v>14</v>
      </c>
      <c r="R4" s="97">
        <f>P4/Q4</f>
        <v>120.26666666666667</v>
      </c>
      <c r="T4" s="102" t="s">
        <v>227</v>
      </c>
      <c r="U4" s="103" t="s">
        <v>228</v>
      </c>
      <c r="V4" s="102" t="s">
        <v>231</v>
      </c>
      <c r="W4" s="109" t="s">
        <v>241</v>
      </c>
      <c r="X4" s="110" t="s">
        <v>242</v>
      </c>
      <c r="Y4" s="111" t="s">
        <v>243</v>
      </c>
      <c r="AA4" s="117" t="s">
        <v>241</v>
      </c>
      <c r="AB4" s="96">
        <f>W20</f>
        <v>1683.7333333333333</v>
      </c>
      <c r="AC4" s="98">
        <f>U21-1</f>
        <v>14</v>
      </c>
      <c r="AD4" s="97">
        <f>AB4/AC4</f>
        <v>120.26666666666667</v>
      </c>
    </row>
    <row r="5" spans="1:42" x14ac:dyDescent="0.25">
      <c r="A5" s="35">
        <v>23</v>
      </c>
      <c r="B5" s="36">
        <v>78</v>
      </c>
      <c r="D5" s="13"/>
      <c r="I5" s="7"/>
      <c r="J5" s="35">
        <v>5</v>
      </c>
      <c r="K5" s="104">
        <v>80</v>
      </c>
      <c r="L5" s="6">
        <f t="shared" ref="L5:L19" si="0">FORECAST(J5,$K$5:$K$19,$J$5:$J$19)</f>
        <v>82.579419168662113</v>
      </c>
      <c r="M5" s="8">
        <f>K5-L5</f>
        <v>-2.5794191686621133</v>
      </c>
      <c r="O5" s="13" t="s">
        <v>242</v>
      </c>
      <c r="P5" s="6">
        <f>DEVSQ(L5:L19)</f>
        <v>856.99099281635665</v>
      </c>
      <c r="Q5" s="7">
        <v>1</v>
      </c>
      <c r="R5" s="8">
        <f>P5/Q5</f>
        <v>856.99099281635665</v>
      </c>
      <c r="T5" s="35">
        <v>5</v>
      </c>
      <c r="U5" s="104">
        <v>80</v>
      </c>
      <c r="V5" s="6">
        <f t="shared" ref="V5:V19" si="1">FORECAST(T5,$K$5:$K$19,$J$5:$J$19)</f>
        <v>82.579419168662113</v>
      </c>
      <c r="W5" s="6">
        <f>(U5-$U$22)^2</f>
        <v>41.817777777777799</v>
      </c>
      <c r="X5" s="7">
        <f>(V5-$U$22)^2</f>
        <v>81.831668940136026</v>
      </c>
      <c r="Y5" s="8">
        <f>(U5-V5)^2</f>
        <v>6.6534032476615472</v>
      </c>
      <c r="AA5" s="13" t="s">
        <v>242</v>
      </c>
      <c r="AB5" s="6">
        <f>X20</f>
        <v>856.99099281635642</v>
      </c>
      <c r="AC5" s="7">
        <v>1</v>
      </c>
      <c r="AD5" s="8">
        <f>AB5/AC5</f>
        <v>856.99099281635642</v>
      </c>
      <c r="AF5">
        <f>AB4-AB5</f>
        <v>826.74234051697692</v>
      </c>
      <c r="AH5" s="16" t="s">
        <v>254</v>
      </c>
      <c r="AJ5" t="s">
        <v>259</v>
      </c>
      <c r="AK5">
        <f>CORREL(T5:T19,U5:U19)</f>
        <v>-0.71343017438658085</v>
      </c>
      <c r="AM5" t="s">
        <v>281</v>
      </c>
      <c r="AN5" s="128">
        <f t="array" ref="AN5:AO9">LINEST(B4:B18,A4:A18,TRUE,TRUE)</f>
        <v>-0.62820040523116594</v>
      </c>
      <c r="AO5" s="128">
        <v>85.720421194817945</v>
      </c>
      <c r="AP5" t="s">
        <v>282</v>
      </c>
    </row>
    <row r="6" spans="1:42" ht="18" x14ac:dyDescent="0.35">
      <c r="A6" s="35">
        <v>25</v>
      </c>
      <c r="B6" s="36">
        <v>60</v>
      </c>
      <c r="D6" s="13"/>
      <c r="E6" s="91" t="s">
        <v>219</v>
      </c>
      <c r="F6" s="91" t="s">
        <v>60</v>
      </c>
      <c r="G6" s="91" t="s">
        <v>240</v>
      </c>
      <c r="I6" s="7"/>
      <c r="J6" s="35">
        <v>23</v>
      </c>
      <c r="K6" s="36">
        <v>78</v>
      </c>
      <c r="L6" s="6">
        <f t="shared" si="0"/>
        <v>71.271811874501125</v>
      </c>
      <c r="M6" s="8">
        <f t="shared" ref="M6:M18" si="2">K6-L6</f>
        <v>6.7281881254988747</v>
      </c>
      <c r="O6" s="13" t="s">
        <v>243</v>
      </c>
      <c r="P6" s="83">
        <f>DEVSQ(M5:M19)</f>
        <v>826.74234051697681</v>
      </c>
      <c r="Q6" s="84">
        <f>Q4-1</f>
        <v>13</v>
      </c>
      <c r="R6" s="85">
        <f>P6/Q6</f>
        <v>63.59556465515206</v>
      </c>
      <c r="T6" s="35">
        <v>23</v>
      </c>
      <c r="U6" s="36">
        <v>78</v>
      </c>
      <c r="V6" s="6">
        <f t="shared" si="1"/>
        <v>71.271811874501125</v>
      </c>
      <c r="W6" s="6">
        <f t="shared" ref="W6:W19" si="3">(U6-$U$22)^2</f>
        <v>19.951111111111128</v>
      </c>
      <c r="X6" s="7">
        <f t="shared" ref="X6:X19" si="4">(V6-$U$22)^2</f>
        <v>5.1144793087585496</v>
      </c>
      <c r="Y6" s="8">
        <f t="shared" ref="Y6:Y19" si="5">(U6-V6)^2</f>
        <v>45.268515452104062</v>
      </c>
      <c r="AA6" s="13" t="s">
        <v>243</v>
      </c>
      <c r="AB6" s="83">
        <f>Y20</f>
        <v>826.74234051697681</v>
      </c>
      <c r="AC6" s="84">
        <f>AC4-1</f>
        <v>13</v>
      </c>
      <c r="AD6" s="85">
        <f>AB6/AC6</f>
        <v>63.59556465515206</v>
      </c>
      <c r="AF6">
        <f>SUMXMY2(U5:U19,V5:V19)</f>
        <v>826.74234051697681</v>
      </c>
      <c r="AH6" s="16" t="s">
        <v>255</v>
      </c>
      <c r="AJ6" t="s">
        <v>257</v>
      </c>
      <c r="AK6">
        <f>CORREL(T5:T19,V5:V19)</f>
        <v>-0.99999999999999967</v>
      </c>
      <c r="AM6" t="s">
        <v>283</v>
      </c>
      <c r="AN6" s="128">
        <v>0.17112895461639729</v>
      </c>
      <c r="AO6" s="128">
        <v>3.9065908075799731</v>
      </c>
      <c r="AP6" t="s">
        <v>284</v>
      </c>
    </row>
    <row r="7" spans="1:42" ht="18" x14ac:dyDescent="0.35">
      <c r="A7" s="35">
        <v>48</v>
      </c>
      <c r="B7" s="36">
        <v>53</v>
      </c>
      <c r="D7" s="117" t="s">
        <v>241</v>
      </c>
      <c r="E7" s="96">
        <f>DEVSQ(B4:B18)</f>
        <v>1683.7333333333333</v>
      </c>
      <c r="F7" s="98">
        <f>E3-1</f>
        <v>14</v>
      </c>
      <c r="G7" s="97">
        <f>E7/F7</f>
        <v>120.26666666666667</v>
      </c>
      <c r="H7" s="13"/>
      <c r="J7" s="35">
        <v>25</v>
      </c>
      <c r="K7" s="36">
        <v>60</v>
      </c>
      <c r="L7" s="6">
        <f t="shared" si="0"/>
        <v>70.015411064038801</v>
      </c>
      <c r="M7" s="8">
        <f t="shared" si="2"/>
        <v>-10.015411064038801</v>
      </c>
      <c r="T7" s="35">
        <v>25</v>
      </c>
      <c r="U7" s="36">
        <v>60</v>
      </c>
      <c r="V7" s="6">
        <f t="shared" si="1"/>
        <v>70.015411064038801</v>
      </c>
      <c r="W7" s="6">
        <f t="shared" si="3"/>
        <v>183.15111111111105</v>
      </c>
      <c r="X7" s="7">
        <f t="shared" si="4"/>
        <v>12.375777092798376</v>
      </c>
      <c r="Y7" s="8">
        <f t="shared" si="5"/>
        <v>100.30845878167084</v>
      </c>
      <c r="AJ7" t="s">
        <v>258</v>
      </c>
      <c r="AK7">
        <f>CORREL(U5:U19,V5:V19)</f>
        <v>0.71343017438658096</v>
      </c>
      <c r="AM7" t="s">
        <v>285</v>
      </c>
      <c r="AN7" s="128">
        <v>0.50898261372526721</v>
      </c>
      <c r="AO7" s="128">
        <v>7.9746827306891683</v>
      </c>
      <c r="AP7" t="s">
        <v>286</v>
      </c>
    </row>
    <row r="8" spans="1:42" ht="18" x14ac:dyDescent="0.35">
      <c r="A8" s="105">
        <v>17</v>
      </c>
      <c r="B8" s="36">
        <v>85</v>
      </c>
      <c r="D8" s="13" t="s">
        <v>242</v>
      </c>
      <c r="E8" s="6">
        <f>E4^2*E7</f>
        <v>856.99099281635654</v>
      </c>
      <c r="F8" s="7">
        <v>1</v>
      </c>
      <c r="G8" s="8">
        <f>E8/F8</f>
        <v>856.99099281635654</v>
      </c>
      <c r="H8" s="7"/>
      <c r="J8" s="35">
        <v>48</v>
      </c>
      <c r="K8" s="36">
        <v>53</v>
      </c>
      <c r="L8" s="6">
        <f t="shared" si="0"/>
        <v>55.566801743721982</v>
      </c>
      <c r="M8" s="8">
        <f t="shared" si="2"/>
        <v>-2.5668017437219817</v>
      </c>
      <c r="T8" s="35">
        <v>48</v>
      </c>
      <c r="U8" s="36">
        <v>53</v>
      </c>
      <c r="V8" s="6">
        <f t="shared" si="1"/>
        <v>55.566801743721982</v>
      </c>
      <c r="W8" s="6">
        <f t="shared" si="3"/>
        <v>421.61777777777769</v>
      </c>
      <c r="X8" s="7">
        <f t="shared" si="4"/>
        <v>322.79625736050252</v>
      </c>
      <c r="Y8" s="8">
        <f t="shared" si="5"/>
        <v>6.5884711915742056</v>
      </c>
      <c r="AM8" t="s">
        <v>135</v>
      </c>
      <c r="AN8" s="128">
        <v>13.475640910862317</v>
      </c>
      <c r="AO8" s="128">
        <v>13</v>
      </c>
      <c r="AP8" t="s">
        <v>287</v>
      </c>
    </row>
    <row r="9" spans="1:42" ht="18" x14ac:dyDescent="0.35">
      <c r="A9" s="105">
        <v>8</v>
      </c>
      <c r="B9" s="36">
        <v>84</v>
      </c>
      <c r="D9" s="13" t="s">
        <v>243</v>
      </c>
      <c r="E9" s="83">
        <f>E7-E8</f>
        <v>826.74234051697681</v>
      </c>
      <c r="F9" s="84">
        <f>F7-1</f>
        <v>13</v>
      </c>
      <c r="G9" s="85">
        <f>E9/F9</f>
        <v>63.59556465515206</v>
      </c>
      <c r="H9" s="7"/>
      <c r="I9" s="113"/>
      <c r="J9" s="105">
        <v>17</v>
      </c>
      <c r="K9" s="36">
        <v>85</v>
      </c>
      <c r="L9" s="6">
        <f t="shared" si="0"/>
        <v>75.041014305888126</v>
      </c>
      <c r="M9" s="8">
        <f t="shared" si="2"/>
        <v>9.958985694111874</v>
      </c>
      <c r="S9" s="12"/>
      <c r="T9" s="105">
        <v>17</v>
      </c>
      <c r="U9" s="36">
        <v>85</v>
      </c>
      <c r="V9" s="6">
        <f t="shared" si="1"/>
        <v>75.041014305888126</v>
      </c>
      <c r="W9" s="6">
        <f t="shared" si="3"/>
        <v>131.48444444444448</v>
      </c>
      <c r="X9" s="7">
        <f t="shared" si="4"/>
        <v>2.2731019150037715</v>
      </c>
      <c r="Y9" s="8">
        <f t="shared" si="5"/>
        <v>99.181396055524971</v>
      </c>
      <c r="AM9" t="s">
        <v>288</v>
      </c>
      <c r="AN9" s="128">
        <v>856.99099281635665</v>
      </c>
      <c r="AO9" s="128">
        <v>826.7423405169767</v>
      </c>
      <c r="AP9" t="s">
        <v>289</v>
      </c>
    </row>
    <row r="10" spans="1:42" x14ac:dyDescent="0.25">
      <c r="A10" s="35">
        <v>4</v>
      </c>
      <c r="B10" s="36">
        <v>73</v>
      </c>
      <c r="H10" s="7"/>
      <c r="I10" s="12"/>
      <c r="J10" s="105">
        <v>8</v>
      </c>
      <c r="K10" s="36">
        <v>84</v>
      </c>
      <c r="L10" s="6">
        <f t="shared" si="0"/>
        <v>80.69481795296862</v>
      </c>
      <c r="M10" s="8">
        <f t="shared" si="2"/>
        <v>3.30518204703138</v>
      </c>
      <c r="S10" s="12"/>
      <c r="T10" s="105">
        <v>8</v>
      </c>
      <c r="U10" s="36">
        <v>84</v>
      </c>
      <c r="V10" s="6">
        <f t="shared" si="1"/>
        <v>80.69481795296862</v>
      </c>
      <c r="W10" s="6">
        <f t="shared" si="3"/>
        <v>109.55111111111115</v>
      </c>
      <c r="X10" s="7">
        <f t="shared" si="4"/>
        <v>51.286861957272791</v>
      </c>
      <c r="Y10" s="8">
        <f t="shared" si="5"/>
        <v>10.924228364018543</v>
      </c>
    </row>
    <row r="11" spans="1:42" x14ac:dyDescent="0.25">
      <c r="A11" s="35">
        <v>26</v>
      </c>
      <c r="B11" s="36">
        <v>79</v>
      </c>
      <c r="D11" t="s">
        <v>135</v>
      </c>
      <c r="E11" s="114">
        <f>G8/G9</f>
        <v>13.475640910862316</v>
      </c>
      <c r="G11" s="116" t="s">
        <v>249</v>
      </c>
      <c r="H11" s="113"/>
      <c r="I11" s="113"/>
      <c r="J11" s="35">
        <v>4</v>
      </c>
      <c r="K11" s="36">
        <v>73</v>
      </c>
      <c r="L11" s="6">
        <f t="shared" si="0"/>
        <v>83.207619573893282</v>
      </c>
      <c r="M11" s="8">
        <f t="shared" si="2"/>
        <v>-10.207619573893282</v>
      </c>
      <c r="S11" s="12"/>
      <c r="T11" s="35">
        <v>4</v>
      </c>
      <c r="U11" s="36">
        <v>73</v>
      </c>
      <c r="V11" s="6">
        <f t="shared" si="1"/>
        <v>83.207619573893282</v>
      </c>
      <c r="W11" s="6">
        <f t="shared" si="3"/>
        <v>0.28444444444444245</v>
      </c>
      <c r="X11" s="7">
        <f t="shared" si="4"/>
        <v>93.591814264287592</v>
      </c>
      <c r="Y11" s="8">
        <f t="shared" si="5"/>
        <v>104.19549736532927</v>
      </c>
    </row>
    <row r="12" spans="1:42" x14ac:dyDescent="0.25">
      <c r="A12" s="35">
        <v>11</v>
      </c>
      <c r="B12" s="36">
        <v>81</v>
      </c>
      <c r="D12" t="s">
        <v>106</v>
      </c>
      <c r="E12" s="23">
        <v>0.05</v>
      </c>
      <c r="G12" s="1309"/>
      <c r="H12" s="1309"/>
      <c r="I12" s="113"/>
      <c r="J12" s="35">
        <v>26</v>
      </c>
      <c r="K12" s="36">
        <v>79</v>
      </c>
      <c r="L12" s="6">
        <f t="shared" si="0"/>
        <v>69.387210658807632</v>
      </c>
      <c r="M12" s="8">
        <f t="shared" si="2"/>
        <v>9.6127893411923679</v>
      </c>
      <c r="S12" s="12"/>
      <c r="T12" s="35">
        <v>26</v>
      </c>
      <c r="U12" s="36">
        <v>79</v>
      </c>
      <c r="V12" s="6">
        <f t="shared" si="1"/>
        <v>69.387210658807632</v>
      </c>
      <c r="W12" s="6">
        <f t="shared" si="3"/>
        <v>29.884444444444465</v>
      </c>
      <c r="X12" s="7">
        <f t="shared" si="4"/>
        <v>17.190333232216137</v>
      </c>
      <c r="Y12" s="8">
        <f t="shared" si="5"/>
        <v>92.405718918141602</v>
      </c>
    </row>
    <row r="13" spans="1:42" x14ac:dyDescent="0.25">
      <c r="A13" s="35">
        <v>19</v>
      </c>
      <c r="B13" s="36">
        <v>75</v>
      </c>
      <c r="D13" t="s">
        <v>246</v>
      </c>
      <c r="E13" s="23">
        <f>FINV(E12,F8,F9)</f>
        <v>4.6671927318268525</v>
      </c>
      <c r="G13" s="1308" t="s">
        <v>250</v>
      </c>
      <c r="H13" s="1308"/>
      <c r="I13" s="113"/>
      <c r="J13" s="35">
        <v>11</v>
      </c>
      <c r="K13" s="36">
        <v>81</v>
      </c>
      <c r="L13" s="6">
        <f t="shared" si="0"/>
        <v>78.810216737275127</v>
      </c>
      <c r="M13" s="8">
        <f t="shared" si="2"/>
        <v>2.1897832627248732</v>
      </c>
      <c r="S13" s="12"/>
      <c r="T13" s="35">
        <v>11</v>
      </c>
      <c r="U13" s="36">
        <v>81</v>
      </c>
      <c r="V13" s="6">
        <f t="shared" si="1"/>
        <v>78.810216737275127</v>
      </c>
      <c r="W13" s="6">
        <f t="shared" si="3"/>
        <v>55.751111111111136</v>
      </c>
      <c r="X13" s="7">
        <f t="shared" si="4"/>
        <v>27.845498458796349</v>
      </c>
      <c r="Y13" s="8">
        <f t="shared" si="5"/>
        <v>4.7951507377099913</v>
      </c>
    </row>
    <row r="14" spans="1:42" x14ac:dyDescent="0.25">
      <c r="A14" s="35">
        <v>14</v>
      </c>
      <c r="B14" s="36">
        <v>68</v>
      </c>
      <c r="D14" t="s">
        <v>67</v>
      </c>
      <c r="E14" s="23">
        <f>FDIST(E11,F8,F9)</f>
        <v>2.822342990071234E-3</v>
      </c>
      <c r="G14" s="1308" t="s">
        <v>251</v>
      </c>
      <c r="H14" s="1308"/>
      <c r="J14" s="35">
        <v>19</v>
      </c>
      <c r="K14" s="36">
        <v>75</v>
      </c>
      <c r="L14" s="6">
        <f t="shared" si="0"/>
        <v>73.784613495425788</v>
      </c>
      <c r="M14" s="8">
        <f t="shared" si="2"/>
        <v>1.2153865045742123</v>
      </c>
      <c r="T14" s="35">
        <v>19</v>
      </c>
      <c r="U14" s="36">
        <v>75</v>
      </c>
      <c r="V14" s="6">
        <f t="shared" si="1"/>
        <v>73.784613495425788</v>
      </c>
      <c r="W14" s="6">
        <f t="shared" si="3"/>
        <v>2.1511111111111165</v>
      </c>
      <c r="X14" s="7">
        <f t="shared" si="4"/>
        <v>6.3141719861211115E-2</v>
      </c>
      <c r="Y14" s="8">
        <f t="shared" si="5"/>
        <v>1.4771643555011218</v>
      </c>
    </row>
    <row r="15" spans="1:42" x14ac:dyDescent="0.25">
      <c r="A15" s="35">
        <v>35</v>
      </c>
      <c r="B15" s="36">
        <v>72</v>
      </c>
      <c r="D15" t="s">
        <v>527</v>
      </c>
      <c r="E15" s="115" t="str">
        <f>IF(E14&lt;E12,"yes","no")</f>
        <v>yes</v>
      </c>
      <c r="G15" s="1308" t="s">
        <v>252</v>
      </c>
      <c r="H15" s="1308"/>
      <c r="J15" s="35">
        <v>14</v>
      </c>
      <c r="K15" s="36">
        <v>68</v>
      </c>
      <c r="L15" s="6">
        <f t="shared" si="0"/>
        <v>76.925615521581619</v>
      </c>
      <c r="M15" s="8">
        <f t="shared" si="2"/>
        <v>-8.9256155215816193</v>
      </c>
      <c r="T15" s="35">
        <v>14</v>
      </c>
      <c r="U15" s="36">
        <v>68</v>
      </c>
      <c r="V15" s="6">
        <f t="shared" si="1"/>
        <v>76.925615521581619</v>
      </c>
      <c r="W15" s="6">
        <f t="shared" si="3"/>
        <v>30.617777777777757</v>
      </c>
      <c r="X15" s="7">
        <f t="shared" si="4"/>
        <v>11.507578444706592</v>
      </c>
      <c r="Y15" s="8">
        <f t="shared" si="5"/>
        <v>79.666612439098728</v>
      </c>
    </row>
    <row r="16" spans="1:42" x14ac:dyDescent="0.25">
      <c r="A16" s="35">
        <v>29</v>
      </c>
      <c r="B16" s="36">
        <v>58</v>
      </c>
      <c r="J16" s="35">
        <v>35</v>
      </c>
      <c r="K16" s="36">
        <v>72</v>
      </c>
      <c r="L16" s="6">
        <f t="shared" si="0"/>
        <v>63.733407011727138</v>
      </c>
      <c r="M16" s="8">
        <f t="shared" si="2"/>
        <v>8.2665929882728619</v>
      </c>
      <c r="T16" s="35">
        <v>35</v>
      </c>
      <c r="U16" s="36">
        <v>72</v>
      </c>
      <c r="V16" s="6">
        <f t="shared" si="1"/>
        <v>63.733407011727138</v>
      </c>
      <c r="W16" s="6">
        <f t="shared" si="3"/>
        <v>2.3511111111111052</v>
      </c>
      <c r="X16" s="7">
        <f t="shared" si="4"/>
        <v>96.038555908909899</v>
      </c>
      <c r="Y16" s="8">
        <f t="shared" si="5"/>
        <v>68.33655963376205</v>
      </c>
    </row>
    <row r="17" spans="1:25" x14ac:dyDescent="0.25">
      <c r="A17" s="35">
        <v>4</v>
      </c>
      <c r="B17" s="36">
        <v>92</v>
      </c>
      <c r="J17" s="35">
        <v>29</v>
      </c>
      <c r="K17" s="36">
        <v>58</v>
      </c>
      <c r="L17" s="6">
        <f t="shared" si="0"/>
        <v>67.502609443114139</v>
      </c>
      <c r="M17" s="8">
        <f t="shared" si="2"/>
        <v>-9.5026094431141388</v>
      </c>
      <c r="T17" s="35">
        <v>29</v>
      </c>
      <c r="U17" s="36">
        <v>58</v>
      </c>
      <c r="V17" s="6">
        <f t="shared" si="1"/>
        <v>67.502609443114139</v>
      </c>
      <c r="W17" s="6">
        <f t="shared" si="3"/>
        <v>241.28444444444438</v>
      </c>
      <c r="X17" s="7">
        <f t="shared" si="4"/>
        <v>36.369630640060514</v>
      </c>
      <c r="Y17" s="8">
        <f t="shared" si="5"/>
        <v>90.299586228362003</v>
      </c>
    </row>
    <row r="18" spans="1:25" x14ac:dyDescent="0.25">
      <c r="A18" s="106">
        <v>23</v>
      </c>
      <c r="B18" s="107">
        <v>65</v>
      </c>
      <c r="J18" s="35">
        <v>4</v>
      </c>
      <c r="K18" s="36">
        <v>92</v>
      </c>
      <c r="L18" s="6">
        <f t="shared" si="0"/>
        <v>83.207619573893282</v>
      </c>
      <c r="M18" s="8">
        <f t="shared" si="2"/>
        <v>8.7923804261067176</v>
      </c>
      <c r="T18" s="35">
        <v>4</v>
      </c>
      <c r="U18" s="36">
        <v>92</v>
      </c>
      <c r="V18" s="6">
        <f t="shared" si="1"/>
        <v>83.207619573893282</v>
      </c>
      <c r="W18" s="6">
        <f t="shared" si="3"/>
        <v>341.01777777777784</v>
      </c>
      <c r="X18" s="7">
        <f t="shared" si="4"/>
        <v>93.591814264287592</v>
      </c>
      <c r="Y18" s="8">
        <f t="shared" si="5"/>
        <v>77.305953557384541</v>
      </c>
    </row>
    <row r="19" spans="1:25" x14ac:dyDescent="0.25">
      <c r="J19" s="106">
        <v>23</v>
      </c>
      <c r="K19" s="107">
        <v>65</v>
      </c>
      <c r="L19" s="83">
        <f t="shared" si="0"/>
        <v>71.271811874501125</v>
      </c>
      <c r="M19" s="85">
        <f>K19-L19</f>
        <v>-6.2718118745011253</v>
      </c>
      <c r="T19" s="106">
        <v>23</v>
      </c>
      <c r="U19" s="107">
        <v>65</v>
      </c>
      <c r="V19" s="83">
        <f t="shared" si="1"/>
        <v>71.271811874501125</v>
      </c>
      <c r="W19" s="83">
        <f t="shared" si="3"/>
        <v>72.817777777777749</v>
      </c>
      <c r="X19" s="84">
        <f t="shared" si="4"/>
        <v>5.1144793087585496</v>
      </c>
      <c r="Y19" s="85">
        <f t="shared" si="5"/>
        <v>39.33562418913332</v>
      </c>
    </row>
    <row r="20" spans="1:25" x14ac:dyDescent="0.25">
      <c r="W20">
        <f>SUM(W5:W19)</f>
        <v>1683.7333333333333</v>
      </c>
      <c r="X20">
        <f>SUM(X5:X19)</f>
        <v>856.99099281635642</v>
      </c>
      <c r="Y20">
        <f>SUM(Y5:Y19)</f>
        <v>826.74234051697681</v>
      </c>
    </row>
    <row r="21" spans="1:25" x14ac:dyDescent="0.25">
      <c r="J21" t="s">
        <v>7</v>
      </c>
      <c r="K21" s="577">
        <f>AVERAGE(K5:K19)</f>
        <v>73.533333333333331</v>
      </c>
      <c r="L21" s="596">
        <f>AVERAGE(L5:L19)</f>
        <v>73.533333333333317</v>
      </c>
      <c r="M21" s="597">
        <f>AVERAGE(M5:M19)</f>
        <v>6.6317322004276018E-15</v>
      </c>
      <c r="T21" s="13" t="s">
        <v>31</v>
      </c>
      <c r="U21" s="577">
        <f>COUNT(T5:T19)</f>
        <v>15</v>
      </c>
    </row>
    <row r="22" spans="1:25" x14ac:dyDescent="0.25">
      <c r="J22" t="s">
        <v>77</v>
      </c>
      <c r="K22" s="420">
        <f>STDEV(K5:K19)</f>
        <v>10.966616007988378</v>
      </c>
      <c r="L22" s="409">
        <f>STDEV(L5:L19)</f>
        <v>7.8239147710098651</v>
      </c>
      <c r="M22" s="11">
        <f>STDEV(M5:M19)</f>
        <v>7.6845965621261598</v>
      </c>
      <c r="T22" s="13" t="s">
        <v>245</v>
      </c>
      <c r="U22" s="420">
        <f>AVERAGE(U5:U19)</f>
        <v>73.533333333333331</v>
      </c>
    </row>
  </sheetData>
  <mergeCells count="8">
    <mergeCell ref="L3:M3"/>
    <mergeCell ref="T3:U3"/>
    <mergeCell ref="W3:Y3"/>
    <mergeCell ref="G14:H14"/>
    <mergeCell ref="G15:H15"/>
    <mergeCell ref="G12:H12"/>
    <mergeCell ref="G13:H13"/>
    <mergeCell ref="J3:K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L20"/>
  <sheetViews>
    <sheetView workbookViewId="0"/>
  </sheetViews>
  <sheetFormatPr defaultRowHeight="15" x14ac:dyDescent="0.25"/>
  <cols>
    <col min="1" max="2" width="11.42578125" customWidth="1"/>
    <col min="3" max="3" width="6.7109375" customWidth="1"/>
    <col min="6" max="6" width="4.85546875" customWidth="1"/>
    <col min="7" max="7" width="30.5703125" customWidth="1"/>
    <col min="8" max="8" width="4.5703125" customWidth="1"/>
    <col min="11" max="11" width="4.85546875" customWidth="1"/>
    <col min="12" max="12" width="30.5703125" customWidth="1"/>
  </cols>
  <sheetData>
    <row r="1" spans="1:12" x14ac:dyDescent="0.25">
      <c r="A1" s="1" t="s">
        <v>269</v>
      </c>
    </row>
    <row r="3" spans="1:12" x14ac:dyDescent="0.25">
      <c r="A3" s="102" t="s">
        <v>227</v>
      </c>
      <c r="B3" s="103" t="s">
        <v>228</v>
      </c>
      <c r="D3" t="s">
        <v>31</v>
      </c>
      <c r="E3" s="114">
        <f>COUNT(A4:A18)</f>
        <v>15</v>
      </c>
      <c r="G3" s="16" t="s">
        <v>218</v>
      </c>
      <c r="I3" t="s">
        <v>31</v>
      </c>
      <c r="J3" s="114">
        <f>COUNT(A4:A18)</f>
        <v>15</v>
      </c>
      <c r="L3" s="16" t="s">
        <v>218</v>
      </c>
    </row>
    <row r="4" spans="1:12" ht="18" x14ac:dyDescent="0.35">
      <c r="A4" s="35">
        <v>5</v>
      </c>
      <c r="B4" s="104">
        <v>80</v>
      </c>
      <c r="D4" t="s">
        <v>120</v>
      </c>
      <c r="E4" s="23">
        <f>CORREL(A4:A18,B4:B18)</f>
        <v>-0.71343017438658085</v>
      </c>
      <c r="G4" s="16" t="s">
        <v>265</v>
      </c>
      <c r="I4" t="s">
        <v>261</v>
      </c>
      <c r="J4" s="23">
        <f>STDEV(A4:A18)</f>
        <v>12.45448857698644</v>
      </c>
      <c r="L4" s="16" t="s">
        <v>266</v>
      </c>
    </row>
    <row r="5" spans="1:12" ht="18" x14ac:dyDescent="0.35">
      <c r="A5" s="35">
        <v>23</v>
      </c>
      <c r="B5" s="36">
        <v>78</v>
      </c>
      <c r="D5" t="s">
        <v>261</v>
      </c>
      <c r="E5" s="23">
        <f>STDEV(A4:A18)</f>
        <v>12.45448857698644</v>
      </c>
      <c r="G5" s="16" t="s">
        <v>266</v>
      </c>
      <c r="I5" t="s">
        <v>42</v>
      </c>
      <c r="J5" s="23">
        <f>SLOPE(B4:B18,A4:A18)</f>
        <v>-0.62820040523116583</v>
      </c>
      <c r="L5" s="16" t="s">
        <v>313</v>
      </c>
    </row>
    <row r="6" spans="1:12" ht="18" x14ac:dyDescent="0.35">
      <c r="A6" s="35">
        <v>25</v>
      </c>
      <c r="B6" s="36">
        <v>60</v>
      </c>
      <c r="D6" t="s">
        <v>263</v>
      </c>
      <c r="E6" s="23">
        <f>STDEV(B4:B18)</f>
        <v>10.966616007988378</v>
      </c>
      <c r="G6" s="16" t="s">
        <v>267</v>
      </c>
      <c r="I6" t="s">
        <v>264</v>
      </c>
      <c r="J6" s="23">
        <f>STEYX(B4:B18,A4:A18)</f>
        <v>7.9746827306891692</v>
      </c>
      <c r="L6" s="16" t="s">
        <v>314</v>
      </c>
    </row>
    <row r="7" spans="1:12" ht="18" x14ac:dyDescent="0.35">
      <c r="A7" s="35">
        <v>48</v>
      </c>
      <c r="B7" s="36">
        <v>53</v>
      </c>
      <c r="D7" t="s">
        <v>42</v>
      </c>
      <c r="E7" s="23">
        <f>E4*E6/E5</f>
        <v>-0.6282004052311666</v>
      </c>
      <c r="G7" s="16" t="s">
        <v>270</v>
      </c>
      <c r="I7" t="s">
        <v>262</v>
      </c>
      <c r="J7" s="23">
        <f>J6/(J4*SQRT(J3-1))</f>
        <v>0.17112895461639729</v>
      </c>
      <c r="L7" s="16" t="s">
        <v>315</v>
      </c>
    </row>
    <row r="8" spans="1:12" ht="18" x14ac:dyDescent="0.35">
      <c r="A8" s="105">
        <v>17</v>
      </c>
      <c r="B8" s="36">
        <v>85</v>
      </c>
      <c r="D8" t="s">
        <v>264</v>
      </c>
      <c r="E8" s="23">
        <f>E6*SQRT((1-E4^2)*(E3-1)/(E3-2))</f>
        <v>7.974682730689179</v>
      </c>
      <c r="G8" s="16" t="s">
        <v>271</v>
      </c>
      <c r="I8" t="s">
        <v>63</v>
      </c>
      <c r="J8" s="23">
        <f>J5/J7</f>
        <v>-3.6709182653475563</v>
      </c>
      <c r="L8" s="16" t="s">
        <v>316</v>
      </c>
    </row>
    <row r="9" spans="1:12" ht="18" x14ac:dyDescent="0.35">
      <c r="A9" s="105">
        <v>8</v>
      </c>
      <c r="B9" s="36">
        <v>84</v>
      </c>
      <c r="D9" t="s">
        <v>262</v>
      </c>
      <c r="E9" s="23">
        <f>E8/(E5*SQRT(E3-1))</f>
        <v>0.17112895461639752</v>
      </c>
      <c r="G9" s="16" t="s">
        <v>272</v>
      </c>
      <c r="I9" t="s">
        <v>60</v>
      </c>
      <c r="J9" s="23">
        <f>J3-2</f>
        <v>13</v>
      </c>
      <c r="L9" s="16" t="s">
        <v>317</v>
      </c>
    </row>
    <row r="10" spans="1:12" x14ac:dyDescent="0.25">
      <c r="A10" s="35">
        <v>4</v>
      </c>
      <c r="B10" s="36">
        <v>73</v>
      </c>
      <c r="D10" t="s">
        <v>63</v>
      </c>
      <c r="E10" s="23">
        <f>E7/E9</f>
        <v>-3.6709182653475558</v>
      </c>
      <c r="G10" s="16" t="s">
        <v>273</v>
      </c>
      <c r="I10" t="s">
        <v>67</v>
      </c>
      <c r="J10" s="23">
        <f>TDIST(ABS(J8),J9,2)</f>
        <v>2.8223429900712388E-3</v>
      </c>
      <c r="L10" s="16" t="s">
        <v>318</v>
      </c>
    </row>
    <row r="11" spans="1:12" x14ac:dyDescent="0.25">
      <c r="A11" s="35">
        <v>26</v>
      </c>
      <c r="B11" s="36">
        <v>79</v>
      </c>
      <c r="D11" t="s">
        <v>60</v>
      </c>
      <c r="E11" s="23">
        <f>E3-2</f>
        <v>13</v>
      </c>
      <c r="G11" s="16" t="s">
        <v>274</v>
      </c>
      <c r="I11" t="s">
        <v>106</v>
      </c>
      <c r="J11" s="23">
        <v>0.05</v>
      </c>
    </row>
    <row r="12" spans="1:12" x14ac:dyDescent="0.25">
      <c r="A12" s="35">
        <v>11</v>
      </c>
      <c r="B12" s="36">
        <v>81</v>
      </c>
      <c r="D12" t="s">
        <v>67</v>
      </c>
      <c r="E12" s="23">
        <f>TDIST(ABS(E10),E11,2)</f>
        <v>2.8223429900712388E-3</v>
      </c>
      <c r="G12" s="16" t="s">
        <v>275</v>
      </c>
      <c r="I12" t="s">
        <v>68</v>
      </c>
      <c r="J12" s="23">
        <f>TINV(0.05,J9)</f>
        <v>2.1603686564627926</v>
      </c>
      <c r="L12" s="16" t="s">
        <v>319</v>
      </c>
    </row>
    <row r="13" spans="1:12" x14ac:dyDescent="0.25">
      <c r="A13" s="35">
        <v>19</v>
      </c>
      <c r="B13" s="36">
        <v>75</v>
      </c>
      <c r="D13" t="s">
        <v>106</v>
      </c>
      <c r="E13" s="23">
        <v>0.05</v>
      </c>
      <c r="I13" t="s">
        <v>527</v>
      </c>
      <c r="J13" s="115" t="str">
        <f>IF(J10&lt;J11,"yes","no")</f>
        <v>yes</v>
      </c>
      <c r="L13" s="16" t="s">
        <v>320</v>
      </c>
    </row>
    <row r="14" spans="1:12" x14ac:dyDescent="0.25">
      <c r="A14" s="35">
        <v>14</v>
      </c>
      <c r="B14" s="36">
        <v>68</v>
      </c>
      <c r="D14" t="s">
        <v>68</v>
      </c>
      <c r="E14" s="23">
        <f>TINV(0.05,E11)</f>
        <v>2.1603686564627926</v>
      </c>
      <c r="G14" s="16" t="s">
        <v>276</v>
      </c>
    </row>
    <row r="15" spans="1:12" x14ac:dyDescent="0.25">
      <c r="A15" s="35">
        <v>35</v>
      </c>
      <c r="B15" s="36">
        <v>72</v>
      </c>
      <c r="D15" t="s">
        <v>527</v>
      </c>
      <c r="E15" s="115" t="str">
        <f>IF(E12&lt;E13,"yes","no")</f>
        <v>yes</v>
      </c>
      <c r="G15" s="16" t="s">
        <v>277</v>
      </c>
      <c r="I15" t="s">
        <v>268</v>
      </c>
    </row>
    <row r="16" spans="1:12" x14ac:dyDescent="0.25">
      <c r="A16" s="35">
        <v>29</v>
      </c>
      <c r="B16" s="36">
        <v>58</v>
      </c>
    </row>
    <row r="17" spans="1:12" x14ac:dyDescent="0.25">
      <c r="A17" s="35">
        <v>4</v>
      </c>
      <c r="B17" s="36">
        <v>92</v>
      </c>
      <c r="D17" t="s">
        <v>268</v>
      </c>
      <c r="I17" t="s">
        <v>29</v>
      </c>
      <c r="J17" s="114">
        <f>J5-J12*J7</f>
        <v>-0.99790203499767427</v>
      </c>
      <c r="L17" s="16" t="s">
        <v>321</v>
      </c>
    </row>
    <row r="18" spans="1:12" x14ac:dyDescent="0.25">
      <c r="A18" s="106">
        <v>23</v>
      </c>
      <c r="B18" s="107">
        <v>65</v>
      </c>
      <c r="I18" t="s">
        <v>30</v>
      </c>
      <c r="J18" s="90">
        <f>J5+J12*J7</f>
        <v>-0.25849877546465738</v>
      </c>
      <c r="L18" s="16" t="s">
        <v>322</v>
      </c>
    </row>
    <row r="19" spans="1:12" x14ac:dyDescent="0.25">
      <c r="D19" t="s">
        <v>29</v>
      </c>
      <c r="E19" s="114">
        <f>E7-E14*E9</f>
        <v>-0.99790203499767549</v>
      </c>
      <c r="G19" s="16" t="s">
        <v>278</v>
      </c>
    </row>
    <row r="20" spans="1:12" x14ac:dyDescent="0.25">
      <c r="D20" t="s">
        <v>30</v>
      </c>
      <c r="E20" s="90">
        <f>E7+E14*E9</f>
        <v>-0.25849877546465766</v>
      </c>
      <c r="G20" s="16" t="s">
        <v>279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X19"/>
  <sheetViews>
    <sheetView workbookViewId="0"/>
  </sheetViews>
  <sheetFormatPr defaultRowHeight="15" x14ac:dyDescent="0.25"/>
  <cols>
    <col min="1" max="1" width="18.140625" customWidth="1"/>
    <col min="2" max="2" width="12.85546875" customWidth="1"/>
    <col min="3" max="3" width="14.140625" customWidth="1"/>
    <col min="4" max="5" width="12" customWidth="1"/>
    <col min="6" max="6" width="13.140625" customWidth="1"/>
    <col min="7" max="7" width="13" customWidth="1"/>
    <col min="18" max="18" width="12.42578125" customWidth="1"/>
    <col min="19" max="19" width="17.85546875" customWidth="1"/>
    <col min="20" max="20" width="12.28515625" customWidth="1"/>
    <col min="21" max="21" width="18" customWidth="1"/>
    <col min="24" max="24" width="10.42578125" customWidth="1"/>
  </cols>
  <sheetData>
    <row r="1" spans="1:24" x14ac:dyDescent="0.25">
      <c r="A1" t="s">
        <v>290</v>
      </c>
    </row>
    <row r="2" spans="1:24" ht="15.75" thickBot="1" x14ac:dyDescent="0.3">
      <c r="R2" t="s">
        <v>301</v>
      </c>
      <c r="W2" t="s">
        <v>305</v>
      </c>
    </row>
    <row r="3" spans="1:24" ht="15.75" thickBot="1" x14ac:dyDescent="0.3">
      <c r="A3" s="21" t="s">
        <v>291</v>
      </c>
      <c r="B3" s="21"/>
    </row>
    <row r="4" spans="1:24" x14ac:dyDescent="0.25">
      <c r="A4" s="19" t="s">
        <v>292</v>
      </c>
      <c r="B4" s="19">
        <v>0.71343017438658085</v>
      </c>
      <c r="R4" s="18" t="s">
        <v>302</v>
      </c>
      <c r="S4" s="18" t="s">
        <v>307</v>
      </c>
      <c r="T4" s="18" t="s">
        <v>303</v>
      </c>
      <c r="U4" s="18" t="s">
        <v>304</v>
      </c>
      <c r="W4" s="18" t="s">
        <v>306</v>
      </c>
      <c r="X4" s="18" t="s">
        <v>214</v>
      </c>
    </row>
    <row r="5" spans="1:24" x14ac:dyDescent="0.25">
      <c r="A5" s="19" t="s">
        <v>285</v>
      </c>
      <c r="B5" s="19">
        <v>0.50898261372526721</v>
      </c>
      <c r="R5" s="19">
        <v>1</v>
      </c>
      <c r="S5" s="19">
        <v>82.579419168662113</v>
      </c>
      <c r="T5" s="19">
        <v>-2.5794191686621133</v>
      </c>
      <c r="U5" s="19">
        <v>-0.33566097423707103</v>
      </c>
      <c r="W5" s="19">
        <v>3.3333333333333335</v>
      </c>
      <c r="X5" s="19">
        <v>53</v>
      </c>
    </row>
    <row r="6" spans="1:24" x14ac:dyDescent="0.25">
      <c r="A6" s="19" t="s">
        <v>293</v>
      </c>
      <c r="B6" s="19">
        <v>0.47121204555028778</v>
      </c>
      <c r="R6" s="19">
        <v>2</v>
      </c>
      <c r="S6" s="19">
        <v>71.271811874501125</v>
      </c>
      <c r="T6" s="19">
        <v>6.7281881254988747</v>
      </c>
      <c r="U6" s="19">
        <v>0.87554214084042081</v>
      </c>
      <c r="W6" s="19">
        <v>10</v>
      </c>
      <c r="X6" s="19">
        <v>58</v>
      </c>
    </row>
    <row r="7" spans="1:24" x14ac:dyDescent="0.25">
      <c r="A7" s="19" t="s">
        <v>11</v>
      </c>
      <c r="B7" s="19">
        <v>7.9746827306891683</v>
      </c>
      <c r="R7" s="19">
        <v>3</v>
      </c>
      <c r="S7" s="19">
        <v>70.015411064038801</v>
      </c>
      <c r="T7" s="19">
        <v>-10.015411064038801</v>
      </c>
      <c r="U7" s="19">
        <v>-1.3033099373622494</v>
      </c>
      <c r="W7" s="19">
        <v>16.666666666666668</v>
      </c>
      <c r="X7" s="19">
        <v>60</v>
      </c>
    </row>
    <row r="8" spans="1:24" ht="15.75" thickBot="1" x14ac:dyDescent="0.3">
      <c r="A8" s="20" t="s">
        <v>81</v>
      </c>
      <c r="B8" s="20">
        <v>15</v>
      </c>
      <c r="R8" s="19">
        <v>4</v>
      </c>
      <c r="S8" s="19">
        <v>55.566801743721982</v>
      </c>
      <c r="T8" s="19">
        <v>-2.5668017437219817</v>
      </c>
      <c r="U8" s="19">
        <v>-0.33401906306605172</v>
      </c>
      <c r="W8" s="19">
        <v>23.333333333333332</v>
      </c>
      <c r="X8" s="19">
        <v>65</v>
      </c>
    </row>
    <row r="9" spans="1:24" x14ac:dyDescent="0.25">
      <c r="R9" s="19">
        <v>5</v>
      </c>
      <c r="S9" s="19">
        <v>75.041014305888126</v>
      </c>
      <c r="T9" s="19">
        <v>9.958985694111874</v>
      </c>
      <c r="U9" s="19">
        <v>1.2959672786461078</v>
      </c>
      <c r="W9" s="19">
        <v>30</v>
      </c>
      <c r="X9" s="19">
        <v>68</v>
      </c>
    </row>
    <row r="10" spans="1:24" ht="15.75" thickBot="1" x14ac:dyDescent="0.3">
      <c r="A10" t="s">
        <v>294</v>
      </c>
      <c r="R10" s="19">
        <v>6</v>
      </c>
      <c r="S10" s="19">
        <v>80.69481795296862</v>
      </c>
      <c r="T10" s="19">
        <v>3.30518204703138</v>
      </c>
      <c r="U10" s="19">
        <v>0.43010482337109296</v>
      </c>
      <c r="W10" s="19">
        <v>36.666666666666671</v>
      </c>
      <c r="X10" s="19">
        <v>72</v>
      </c>
    </row>
    <row r="11" spans="1:24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  <c r="R11" s="19">
        <v>7</v>
      </c>
      <c r="S11" s="19">
        <v>83.207619573893282</v>
      </c>
      <c r="T11" s="19">
        <v>-10.207619573893282</v>
      </c>
      <c r="U11" s="19">
        <v>-1.3283221170258883</v>
      </c>
      <c r="W11" s="19">
        <v>43.333333333333336</v>
      </c>
      <c r="X11" s="19">
        <v>73</v>
      </c>
    </row>
    <row r="12" spans="1:24" x14ac:dyDescent="0.25">
      <c r="A12" s="19" t="s">
        <v>222</v>
      </c>
      <c r="B12" s="19">
        <v>1</v>
      </c>
      <c r="C12" s="19">
        <v>856.99099281635665</v>
      </c>
      <c r="D12" s="19">
        <v>856.99099281635665</v>
      </c>
      <c r="E12" s="19">
        <v>13.475640910862317</v>
      </c>
      <c r="F12" s="19">
        <v>2.822342990071234E-3</v>
      </c>
      <c r="R12" s="19">
        <v>8</v>
      </c>
      <c r="S12" s="19">
        <v>69.387210658807632</v>
      </c>
      <c r="T12" s="19">
        <v>9.6127893411923679</v>
      </c>
      <c r="U12" s="19">
        <v>1.2509165918441814</v>
      </c>
      <c r="W12" s="19">
        <v>50.000000000000007</v>
      </c>
      <c r="X12" s="19">
        <v>75</v>
      </c>
    </row>
    <row r="13" spans="1:24" x14ac:dyDescent="0.25">
      <c r="A13" s="19" t="s">
        <v>295</v>
      </c>
      <c r="B13" s="19">
        <v>13</v>
      </c>
      <c r="C13" s="19">
        <v>826.7423405169767</v>
      </c>
      <c r="D13" s="19">
        <v>63.595564655152053</v>
      </c>
      <c r="E13" s="19"/>
      <c r="F13" s="19"/>
      <c r="R13" s="19">
        <v>9</v>
      </c>
      <c r="S13" s="19">
        <v>78.810216737275113</v>
      </c>
      <c r="T13" s="19">
        <v>2.1897832627248874</v>
      </c>
      <c r="U13" s="19">
        <v>0.2849574789023176</v>
      </c>
      <c r="W13" s="19">
        <v>56.666666666666671</v>
      </c>
      <c r="X13" s="19">
        <v>78</v>
      </c>
    </row>
    <row r="14" spans="1:24" ht="15.75" thickBot="1" x14ac:dyDescent="0.3">
      <c r="A14" s="20" t="s">
        <v>1</v>
      </c>
      <c r="B14" s="20">
        <v>14</v>
      </c>
      <c r="C14" s="20">
        <v>1683.7333333333333</v>
      </c>
      <c r="D14" s="20"/>
      <c r="E14" s="20"/>
      <c r="F14" s="20"/>
      <c r="R14" s="19">
        <v>10</v>
      </c>
      <c r="S14" s="19">
        <v>73.784613495425788</v>
      </c>
      <c r="T14" s="19">
        <v>1.2153865045742123</v>
      </c>
      <c r="U14" s="19">
        <v>0.15815879138851521</v>
      </c>
      <c r="W14" s="19">
        <v>63.333333333333336</v>
      </c>
      <c r="X14" s="19">
        <v>79</v>
      </c>
    </row>
    <row r="15" spans="1:24" ht="15.75" thickBot="1" x14ac:dyDescent="0.3">
      <c r="R15" s="19">
        <v>11</v>
      </c>
      <c r="S15" s="19">
        <v>76.925615521581619</v>
      </c>
      <c r="T15" s="19">
        <v>-8.9256155215816193</v>
      </c>
      <c r="U15" s="19">
        <v>-1.1614943542478042</v>
      </c>
      <c r="W15" s="19">
        <v>70</v>
      </c>
      <c r="X15" s="19">
        <v>80</v>
      </c>
    </row>
    <row r="16" spans="1:24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  <c r="R16" s="19">
        <v>12</v>
      </c>
      <c r="S16" s="19">
        <v>63.733407011727138</v>
      </c>
      <c r="T16" s="19">
        <v>8.2665929882728619</v>
      </c>
      <c r="U16" s="19">
        <v>1.0757354561741206</v>
      </c>
      <c r="W16" s="19">
        <v>76.666666666666671</v>
      </c>
      <c r="X16" s="19">
        <v>81</v>
      </c>
    </row>
    <row r="17" spans="1:24" x14ac:dyDescent="0.25">
      <c r="A17" s="19" t="s">
        <v>296</v>
      </c>
      <c r="B17" s="19">
        <v>85.720421194817945</v>
      </c>
      <c r="C17" s="19">
        <v>3.9065908075799731</v>
      </c>
      <c r="D17" s="19">
        <v>21.942513413100315</v>
      </c>
      <c r="E17" s="19">
        <v>1.1757939257001413E-11</v>
      </c>
      <c r="F17" s="19">
        <v>77.280744860496497</v>
      </c>
      <c r="G17" s="19">
        <v>94.160097529139392</v>
      </c>
      <c r="R17" s="19">
        <v>13</v>
      </c>
      <c r="S17" s="19">
        <v>67.502609443114125</v>
      </c>
      <c r="T17" s="19">
        <v>-9.5026094431141246</v>
      </c>
      <c r="U17" s="19">
        <v>-1.2365788322510143</v>
      </c>
      <c r="W17" s="19">
        <v>83.333333333333329</v>
      </c>
      <c r="X17" s="19">
        <v>84</v>
      </c>
    </row>
    <row r="18" spans="1:24" ht="15.75" thickBot="1" x14ac:dyDescent="0.3">
      <c r="A18" s="20" t="s">
        <v>227</v>
      </c>
      <c r="B18" s="20">
        <v>-0.62820040523116594</v>
      </c>
      <c r="C18" s="20">
        <v>0.17112895461639729</v>
      </c>
      <c r="D18" s="20">
        <v>-3.6709182653475567</v>
      </c>
      <c r="E18" s="20">
        <v>2.822342990071231E-3</v>
      </c>
      <c r="F18" s="20">
        <v>-0.99790203499767438</v>
      </c>
      <c r="G18" s="20">
        <v>-0.25849877546465749</v>
      </c>
      <c r="R18" s="19">
        <v>14</v>
      </c>
      <c r="S18" s="19">
        <v>83.207619573893282</v>
      </c>
      <c r="T18" s="19">
        <v>8.7923804261067176</v>
      </c>
      <c r="U18" s="19">
        <v>1.1441564114686664</v>
      </c>
      <c r="W18" s="19">
        <v>90</v>
      </c>
      <c r="X18" s="19">
        <v>85</v>
      </c>
    </row>
    <row r="19" spans="1:24" ht="15.75" thickBot="1" x14ac:dyDescent="0.3">
      <c r="R19" s="20">
        <v>15</v>
      </c>
      <c r="S19" s="20">
        <v>71.271811874501125</v>
      </c>
      <c r="T19" s="20">
        <v>-6.2718118745011253</v>
      </c>
      <c r="U19" s="20">
        <v>-0.81615369444532726</v>
      </c>
      <c r="W19" s="20">
        <v>96.666666666666671</v>
      </c>
      <c r="X19" s="20">
        <v>92</v>
      </c>
    </row>
  </sheetData>
  <sortState ref="X5:X19">
    <sortCondition ref="X25"/>
  </sortState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V33"/>
  <sheetViews>
    <sheetView workbookViewId="0"/>
  </sheetViews>
  <sheetFormatPr defaultRowHeight="15" x14ac:dyDescent="0.25"/>
  <cols>
    <col min="1" max="1" width="10.5703125" customWidth="1"/>
    <col min="2" max="2" width="11" customWidth="1"/>
    <col min="3" max="3" width="4.140625" customWidth="1"/>
    <col min="5" max="5" width="10.42578125" customWidth="1"/>
    <col min="6" max="6" width="5.140625" customWidth="1"/>
    <col min="7" max="11" width="10.42578125" customWidth="1"/>
    <col min="16" max="16" width="2.5703125" customWidth="1"/>
    <col min="17" max="17" width="20.7109375" customWidth="1"/>
    <col min="18" max="18" width="2.85546875" customWidth="1"/>
    <col min="21" max="21" width="3" customWidth="1"/>
    <col min="22" max="22" width="36.42578125" customWidth="1"/>
  </cols>
  <sheetData>
    <row r="1" spans="1:22" x14ac:dyDescent="0.25">
      <c r="A1" s="1" t="s">
        <v>323</v>
      </c>
      <c r="B1" s="1"/>
      <c r="M1" s="1" t="s">
        <v>308</v>
      </c>
    </row>
    <row r="2" spans="1:22" x14ac:dyDescent="0.25">
      <c r="A2" s="1"/>
      <c r="B2" s="1"/>
    </row>
    <row r="3" spans="1:22" x14ac:dyDescent="0.25">
      <c r="A3" s="1310" t="s">
        <v>324</v>
      </c>
      <c r="B3" s="1311"/>
      <c r="D3" s="1310" t="s">
        <v>325</v>
      </c>
      <c r="E3" s="1311"/>
      <c r="F3" s="119"/>
      <c r="G3" s="119"/>
      <c r="H3" s="119"/>
      <c r="I3" s="119"/>
      <c r="J3" s="119"/>
      <c r="K3" s="119"/>
      <c r="N3" s="91" t="s">
        <v>324</v>
      </c>
      <c r="O3" s="91" t="s">
        <v>325</v>
      </c>
      <c r="P3" s="91"/>
    </row>
    <row r="4" spans="1:22" x14ac:dyDescent="0.25">
      <c r="A4" s="102" t="s">
        <v>227</v>
      </c>
      <c r="B4" s="103" t="s">
        <v>228</v>
      </c>
      <c r="D4" s="102" t="s">
        <v>227</v>
      </c>
      <c r="E4" s="103" t="s">
        <v>228</v>
      </c>
      <c r="F4" s="119"/>
      <c r="G4" s="119"/>
      <c r="H4" s="119"/>
      <c r="I4" s="119"/>
      <c r="J4" s="119"/>
      <c r="K4" s="119"/>
      <c r="M4" t="s">
        <v>31</v>
      </c>
      <c r="N4" s="620">
        <f>COUNT(A5:A19)</f>
        <v>15</v>
      </c>
      <c r="O4" s="614">
        <f>COUNT(D5:D20)</f>
        <v>16</v>
      </c>
      <c r="P4" s="7"/>
      <c r="Q4" s="16" t="s">
        <v>331</v>
      </c>
      <c r="R4" s="16"/>
    </row>
    <row r="5" spans="1:22" x14ac:dyDescent="0.25">
      <c r="A5" s="35">
        <v>5</v>
      </c>
      <c r="B5" s="104">
        <v>80</v>
      </c>
      <c r="D5" s="35">
        <v>22</v>
      </c>
      <c r="E5" s="104">
        <v>88</v>
      </c>
      <c r="F5" s="50"/>
      <c r="G5" s="50"/>
      <c r="H5" s="50"/>
      <c r="I5" s="50"/>
      <c r="J5" s="50"/>
      <c r="K5" s="50"/>
      <c r="M5" t="s">
        <v>42</v>
      </c>
      <c r="N5" s="532">
        <f>SLOPE(B5:B19,A5:A19)</f>
        <v>-0.62820040523116583</v>
      </c>
      <c r="O5" s="503">
        <f>SLOPE(E5:E20,D5:D20)</f>
        <v>-0.46785962473940235</v>
      </c>
      <c r="P5" s="7"/>
      <c r="Q5" s="16" t="s">
        <v>326</v>
      </c>
      <c r="R5" s="16"/>
    </row>
    <row r="6" spans="1:22" ht="18" x14ac:dyDescent="0.35">
      <c r="A6" s="35">
        <v>23</v>
      </c>
      <c r="B6" s="36">
        <v>78</v>
      </c>
      <c r="D6" s="35">
        <v>7</v>
      </c>
      <c r="E6" s="36">
        <v>95</v>
      </c>
      <c r="F6" s="50"/>
      <c r="G6" s="50"/>
      <c r="H6" s="50"/>
      <c r="I6" s="50"/>
      <c r="J6" s="50"/>
      <c r="K6" s="50"/>
      <c r="M6" t="s">
        <v>329</v>
      </c>
      <c r="N6" s="532">
        <f>STEYX(B5:B19,A5:A19)</f>
        <v>7.9746827306891692</v>
      </c>
      <c r="O6" s="503">
        <f>STEYX(E5:E20,D5:D20)</f>
        <v>8.3792452578993171</v>
      </c>
      <c r="P6" s="7"/>
      <c r="Q6" s="16" t="s">
        <v>327</v>
      </c>
      <c r="R6" s="16"/>
    </row>
    <row r="7" spans="1:22" ht="18" x14ac:dyDescent="0.35">
      <c r="A7" s="35">
        <v>25</v>
      </c>
      <c r="B7" s="36">
        <v>60</v>
      </c>
      <c r="D7" s="35">
        <v>20</v>
      </c>
      <c r="E7" s="36">
        <v>86</v>
      </c>
      <c r="F7" s="50"/>
      <c r="G7" s="50"/>
      <c r="H7" s="50"/>
      <c r="I7" s="50"/>
      <c r="J7" s="50"/>
      <c r="K7" s="50"/>
      <c r="M7" t="s">
        <v>261</v>
      </c>
      <c r="N7" s="532">
        <f>STDEV(A5:A19)</f>
        <v>12.45448857698644</v>
      </c>
      <c r="O7" s="503">
        <f>STDEV(D5:D20)</f>
        <v>13.851594372730768</v>
      </c>
      <c r="P7" s="7"/>
      <c r="Q7" s="16" t="s">
        <v>328</v>
      </c>
      <c r="R7" s="16"/>
    </row>
    <row r="8" spans="1:22" ht="18" x14ac:dyDescent="0.35">
      <c r="A8" s="35">
        <v>48</v>
      </c>
      <c r="B8" s="36">
        <v>53</v>
      </c>
      <c r="D8" s="35">
        <v>23</v>
      </c>
      <c r="E8" s="36">
        <v>60</v>
      </c>
      <c r="F8" s="50"/>
      <c r="G8" s="50"/>
      <c r="H8" s="50"/>
      <c r="I8" s="50"/>
      <c r="J8" s="50"/>
      <c r="K8" s="50"/>
      <c r="M8" t="s">
        <v>262</v>
      </c>
      <c r="N8" s="409">
        <f>N6/(N7*SQRT(N4-1))</f>
        <v>0.17112895461639729</v>
      </c>
      <c r="O8" s="420">
        <f>O6/(O7*SQRT(O4-1))</f>
        <v>0.15619225948227386</v>
      </c>
      <c r="P8" s="7"/>
      <c r="Q8" s="16" t="s">
        <v>330</v>
      </c>
      <c r="R8" s="16"/>
      <c r="S8" t="s">
        <v>311</v>
      </c>
    </row>
    <row r="9" spans="1:22" ht="18.75" x14ac:dyDescent="0.35">
      <c r="A9" s="105">
        <v>17</v>
      </c>
      <c r="B9" s="36">
        <v>85</v>
      </c>
      <c r="D9" s="105">
        <v>15</v>
      </c>
      <c r="E9" s="36">
        <v>82</v>
      </c>
      <c r="F9" s="50"/>
      <c r="G9" s="50"/>
      <c r="H9" s="50"/>
      <c r="I9" s="50"/>
      <c r="J9" s="50"/>
      <c r="K9" s="50"/>
      <c r="N9" s="7"/>
      <c r="O9" s="7"/>
      <c r="P9" s="7"/>
      <c r="S9" t="s">
        <v>312</v>
      </c>
      <c r="T9" s="114">
        <f>((N4-2)*N6^2+(O4-2)*O6^2)/(N4+O4-4)</f>
        <v>67.026179844643394</v>
      </c>
      <c r="V9" s="16" t="s">
        <v>334</v>
      </c>
    </row>
    <row r="10" spans="1:22" ht="18.75" x14ac:dyDescent="0.35">
      <c r="A10" s="105">
        <v>8</v>
      </c>
      <c r="B10" s="36">
        <v>84</v>
      </c>
      <c r="D10" s="35">
        <v>34</v>
      </c>
      <c r="E10" s="36">
        <v>75</v>
      </c>
      <c r="F10" s="50"/>
      <c r="G10" s="50"/>
      <c r="H10" s="50"/>
      <c r="I10" s="50"/>
      <c r="J10" s="50"/>
      <c r="K10" s="50"/>
      <c r="M10" t="s">
        <v>309</v>
      </c>
      <c r="N10" s="114">
        <f>SQRT(N8^2+O8^2)</f>
        <v>0.23169190972124801</v>
      </c>
      <c r="Q10" s="16" t="s">
        <v>335</v>
      </c>
      <c r="R10" s="16"/>
      <c r="S10" t="s">
        <v>309</v>
      </c>
      <c r="T10" s="23">
        <f>SQRT(T9*(1/(N7^2*(N4-1))+1/(O7^2*(O4-1))))</f>
        <v>0.23271019552019861</v>
      </c>
      <c r="V10" s="16" t="s">
        <v>1918</v>
      </c>
    </row>
    <row r="11" spans="1:22" ht="18" x14ac:dyDescent="0.35">
      <c r="A11" s="35">
        <v>4</v>
      </c>
      <c r="B11" s="36">
        <v>73</v>
      </c>
      <c r="D11" s="35">
        <v>4</v>
      </c>
      <c r="E11" s="36">
        <v>80</v>
      </c>
      <c r="F11" s="50"/>
      <c r="G11" s="50"/>
      <c r="H11" s="50"/>
      <c r="I11" s="50"/>
      <c r="J11" s="50"/>
      <c r="K11" s="50"/>
      <c r="M11" s="31" t="s">
        <v>63</v>
      </c>
      <c r="N11" s="23">
        <f>(N5-O5)/N10</f>
        <v>-0.69204306997457044</v>
      </c>
      <c r="Q11" s="16" t="s">
        <v>1524</v>
      </c>
      <c r="R11" s="16"/>
      <c r="S11" s="31" t="s">
        <v>63</v>
      </c>
      <c r="T11" s="23">
        <f>(N5-O5)/T10</f>
        <v>-0.68901485013726582</v>
      </c>
      <c r="V11" s="16" t="s">
        <v>1524</v>
      </c>
    </row>
    <row r="12" spans="1:22" ht="18" x14ac:dyDescent="0.35">
      <c r="A12" s="35">
        <v>26</v>
      </c>
      <c r="B12" s="36">
        <v>79</v>
      </c>
      <c r="D12" s="105">
        <v>40</v>
      </c>
      <c r="E12" s="36">
        <v>68</v>
      </c>
      <c r="F12" s="50"/>
      <c r="G12" s="50"/>
      <c r="H12" s="50"/>
      <c r="I12" s="50"/>
      <c r="J12" s="50"/>
      <c r="K12" s="50"/>
      <c r="M12" s="31" t="s">
        <v>60</v>
      </c>
      <c r="N12" s="23">
        <f>N4+O4-4</f>
        <v>27</v>
      </c>
      <c r="Q12" s="118" t="s">
        <v>1917</v>
      </c>
      <c r="R12" s="118"/>
      <c r="S12" s="31" t="s">
        <v>60</v>
      </c>
      <c r="T12" s="23">
        <f>N4+O4-4</f>
        <v>27</v>
      </c>
      <c r="V12" s="118" t="s">
        <v>1917</v>
      </c>
    </row>
    <row r="13" spans="1:22" x14ac:dyDescent="0.25">
      <c r="A13" s="35">
        <v>11</v>
      </c>
      <c r="B13" s="36">
        <v>81</v>
      </c>
      <c r="D13" s="35">
        <v>8</v>
      </c>
      <c r="E13" s="36">
        <v>93</v>
      </c>
      <c r="F13" s="50"/>
      <c r="G13" s="50"/>
      <c r="H13" s="50"/>
      <c r="I13" s="50"/>
      <c r="J13" s="50"/>
      <c r="K13" s="50"/>
      <c r="M13" s="31" t="s">
        <v>106</v>
      </c>
      <c r="N13" s="23">
        <v>0.05</v>
      </c>
      <c r="S13" s="31" t="s">
        <v>106</v>
      </c>
      <c r="T13" s="23">
        <v>0.05</v>
      </c>
    </row>
    <row r="14" spans="1:22" x14ac:dyDescent="0.25">
      <c r="A14" s="35">
        <v>19</v>
      </c>
      <c r="B14" s="36">
        <v>75</v>
      </c>
      <c r="D14" s="35">
        <v>16</v>
      </c>
      <c r="E14" s="36">
        <v>77</v>
      </c>
      <c r="F14" s="50"/>
      <c r="G14" s="50"/>
      <c r="H14" s="50"/>
      <c r="I14" s="50"/>
      <c r="J14" s="50"/>
      <c r="K14" s="50"/>
      <c r="M14" s="31" t="s">
        <v>67</v>
      </c>
      <c r="N14" s="23">
        <f>TDIST(ABS(N11),N12,2)</f>
        <v>0.49481917451729318</v>
      </c>
      <c r="Q14" s="16" t="s">
        <v>333</v>
      </c>
      <c r="R14" s="16"/>
      <c r="S14" s="31" t="s">
        <v>67</v>
      </c>
      <c r="T14" s="23">
        <f>TDIST(ABS(T11),T12,2)</f>
        <v>0.49669273157063576</v>
      </c>
      <c r="V14" s="16" t="s">
        <v>333</v>
      </c>
    </row>
    <row r="15" spans="1:22" x14ac:dyDescent="0.25">
      <c r="A15" s="35">
        <v>14</v>
      </c>
      <c r="B15" s="36">
        <v>68</v>
      </c>
      <c r="D15" s="35">
        <v>11</v>
      </c>
      <c r="E15" s="36">
        <v>72</v>
      </c>
      <c r="F15" s="50"/>
      <c r="G15" s="50"/>
      <c r="H15" s="50"/>
      <c r="I15" s="50"/>
      <c r="J15" s="50"/>
      <c r="K15" s="50"/>
      <c r="M15" s="31" t="s">
        <v>68</v>
      </c>
      <c r="N15" s="23">
        <f>TINV(N13,N12)</f>
        <v>2.0518305164802859</v>
      </c>
      <c r="Q15" s="16" t="s">
        <v>332</v>
      </c>
      <c r="R15" s="16"/>
      <c r="S15" s="31" t="s">
        <v>68</v>
      </c>
      <c r="T15" s="23">
        <f>TINV(T13,T12)</f>
        <v>2.0518305164802859</v>
      </c>
      <c r="V15" s="16" t="s">
        <v>332</v>
      </c>
    </row>
    <row r="16" spans="1:22" x14ac:dyDescent="0.25">
      <c r="A16" s="35">
        <v>35</v>
      </c>
      <c r="B16" s="36">
        <v>72</v>
      </c>
      <c r="D16" s="35">
        <v>52</v>
      </c>
      <c r="E16" s="36">
        <v>67</v>
      </c>
      <c r="F16" s="50"/>
      <c r="G16" s="50"/>
      <c r="H16" s="50"/>
      <c r="I16" s="50"/>
      <c r="J16" s="50"/>
      <c r="K16" s="50"/>
      <c r="M16" s="31" t="s">
        <v>527</v>
      </c>
      <c r="N16" s="115" t="str">
        <f>IF(ABS(N11)&lt;N15,"no","yes")</f>
        <v>no</v>
      </c>
      <c r="Q16" s="16" t="s">
        <v>1239</v>
      </c>
      <c r="R16" s="16"/>
      <c r="S16" s="31" t="s">
        <v>527</v>
      </c>
      <c r="T16" s="115" t="str">
        <f>IF(ABS(T11)&lt;T15,"no","yes")</f>
        <v>no</v>
      </c>
      <c r="V16" s="16" t="s">
        <v>1239</v>
      </c>
    </row>
    <row r="17" spans="1:20" x14ac:dyDescent="0.25">
      <c r="A17" s="35">
        <v>29</v>
      </c>
      <c r="B17" s="36">
        <v>58</v>
      </c>
      <c r="D17" s="35">
        <v>3</v>
      </c>
      <c r="E17" s="36">
        <v>90</v>
      </c>
      <c r="F17" s="50"/>
      <c r="G17" s="50"/>
      <c r="H17" s="50"/>
      <c r="I17" s="50"/>
      <c r="J17" s="50"/>
      <c r="K17" s="50"/>
    </row>
    <row r="18" spans="1:20" x14ac:dyDescent="0.25">
      <c r="A18" s="35">
        <v>4</v>
      </c>
      <c r="B18" s="36">
        <v>92</v>
      </c>
      <c r="D18" s="35">
        <v>31</v>
      </c>
      <c r="E18" s="36">
        <v>66</v>
      </c>
      <c r="F18" s="50"/>
      <c r="G18" s="50"/>
      <c r="H18" s="50"/>
      <c r="I18" s="50"/>
      <c r="J18" s="50"/>
      <c r="K18" s="50"/>
    </row>
    <row r="19" spans="1:20" x14ac:dyDescent="0.25">
      <c r="A19" s="106">
        <v>23</v>
      </c>
      <c r="B19" s="107">
        <v>65</v>
      </c>
      <c r="D19" s="35">
        <v>18</v>
      </c>
      <c r="E19" s="36">
        <v>72</v>
      </c>
      <c r="F19" s="50"/>
      <c r="G19" s="50"/>
      <c r="H19" s="50"/>
      <c r="I19" s="50"/>
      <c r="J19" s="50"/>
      <c r="K19" s="50"/>
      <c r="M19" t="s">
        <v>2316</v>
      </c>
    </row>
    <row r="20" spans="1:20" x14ac:dyDescent="0.25">
      <c r="D20" s="120">
        <v>8</v>
      </c>
      <c r="E20" s="121">
        <v>78</v>
      </c>
    </row>
    <row r="21" spans="1:20" ht="18" x14ac:dyDescent="0.35">
      <c r="M21" t="s">
        <v>309</v>
      </c>
      <c r="N21" s="853">
        <f t="array" ref="N21:N24">[1]!SlopesTest(A5:A19,B5:B19,D5:D20,E5:E20,FALSE)</f>
        <v>0.23169190972124801</v>
      </c>
      <c r="S21" t="s">
        <v>309</v>
      </c>
      <c r="T21" s="853">
        <f t="array" ref="T21:T24">[1]!SlopesTest(A5:A19,B5:B19,D5:D20,E5:E20)</f>
        <v>0.23271019552019859</v>
      </c>
    </row>
    <row r="22" spans="1:20" x14ac:dyDescent="0.25">
      <c r="M22" s="31" t="s">
        <v>63</v>
      </c>
      <c r="N22" s="503">
        <v>-0.69204306997457044</v>
      </c>
      <c r="S22" s="31" t="s">
        <v>63</v>
      </c>
      <c r="T22" s="503">
        <v>-0.68901485013726593</v>
      </c>
    </row>
    <row r="23" spans="1:20" x14ac:dyDescent="0.25">
      <c r="M23" s="31" t="s">
        <v>60</v>
      </c>
      <c r="N23" s="503">
        <v>27</v>
      </c>
      <c r="S23" s="31" t="s">
        <v>60</v>
      </c>
      <c r="T23" s="503">
        <v>27</v>
      </c>
    </row>
    <row r="24" spans="1:20" x14ac:dyDescent="0.25">
      <c r="M24" s="31" t="s">
        <v>67</v>
      </c>
      <c r="N24" s="420">
        <v>0.49481917451729318</v>
      </c>
      <c r="S24" s="31" t="s">
        <v>67</v>
      </c>
      <c r="T24" s="420">
        <v>0.49669273157063554</v>
      </c>
    </row>
    <row r="26" spans="1:20" x14ac:dyDescent="0.25">
      <c r="M26" t="s">
        <v>2316</v>
      </c>
    </row>
    <row r="27" spans="1:20" x14ac:dyDescent="0.25">
      <c r="M27" t="s">
        <v>1931</v>
      </c>
    </row>
    <row r="29" spans="1:20" x14ac:dyDescent="0.25">
      <c r="N29" s="851" t="s">
        <v>1930</v>
      </c>
      <c r="O29" s="851" t="s">
        <v>1929</v>
      </c>
    </row>
    <row r="30" spans="1:20" x14ac:dyDescent="0.25">
      <c r="M30" t="str">
        <f t="array" ref="M30:N33">[1]!SlopesTest(A5:A19,B5:B19,D5:D20,E5:E20,FALSE,TRUE)</f>
        <v>std err</v>
      </c>
      <c r="N30" s="853">
        <v>0.23169190972124801</v>
      </c>
      <c r="O30" s="853">
        <f t="array" ref="O30:O33">[1]!SlopesTest(A5:A19,B5:B19,D5:D20,E5:E20)</f>
        <v>0.23271019552019859</v>
      </c>
    </row>
    <row r="31" spans="1:20" x14ac:dyDescent="0.25">
      <c r="M31" s="31" t="str">
        <v>t</v>
      </c>
      <c r="N31" s="503">
        <v>-0.69204306997457044</v>
      </c>
      <c r="O31" s="503">
        <v>-0.68901485013726593</v>
      </c>
    </row>
    <row r="32" spans="1:20" x14ac:dyDescent="0.25">
      <c r="M32" s="31" t="str">
        <v>df</v>
      </c>
      <c r="N32" s="503">
        <v>27</v>
      </c>
      <c r="O32" s="503">
        <v>27</v>
      </c>
    </row>
    <row r="33" spans="13:15" x14ac:dyDescent="0.25">
      <c r="M33" s="31" t="str">
        <v>p-value</v>
      </c>
      <c r="N33" s="420">
        <v>0.49481917451729318</v>
      </c>
      <c r="O33" s="420">
        <v>0.49669273157063554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M18"/>
  <sheetViews>
    <sheetView workbookViewId="0"/>
  </sheetViews>
  <sheetFormatPr defaultRowHeight="15" x14ac:dyDescent="0.25"/>
  <cols>
    <col min="1" max="2" width="11.28515625" customWidth="1"/>
    <col min="3" max="3" width="6.42578125" customWidth="1"/>
    <col min="6" max="6" width="4.28515625" customWidth="1"/>
    <col min="7" max="7" width="27.28515625" customWidth="1"/>
    <col min="8" max="8" width="4.28515625" customWidth="1"/>
    <col min="11" max="11" width="4.28515625" customWidth="1"/>
  </cols>
  <sheetData>
    <row r="1" spans="1:13" x14ac:dyDescent="0.25">
      <c r="A1" s="1" t="s">
        <v>336</v>
      </c>
    </row>
    <row r="3" spans="1:13" x14ac:dyDescent="0.25">
      <c r="A3" s="99" t="s">
        <v>227</v>
      </c>
      <c r="B3" s="99" t="s">
        <v>228</v>
      </c>
      <c r="D3" s="1" t="s">
        <v>337</v>
      </c>
      <c r="H3" s="1"/>
    </row>
    <row r="4" spans="1:13" x14ac:dyDescent="0.25">
      <c r="A4" s="50">
        <v>5</v>
      </c>
      <c r="B4" s="100">
        <v>80</v>
      </c>
      <c r="H4" s="1"/>
      <c r="I4" s="1"/>
      <c r="J4" s="1"/>
      <c r="K4" s="1"/>
      <c r="L4" s="1"/>
      <c r="M4" s="1"/>
    </row>
    <row r="5" spans="1:13" x14ac:dyDescent="0.25">
      <c r="A5" s="50">
        <v>23</v>
      </c>
      <c r="B5" s="50">
        <v>78</v>
      </c>
      <c r="D5" t="s">
        <v>31</v>
      </c>
      <c r="E5" s="114">
        <f>COUNT(A4:A18)</f>
        <v>15</v>
      </c>
      <c r="H5" s="1"/>
      <c r="I5" s="1"/>
      <c r="J5" s="1"/>
      <c r="K5" s="1"/>
      <c r="L5" s="1"/>
      <c r="M5" s="1"/>
    </row>
    <row r="6" spans="1:13" x14ac:dyDescent="0.25">
      <c r="A6" s="50">
        <v>25</v>
      </c>
      <c r="B6" s="50">
        <v>60</v>
      </c>
      <c r="D6" t="s">
        <v>60</v>
      </c>
      <c r="E6" s="23">
        <f>E5-2</f>
        <v>13</v>
      </c>
      <c r="G6" s="16" t="s">
        <v>352</v>
      </c>
      <c r="H6" s="1"/>
      <c r="I6" s="1"/>
      <c r="J6" s="1"/>
      <c r="K6" s="1"/>
      <c r="L6" s="1"/>
      <c r="M6" s="1"/>
    </row>
    <row r="7" spans="1:13" x14ac:dyDescent="0.25">
      <c r="A7" s="50">
        <v>48</v>
      </c>
      <c r="B7" s="50">
        <v>53</v>
      </c>
      <c r="D7" t="s">
        <v>340</v>
      </c>
      <c r="E7" s="122">
        <f>AVERAGE(A4:A18)</f>
        <v>19.399999999999999</v>
      </c>
      <c r="G7" s="16" t="s">
        <v>349</v>
      </c>
      <c r="H7" s="1"/>
      <c r="I7" s="1"/>
      <c r="J7" s="1"/>
      <c r="K7" s="1"/>
      <c r="L7" s="1"/>
      <c r="M7" s="1"/>
    </row>
    <row r="8" spans="1:13" ht="18" x14ac:dyDescent="0.35">
      <c r="A8" s="101">
        <v>17</v>
      </c>
      <c r="B8" s="50">
        <v>85</v>
      </c>
      <c r="D8" t="s">
        <v>345</v>
      </c>
      <c r="E8" s="23">
        <v>20</v>
      </c>
      <c r="H8" s="1"/>
      <c r="I8" s="1"/>
      <c r="J8" s="1"/>
      <c r="K8" s="1"/>
      <c r="L8" s="1"/>
      <c r="M8" s="1"/>
    </row>
    <row r="9" spans="1:13" ht="18" x14ac:dyDescent="0.35">
      <c r="A9" s="101">
        <v>8</v>
      </c>
      <c r="B9" s="50">
        <v>84</v>
      </c>
      <c r="D9" s="30" t="s">
        <v>346</v>
      </c>
      <c r="E9" s="23">
        <f>FORECAST(E8,B4:B18,A4:A18)</f>
        <v>73.156413090194633</v>
      </c>
      <c r="G9" s="16" t="s">
        <v>347</v>
      </c>
      <c r="H9" s="1"/>
      <c r="I9" s="1" t="s">
        <v>338</v>
      </c>
      <c r="J9" s="1"/>
      <c r="K9" s="1"/>
      <c r="L9" s="1" t="s">
        <v>339</v>
      </c>
      <c r="M9" s="1"/>
    </row>
    <row r="10" spans="1:13" ht="18" x14ac:dyDescent="0.35">
      <c r="A10" s="50">
        <v>4</v>
      </c>
      <c r="B10" s="50">
        <v>73</v>
      </c>
      <c r="D10" t="s">
        <v>260</v>
      </c>
      <c r="E10" s="23">
        <f>STEYX(B4:B18,A4:A18)</f>
        <v>7.9746827306891692</v>
      </c>
      <c r="G10" s="16" t="s">
        <v>348</v>
      </c>
      <c r="H10" s="1"/>
    </row>
    <row r="11" spans="1:13" ht="18" x14ac:dyDescent="0.35">
      <c r="A11" s="50">
        <v>26</v>
      </c>
      <c r="B11" s="50">
        <v>79</v>
      </c>
      <c r="D11" t="s">
        <v>341</v>
      </c>
      <c r="E11" s="23">
        <f>DEVSQ(A4:A18)</f>
        <v>2171.6000000000004</v>
      </c>
      <c r="G11" s="16" t="s">
        <v>353</v>
      </c>
      <c r="H11" s="1"/>
      <c r="I11" s="30" t="s">
        <v>346</v>
      </c>
      <c r="J11" s="123">
        <f>E9</f>
        <v>73.156413090194633</v>
      </c>
      <c r="K11" s="1"/>
      <c r="L11" s="30" t="s">
        <v>346</v>
      </c>
      <c r="M11" s="123">
        <f>FORECAST(0,B4:B18,A4:A18)</f>
        <v>85.720421194817945</v>
      </c>
    </row>
    <row r="12" spans="1:13" ht="18" x14ac:dyDescent="0.35">
      <c r="A12" s="50">
        <v>11</v>
      </c>
      <c r="B12" s="50">
        <v>81</v>
      </c>
      <c r="D12" t="s">
        <v>342</v>
      </c>
      <c r="E12" s="23">
        <f>E10*SQRT(1/E5+(E8-E7)^2/E11)</f>
        <v>2.0616127068929284</v>
      </c>
      <c r="G12" s="16" t="s">
        <v>354</v>
      </c>
      <c r="H12" s="1"/>
      <c r="I12" t="s">
        <v>342</v>
      </c>
      <c r="J12" s="23">
        <f>E10*SQRT(1+1/E5+(E8-E7)^2/E11)</f>
        <v>8.2368569010499648</v>
      </c>
      <c r="K12" s="1"/>
      <c r="L12" t="s">
        <v>342</v>
      </c>
      <c r="M12" s="23">
        <f>E10*SQRT(1/E5+E7^2/E11)</f>
        <v>3.9065908075799736</v>
      </c>
    </row>
    <row r="13" spans="1:13" x14ac:dyDescent="0.25">
      <c r="A13" s="50">
        <v>19</v>
      </c>
      <c r="B13" s="50">
        <v>75</v>
      </c>
      <c r="D13" t="s">
        <v>68</v>
      </c>
      <c r="E13" s="23">
        <f>TINV(0.05,E6)</f>
        <v>2.1603686564627926</v>
      </c>
      <c r="G13" s="16" t="s">
        <v>310</v>
      </c>
      <c r="H13" s="1"/>
      <c r="I13" t="s">
        <v>68</v>
      </c>
      <c r="J13" s="23">
        <f>TINV(0.05,E6)</f>
        <v>2.1603686564627926</v>
      </c>
      <c r="K13" s="1"/>
      <c r="L13" t="s">
        <v>68</v>
      </c>
      <c r="M13" s="23">
        <f>E13</f>
        <v>2.1603686564627926</v>
      </c>
    </row>
    <row r="14" spans="1:13" ht="18" x14ac:dyDescent="0.35">
      <c r="A14" s="50">
        <v>14</v>
      </c>
      <c r="B14" s="50">
        <v>68</v>
      </c>
      <c r="D14" t="s">
        <v>29</v>
      </c>
      <c r="E14" s="23">
        <f>E9-E13*E12</f>
        <v>68.702569616457737</v>
      </c>
      <c r="G14" s="16" t="s">
        <v>350</v>
      </c>
      <c r="H14" s="1"/>
      <c r="I14" t="s">
        <v>29</v>
      </c>
      <c r="J14" s="23">
        <f>J11-J13*J12</f>
        <v>55.36176561339704</v>
      </c>
      <c r="L14" t="s">
        <v>29</v>
      </c>
      <c r="M14" s="23">
        <f>M11-M13*M12</f>
        <v>77.280744860496497</v>
      </c>
    </row>
    <row r="15" spans="1:13" ht="18" x14ac:dyDescent="0.35">
      <c r="A15" s="50">
        <v>35</v>
      </c>
      <c r="B15" s="50">
        <v>72</v>
      </c>
      <c r="D15" t="s">
        <v>30</v>
      </c>
      <c r="E15" s="90">
        <f>E9+E13*E12</f>
        <v>77.610256563931529</v>
      </c>
      <c r="G15" s="16" t="s">
        <v>351</v>
      </c>
      <c r="H15" s="1"/>
      <c r="I15" t="s">
        <v>30</v>
      </c>
      <c r="J15" s="90">
        <f>J11+J13*J12</f>
        <v>90.951060566992226</v>
      </c>
      <c r="L15" t="s">
        <v>30</v>
      </c>
      <c r="M15" s="90">
        <f>M11+M13*M12</f>
        <v>94.160097529139392</v>
      </c>
    </row>
    <row r="16" spans="1:13" x14ac:dyDescent="0.25">
      <c r="A16" s="50">
        <v>29</v>
      </c>
      <c r="B16" s="50">
        <v>58</v>
      </c>
    </row>
    <row r="17" spans="1:2" x14ac:dyDescent="0.25">
      <c r="A17" s="50">
        <v>4</v>
      </c>
      <c r="B17" s="50">
        <v>92</v>
      </c>
    </row>
    <row r="18" spans="1:2" x14ac:dyDescent="0.25">
      <c r="A18" s="51">
        <v>23</v>
      </c>
      <c r="B18" s="51">
        <v>65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R28"/>
  <sheetViews>
    <sheetView zoomScale="93" workbookViewId="0"/>
  </sheetViews>
  <sheetFormatPr defaultRowHeight="15" x14ac:dyDescent="0.25"/>
  <cols>
    <col min="3" max="3" width="4.5703125" customWidth="1"/>
    <col min="4" max="5" width="10.5703125" customWidth="1"/>
    <col min="7" max="7" width="17.5703125" customWidth="1"/>
    <col min="8" max="8" width="11.5703125" customWidth="1"/>
    <col min="9" max="9" width="13.7109375" customWidth="1"/>
    <col min="10" max="13" width="13.140625" customWidth="1"/>
    <col min="15" max="15" width="13.42578125" customWidth="1"/>
    <col min="18" max="18" width="20.5703125" customWidth="1"/>
  </cols>
  <sheetData>
    <row r="1" spans="1:18" x14ac:dyDescent="0.25">
      <c r="A1" s="1" t="s">
        <v>355</v>
      </c>
    </row>
    <row r="3" spans="1:18" x14ac:dyDescent="0.25">
      <c r="A3" s="1312" t="s">
        <v>356</v>
      </c>
      <c r="B3" s="1312"/>
      <c r="C3" s="7"/>
      <c r="D3" s="1312" t="s">
        <v>357</v>
      </c>
      <c r="E3" s="1312"/>
      <c r="G3" t="s">
        <v>290</v>
      </c>
      <c r="O3" s="1" t="s">
        <v>361</v>
      </c>
    </row>
    <row r="4" spans="1:18" ht="15.75" thickBot="1" x14ac:dyDescent="0.3">
      <c r="A4" s="7"/>
      <c r="B4" s="7"/>
      <c r="C4" s="7"/>
      <c r="D4" s="7"/>
      <c r="E4" s="7"/>
    </row>
    <row r="5" spans="1:18" x14ac:dyDescent="0.25">
      <c r="A5" s="592" t="s">
        <v>4</v>
      </c>
      <c r="B5" s="592" t="s">
        <v>142</v>
      </c>
      <c r="C5" s="585"/>
      <c r="D5" s="592" t="s">
        <v>4</v>
      </c>
      <c r="E5" s="592" t="s">
        <v>358</v>
      </c>
      <c r="G5" s="21" t="s">
        <v>291</v>
      </c>
      <c r="H5" s="21"/>
      <c r="O5" t="s">
        <v>362</v>
      </c>
      <c r="P5" s="127">
        <f t="array" ref="P5:Q9">LOGEST(B6:B16,A6:A16,TRUE,TRUE)</f>
        <v>1.016221135918584</v>
      </c>
      <c r="Q5" s="127">
        <v>14.051351650751313</v>
      </c>
      <c r="R5" t="s">
        <v>363</v>
      </c>
    </row>
    <row r="6" spans="1:18" ht="18" x14ac:dyDescent="0.35">
      <c r="A6" s="585">
        <v>45</v>
      </c>
      <c r="B6" s="585">
        <v>33</v>
      </c>
      <c r="C6" s="585"/>
      <c r="D6" s="585">
        <f>A6</f>
        <v>45</v>
      </c>
      <c r="E6" s="585">
        <f>LN(B6)</f>
        <v>3.4965075614664802</v>
      </c>
      <c r="G6" s="19" t="s">
        <v>292</v>
      </c>
      <c r="H6" s="19">
        <v>0.9389424341263487</v>
      </c>
      <c r="O6" t="s">
        <v>364</v>
      </c>
      <c r="P6" s="127">
        <v>1.9655063255165986E-3</v>
      </c>
      <c r="Q6" s="127">
        <v>0.12108365936512579</v>
      </c>
      <c r="R6" t="s">
        <v>284</v>
      </c>
    </row>
    <row r="7" spans="1:18" ht="18" x14ac:dyDescent="0.35">
      <c r="A7" s="585">
        <v>99</v>
      </c>
      <c r="B7" s="585">
        <v>72</v>
      </c>
      <c r="C7" s="585"/>
      <c r="D7" s="585">
        <f t="shared" ref="D7:D16" si="0">A7</f>
        <v>99</v>
      </c>
      <c r="E7" s="585">
        <f t="shared" ref="E7:E16" si="1">LN(B7)</f>
        <v>4.2766661190160553</v>
      </c>
      <c r="G7" s="19" t="s">
        <v>285</v>
      </c>
      <c r="H7" s="19">
        <v>0.88161289460311276</v>
      </c>
      <c r="O7" t="s">
        <v>365</v>
      </c>
      <c r="P7" s="127">
        <v>0.88161289460311276</v>
      </c>
      <c r="Q7" s="127">
        <v>0.18665819972314818</v>
      </c>
      <c r="R7" t="s">
        <v>286</v>
      </c>
    </row>
    <row r="8" spans="1:18" ht="18" x14ac:dyDescent="0.35">
      <c r="A8" s="585">
        <v>31</v>
      </c>
      <c r="B8" s="585">
        <v>19</v>
      </c>
      <c r="C8" s="585"/>
      <c r="D8" s="585">
        <f t="shared" si="0"/>
        <v>31</v>
      </c>
      <c r="E8" s="585">
        <f t="shared" si="1"/>
        <v>2.9444389791664403</v>
      </c>
      <c r="G8" s="19" t="s">
        <v>293</v>
      </c>
      <c r="H8" s="19">
        <v>0.86845877178123643</v>
      </c>
      <c r="O8" t="s">
        <v>135</v>
      </c>
      <c r="P8" s="127">
        <v>67.021792828094917</v>
      </c>
      <c r="Q8" s="127">
        <v>9</v>
      </c>
      <c r="R8" t="s">
        <v>287</v>
      </c>
    </row>
    <row r="9" spans="1:18" ht="18" x14ac:dyDescent="0.35">
      <c r="A9" s="585">
        <v>57</v>
      </c>
      <c r="B9" s="585">
        <v>27</v>
      </c>
      <c r="C9" s="585"/>
      <c r="D9" s="585">
        <f t="shared" si="0"/>
        <v>57</v>
      </c>
      <c r="E9" s="585">
        <f t="shared" si="1"/>
        <v>3.2958368660043291</v>
      </c>
      <c r="G9" s="19" t="s">
        <v>11</v>
      </c>
      <c r="H9" s="19">
        <v>0.18665819972314818</v>
      </c>
      <c r="O9" t="s">
        <v>288</v>
      </c>
      <c r="P9" s="127">
        <v>2.3351252862028491</v>
      </c>
      <c r="Q9" s="127">
        <v>0.31357155171498002</v>
      </c>
      <c r="R9" t="s">
        <v>289</v>
      </c>
    </row>
    <row r="10" spans="1:18" ht="15.75" thickBot="1" x14ac:dyDescent="0.3">
      <c r="A10" s="585">
        <v>37</v>
      </c>
      <c r="B10" s="585">
        <v>23</v>
      </c>
      <c r="C10" s="585"/>
      <c r="D10" s="585">
        <f t="shared" si="0"/>
        <v>37</v>
      </c>
      <c r="E10" s="585">
        <f t="shared" si="1"/>
        <v>3.1354942159291497</v>
      </c>
      <c r="G10" s="20" t="s">
        <v>81</v>
      </c>
      <c r="H10" s="20">
        <v>11</v>
      </c>
    </row>
    <row r="11" spans="1:18" x14ac:dyDescent="0.25">
      <c r="A11" s="585">
        <v>85</v>
      </c>
      <c r="B11" s="585">
        <v>62</v>
      </c>
      <c r="C11" s="585"/>
      <c r="D11" s="585">
        <f t="shared" si="0"/>
        <v>85</v>
      </c>
      <c r="E11" s="585">
        <f t="shared" si="1"/>
        <v>4.1271343850450917</v>
      </c>
    </row>
    <row r="12" spans="1:18" ht="15.75" thickBot="1" x14ac:dyDescent="0.3">
      <c r="A12" s="585">
        <v>21</v>
      </c>
      <c r="B12" s="585">
        <v>24</v>
      </c>
      <c r="C12" s="585"/>
      <c r="D12" s="585">
        <f t="shared" si="0"/>
        <v>21</v>
      </c>
      <c r="E12" s="585">
        <f t="shared" si="1"/>
        <v>3.1780538303479458</v>
      </c>
      <c r="G12" t="s">
        <v>294</v>
      </c>
      <c r="O12" s="1" t="s">
        <v>367</v>
      </c>
    </row>
    <row r="13" spans="1:18" x14ac:dyDescent="0.25">
      <c r="A13" s="585">
        <v>64</v>
      </c>
      <c r="B13" s="585">
        <v>32</v>
      </c>
      <c r="C13" s="585"/>
      <c r="D13" s="585">
        <f t="shared" si="0"/>
        <v>64</v>
      </c>
      <c r="E13" s="585">
        <f t="shared" si="1"/>
        <v>3.4657359027997265</v>
      </c>
      <c r="G13" s="18"/>
      <c r="H13" s="18" t="s">
        <v>60</v>
      </c>
      <c r="I13" s="18" t="s">
        <v>219</v>
      </c>
      <c r="J13" s="18" t="s">
        <v>240</v>
      </c>
      <c r="K13" s="18" t="s">
        <v>135</v>
      </c>
      <c r="L13" s="18" t="s">
        <v>297</v>
      </c>
    </row>
    <row r="14" spans="1:18" x14ac:dyDescent="0.25">
      <c r="A14" s="585">
        <v>17</v>
      </c>
      <c r="B14" s="585">
        <v>18</v>
      </c>
      <c r="C14" s="585"/>
      <c r="D14" s="585">
        <f t="shared" si="0"/>
        <v>17</v>
      </c>
      <c r="E14" s="585">
        <f t="shared" si="1"/>
        <v>2.8903717578961645</v>
      </c>
      <c r="G14" s="19" t="s">
        <v>222</v>
      </c>
      <c r="H14" s="19">
        <v>1</v>
      </c>
      <c r="I14" s="19">
        <v>2.3351252862028491</v>
      </c>
      <c r="J14" s="19">
        <v>2.3351252862028491</v>
      </c>
      <c r="K14" s="19">
        <v>67.021792828094917</v>
      </c>
      <c r="L14" s="19">
        <v>1.8400738619043159E-5</v>
      </c>
      <c r="O14" s="13" t="s">
        <v>4</v>
      </c>
      <c r="P14" s="13" t="s">
        <v>142</v>
      </c>
    </row>
    <row r="15" spans="1:18" x14ac:dyDescent="0.25">
      <c r="A15" s="585">
        <v>41</v>
      </c>
      <c r="B15" s="585">
        <v>36</v>
      </c>
      <c r="C15" s="585"/>
      <c r="D15" s="585">
        <f t="shared" si="0"/>
        <v>41</v>
      </c>
      <c r="E15" s="585">
        <f t="shared" si="1"/>
        <v>3.5835189384561099</v>
      </c>
      <c r="G15" s="19" t="s">
        <v>295</v>
      </c>
      <c r="H15" s="19">
        <v>9</v>
      </c>
      <c r="I15" s="19">
        <v>0.31357155171498002</v>
      </c>
      <c r="J15" s="19">
        <v>3.4841283523886671E-2</v>
      </c>
      <c r="K15" s="19"/>
      <c r="L15" s="19"/>
      <c r="O15" s="663">
        <v>25</v>
      </c>
      <c r="P15" s="747">
        <f t="array" ref="P15:P16">GROWTH(B6:B16,A6:A16,O15:O16)</f>
        <v>21.00988555055768</v>
      </c>
    </row>
    <row r="16" spans="1:18" ht="15.75" thickBot="1" x14ac:dyDescent="0.3">
      <c r="A16" s="587">
        <v>103</v>
      </c>
      <c r="B16" s="587">
        <v>76</v>
      </c>
      <c r="C16" s="585"/>
      <c r="D16" s="587">
        <f t="shared" si="0"/>
        <v>103</v>
      </c>
      <c r="E16" s="587">
        <f t="shared" si="1"/>
        <v>4.3307333402863311</v>
      </c>
      <c r="G16" s="20" t="s">
        <v>1</v>
      </c>
      <c r="H16" s="20">
        <v>10</v>
      </c>
      <c r="I16" s="20">
        <v>2.6486968379178291</v>
      </c>
      <c r="J16" s="20"/>
      <c r="K16" s="20"/>
      <c r="L16" s="20"/>
      <c r="O16" s="409">
        <v>35</v>
      </c>
      <c r="P16" s="748">
        <v>24.677770454951915</v>
      </c>
    </row>
    <row r="17" spans="1:16" ht="15.75" thickBot="1" x14ac:dyDescent="0.3"/>
    <row r="18" spans="1:16" x14ac:dyDescent="0.25">
      <c r="G18" s="18"/>
      <c r="H18" s="18" t="s">
        <v>298</v>
      </c>
      <c r="I18" s="18" t="s">
        <v>11</v>
      </c>
      <c r="J18" s="18" t="s">
        <v>85</v>
      </c>
      <c r="K18" s="18" t="s">
        <v>119</v>
      </c>
      <c r="L18" s="18" t="s">
        <v>299</v>
      </c>
      <c r="M18" s="18" t="s">
        <v>300</v>
      </c>
      <c r="O18" s="1" t="s">
        <v>366</v>
      </c>
    </row>
    <row r="19" spans="1:16" x14ac:dyDescent="0.25">
      <c r="A19" t="s">
        <v>120</v>
      </c>
      <c r="B19" s="580">
        <f>CORREL(E6:E16,D6:D16)</f>
        <v>0.9389424341263487</v>
      </c>
      <c r="G19" s="19" t="s">
        <v>296</v>
      </c>
      <c r="H19" s="19">
        <v>2.6427185940530018</v>
      </c>
      <c r="I19" s="19">
        <v>0.12108365936512579</v>
      </c>
      <c r="J19" s="19">
        <v>21.825559352182506</v>
      </c>
      <c r="K19" s="19">
        <v>4.1968546343393487E-9</v>
      </c>
      <c r="L19" s="19">
        <v>2.3688083267223643</v>
      </c>
      <c r="M19" s="19">
        <v>2.9166288613836393</v>
      </c>
    </row>
    <row r="20" spans="1:16" ht="15.75" thickBot="1" x14ac:dyDescent="0.3">
      <c r="G20" s="20" t="s">
        <v>4</v>
      </c>
      <c r="H20" s="20">
        <v>1.6090978936384667E-2</v>
      </c>
      <c r="I20" s="20">
        <v>1.9655063255165986E-3</v>
      </c>
      <c r="J20" s="20">
        <v>8.1866838724904323</v>
      </c>
      <c r="K20" s="20">
        <v>1.8400738619043125E-5</v>
      </c>
      <c r="L20" s="20">
        <v>1.1644694723592112E-2</v>
      </c>
      <c r="M20" s="20">
        <v>2.0537263149177219E-2</v>
      </c>
      <c r="O20" s="13" t="s">
        <v>4</v>
      </c>
      <c r="P20" s="13" t="s">
        <v>142</v>
      </c>
    </row>
    <row r="21" spans="1:16" x14ac:dyDescent="0.25">
      <c r="O21" s="663">
        <v>25</v>
      </c>
      <c r="P21" s="747">
        <f>Q5*P5^O21</f>
        <v>21.00988555055774</v>
      </c>
    </row>
    <row r="22" spans="1:16" ht="17.25" x14ac:dyDescent="0.25">
      <c r="G22" t="s">
        <v>359</v>
      </c>
      <c r="H22" s="577">
        <f>EXP(H19)</f>
        <v>14.051351650751313</v>
      </c>
      <c r="J22" t="s">
        <v>4</v>
      </c>
      <c r="K22" s="577">
        <v>26</v>
      </c>
      <c r="O22" s="409">
        <v>35</v>
      </c>
      <c r="P22" s="748">
        <f>Q5*P5^O22</f>
        <v>24.677770454952011</v>
      </c>
    </row>
    <row r="23" spans="1:16" ht="17.25" x14ac:dyDescent="0.25">
      <c r="G23" t="s">
        <v>360</v>
      </c>
      <c r="H23" s="420">
        <f>EXP(H20)</f>
        <v>1.016221135918584</v>
      </c>
      <c r="J23" t="s">
        <v>142</v>
      </c>
      <c r="K23" s="420">
        <f>H22*H23^K22</f>
        <v>21.350689759707233</v>
      </c>
    </row>
    <row r="24" spans="1:16" x14ac:dyDescent="0.25">
      <c r="O24" s="1" t="s">
        <v>1591</v>
      </c>
    </row>
    <row r="26" spans="1:16" x14ac:dyDescent="0.25">
      <c r="O26" s="13" t="s">
        <v>4</v>
      </c>
      <c r="P26" s="13" t="s">
        <v>142</v>
      </c>
    </row>
    <row r="27" spans="1:16" x14ac:dyDescent="0.25">
      <c r="O27" s="663">
        <v>25</v>
      </c>
      <c r="P27" s="747">
        <f t="array" ref="P27:P28">EXP(TREND(LN(B6:B16),A6:A16,O15:O16))</f>
        <v>21.00988555055768</v>
      </c>
    </row>
    <row r="28" spans="1:16" x14ac:dyDescent="0.25">
      <c r="O28" s="409">
        <v>35</v>
      </c>
      <c r="P28" s="748">
        <v>24.677770454951908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4"/>
  <dimension ref="A1:G18"/>
  <sheetViews>
    <sheetView workbookViewId="0"/>
  </sheetViews>
  <sheetFormatPr defaultRowHeight="15" x14ac:dyDescent="0.25"/>
  <sheetData>
    <row r="1" spans="1:7" x14ac:dyDescent="0.25">
      <c r="A1" s="1" t="s">
        <v>355</v>
      </c>
      <c r="G1" s="1"/>
    </row>
    <row r="2" spans="1:7" x14ac:dyDescent="0.25">
      <c r="G2" s="1"/>
    </row>
    <row r="3" spans="1:7" x14ac:dyDescent="0.25">
      <c r="A3" s="592" t="s">
        <v>4</v>
      </c>
      <c r="B3" s="592" t="s">
        <v>142</v>
      </c>
      <c r="C3" s="592" t="s">
        <v>2393</v>
      </c>
      <c r="D3" s="592" t="s">
        <v>2394</v>
      </c>
      <c r="E3" s="592" t="s">
        <v>2395</v>
      </c>
      <c r="G3" s="1"/>
    </row>
    <row r="4" spans="1:7" x14ac:dyDescent="0.25">
      <c r="A4" s="1058">
        <v>45</v>
      </c>
      <c r="B4" s="1058">
        <v>33</v>
      </c>
      <c r="C4">
        <f>$B$16*EXP($B$17*A4)</f>
        <v>28.985991054631548</v>
      </c>
      <c r="D4">
        <f>B4-C4</f>
        <v>4.0140089453684524</v>
      </c>
      <c r="E4">
        <f>D4^2</f>
        <v>16.112267813497954</v>
      </c>
      <c r="G4" s="1"/>
    </row>
    <row r="5" spans="1:7" x14ac:dyDescent="0.25">
      <c r="A5" s="1058">
        <v>99</v>
      </c>
      <c r="B5" s="1058">
        <v>72</v>
      </c>
      <c r="C5">
        <f t="shared" ref="C5:C14" si="0">$B$16*EXP($B$17*A5)</f>
        <v>69.111801766231082</v>
      </c>
      <c r="D5">
        <f t="shared" ref="D5:D14" si="1">B5-C5</f>
        <v>2.888198233768918</v>
      </c>
      <c r="E5">
        <f t="shared" ref="E5:E14" si="2">D5^2</f>
        <v>8.3416890375458976</v>
      </c>
      <c r="G5" s="1"/>
    </row>
    <row r="6" spans="1:7" x14ac:dyDescent="0.25">
      <c r="A6" s="1058">
        <v>31</v>
      </c>
      <c r="B6" s="1058">
        <v>19</v>
      </c>
      <c r="C6">
        <f t="shared" si="0"/>
        <v>23.13944972150129</v>
      </c>
      <c r="D6">
        <f t="shared" si="1"/>
        <v>-4.1394497215012898</v>
      </c>
      <c r="E6">
        <f t="shared" si="2"/>
        <v>17.135043996837105</v>
      </c>
      <c r="G6" s="1"/>
    </row>
    <row r="7" spans="1:7" x14ac:dyDescent="0.25">
      <c r="A7" s="1058">
        <v>57</v>
      </c>
      <c r="B7" s="1058">
        <v>27</v>
      </c>
      <c r="C7">
        <f t="shared" si="0"/>
        <v>35.159835473030839</v>
      </c>
      <c r="D7">
        <f t="shared" si="1"/>
        <v>-8.1598354730308387</v>
      </c>
      <c r="E7">
        <f t="shared" si="2"/>
        <v>66.582914946932405</v>
      </c>
      <c r="G7" s="1"/>
    </row>
    <row r="8" spans="1:7" x14ac:dyDescent="0.25">
      <c r="A8" s="1058">
        <v>37</v>
      </c>
      <c r="B8" s="1058">
        <v>23</v>
      </c>
      <c r="C8">
        <f t="shared" si="0"/>
        <v>25.484866736919166</v>
      </c>
      <c r="D8">
        <f t="shared" si="1"/>
        <v>-2.4848667369191659</v>
      </c>
      <c r="E8">
        <f t="shared" si="2"/>
        <v>6.1745627002473036</v>
      </c>
      <c r="G8" s="1"/>
    </row>
    <row r="9" spans="1:7" x14ac:dyDescent="0.25">
      <c r="A9" s="1058">
        <v>85</v>
      </c>
      <c r="B9" s="1058">
        <v>62</v>
      </c>
      <c r="C9">
        <f t="shared" si="0"/>
        <v>55.171791749950778</v>
      </c>
      <c r="D9">
        <f t="shared" si="1"/>
        <v>6.8282082500492223</v>
      </c>
      <c r="E9">
        <f t="shared" si="2"/>
        <v>46.62442790604026</v>
      </c>
      <c r="G9" s="1"/>
    </row>
    <row r="10" spans="1:7" x14ac:dyDescent="0.25">
      <c r="A10" s="1058">
        <v>21</v>
      </c>
      <c r="B10" s="1058">
        <v>24</v>
      </c>
      <c r="C10">
        <f t="shared" si="0"/>
        <v>19.700207165760073</v>
      </c>
      <c r="D10">
        <f t="shared" si="1"/>
        <v>4.299792834239927</v>
      </c>
      <c r="E10">
        <f t="shared" si="2"/>
        <v>18.488218417381024</v>
      </c>
      <c r="G10" s="1"/>
    </row>
    <row r="11" spans="1:7" x14ac:dyDescent="0.25">
      <c r="A11" s="1058">
        <v>64</v>
      </c>
      <c r="B11" s="1058">
        <v>32</v>
      </c>
      <c r="C11">
        <f t="shared" si="0"/>
        <v>39.351781458825506</v>
      </c>
      <c r="D11">
        <f t="shared" si="1"/>
        <v>-7.3517814588255064</v>
      </c>
      <c r="E11">
        <f t="shared" si="2"/>
        <v>54.04869061833049</v>
      </c>
      <c r="G11" s="1"/>
    </row>
    <row r="12" spans="1:7" x14ac:dyDescent="0.25">
      <c r="A12" s="1058">
        <v>17</v>
      </c>
      <c r="B12" s="1058">
        <v>18</v>
      </c>
      <c r="C12">
        <f t="shared" si="0"/>
        <v>18.472169276693794</v>
      </c>
      <c r="D12">
        <f t="shared" si="1"/>
        <v>-0.47216927669379416</v>
      </c>
      <c r="E12">
        <f t="shared" si="2"/>
        <v>0.22294382585354075</v>
      </c>
      <c r="G12" s="1"/>
    </row>
    <row r="13" spans="1:7" x14ac:dyDescent="0.25">
      <c r="A13" s="1058">
        <v>41</v>
      </c>
      <c r="B13" s="1058">
        <v>36</v>
      </c>
      <c r="C13">
        <f t="shared" si="0"/>
        <v>27.179111818910052</v>
      </c>
      <c r="D13">
        <f t="shared" si="1"/>
        <v>8.8208881810899484</v>
      </c>
      <c r="E13">
        <f t="shared" si="2"/>
        <v>77.808068303292345</v>
      </c>
      <c r="G13" s="1"/>
    </row>
    <row r="14" spans="1:7" x14ac:dyDescent="0.25">
      <c r="A14" s="1059">
        <v>103</v>
      </c>
      <c r="B14" s="1059">
        <v>76</v>
      </c>
      <c r="C14" s="762">
        <f t="shared" si="0"/>
        <v>73.706384561531237</v>
      </c>
      <c r="D14" s="762">
        <f t="shared" si="1"/>
        <v>2.2936154384687626</v>
      </c>
      <c r="E14" s="762">
        <f t="shared" si="2"/>
        <v>5.2606717795822542</v>
      </c>
      <c r="G14" s="1"/>
    </row>
    <row r="15" spans="1:7" x14ac:dyDescent="0.25">
      <c r="E15">
        <f>SUM(E4:E14)</f>
        <v>316.7994993455406</v>
      </c>
      <c r="G15" s="1"/>
    </row>
    <row r="16" spans="1:7" x14ac:dyDescent="0.25">
      <c r="A16" s="30" t="s">
        <v>48</v>
      </c>
      <c r="B16" s="1041">
        <v>14.051351650751313</v>
      </c>
      <c r="G16" s="1"/>
    </row>
    <row r="17" spans="1:7" x14ac:dyDescent="0.25">
      <c r="A17" s="30" t="s">
        <v>1230</v>
      </c>
      <c r="B17" s="420">
        <v>1.6090978936384667E-2</v>
      </c>
      <c r="G17" s="1"/>
    </row>
    <row r="18" spans="1:7" x14ac:dyDescent="0.25">
      <c r="G18" s="1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5"/>
  <dimension ref="A1:G18"/>
  <sheetViews>
    <sheetView workbookViewId="0"/>
  </sheetViews>
  <sheetFormatPr defaultRowHeight="15" x14ac:dyDescent="0.25"/>
  <sheetData>
    <row r="1" spans="1:7" x14ac:dyDescent="0.25">
      <c r="A1" s="1" t="s">
        <v>355</v>
      </c>
      <c r="G1" s="1"/>
    </row>
    <row r="2" spans="1:7" x14ac:dyDescent="0.25">
      <c r="G2" s="1"/>
    </row>
    <row r="3" spans="1:7" x14ac:dyDescent="0.25">
      <c r="A3" s="592" t="s">
        <v>4</v>
      </c>
      <c r="B3" s="592" t="s">
        <v>142</v>
      </c>
      <c r="C3" s="592" t="s">
        <v>2393</v>
      </c>
      <c r="D3" s="592" t="s">
        <v>2394</v>
      </c>
      <c r="E3" s="592" t="s">
        <v>2395</v>
      </c>
      <c r="G3" s="1"/>
    </row>
    <row r="4" spans="1:7" x14ac:dyDescent="0.25">
      <c r="A4" s="1058">
        <v>45</v>
      </c>
      <c r="B4" s="1058">
        <v>33</v>
      </c>
      <c r="C4">
        <f>$B$16*EXP($B$17*A4)</f>
        <v>28.831659725051864</v>
      </c>
      <c r="D4">
        <f>B4-C4</f>
        <v>4.168340274948136</v>
      </c>
      <c r="E4">
        <f>D4^2</f>
        <v>17.375060647754701</v>
      </c>
      <c r="G4" s="1"/>
    </row>
    <row r="5" spans="1:7" x14ac:dyDescent="0.25">
      <c r="A5" s="1058">
        <v>99</v>
      </c>
      <c r="B5" s="1058">
        <v>72</v>
      </c>
      <c r="C5">
        <f t="shared" ref="C5:C14" si="0">$B$16*EXP($B$17*A5)</f>
        <v>71.635682908693667</v>
      </c>
      <c r="D5">
        <f t="shared" ref="D5:D14" si="1">B5-C5</f>
        <v>0.36431709130633294</v>
      </c>
      <c r="E5">
        <f t="shared" ref="E5:E14" si="2">D5^2</f>
        <v>0.13272694301790694</v>
      </c>
      <c r="G5" s="1"/>
    </row>
    <row r="6" spans="1:7" x14ac:dyDescent="0.25">
      <c r="A6" s="1058">
        <v>31</v>
      </c>
      <c r="B6" s="1058">
        <v>19</v>
      </c>
      <c r="C6">
        <f t="shared" si="0"/>
        <v>22.77167048124813</v>
      </c>
      <c r="D6">
        <f t="shared" si="1"/>
        <v>-3.7716704812481296</v>
      </c>
      <c r="E6">
        <f t="shared" si="2"/>
        <v>14.225498219118498</v>
      </c>
      <c r="G6" s="1"/>
    </row>
    <row r="7" spans="1:7" x14ac:dyDescent="0.25">
      <c r="A7" s="1058">
        <v>57</v>
      </c>
      <c r="B7" s="1058">
        <v>27</v>
      </c>
      <c r="C7">
        <f t="shared" si="0"/>
        <v>35.294346604949631</v>
      </c>
      <c r="D7">
        <f t="shared" si="1"/>
        <v>-8.2943466049496308</v>
      </c>
      <c r="E7">
        <f t="shared" si="2"/>
        <v>68.796185603039461</v>
      </c>
      <c r="G7" s="1"/>
    </row>
    <row r="8" spans="1:7" x14ac:dyDescent="0.25">
      <c r="A8" s="1058">
        <v>37</v>
      </c>
      <c r="B8" s="1058">
        <v>23</v>
      </c>
      <c r="C8">
        <f t="shared" si="0"/>
        <v>25.194900176602072</v>
      </c>
      <c r="D8">
        <f t="shared" si="1"/>
        <v>-2.1949001766020722</v>
      </c>
      <c r="E8">
        <f t="shared" si="2"/>
        <v>4.8175867852478076</v>
      </c>
      <c r="G8" s="1"/>
    </row>
    <row r="9" spans="1:7" x14ac:dyDescent="0.25">
      <c r="A9" s="1058">
        <v>85</v>
      </c>
      <c r="B9" s="1058">
        <v>62</v>
      </c>
      <c r="C9">
        <f t="shared" si="0"/>
        <v>56.578919890572372</v>
      </c>
      <c r="D9">
        <f t="shared" si="1"/>
        <v>5.4210801094276277</v>
      </c>
      <c r="E9">
        <f t="shared" si="2"/>
        <v>29.38810955283186</v>
      </c>
      <c r="G9" s="1"/>
    </row>
    <row r="10" spans="1:7" x14ac:dyDescent="0.25">
      <c r="A10" s="1058">
        <v>21</v>
      </c>
      <c r="B10" s="1058">
        <v>24</v>
      </c>
      <c r="C10">
        <f t="shared" si="0"/>
        <v>19.239715179033695</v>
      </c>
      <c r="D10">
        <f t="shared" si="1"/>
        <v>4.7602848209663051</v>
      </c>
      <c r="E10">
        <f t="shared" si="2"/>
        <v>22.660311576722208</v>
      </c>
      <c r="G10" s="1"/>
    </row>
    <row r="11" spans="1:7" x14ac:dyDescent="0.25">
      <c r="A11" s="1058">
        <v>64</v>
      </c>
      <c r="B11" s="1058">
        <v>32</v>
      </c>
      <c r="C11">
        <f t="shared" si="0"/>
        <v>39.713898621389717</v>
      </c>
      <c r="D11">
        <f t="shared" si="1"/>
        <v>-7.7138986213897169</v>
      </c>
      <c r="E11">
        <f t="shared" si="2"/>
        <v>59.504231941078174</v>
      </c>
      <c r="G11" s="1"/>
    </row>
    <row r="12" spans="1:7" x14ac:dyDescent="0.25">
      <c r="A12" s="1058">
        <v>17</v>
      </c>
      <c r="B12" s="1058">
        <v>18</v>
      </c>
      <c r="C12">
        <f t="shared" si="0"/>
        <v>17.985401515264826</v>
      </c>
      <c r="D12">
        <f t="shared" si="1"/>
        <v>1.4598484735174111E-2</v>
      </c>
      <c r="E12">
        <f t="shared" si="2"/>
        <v>2.1311575656311152E-4</v>
      </c>
      <c r="G12" s="1"/>
    </row>
    <row r="13" spans="1:7" x14ac:dyDescent="0.25">
      <c r="A13" s="1058">
        <v>41</v>
      </c>
      <c r="B13" s="1058">
        <v>36</v>
      </c>
      <c r="C13">
        <f t="shared" si="0"/>
        <v>26.952008991881108</v>
      </c>
      <c r="D13">
        <f t="shared" si="1"/>
        <v>9.0479910081188919</v>
      </c>
      <c r="E13">
        <f t="shared" si="2"/>
        <v>81.866141283000317</v>
      </c>
      <c r="G13" s="1"/>
    </row>
    <row r="14" spans="1:7" x14ac:dyDescent="0.25">
      <c r="A14" s="1059">
        <v>103</v>
      </c>
      <c r="B14" s="1059">
        <v>76</v>
      </c>
      <c r="C14" s="762">
        <f t="shared" si="0"/>
        <v>76.631602283055528</v>
      </c>
      <c r="D14" s="762">
        <f t="shared" si="1"/>
        <v>-0.63160228305552835</v>
      </c>
      <c r="E14" s="762">
        <f t="shared" si="2"/>
        <v>0.39892144396095575</v>
      </c>
      <c r="G14" s="1"/>
    </row>
    <row r="15" spans="1:7" x14ac:dyDescent="0.25">
      <c r="E15">
        <f>SUM(E4:E14)</f>
        <v>299.16498711152843</v>
      </c>
      <c r="G15" s="1"/>
    </row>
    <row r="16" spans="1:7" x14ac:dyDescent="0.25">
      <c r="A16" s="30" t="s">
        <v>48</v>
      </c>
      <c r="B16" s="1041">
        <v>13.504748758059534</v>
      </c>
      <c r="G16" s="1"/>
    </row>
    <row r="17" spans="1:7" x14ac:dyDescent="0.25">
      <c r="A17" s="30" t="s">
        <v>1230</v>
      </c>
      <c r="B17" s="420">
        <v>1.6854059909324152E-2</v>
      </c>
      <c r="G17" s="1"/>
    </row>
    <row r="18" spans="1:7" x14ac:dyDescent="0.25">
      <c r="G18" s="1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6"/>
  <dimension ref="A1:U32"/>
  <sheetViews>
    <sheetView zoomScale="101" zoomScaleNormal="100" workbookViewId="0"/>
  </sheetViews>
  <sheetFormatPr defaultRowHeight="15" x14ac:dyDescent="0.25"/>
  <cols>
    <col min="2" max="2" width="9.28515625" bestFit="1" customWidth="1"/>
    <col min="4" max="4" width="12.28515625" bestFit="1" customWidth="1"/>
    <col min="5" max="5" width="9.28515625" bestFit="1" customWidth="1"/>
    <col min="6" max="6" width="9.85546875" bestFit="1" customWidth="1"/>
    <col min="7" max="7" width="9.140625" customWidth="1"/>
    <col min="8" max="8" width="9.28515625" bestFit="1" customWidth="1"/>
    <col min="9" max="10" width="9.140625" customWidth="1"/>
    <col min="12" max="13" width="9.140625" customWidth="1"/>
    <col min="15" max="15" width="13.42578125" customWidth="1"/>
    <col min="16" max="17" width="13.5703125" customWidth="1"/>
    <col min="18" max="19" width="10.5703125" customWidth="1"/>
    <col min="20" max="21" width="13.7109375" customWidth="1"/>
  </cols>
  <sheetData>
    <row r="1" spans="1:13" x14ac:dyDescent="0.25">
      <c r="A1" s="1" t="s">
        <v>355</v>
      </c>
      <c r="M1" s="1"/>
    </row>
    <row r="2" spans="1:13" x14ac:dyDescent="0.25">
      <c r="M2" s="1"/>
    </row>
    <row r="3" spans="1:13" x14ac:dyDescent="0.25">
      <c r="A3" s="592" t="s">
        <v>4</v>
      </c>
      <c r="B3" s="592" t="s">
        <v>142</v>
      </c>
      <c r="C3" s="1061"/>
      <c r="D3" s="1061" t="s">
        <v>2396</v>
      </c>
      <c r="E3" s="1061" t="s">
        <v>2397</v>
      </c>
      <c r="F3" s="1061" t="s">
        <v>2401</v>
      </c>
      <c r="G3" s="1061" t="s">
        <v>2399</v>
      </c>
      <c r="H3" s="1061" t="s">
        <v>2398</v>
      </c>
      <c r="I3" s="1061" t="s">
        <v>2400</v>
      </c>
      <c r="K3" s="1061" t="s">
        <v>2403</v>
      </c>
      <c r="L3" s="1061" t="s">
        <v>2395</v>
      </c>
      <c r="M3" s="1"/>
    </row>
    <row r="4" spans="1:13" x14ac:dyDescent="0.25">
      <c r="A4" s="1062">
        <v>45</v>
      </c>
      <c r="B4" s="1062">
        <v>33</v>
      </c>
      <c r="C4" s="1062"/>
      <c r="D4">
        <f>EXP($B$20*A4)</f>
        <v>2.0628614082889096</v>
      </c>
      <c r="E4">
        <f>(B4-$B$19*D4)*D4</f>
        <v>8.2803441459270459</v>
      </c>
      <c r="F4">
        <f>E4*A4*$B$19</f>
        <v>5235.7512322647435</v>
      </c>
      <c r="G4">
        <f>-(D4^2)</f>
        <v>-4.2553971898077032</v>
      </c>
      <c r="H4">
        <f t="shared" ref="H4:H14" si="0">(B4-2*$B$19*D4)*D4*A4</f>
        <v>-2318.1182181755967</v>
      </c>
      <c r="I4">
        <f>H4*$B$19*A4</f>
        <v>-1465771.2413219262</v>
      </c>
      <c r="K4">
        <f>$B$31*EXP($B$32*A4)</f>
        <v>28.831680595438126</v>
      </c>
      <c r="L4">
        <f>(B4-K4)^2</f>
        <v>17.374886658447057</v>
      </c>
      <c r="M4" s="1"/>
    </row>
    <row r="5" spans="1:13" x14ac:dyDescent="0.25">
      <c r="A5" s="1062">
        <v>99</v>
      </c>
      <c r="B5" s="1062">
        <v>72</v>
      </c>
      <c r="C5" s="1062"/>
      <c r="D5">
        <f t="shared" ref="D5:D14" si="1">EXP($B$20*A5)</f>
        <v>4.9185162740223456</v>
      </c>
      <c r="E5">
        <f t="shared" ref="E5:E14" si="2">(B5-$B$19*D5)*D5</f>
        <v>14.205650015395019</v>
      </c>
      <c r="F5">
        <f t="shared" ref="F5:F14" si="3">E5*A5*$B$19</f>
        <v>19761.249795587806</v>
      </c>
      <c r="G5">
        <f t="shared" ref="G5:G14" si="4">-(D5^2)</f>
        <v>-24.191802337822658</v>
      </c>
      <c r="H5">
        <f t="shared" si="0"/>
        <v>-32246.465298183066</v>
      </c>
      <c r="I5">
        <f t="shared" ref="I5:I14" si="5">H5*$B$19*A5</f>
        <v>-44857535.916453429</v>
      </c>
      <c r="K5">
        <f t="shared" ref="K5:K14" si="6">$B$31*EXP($B$32*A5)</f>
        <v>71.635797078864869</v>
      </c>
      <c r="L5">
        <f t="shared" ref="L5:L14" si="7">(B5-K5)^2</f>
        <v>0.13264376776336276</v>
      </c>
      <c r="M5" s="1"/>
    </row>
    <row r="6" spans="1:13" x14ac:dyDescent="0.25">
      <c r="A6" s="1062">
        <v>31</v>
      </c>
      <c r="B6" s="1062">
        <v>19</v>
      </c>
      <c r="C6" s="1062"/>
      <c r="D6">
        <f t="shared" si="1"/>
        <v>1.6467774984667787</v>
      </c>
      <c r="E6">
        <f t="shared" si="2"/>
        <v>-6.8167526574028976</v>
      </c>
      <c r="F6">
        <f t="shared" si="3"/>
        <v>-2969.3222498662099</v>
      </c>
      <c r="G6">
        <f t="shared" si="4"/>
        <v>-2.7118761294565012</v>
      </c>
      <c r="H6">
        <f t="shared" si="0"/>
        <v>-1392.5906113559122</v>
      </c>
      <c r="I6">
        <f t="shared" si="5"/>
        <v>-606601.19195659691</v>
      </c>
      <c r="K6">
        <f t="shared" si="6"/>
        <v>22.771681829358332</v>
      </c>
      <c r="L6">
        <f t="shared" si="7"/>
        <v>14.225583821911815</v>
      </c>
      <c r="M6" s="1"/>
    </row>
    <row r="7" spans="1:13" x14ac:dyDescent="0.25">
      <c r="A7" s="1062">
        <v>57</v>
      </c>
      <c r="B7" s="1062">
        <v>27</v>
      </c>
      <c r="C7" s="1062"/>
      <c r="D7">
        <f t="shared" si="1"/>
        <v>2.5022386704805637</v>
      </c>
      <c r="E7">
        <f t="shared" si="2"/>
        <v>-20.417855865376826</v>
      </c>
      <c r="F7">
        <f t="shared" si="3"/>
        <v>-16353.212944969608</v>
      </c>
      <c r="G7">
        <f t="shared" si="4"/>
        <v>-6.2611983640483393</v>
      </c>
      <c r="H7">
        <f t="shared" si="0"/>
        <v>-6178.5808825225458</v>
      </c>
      <c r="I7">
        <f t="shared" si="5"/>
        <v>-4948592.522927219</v>
      </c>
      <c r="K7">
        <f t="shared" si="6"/>
        <v>35.294378976198381</v>
      </c>
      <c r="L7">
        <f t="shared" si="7"/>
        <v>68.796722600801701</v>
      </c>
      <c r="M7" s="1"/>
    </row>
    <row r="8" spans="1:13" x14ac:dyDescent="0.25">
      <c r="A8" s="1062">
        <v>37</v>
      </c>
      <c r="B8" s="1062">
        <v>23</v>
      </c>
      <c r="C8" s="1062"/>
      <c r="D8">
        <f t="shared" si="1"/>
        <v>1.8136950359189477</v>
      </c>
      <c r="E8">
        <f t="shared" si="2"/>
        <v>-4.506790465670405</v>
      </c>
      <c r="F8">
        <f t="shared" si="3"/>
        <v>-2343.0804130273605</v>
      </c>
      <c r="G8">
        <f t="shared" si="4"/>
        <v>-3.2894896833170328</v>
      </c>
      <c r="H8">
        <f t="shared" si="0"/>
        <v>-1876.9569700266345</v>
      </c>
      <c r="I8">
        <f t="shared" si="5"/>
        <v>-975829.94950939855</v>
      </c>
      <c r="K8">
        <f t="shared" si="6"/>
        <v>25.194915167512317</v>
      </c>
      <c r="L8">
        <f t="shared" si="7"/>
        <v>4.8176525925756222</v>
      </c>
      <c r="M8" s="1"/>
    </row>
    <row r="9" spans="1:13" x14ac:dyDescent="0.25">
      <c r="A9" s="1062">
        <v>85</v>
      </c>
      <c r="B9" s="1062">
        <v>62</v>
      </c>
      <c r="C9" s="1062"/>
      <c r="D9">
        <f t="shared" si="1"/>
        <v>3.9264401832118971</v>
      </c>
      <c r="E9">
        <f t="shared" si="2"/>
        <v>26.810551252332257</v>
      </c>
      <c r="F9">
        <f t="shared" si="3"/>
        <v>32021.581105745983</v>
      </c>
      <c r="G9">
        <f t="shared" si="4"/>
        <v>-15.416932512341077</v>
      </c>
      <c r="H9">
        <f t="shared" si="0"/>
        <v>-16134.546052630214</v>
      </c>
      <c r="I9">
        <f t="shared" si="5"/>
        <v>-19270535.326413635</v>
      </c>
      <c r="K9">
        <f t="shared" si="6"/>
        <v>56.578997303767778</v>
      </c>
      <c r="L9">
        <f t="shared" si="7"/>
        <v>29.387270232557018</v>
      </c>
      <c r="M9" s="1"/>
    </row>
    <row r="10" spans="1:13" x14ac:dyDescent="0.25">
      <c r="A10" s="1062">
        <v>21</v>
      </c>
      <c r="B10" s="1062">
        <v>24</v>
      </c>
      <c r="C10" s="1062"/>
      <c r="D10">
        <f t="shared" si="1"/>
        <v>1.4020150982917519</v>
      </c>
      <c r="E10">
        <f t="shared" si="2"/>
        <v>6.0283744731310618</v>
      </c>
      <c r="F10">
        <f t="shared" si="3"/>
        <v>1778.8430016919215</v>
      </c>
      <c r="G10">
        <f t="shared" si="4"/>
        <v>-1.9656463358380307</v>
      </c>
      <c r="H10">
        <f t="shared" si="0"/>
        <v>-453.42388166753835</v>
      </c>
      <c r="I10">
        <f t="shared" si="5"/>
        <v>-133795.58657134388</v>
      </c>
      <c r="K10">
        <f t="shared" si="6"/>
        <v>19.239721667677177</v>
      </c>
      <c r="L10">
        <f t="shared" si="7"/>
        <v>22.660249801182157</v>
      </c>
      <c r="M10" s="1"/>
    </row>
    <row r="11" spans="1:13" x14ac:dyDescent="0.25">
      <c r="A11" s="1062">
        <v>64</v>
      </c>
      <c r="B11" s="1062">
        <v>32</v>
      </c>
      <c r="C11" s="1062"/>
      <c r="D11">
        <f t="shared" si="1"/>
        <v>2.8005691151229146</v>
      </c>
      <c r="E11">
        <f t="shared" si="2"/>
        <v>-20.589172094719999</v>
      </c>
      <c r="F11">
        <f t="shared" si="3"/>
        <v>-18515.56462724779</v>
      </c>
      <c r="G11">
        <f t="shared" si="4"/>
        <v>-7.8431873685803453</v>
      </c>
      <c r="H11">
        <f t="shared" si="0"/>
        <v>-8370.9795758958899</v>
      </c>
      <c r="I11">
        <f t="shared" si="5"/>
        <v>-7527908.9716588948</v>
      </c>
      <c r="K11">
        <f t="shared" si="6"/>
        <v>39.71393952444263</v>
      </c>
      <c r="L11">
        <f t="shared" si="7"/>
        <v>59.504862986758184</v>
      </c>
      <c r="M11" s="1"/>
    </row>
    <row r="12" spans="1:13" x14ac:dyDescent="0.25">
      <c r="A12" s="1062">
        <v>17</v>
      </c>
      <c r="B12" s="1062">
        <v>18</v>
      </c>
      <c r="C12" s="1062"/>
      <c r="D12">
        <f t="shared" si="1"/>
        <v>1.3146186741192336</v>
      </c>
      <c r="E12">
        <f t="shared" si="2"/>
        <v>-0.62072254848703323</v>
      </c>
      <c r="F12">
        <f t="shared" si="3"/>
        <v>-148.27384370781121</v>
      </c>
      <c r="G12">
        <f t="shared" si="4"/>
        <v>-1.7282222583430118</v>
      </c>
      <c r="H12">
        <f t="shared" si="0"/>
        <v>-423.37788092904464</v>
      </c>
      <c r="I12">
        <f t="shared" si="5"/>
        <v>-101133.53526342672</v>
      </c>
      <c r="K12">
        <f t="shared" si="6"/>
        <v>17.985406421975124</v>
      </c>
      <c r="L12">
        <f t="shared" si="7"/>
        <v>2.1297251956813195E-4</v>
      </c>
      <c r="M12" s="1"/>
    </row>
    <row r="13" spans="1:13" x14ac:dyDescent="0.25">
      <c r="A13" s="1062">
        <v>41</v>
      </c>
      <c r="B13" s="1062">
        <v>36</v>
      </c>
      <c r="C13" s="1062"/>
      <c r="D13">
        <f t="shared" si="1"/>
        <v>1.9342702748071079</v>
      </c>
      <c r="E13">
        <f t="shared" si="2"/>
        <v>17.061981806079626</v>
      </c>
      <c r="F13">
        <f t="shared" si="3"/>
        <v>9829.5001548537784</v>
      </c>
      <c r="G13">
        <f t="shared" si="4"/>
        <v>-3.7414014960023647</v>
      </c>
      <c r="H13">
        <f t="shared" si="0"/>
        <v>-1455.900417516762</v>
      </c>
      <c r="I13">
        <f t="shared" si="5"/>
        <v>-838752.11813515075</v>
      </c>
      <c r="K13">
        <f t="shared" si="6"/>
        <v>26.952026764955445</v>
      </c>
      <c r="L13">
        <f t="shared" si="7"/>
        <v>81.865819662082629</v>
      </c>
      <c r="M13" s="1"/>
    </row>
    <row r="14" spans="1:13" x14ac:dyDescent="0.25">
      <c r="A14" s="1064">
        <v>103</v>
      </c>
      <c r="B14" s="1064">
        <v>76</v>
      </c>
      <c r="C14" s="860"/>
      <c r="D14" s="880">
        <f t="shared" si="1"/>
        <v>5.2455013861666631</v>
      </c>
      <c r="E14" s="880">
        <f t="shared" si="2"/>
        <v>12.031162961821153</v>
      </c>
      <c r="F14" s="880">
        <f t="shared" si="3"/>
        <v>17412.572459036503</v>
      </c>
      <c r="G14" s="880">
        <f t="shared" si="4"/>
        <v>-27.515284792276383</v>
      </c>
      <c r="H14" s="880">
        <f t="shared" si="0"/>
        <v>-38583.365280777478</v>
      </c>
      <c r="I14" s="880">
        <f t="shared" si="5"/>
        <v>-55841288.643248126</v>
      </c>
      <c r="K14" s="880">
        <f t="shared" si="6"/>
        <v>76.631729353392316</v>
      </c>
      <c r="L14" s="880">
        <f t="shared" si="7"/>
        <v>0.39908197593747402</v>
      </c>
      <c r="M14" s="1"/>
    </row>
    <row r="15" spans="1:13" x14ac:dyDescent="0.25">
      <c r="E15">
        <f>SUM(E4:E14)</f>
        <v>31.466771023029001</v>
      </c>
      <c r="F15">
        <f>SUM(F4:F14)</f>
        <v>45710.043670361963</v>
      </c>
      <c r="G15">
        <f>SUM(G4:G14)</f>
        <v>-98.920438467833435</v>
      </c>
      <c r="H15">
        <f>SUM(H4:H14)</f>
        <v>-109434.30506968067</v>
      </c>
      <c r="I15">
        <f>SUM(I4:I14)</f>
        <v>-136567745.00345916</v>
      </c>
      <c r="L15">
        <f>SUM(L4:L14)</f>
        <v>299.16498707253658</v>
      </c>
      <c r="M15" s="1"/>
    </row>
    <row r="18" spans="1:21" ht="15" customHeight="1" thickBot="1" x14ac:dyDescent="0.3">
      <c r="B18" s="1060" t="s">
        <v>131</v>
      </c>
      <c r="D18" s="1060" t="s">
        <v>135</v>
      </c>
      <c r="F18" s="1313" t="s">
        <v>1250</v>
      </c>
      <c r="G18" s="1313"/>
      <c r="I18" s="1313" t="s">
        <v>1251</v>
      </c>
      <c r="J18" s="1313"/>
      <c r="L18" s="1313" t="s">
        <v>2402</v>
      </c>
      <c r="M18" s="1313"/>
      <c r="O18" t="s">
        <v>294</v>
      </c>
    </row>
    <row r="19" spans="1:21" x14ac:dyDescent="0.25">
      <c r="A19" t="s">
        <v>41</v>
      </c>
      <c r="B19" s="1041">
        <f>EXP('Exp Reg'!H19)</f>
        <v>14.051351650751313</v>
      </c>
      <c r="D19" s="1041">
        <f>SUMPRODUCT(SUMPRODUCT($B$4:$B$14-B19*EXP(B20*$A$4:$A$14),EXP(B20*$A$4:$A$14)))</f>
        <v>31.466771023029001</v>
      </c>
      <c r="F19" s="869">
        <f>-SUMPRODUCT(EXP(2*B20*$A$4:$A$14))</f>
        <v>-98.920438467833435</v>
      </c>
      <c r="G19" s="870">
        <f>SUMPRODUCT(SUMPRODUCT($B$4:$B$14-2*B19*EXP(B20*$A$4:$A$14),EXP(B20*$A$4:$A$14),$A$4:$A$14))</f>
        <v>-109434.30506968067</v>
      </c>
      <c r="I19" s="869">
        <f t="array" ref="I19:J20">MINVERSE(F19:G20)</f>
        <v>-8.9057745334146413E-2</v>
      </c>
      <c r="J19" s="870">
        <v>7.1363647920437233E-5</v>
      </c>
      <c r="L19" s="869">
        <f t="array" ref="L19:M20">MINVERSE(MMULT(TRANSPOSE(F19:G20),F19:G20))</f>
        <v>7.9312870135182113E-3</v>
      </c>
      <c r="M19" s="870">
        <v>-6.3554901193851508E-6</v>
      </c>
      <c r="O19" s="1063"/>
      <c r="P19" s="1063" t="s">
        <v>60</v>
      </c>
      <c r="Q19" s="1063" t="s">
        <v>219</v>
      </c>
      <c r="R19" s="1063" t="s">
        <v>240</v>
      </c>
      <c r="S19" s="1063" t="s">
        <v>135</v>
      </c>
      <c r="T19" s="1063" t="s">
        <v>297</v>
      </c>
    </row>
    <row r="20" spans="1:21" x14ac:dyDescent="0.25">
      <c r="A20" t="s">
        <v>42</v>
      </c>
      <c r="B20" s="420">
        <f>'Exp Reg'!H20</f>
        <v>1.6090978936384667E-2</v>
      </c>
      <c r="D20" s="420">
        <f>B19*SUMPRODUCT(SUMPRODUCT($B$4:$B$14-B19*EXP(B20*$A$4:$A$14),EXP(B20*$A$4:$A$14),$A$4:$A$14))</f>
        <v>45710.043670361949</v>
      </c>
      <c r="F20" s="409">
        <f>G19</f>
        <v>-109434.30506968067</v>
      </c>
      <c r="G20" s="417">
        <f>B19*SUMPRODUCT(SUMPRODUCT($B$4:$B$14-2*B19*EXP(B20*$A$4:$A$14),EXP(B20*$A$4:$A$14),$A$4:$A$14^2))</f>
        <v>-136567745.00345916</v>
      </c>
      <c r="I20" s="409">
        <v>7.136364792043722E-5</v>
      </c>
      <c r="J20" s="417">
        <v>-6.4507407786423284E-8</v>
      </c>
      <c r="L20" s="409">
        <v>-6.3554901193851508E-6</v>
      </c>
      <c r="M20" s="417">
        <v>5.0927743522595784E-9</v>
      </c>
      <c r="O20" s="19" t="s">
        <v>222</v>
      </c>
      <c r="P20" s="19">
        <v>1</v>
      </c>
      <c r="Q20" s="19">
        <f>DEVSQ(K4:K14)</f>
        <v>4333.0059138129564</v>
      </c>
      <c r="R20" s="19">
        <f>Q20/P20</f>
        <v>4333.0059138129564</v>
      </c>
      <c r="S20" s="19">
        <f>R20/R21</f>
        <v>130.35299887837891</v>
      </c>
      <c r="T20" s="19">
        <f>FDIST(S20,P20,P21)</f>
        <v>1.1753122335270968E-6</v>
      </c>
    </row>
    <row r="21" spans="1:21" x14ac:dyDescent="0.25">
      <c r="O21" s="19" t="s">
        <v>295</v>
      </c>
      <c r="P21" s="19">
        <v>9</v>
      </c>
      <c r="Q21" s="19">
        <f>SUMPRODUCT((B4:B14-B31*EXP(B32*A4:A14))^2)</f>
        <v>299.16498707253658</v>
      </c>
      <c r="R21" s="19">
        <f>Q21/P21</f>
        <v>33.240554119170731</v>
      </c>
      <c r="S21" s="19"/>
      <c r="T21" s="19"/>
    </row>
    <row r="22" spans="1:21" ht="15.75" thickBot="1" x14ac:dyDescent="0.3">
      <c r="A22" t="s">
        <v>41</v>
      </c>
      <c r="B22" s="1041">
        <f t="array" ref="B22:B23">B19:B20-MMULT(I19:J20,D19:D20)</f>
        <v>13.591675868088608</v>
      </c>
      <c r="D22" s="1041">
        <f>SUMPRODUCT(SUMPRODUCT($B$4:$B$14-B22*EXP(B23*$A$4:$A$14),EXP(B23*$A$4:$A$14)))</f>
        <v>-2.2474664483722337</v>
      </c>
      <c r="F22" s="869">
        <f>-SUMPRODUCT(EXP(2*B23*$A$4:$A$14))</f>
        <v>-110.93721400042701</v>
      </c>
      <c r="G22" s="870">
        <f>SUMPRODUCT(SUMPRODUCT($B$4:$B$14-2*B22*EXP(B23*$A$4:$A$14),EXP(B23*$A$4:$A$14),$A$4:$A$14))</f>
        <v>-123761.05340297079</v>
      </c>
      <c r="I22" s="869">
        <f t="array" ref="I22:J23">MINVERSE(F22:G23)</f>
        <v>-0.1065929301789774</v>
      </c>
      <c r="J22" s="870">
        <v>8.7467926367358631E-5</v>
      </c>
      <c r="L22" s="869">
        <f t="array" ref="L22:M23">MINVERSE(MMULT(TRANSPOSE(F22:G23),F22:G23))</f>
        <v>1.1362059961978449E-2</v>
      </c>
      <c r="M22" s="870">
        <v>-9.3234690545139224E-6</v>
      </c>
      <c r="O22" s="20" t="s">
        <v>1</v>
      </c>
      <c r="P22" s="20">
        <f>COUNT(A4:A14)-1</f>
        <v>10</v>
      </c>
      <c r="Q22" s="20">
        <f>DEVSQ(B4:B14)</f>
        <v>4542.545454545454</v>
      </c>
      <c r="R22" s="20"/>
      <c r="S22" s="20"/>
      <c r="T22" s="20"/>
    </row>
    <row r="23" spans="1:21" ht="15.75" thickBot="1" x14ac:dyDescent="0.3">
      <c r="A23" t="s">
        <v>42</v>
      </c>
      <c r="B23" s="420">
        <v>1.6794031794883462E-2</v>
      </c>
      <c r="D23" s="420">
        <f>B22*SUMPRODUCT(SUMPRODUCT($B$4:$B$14-B22*EXP(B23*$A$4:$A$14),EXP(B23*$A$4:$A$14),$A$4:$A$14))</f>
        <v>-1730.7024143965166</v>
      </c>
      <c r="F23" s="409">
        <f>G22</f>
        <v>-123761.05340297079</v>
      </c>
      <c r="G23" s="417">
        <f>B22*SUMPRODUCT(SUMPRODUCT($B$4:$B$14-2*B22*EXP(B23*$A$4:$A$14),EXP(B23*$A$4:$A$14),$A$4:$A$14^2))</f>
        <v>-150821608.2413334</v>
      </c>
      <c r="I23" s="409">
        <v>8.7467926367358631E-5</v>
      </c>
      <c r="J23" s="417">
        <v>-7.8404698398893328E-8</v>
      </c>
      <c r="L23" s="409">
        <v>-9.3234690545139224E-6</v>
      </c>
      <c r="M23" s="417">
        <v>7.6506439854094563E-9</v>
      </c>
    </row>
    <row r="24" spans="1:21" x14ac:dyDescent="0.25">
      <c r="O24" s="1063"/>
      <c r="P24" s="1063" t="s">
        <v>298</v>
      </c>
      <c r="Q24" s="1063" t="s">
        <v>11</v>
      </c>
      <c r="R24" s="1063" t="s">
        <v>85</v>
      </c>
      <c r="S24" s="1063" t="s">
        <v>119</v>
      </c>
      <c r="T24" s="1063" t="s">
        <v>299</v>
      </c>
      <c r="U24" s="1063" t="s">
        <v>300</v>
      </c>
    </row>
    <row r="25" spans="1:21" x14ac:dyDescent="0.25">
      <c r="A25" t="s">
        <v>41</v>
      </c>
      <c r="B25" s="1041">
        <f t="array" ref="B25:B26">B22:B23-MMULT(I22:J23,D22:D23)</f>
        <v>13.503492785223916</v>
      </c>
      <c r="D25" s="1041">
        <f>SUMPRODUCT(SUMPRODUCT($B$4:$B$14-B25*EXP(B26*$A$4:$A$14),EXP(B26*$A$4:$A$14)))</f>
        <v>3.6187446445770988E-2</v>
      </c>
      <c r="F25" s="869">
        <f>-SUMPRODUCT(EXP(2*B26*$A$4:$A$14))</f>
        <v>-112.05097021702277</v>
      </c>
      <c r="G25" s="870">
        <f>SUMPRODUCT(SUMPRODUCT($B$4:$B$14-2*B25*EXP(B26*$A$4:$A$14),EXP(B26*$A$4:$A$14),$A$4:$A$14))</f>
        <v>-124181.14752074688</v>
      </c>
      <c r="I25" s="869">
        <f t="array" ref="I25:J26">MINVERSE(F25:G26)</f>
        <v>-0.10456456285232282</v>
      </c>
      <c r="J25" s="870">
        <v>8.6297807129952803E-5</v>
      </c>
      <c r="L25" s="869">
        <f t="array" ref="L25:M26">MINVERSE(MMULT(TRANSPOSE(F25:G26),F25:G26))</f>
        <v>1.0933755634159197E-2</v>
      </c>
      <c r="M25" s="870">
        <v>-9.0236995130621391E-6</v>
      </c>
      <c r="O25" s="19" t="s">
        <v>296</v>
      </c>
      <c r="P25" s="19">
        <f>B31</f>
        <v>13.504748744042464</v>
      </c>
      <c r="Q25" s="19">
        <f>SQRT(L31*R21)</f>
        <v>0.6030423848812223</v>
      </c>
      <c r="R25" s="19">
        <f>P25/Q25</f>
        <v>22.394360798872231</v>
      </c>
      <c r="S25" s="19">
        <f>TDIST(ABS(R25),P21,2)</f>
        <v>3.3420875597703758E-9</v>
      </c>
      <c r="T25" s="19">
        <f>P25-Q25*TINV(0.05,P21)</f>
        <v>12.140572093612494</v>
      </c>
      <c r="U25" s="19">
        <f>P25+Q25*TINV(0.05,P21)</f>
        <v>14.868925394472434</v>
      </c>
    </row>
    <row r="26" spans="1:21" ht="15.75" thickBot="1" x14ac:dyDescent="0.3">
      <c r="A26" t="s">
        <v>42</v>
      </c>
      <c r="B26" s="420">
        <v>1.6854917823883798E-2</v>
      </c>
      <c r="D26" s="420">
        <f>B25*SUMPRODUCT(SUMPRODUCT($B$4:$B$14-B25*EXP(B26*$A$4:$A$14),EXP(B26*$A$4:$A$14),$A$4:$A$14))</f>
        <v>29.296880182897066</v>
      </c>
      <c r="F26" s="409">
        <f>G25</f>
        <v>-124181.14752074688</v>
      </c>
      <c r="G26" s="417">
        <f>B25*SUMPRODUCT(SUMPRODUCT($B$4:$B$14-2*B25*EXP(B26*$A$4:$A$14),EXP(B26*$A$4:$A$14),$A$4:$A$14^2))</f>
        <v>-150466713.31350449</v>
      </c>
      <c r="I26" s="409">
        <v>8.6297807129952789E-5</v>
      </c>
      <c r="J26" s="417">
        <v>-7.7868124184447518E-8</v>
      </c>
      <c r="L26" s="409">
        <v>-9.0236995130621391E-6</v>
      </c>
      <c r="M26" s="417">
        <v>7.4473178393138721E-9</v>
      </c>
      <c r="O26" s="20" t="s">
        <v>4</v>
      </c>
      <c r="P26" s="20">
        <f>B32</f>
        <v>1.68540760183934E-2</v>
      </c>
      <c r="Q26" s="20">
        <f>SQRT(M32*R21)</f>
        <v>4.9765375578626194E-4</v>
      </c>
      <c r="R26" s="20">
        <f>P26/Q26</f>
        <v>33.867072884369193</v>
      </c>
      <c r="S26" s="20">
        <f>TDIST(ABS(R26),P21,2)</f>
        <v>8.4136531463416513E-11</v>
      </c>
      <c r="T26" s="20">
        <f>P26-Q26*TINV(0.05,P21)</f>
        <v>1.5728305010148078E-2</v>
      </c>
      <c r="U26" s="20">
        <f>P26+Q26*TINV(0.05,P21)</f>
        <v>1.7979847026638723E-2</v>
      </c>
    </row>
    <row r="28" spans="1:21" x14ac:dyDescent="0.25">
      <c r="A28" t="s">
        <v>41</v>
      </c>
      <c r="B28" s="1041">
        <f t="array" ref="B28:B29">B25:B26-MMULT(I25:J26,D25:D26)</f>
        <v>13.504748453226727</v>
      </c>
      <c r="D28" s="1041">
        <f>SUMPRODUCT(SUMPRODUCT($B$4:$B$14-B28*EXP(B29*$A$4:$A$14),EXP(B29*$A$4:$A$14)))</f>
        <v>7.5824589811368526E-6</v>
      </c>
      <c r="F28" s="869">
        <f>-SUMPRODUCT(EXP(2*B29*$A$4:$A$14))</f>
        <v>-112.03549195640883</v>
      </c>
      <c r="G28" s="870">
        <f>SUMPRODUCT(SUMPRODUCT($B$4:$B$14-2*B28*EXP(B29*$A$4:$A$14),EXP(B29*$A$4:$A$14),$A$4:$A$14))</f>
        <v>-124176.07223745601</v>
      </c>
      <c r="I28" s="869">
        <f t="array" ref="I28:J29">MINVERSE(F28:G29)</f>
        <v>-0.10459562941701191</v>
      </c>
      <c r="J28" s="870">
        <v>8.6316329749332255E-5</v>
      </c>
      <c r="L28" s="869">
        <f t="array" ref="L28:M29">MINVERSE(MMULT(TRANSPOSE(F28:G29),F28:G29))</f>
        <v>1.0940253019564031E-2</v>
      </c>
      <c r="M28" s="870">
        <v>-9.0283174587769148E-6</v>
      </c>
    </row>
    <row r="29" spans="1:21" x14ac:dyDescent="0.25">
      <c r="A29" t="s">
        <v>42</v>
      </c>
      <c r="B29" s="420">
        <v>1.6854076219714194E-2</v>
      </c>
      <c r="D29" s="420">
        <f>B28*SUMPRODUCT(SUMPRODUCT($B$4:$B$14-B28*EXP(B29*$A$4:$A$14),EXP(B29*$A$4:$A$14),$A$4:$A$14))</f>
        <v>5.8190186505626728E-3</v>
      </c>
      <c r="F29" s="409">
        <f>G28</f>
        <v>-124176.07223745601</v>
      </c>
      <c r="G29" s="417">
        <f>B28*SUMPRODUCT(SUMPRODUCT($B$4:$B$14-2*B28*EXP(B29*$A$4:$A$14),EXP(B29*$A$4:$A$14),$A$4:$A$14^2))</f>
        <v>-150472969.27392265</v>
      </c>
      <c r="I29" s="409">
        <v>8.6316329749332269E-5</v>
      </c>
      <c r="J29" s="417">
        <v>-7.7877261642207712E-8</v>
      </c>
      <c r="L29" s="409">
        <v>-9.0283174587769148E-6</v>
      </c>
      <c r="M29" s="417">
        <v>7.4505147617587273E-9</v>
      </c>
    </row>
    <row r="31" spans="1:21" x14ac:dyDescent="0.25">
      <c r="A31" t="s">
        <v>41</v>
      </c>
      <c r="B31" s="1041">
        <f t="array" ref="B31:B32">B28:B29-MMULT(I28:J29,D28:D29)</f>
        <v>13.504748744042464</v>
      </c>
      <c r="D31" s="1041">
        <f>SUMPRODUCT(SUMPRODUCT($B$4:$B$14-B31*EXP(B32*$A$4:$A$14),EXP(B32*$A$4:$A$14)))</f>
        <v>2.8288482667448989E-13</v>
      </c>
      <c r="F31" s="869">
        <f>-SUMPRODUCT(EXP(2*B32*$A$4:$A$14))</f>
        <v>-112.0354882541222</v>
      </c>
      <c r="G31" s="870">
        <f>SUMPRODUCT(SUMPRODUCT($B$4:$B$14-2*B31*EXP(B32*$A$4:$A$14),EXP(B32*$A$4:$A$14),$A$4:$A$14))</f>
        <v>-124176.07084748978</v>
      </c>
      <c r="I31" s="869">
        <f t="array" ref="I31:J32">MINVERSE(F31:G32)</f>
        <v>-0.10459563605867796</v>
      </c>
      <c r="J31" s="870">
        <v>8.6316333589332012E-5</v>
      </c>
      <c r="L31" s="869">
        <f t="array" ref="L31:M32">MINVERSE(MMULT(TRANSPOSE(F31:G32),F31:G32))</f>
        <v>1.094025438503444E-2</v>
      </c>
      <c r="M31" s="870">
        <v>-9.0283184139783749E-6</v>
      </c>
    </row>
    <row r="32" spans="1:21" x14ac:dyDescent="0.25">
      <c r="A32" t="s">
        <v>42</v>
      </c>
      <c r="B32" s="420">
        <v>1.68540760183934E-2</v>
      </c>
      <c r="D32" s="420">
        <f>B31*SUMPRODUCT(SUMPRODUCT($B$4:$B$14-B31*EXP(B32*$A$4:$A$14),EXP(B32*$A$4:$A$14),$A$4:$A$14))</f>
        <v>1.4969293744617746E-10</v>
      </c>
      <c r="F32" s="409">
        <f>G31</f>
        <v>-124176.07084748978</v>
      </c>
      <c r="G32" s="417">
        <f>B31*SUMPRODUCT(SUMPRODUCT($B$4:$B$14-2*B31*EXP(B32*$A$4:$A$14),EXP(B32*$A$4:$A$14),$A$4:$A$14^2))</f>
        <v>-150472970.45024043</v>
      </c>
      <c r="I32" s="409">
        <v>8.6316333589331998E-5</v>
      </c>
      <c r="J32" s="417">
        <v>-7.7877263404988691E-8</v>
      </c>
      <c r="L32" s="409">
        <v>-9.0283184139783766E-6</v>
      </c>
      <c r="M32" s="417">
        <v>7.4505154083860673E-9</v>
      </c>
    </row>
  </sheetData>
  <mergeCells count="3">
    <mergeCell ref="F18:G18"/>
    <mergeCell ref="I18:J18"/>
    <mergeCell ref="L18:M18"/>
  </mergeCells>
  <pageMargins left="0.7" right="0.7" top="0.75" bottom="0.75" header="0.3" footer="0.3"/>
  <pageSetup paperSize="9" orientation="portrait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7"/>
  <dimension ref="A1:Q18"/>
  <sheetViews>
    <sheetView workbookViewId="0"/>
  </sheetViews>
  <sheetFormatPr defaultRowHeight="15" x14ac:dyDescent="0.25"/>
  <cols>
    <col min="8" max="8" width="12.85546875" customWidth="1"/>
    <col min="9" max="10" width="9.85546875" customWidth="1"/>
    <col min="12" max="12" width="9.28515625" customWidth="1"/>
    <col min="13" max="14" width="10.7109375" customWidth="1"/>
  </cols>
  <sheetData>
    <row r="1" spans="1:17" x14ac:dyDescent="0.25">
      <c r="A1" s="1" t="s">
        <v>355</v>
      </c>
      <c r="G1" s="1"/>
    </row>
    <row r="2" spans="1:17" x14ac:dyDescent="0.25">
      <c r="G2" s="1"/>
    </row>
    <row r="3" spans="1:17" ht="15.75" thickBot="1" x14ac:dyDescent="0.3">
      <c r="A3" s="592" t="s">
        <v>4</v>
      </c>
      <c r="B3" s="592" t="s">
        <v>142</v>
      </c>
      <c r="C3" s="592" t="s">
        <v>2393</v>
      </c>
      <c r="D3" s="592" t="s">
        <v>2394</v>
      </c>
      <c r="E3" s="592" t="s">
        <v>2395</v>
      </c>
      <c r="G3" s="1"/>
      <c r="H3" t="s">
        <v>294</v>
      </c>
    </row>
    <row r="4" spans="1:17" x14ac:dyDescent="0.25">
      <c r="A4" s="1066">
        <v>45</v>
      </c>
      <c r="B4" s="1066">
        <v>33</v>
      </c>
      <c r="C4">
        <f t="array" ref="C4:C14">[1]!ExpPred(A4:A14,A4:A14,B4:B14)</f>
        <v>28.831680595438144</v>
      </c>
      <c r="D4">
        <f>B4-C4</f>
        <v>4.1683194045618563</v>
      </c>
      <c r="E4">
        <f>D4^2</f>
        <v>17.374886658446908</v>
      </c>
      <c r="G4" s="1"/>
      <c r="H4" s="1067"/>
      <c r="I4" s="1067" t="s">
        <v>60</v>
      </c>
      <c r="J4" s="1067" t="s">
        <v>219</v>
      </c>
      <c r="K4" s="1067" t="s">
        <v>240</v>
      </c>
      <c r="L4" s="1067" t="s">
        <v>135</v>
      </c>
      <c r="M4" s="1067" t="s">
        <v>372</v>
      </c>
    </row>
    <row r="5" spans="1:17" x14ac:dyDescent="0.25">
      <c r="A5" s="1066">
        <v>99</v>
      </c>
      <c r="B5" s="1066">
        <v>72</v>
      </c>
      <c r="C5">
        <v>71.635797078864897</v>
      </c>
      <c r="D5">
        <f t="shared" ref="D5:D14" si="0">B5-C5</f>
        <v>0.364202921135103</v>
      </c>
      <c r="E5">
        <f t="shared" ref="E5:E14" si="1">D5^2</f>
        <v>0.13264376776334205</v>
      </c>
      <c r="G5" s="1"/>
      <c r="H5" s="19" t="s">
        <v>222</v>
      </c>
      <c r="I5" s="19">
        <v>1</v>
      </c>
      <c r="J5" s="19">
        <f>DEVSQ(C4:C14)</f>
        <v>4333.0059138129573</v>
      </c>
      <c r="K5" s="19">
        <f>J5/I5</f>
        <v>4333.0059138129573</v>
      </c>
      <c r="L5" s="19">
        <f>K5/K6</f>
        <v>130.35299887837888</v>
      </c>
      <c r="M5" s="19">
        <f>FDIST(L5,I5,I6)</f>
        <v>1.1753122335270968E-6</v>
      </c>
    </row>
    <row r="6" spans="1:17" x14ac:dyDescent="0.25">
      <c r="A6" s="1066">
        <v>31</v>
      </c>
      <c r="B6" s="1066">
        <v>19</v>
      </c>
      <c r="C6">
        <v>22.771681829358354</v>
      </c>
      <c r="D6">
        <f t="shared" si="0"/>
        <v>-3.7716818293583536</v>
      </c>
      <c r="E6">
        <f t="shared" si="1"/>
        <v>14.225583821911977</v>
      </c>
      <c r="G6" s="1"/>
      <c r="H6" s="19" t="s">
        <v>295</v>
      </c>
      <c r="I6" s="19">
        <v>9</v>
      </c>
      <c r="J6" s="19">
        <f>E15</f>
        <v>299.1649870725368</v>
      </c>
      <c r="K6" s="19">
        <f>J6/I6</f>
        <v>33.240554119170753</v>
      </c>
      <c r="L6" s="19"/>
      <c r="M6" s="19"/>
    </row>
    <row r="7" spans="1:17" ht="15.75" thickBot="1" x14ac:dyDescent="0.3">
      <c r="A7" s="1066">
        <v>57</v>
      </c>
      <c r="B7" s="1066">
        <v>27</v>
      </c>
      <c r="C7">
        <v>35.294378976198409</v>
      </c>
      <c r="D7">
        <f t="shared" si="0"/>
        <v>-8.2943789761984092</v>
      </c>
      <c r="E7">
        <f t="shared" si="1"/>
        <v>68.79672260080217</v>
      </c>
      <c r="G7" s="1"/>
      <c r="H7" s="20" t="s">
        <v>1</v>
      </c>
      <c r="I7" s="20">
        <f>COUNT(A4:A14)-1</f>
        <v>10</v>
      </c>
      <c r="J7" s="20">
        <f>DEVSQ(B4:B14)</f>
        <v>4542.545454545454</v>
      </c>
      <c r="K7" s="20"/>
      <c r="L7" s="20"/>
      <c r="M7" s="20"/>
    </row>
    <row r="8" spans="1:17" ht="15.75" thickBot="1" x14ac:dyDescent="0.3">
      <c r="A8" s="1066">
        <v>37</v>
      </c>
      <c r="B8" s="1066">
        <v>23</v>
      </c>
      <c r="C8">
        <v>25.194915167512338</v>
      </c>
      <c r="D8">
        <f t="shared" si="0"/>
        <v>-2.1949151675123382</v>
      </c>
      <c r="E8">
        <f t="shared" si="1"/>
        <v>4.8176525925757154</v>
      </c>
      <c r="G8" s="1"/>
    </row>
    <row r="9" spans="1:17" x14ac:dyDescent="0.25">
      <c r="A9" s="1066">
        <v>85</v>
      </c>
      <c r="B9" s="1066">
        <v>62</v>
      </c>
      <c r="C9">
        <v>56.5789973037678</v>
      </c>
      <c r="D9">
        <f t="shared" si="0"/>
        <v>5.4210026962322004</v>
      </c>
      <c r="E9">
        <f t="shared" si="1"/>
        <v>29.387270232556787</v>
      </c>
      <c r="G9" s="1"/>
      <c r="H9" s="1067"/>
      <c r="I9" s="1067" t="s">
        <v>1324</v>
      </c>
      <c r="J9" s="1067" t="s">
        <v>2410</v>
      </c>
      <c r="K9" s="1067" t="s">
        <v>85</v>
      </c>
      <c r="L9" s="1067" t="s">
        <v>119</v>
      </c>
      <c r="M9" s="1067" t="s">
        <v>299</v>
      </c>
      <c r="N9" s="1067" t="s">
        <v>300</v>
      </c>
    </row>
    <row r="10" spans="1:17" x14ac:dyDescent="0.25">
      <c r="A10" s="1066">
        <v>21</v>
      </c>
      <c r="B10" s="1066">
        <v>24</v>
      </c>
      <c r="C10">
        <v>19.239721667677195</v>
      </c>
      <c r="D10">
        <f t="shared" si="0"/>
        <v>4.7602783323228053</v>
      </c>
      <c r="E10">
        <f t="shared" si="1"/>
        <v>22.660249801181987</v>
      </c>
      <c r="G10" s="1"/>
      <c r="H10" s="19" t="s">
        <v>296</v>
      </c>
      <c r="I10" s="19">
        <f t="array" ref="I10:J11">[1]!ExpCoeff(A4:A14,B4:B14)</f>
        <v>13.504748744042478</v>
      </c>
      <c r="J10" s="19">
        <v>0.60304237424751472</v>
      </c>
      <c r="K10" s="19">
        <f>I10/J10</f>
        <v>22.394361193761725</v>
      </c>
      <c r="L10" s="19">
        <f>TDIST(ABS(K10),I6,2)</f>
        <v>3.3420870378807174E-9</v>
      </c>
      <c r="M10" s="19">
        <f>I10-J10*TINV(0.05,I6)</f>
        <v>12.140572117667627</v>
      </c>
      <c r="N10" s="19">
        <f>I10+J10*TINV(0.05,I6)</f>
        <v>14.86892537041733</v>
      </c>
    </row>
    <row r="11" spans="1:17" ht="15.75" thickBot="1" x14ac:dyDescent="0.3">
      <c r="A11" s="1066">
        <v>64</v>
      </c>
      <c r="B11" s="1066">
        <v>32</v>
      </c>
      <c r="C11">
        <v>39.713939524442658</v>
      </c>
      <c r="D11">
        <f t="shared" si="0"/>
        <v>-7.7139395244426581</v>
      </c>
      <c r="E11">
        <f t="shared" si="1"/>
        <v>59.504862986758624</v>
      </c>
      <c r="G11" s="1"/>
      <c r="H11" s="20" t="s">
        <v>4</v>
      </c>
      <c r="I11" s="20">
        <v>1.6854076018393394E-2</v>
      </c>
      <c r="J11" s="20">
        <v>4.9765374701091734E-4</v>
      </c>
      <c r="K11" s="20">
        <f>I11/J11</f>
        <v>33.867073481561981</v>
      </c>
      <c r="L11" s="20">
        <f>TDIST(ABS(K11),I6,2)</f>
        <v>8.4136518205391453E-11</v>
      </c>
      <c r="M11" s="20">
        <f>I11-J11*TINV(0.05,I6)</f>
        <v>1.5728305029999282E-2</v>
      </c>
      <c r="N11" s="20">
        <f>I11+J11*TINV(0.05,I6)</f>
        <v>1.7979847006787505E-2</v>
      </c>
    </row>
    <row r="12" spans="1:17" x14ac:dyDescent="0.25">
      <c r="A12" s="1066">
        <v>17</v>
      </c>
      <c r="B12" s="1066">
        <v>18</v>
      </c>
      <c r="C12">
        <v>17.985406421975139</v>
      </c>
      <c r="D12">
        <f t="shared" si="0"/>
        <v>1.4593578024861387E-2</v>
      </c>
      <c r="E12">
        <f t="shared" si="1"/>
        <v>2.1297251956771719E-4</v>
      </c>
      <c r="G12" s="1"/>
    </row>
    <row r="13" spans="1:17" x14ac:dyDescent="0.25">
      <c r="A13" s="1066">
        <v>41</v>
      </c>
      <c r="B13" s="1066">
        <v>36</v>
      </c>
      <c r="C13">
        <v>26.952026764955466</v>
      </c>
      <c r="D13">
        <f t="shared" si="0"/>
        <v>9.0479732350445339</v>
      </c>
      <c r="E13">
        <f t="shared" si="1"/>
        <v>81.865819662082245</v>
      </c>
      <c r="G13" s="1"/>
    </row>
    <row r="14" spans="1:17" x14ac:dyDescent="0.25">
      <c r="A14" s="1068">
        <v>103</v>
      </c>
      <c r="B14" s="1068">
        <v>76</v>
      </c>
      <c r="C14" s="762">
        <v>76.631729353392345</v>
      </c>
      <c r="D14" s="762">
        <f t="shared" si="0"/>
        <v>-0.63172935339234471</v>
      </c>
      <c r="E14" s="762">
        <f t="shared" si="1"/>
        <v>0.39908197593750994</v>
      </c>
      <c r="G14" s="1"/>
      <c r="I14" s="1065" t="str">
        <f t="array" ref="I14:L16">[1]!ExpCoeff(A4:A14,B4:B14,,TRUE)</f>
        <v>Coeff</v>
      </c>
      <c r="J14" s="1065" t="str">
        <v>Std err</v>
      </c>
      <c r="K14" s="1065" t="str">
        <v>SSE/MSE</v>
      </c>
      <c r="L14" s="1065" t="str">
        <v>SSR/dfT</v>
      </c>
      <c r="N14" s="13" t="s">
        <v>4</v>
      </c>
      <c r="O14" s="1065" t="s">
        <v>2393</v>
      </c>
      <c r="P14" s="13" t="s">
        <v>4</v>
      </c>
      <c r="Q14" s="1065" t="s">
        <v>2393</v>
      </c>
    </row>
    <row r="15" spans="1:17" x14ac:dyDescent="0.25">
      <c r="E15">
        <f>SUM(E4:E14)</f>
        <v>299.1649870725368</v>
      </c>
      <c r="G15" s="1"/>
      <c r="H15" t="s">
        <v>106</v>
      </c>
      <c r="I15" s="869">
        <v>13.504748744042478</v>
      </c>
      <c r="J15" s="867">
        <v>0.60304237424751472</v>
      </c>
      <c r="K15" s="867">
        <v>299.1649870725368</v>
      </c>
      <c r="L15" s="870">
        <v>4333.0059138129582</v>
      </c>
      <c r="N15">
        <v>45</v>
      </c>
      <c r="O15" s="1041">
        <f t="array" ref="O15:O16">[1]!ExpPred(N15:N16,A4:A14,B4:B14)</f>
        <v>28.831680595438144</v>
      </c>
      <c r="P15">
        <v>45</v>
      </c>
      <c r="Q15" s="1041">
        <f t="array" ref="Q15:Q16">[1]!ExpPredC(P15:P16,B16,B17)</f>
        <v>28.831680595438144</v>
      </c>
    </row>
    <row r="16" spans="1:17" x14ac:dyDescent="0.25">
      <c r="A16" s="30" t="s">
        <v>48</v>
      </c>
      <c r="B16" s="1041">
        <f t="array" ref="B16:B17">[1]!ExpCoeff(A4:A14,B4:B14)</f>
        <v>13.504748744042478</v>
      </c>
      <c r="G16" s="1"/>
      <c r="H16" t="s">
        <v>739</v>
      </c>
      <c r="I16" s="409">
        <v>1.6854076018393394E-2</v>
      </c>
      <c r="J16" s="762">
        <v>4.9765374701091734E-4</v>
      </c>
      <c r="K16" s="762">
        <v>33.240554119170753</v>
      </c>
      <c r="L16" s="417">
        <v>10</v>
      </c>
      <c r="N16">
        <v>50</v>
      </c>
      <c r="O16" s="420">
        <v>31.366648643578454</v>
      </c>
      <c r="P16">
        <v>50</v>
      </c>
      <c r="Q16" s="420">
        <v>31.366648643578454</v>
      </c>
    </row>
    <row r="17" spans="1:7" x14ac:dyDescent="0.25">
      <c r="A17" s="30" t="s">
        <v>1230</v>
      </c>
      <c r="B17" s="420">
        <v>1.6854076018393394E-2</v>
      </c>
      <c r="G17" s="1"/>
    </row>
    <row r="18" spans="1:7" x14ac:dyDescent="0.25">
      <c r="G18" s="1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5"/>
  <dimension ref="A1:J14"/>
  <sheetViews>
    <sheetView workbookViewId="0"/>
  </sheetViews>
  <sheetFormatPr defaultRowHeight="15" x14ac:dyDescent="0.25"/>
  <sheetData>
    <row r="1" spans="1:10" x14ac:dyDescent="0.25">
      <c r="A1" s="1" t="s">
        <v>355</v>
      </c>
    </row>
    <row r="3" spans="1:10" x14ac:dyDescent="0.25">
      <c r="A3" s="592" t="s">
        <v>4</v>
      </c>
      <c r="B3" s="592" t="s">
        <v>142</v>
      </c>
      <c r="D3" t="s">
        <v>2411</v>
      </c>
    </row>
    <row r="4" spans="1:10" x14ac:dyDescent="0.25">
      <c r="A4" s="1075">
        <v>45</v>
      </c>
      <c r="B4" s="1075">
        <v>33</v>
      </c>
    </row>
    <row r="5" spans="1:10" ht="15.75" thickBot="1" x14ac:dyDescent="0.3">
      <c r="A5" s="1075">
        <v>99</v>
      </c>
      <c r="B5" s="1075">
        <v>72</v>
      </c>
      <c r="D5" t="s">
        <v>294</v>
      </c>
      <c r="H5" s="1074" t="s">
        <v>34</v>
      </c>
      <c r="I5" s="1074">
        <v>0.05</v>
      </c>
    </row>
    <row r="6" spans="1:10" ht="15.75" thickTop="1" x14ac:dyDescent="0.25">
      <c r="A6" s="1075">
        <v>31</v>
      </c>
      <c r="B6" s="1075">
        <v>19</v>
      </c>
      <c r="D6" s="826"/>
      <c r="E6" s="826" t="s">
        <v>60</v>
      </c>
      <c r="F6" s="826" t="s">
        <v>219</v>
      </c>
      <c r="G6" s="826" t="s">
        <v>240</v>
      </c>
      <c r="H6" s="826" t="s">
        <v>135</v>
      </c>
      <c r="I6" s="826" t="s">
        <v>67</v>
      </c>
      <c r="J6" s="826" t="s">
        <v>527</v>
      </c>
    </row>
    <row r="7" spans="1:10" x14ac:dyDescent="0.25">
      <c r="A7" s="1075">
        <v>57</v>
      </c>
      <c r="B7" s="1075">
        <v>27</v>
      </c>
      <c r="D7" t="s">
        <v>222</v>
      </c>
      <c r="E7">
        <v>1</v>
      </c>
      <c r="F7">
        <f>DEVSQ([1]!ExpPredC(A4:A14,E12,E13))</f>
        <v>4333.0059138129573</v>
      </c>
      <c r="G7">
        <f>F7/E7</f>
        <v>4333.0059138129573</v>
      </c>
      <c r="H7">
        <f>G7/G8</f>
        <v>130.35299887837888</v>
      </c>
      <c r="I7">
        <f>FDIST(H7,E7,E8)</f>
        <v>1.1753122335270968E-6</v>
      </c>
      <c r="J7" s="1074" t="str">
        <f>IF(I7&lt;I5,"yes","no")</f>
        <v>yes</v>
      </c>
    </row>
    <row r="8" spans="1:10" x14ac:dyDescent="0.25">
      <c r="A8" s="1075">
        <v>37</v>
      </c>
      <c r="B8" s="1075">
        <v>23</v>
      </c>
      <c r="D8" t="s">
        <v>295</v>
      </c>
      <c r="E8">
        <f>E9-E7</f>
        <v>9</v>
      </c>
      <c r="F8">
        <f t="array" ref="F8">SUMSQ([1]!ExpPredC(A4:A14,E12,E13)-B4:B14)</f>
        <v>299.1649870725368</v>
      </c>
      <c r="G8">
        <f>F8/E8</f>
        <v>33.240554119170753</v>
      </c>
    </row>
    <row r="9" spans="1:10" x14ac:dyDescent="0.25">
      <c r="A9" s="1075">
        <v>85</v>
      </c>
      <c r="B9" s="1075">
        <v>62</v>
      </c>
      <c r="D9" s="762" t="s">
        <v>1</v>
      </c>
      <c r="E9" s="762">
        <f>COUNT(B4:B14)-1</f>
        <v>10</v>
      </c>
      <c r="F9" s="762">
        <f>DEVSQ(B4:B14)</f>
        <v>4542.545454545454</v>
      </c>
      <c r="G9" s="762"/>
      <c r="H9" s="762"/>
      <c r="I9" s="762"/>
      <c r="J9" s="762"/>
    </row>
    <row r="10" spans="1:10" ht="15.75" thickBot="1" x14ac:dyDescent="0.3">
      <c r="A10" s="1075">
        <v>21</v>
      </c>
      <c r="B10" s="1075">
        <v>24</v>
      </c>
    </row>
    <row r="11" spans="1:10" ht="15.75" thickTop="1" x14ac:dyDescent="0.25">
      <c r="A11" s="1075">
        <v>64</v>
      </c>
      <c r="B11" s="1075">
        <v>32</v>
      </c>
      <c r="D11" s="826"/>
      <c r="E11" s="826" t="s">
        <v>1592</v>
      </c>
      <c r="F11" s="826" t="s">
        <v>1000</v>
      </c>
      <c r="G11" s="826" t="s">
        <v>61</v>
      </c>
      <c r="H11" s="826" t="s">
        <v>67</v>
      </c>
      <c r="I11" s="826" t="s">
        <v>29</v>
      </c>
      <c r="J11" s="826" t="s">
        <v>30</v>
      </c>
    </row>
    <row r="12" spans="1:10" x14ac:dyDescent="0.25">
      <c r="A12" s="1075">
        <v>17</v>
      </c>
      <c r="B12" s="1075">
        <v>18</v>
      </c>
      <c r="D12" t="s">
        <v>296</v>
      </c>
      <c r="E12">
        <f t="array" ref="E12:F13">[1]!ExpCoeff(A4:A14,B4:B14)</f>
        <v>13.504748744042478</v>
      </c>
      <c r="F12">
        <v>0.60304237424751472</v>
      </c>
      <c r="G12">
        <f>E12/F12</f>
        <v>22.394361193761725</v>
      </c>
      <c r="H12">
        <f>TDIST(ABS(G12),$E$8,2)</f>
        <v>3.3420870378807174E-9</v>
      </c>
      <c r="I12">
        <f>E12-TINV(I$5,$E$8)*F12</f>
        <v>12.140572117667627</v>
      </c>
      <c r="J12">
        <f>E12+TINV(I$5,$E$8)*F12</f>
        <v>14.86892537041733</v>
      </c>
    </row>
    <row r="13" spans="1:10" x14ac:dyDescent="0.25">
      <c r="A13" s="1075">
        <v>41</v>
      </c>
      <c r="B13" s="1075">
        <v>36</v>
      </c>
      <c r="D13" s="762" t="str">
        <f>A3</f>
        <v>x</v>
      </c>
      <c r="E13" s="762">
        <v>1.6854076018393394E-2</v>
      </c>
      <c r="F13" s="762">
        <v>4.9765374701091734E-4</v>
      </c>
      <c r="G13" s="762">
        <f>E13/F13</f>
        <v>33.867073481561981</v>
      </c>
      <c r="H13" s="762">
        <f>TDIST(ABS(G13),$E$8,2)</f>
        <v>8.4136518205391453E-11</v>
      </c>
      <c r="I13" s="762">
        <f>E13-TINV(I$5,$E$8)*F13</f>
        <v>1.5728305029999282E-2</v>
      </c>
      <c r="J13" s="762">
        <f>E13+TINV(I$5,$E$8)*F13</f>
        <v>1.7979847006787505E-2</v>
      </c>
    </row>
    <row r="14" spans="1:10" x14ac:dyDescent="0.25">
      <c r="A14" s="1076">
        <v>103</v>
      </c>
      <c r="B14" s="1076">
        <v>76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/>
  <dimension ref="A1:P23"/>
  <sheetViews>
    <sheetView workbookViewId="0"/>
  </sheetViews>
  <sheetFormatPr defaultRowHeight="15" x14ac:dyDescent="0.25"/>
  <cols>
    <col min="3" max="3" width="4.5703125" customWidth="1"/>
    <col min="4" max="5" width="10.5703125" customWidth="1"/>
    <col min="7" max="7" width="17.5703125" customWidth="1"/>
    <col min="8" max="8" width="11.5703125" customWidth="1"/>
    <col min="9" max="9" width="13.7109375" customWidth="1"/>
    <col min="10" max="13" width="13.140625" customWidth="1"/>
  </cols>
  <sheetData>
    <row r="1" spans="1:16" x14ac:dyDescent="0.25">
      <c r="A1" s="1" t="s">
        <v>1589</v>
      </c>
    </row>
    <row r="3" spans="1:16" x14ac:dyDescent="0.25">
      <c r="A3" s="1312" t="s">
        <v>356</v>
      </c>
      <c r="B3" s="1312"/>
      <c r="C3" s="7"/>
      <c r="D3" s="1312" t="s">
        <v>357</v>
      </c>
      <c r="E3" s="1312"/>
      <c r="G3" t="s">
        <v>290</v>
      </c>
      <c r="O3" s="1" t="s">
        <v>366</v>
      </c>
    </row>
    <row r="4" spans="1:16" ht="15.75" thickBot="1" x14ac:dyDescent="0.3">
      <c r="A4" s="7"/>
      <c r="B4" s="7"/>
      <c r="C4" s="7"/>
      <c r="D4" s="7"/>
      <c r="E4" s="7"/>
    </row>
    <row r="5" spans="1:16" x14ac:dyDescent="0.25">
      <c r="A5" s="592" t="s">
        <v>4</v>
      </c>
      <c r="B5" s="592" t="s">
        <v>142</v>
      </c>
      <c r="C5" s="736"/>
      <c r="D5" s="592" t="s">
        <v>1590</v>
      </c>
      <c r="E5" s="592" t="s">
        <v>358</v>
      </c>
      <c r="G5" s="21" t="s">
        <v>291</v>
      </c>
      <c r="H5" s="21"/>
      <c r="O5" s="13" t="s">
        <v>4</v>
      </c>
      <c r="P5" s="13" t="s">
        <v>142</v>
      </c>
    </row>
    <row r="6" spans="1:16" x14ac:dyDescent="0.25">
      <c r="A6" s="736">
        <v>8.1</v>
      </c>
      <c r="B6" s="736">
        <v>33</v>
      </c>
      <c r="C6" s="736"/>
      <c r="D6" s="736">
        <f>LN(A6)</f>
        <v>2.0918640616783932</v>
      </c>
      <c r="E6" s="736">
        <f>LN(B6)</f>
        <v>3.4965075614664802</v>
      </c>
      <c r="G6" s="19" t="s">
        <v>292</v>
      </c>
      <c r="H6" s="19">
        <v>0.75380689403878198</v>
      </c>
      <c r="O6" s="663">
        <v>25</v>
      </c>
      <c r="P6" s="747">
        <f>$H$22*$H$23^LN(O6)</f>
        <v>35.421097964993102</v>
      </c>
    </row>
    <row r="7" spans="1:16" x14ac:dyDescent="0.25">
      <c r="A7" s="736">
        <v>69.900000000000006</v>
      </c>
      <c r="B7" s="736">
        <v>49</v>
      </c>
      <c r="C7" s="736"/>
      <c r="D7" s="736">
        <f t="shared" ref="D7:D16" si="0">LN(A7)</f>
        <v>4.2470656492397643</v>
      </c>
      <c r="E7" s="736">
        <f t="shared" ref="E7:E16" si="1">LN(B7)</f>
        <v>3.8918202981106265</v>
      </c>
      <c r="G7" s="19" t="s">
        <v>285</v>
      </c>
      <c r="H7" s="19">
        <v>0.56822483350039543</v>
      </c>
      <c r="O7" s="409">
        <v>35</v>
      </c>
      <c r="P7" s="748">
        <f>$H$22*$H$23^LN(O7)</f>
        <v>38.327608122671805</v>
      </c>
    </row>
    <row r="8" spans="1:16" x14ac:dyDescent="0.25">
      <c r="A8" s="736">
        <v>4.2</v>
      </c>
      <c r="B8" s="736">
        <v>18.999999999999996</v>
      </c>
      <c r="C8" s="736"/>
      <c r="D8" s="736">
        <f t="shared" si="0"/>
        <v>1.4350845252893227</v>
      </c>
      <c r="E8" s="736">
        <f t="shared" si="1"/>
        <v>2.9444389791664403</v>
      </c>
      <c r="G8" s="19" t="s">
        <v>293</v>
      </c>
      <c r="H8" s="19">
        <v>0.52024981500043943</v>
      </c>
    </row>
    <row r="9" spans="1:16" x14ac:dyDescent="0.25">
      <c r="A9" s="736">
        <v>14.1</v>
      </c>
      <c r="B9" s="736">
        <v>27</v>
      </c>
      <c r="C9" s="736"/>
      <c r="D9" s="736">
        <f t="shared" si="0"/>
        <v>2.6461747973841225</v>
      </c>
      <c r="E9" s="736">
        <f t="shared" si="1"/>
        <v>3.2958368660043291</v>
      </c>
      <c r="G9" s="19" t="s">
        <v>11</v>
      </c>
      <c r="H9" s="19">
        <v>0.21085977430719358</v>
      </c>
      <c r="O9" s="1" t="s">
        <v>1591</v>
      </c>
    </row>
    <row r="10" spans="1:16" ht="15.75" thickBot="1" x14ac:dyDescent="0.3">
      <c r="A10" s="736">
        <v>5.6</v>
      </c>
      <c r="B10" s="736">
        <v>23</v>
      </c>
      <c r="C10" s="736"/>
      <c r="D10" s="736">
        <f t="shared" si="0"/>
        <v>1.7227665977411035</v>
      </c>
      <c r="E10" s="736">
        <f t="shared" si="1"/>
        <v>3.1354942159291497</v>
      </c>
      <c r="G10" s="20" t="s">
        <v>81</v>
      </c>
      <c r="H10" s="20">
        <v>11</v>
      </c>
    </row>
    <row r="11" spans="1:16" x14ac:dyDescent="0.25">
      <c r="A11" s="736">
        <v>52.1</v>
      </c>
      <c r="B11" s="736">
        <v>51</v>
      </c>
      <c r="C11" s="736"/>
      <c r="D11" s="736">
        <f t="shared" si="0"/>
        <v>3.9531649487593215</v>
      </c>
      <c r="E11" s="736">
        <f t="shared" si="1"/>
        <v>3.9318256327243257</v>
      </c>
      <c r="O11" s="13" t="s">
        <v>4</v>
      </c>
      <c r="P11" s="13" t="s">
        <v>142</v>
      </c>
    </row>
    <row r="12" spans="1:16" ht="15.75" thickBot="1" x14ac:dyDescent="0.3">
      <c r="A12" s="736">
        <v>44.6</v>
      </c>
      <c r="B12" s="736">
        <v>34</v>
      </c>
      <c r="C12" s="736"/>
      <c r="D12" s="736">
        <f t="shared" si="0"/>
        <v>3.7977338590260183</v>
      </c>
      <c r="E12" s="736">
        <f t="shared" si="1"/>
        <v>3.5263605246161616</v>
      </c>
      <c r="G12" t="s">
        <v>294</v>
      </c>
      <c r="O12" s="663">
        <v>25</v>
      </c>
      <c r="P12" s="747">
        <f t="array" ref="P12:P13">EXP(TREND(LN(B6:B16),LN(A6:A16),LN(O12:O13)))</f>
        <v>35.421097964993095</v>
      </c>
    </row>
    <row r="13" spans="1:16" x14ac:dyDescent="0.25">
      <c r="A13" s="736">
        <v>19.600000000000001</v>
      </c>
      <c r="B13" s="736">
        <v>32</v>
      </c>
      <c r="C13" s="736"/>
      <c r="D13" s="736">
        <f t="shared" si="0"/>
        <v>2.9755295662364718</v>
      </c>
      <c r="E13" s="736">
        <f t="shared" si="1"/>
        <v>3.4657359027997265</v>
      </c>
      <c r="G13" s="738"/>
      <c r="H13" s="738" t="s">
        <v>60</v>
      </c>
      <c r="I13" s="738" t="s">
        <v>219</v>
      </c>
      <c r="J13" s="738" t="s">
        <v>240</v>
      </c>
      <c r="K13" s="738" t="s">
        <v>135</v>
      </c>
      <c r="L13" s="738" t="s">
        <v>297</v>
      </c>
      <c r="O13" s="409">
        <v>35</v>
      </c>
      <c r="P13" s="748">
        <v>38.327608122671791</v>
      </c>
    </row>
    <row r="14" spans="1:16" x14ac:dyDescent="0.25">
      <c r="A14" s="736">
        <v>33</v>
      </c>
      <c r="B14" s="736">
        <v>28</v>
      </c>
      <c r="C14" s="736"/>
      <c r="D14" s="736">
        <f t="shared" si="0"/>
        <v>3.4965075614664802</v>
      </c>
      <c r="E14" s="736">
        <f t="shared" si="1"/>
        <v>3.3322045101752038</v>
      </c>
      <c r="G14" s="19" t="s">
        <v>222</v>
      </c>
      <c r="H14" s="19">
        <v>1</v>
      </c>
      <c r="I14" s="19">
        <v>0.5266141615599067</v>
      </c>
      <c r="J14" s="19">
        <v>0.5266141615599067</v>
      </c>
      <c r="K14" s="19">
        <v>11.844181644263793</v>
      </c>
      <c r="L14" s="19">
        <v>7.3725828158648114E-3</v>
      </c>
    </row>
    <row r="15" spans="1:16" x14ac:dyDescent="0.25">
      <c r="A15" s="736">
        <v>6.7</v>
      </c>
      <c r="B15" s="736">
        <v>36</v>
      </c>
      <c r="C15" s="736"/>
      <c r="D15" s="736">
        <f t="shared" si="0"/>
        <v>1.9021075263969205</v>
      </c>
      <c r="E15" s="736">
        <f t="shared" si="1"/>
        <v>3.5835189384561099</v>
      </c>
      <c r="G15" s="19" t="s">
        <v>295</v>
      </c>
      <c r="H15" s="19">
        <v>9</v>
      </c>
      <c r="I15" s="19">
        <v>0.40015659978792556</v>
      </c>
      <c r="J15" s="19">
        <v>4.4461844420880615E-2</v>
      </c>
      <c r="K15" s="19"/>
      <c r="L15" s="19"/>
      <c r="O15" s="609">
        <v>26</v>
      </c>
      <c r="P15" s="749">
        <f>EXP(TREND(LN(B6:B16),LN(A6:A16),LN(O15)))</f>
        <v>35.748211405153825</v>
      </c>
    </row>
    <row r="16" spans="1:16" ht="15.75" thickBot="1" x14ac:dyDescent="0.3">
      <c r="A16" s="739">
        <v>30.1</v>
      </c>
      <c r="B16" s="739">
        <v>43</v>
      </c>
      <c r="C16" s="736"/>
      <c r="D16" s="739">
        <f t="shared" si="0"/>
        <v>3.4045251717548299</v>
      </c>
      <c r="E16" s="739">
        <f t="shared" si="1"/>
        <v>3.7612001156935624</v>
      </c>
      <c r="G16" s="20" t="s">
        <v>1</v>
      </c>
      <c r="H16" s="20">
        <v>10</v>
      </c>
      <c r="I16" s="20">
        <v>0.92677076134783221</v>
      </c>
      <c r="J16" s="20"/>
      <c r="K16" s="20"/>
      <c r="L16" s="20"/>
    </row>
    <row r="17" spans="1:13" ht="15.75" thickBot="1" x14ac:dyDescent="0.3"/>
    <row r="18" spans="1:13" x14ac:dyDescent="0.25">
      <c r="G18" s="738"/>
      <c r="H18" s="738" t="s">
        <v>298</v>
      </c>
      <c r="I18" s="738" t="s">
        <v>11</v>
      </c>
      <c r="J18" s="738" t="s">
        <v>85</v>
      </c>
      <c r="K18" s="738" t="s">
        <v>119</v>
      </c>
      <c r="L18" s="738" t="s">
        <v>299</v>
      </c>
      <c r="M18" s="738" t="s">
        <v>300</v>
      </c>
    </row>
    <row r="19" spans="1:13" x14ac:dyDescent="0.25">
      <c r="A19" t="s">
        <v>120</v>
      </c>
      <c r="B19" s="580">
        <f>CORREL(E6:E16,D6:D16)</f>
        <v>0.75380689403878209</v>
      </c>
      <c r="G19" s="19" t="s">
        <v>296</v>
      </c>
      <c r="H19" s="19">
        <v>2.8128629026626322</v>
      </c>
      <c r="I19" s="19">
        <v>0.20614121003010771</v>
      </c>
      <c r="J19" s="19">
        <v>13.645320614212959</v>
      </c>
      <c r="K19" s="19">
        <v>2.5593093700100384E-7</v>
      </c>
      <c r="L19" s="19">
        <v>2.3465390878451347</v>
      </c>
      <c r="M19" s="19">
        <v>3.2791867174801297</v>
      </c>
    </row>
    <row r="20" spans="1:13" ht="15.75" thickBot="1" x14ac:dyDescent="0.3">
      <c r="G20" s="20" t="s">
        <v>1590</v>
      </c>
      <c r="H20" s="20">
        <v>0.23438143274430748</v>
      </c>
      <c r="I20" s="20">
        <v>6.8103694954936761E-2</v>
      </c>
      <c r="J20" s="20">
        <v>3.4415376860153377</v>
      </c>
      <c r="K20" s="20">
        <v>7.3725828158647906E-3</v>
      </c>
      <c r="L20" s="20">
        <v>8.0320171388973294E-2</v>
      </c>
      <c r="M20" s="20">
        <v>0.38844269409964166</v>
      </c>
    </row>
    <row r="22" spans="1:13" ht="17.25" x14ac:dyDescent="0.25">
      <c r="G22" t="s">
        <v>359</v>
      </c>
      <c r="H22" s="577">
        <f>EXP(H19)</f>
        <v>16.657538932089039</v>
      </c>
      <c r="J22" t="s">
        <v>4</v>
      </c>
      <c r="K22" s="577">
        <v>26</v>
      </c>
    </row>
    <row r="23" spans="1:13" ht="17.25" x14ac:dyDescent="0.25">
      <c r="G23" t="s">
        <v>360</v>
      </c>
      <c r="H23" s="420">
        <f>EXP(H20)</f>
        <v>1.26412657953037</v>
      </c>
      <c r="J23" t="s">
        <v>142</v>
      </c>
      <c r="K23" s="420">
        <f>H22*H23^LN(K22)</f>
        <v>35.748211405153825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T23"/>
  <sheetViews>
    <sheetView workbookViewId="0"/>
  </sheetViews>
  <sheetFormatPr defaultRowHeight="15" x14ac:dyDescent="0.25"/>
  <cols>
    <col min="3" max="3" width="5.5703125" customWidth="1"/>
    <col min="4" max="5" width="7.140625" customWidth="1"/>
    <col min="6" max="6" width="5.7109375" customWidth="1"/>
    <col min="7" max="7" width="17.28515625" customWidth="1"/>
    <col min="8" max="8" width="11.5703125" customWidth="1"/>
    <col min="9" max="9" width="14.140625" customWidth="1"/>
    <col min="10" max="10" width="11.85546875" customWidth="1"/>
    <col min="11" max="11" width="11.42578125" customWidth="1"/>
    <col min="12" max="13" width="12.42578125" customWidth="1"/>
    <col min="15" max="15" width="29.42578125" customWidth="1"/>
    <col min="16" max="16" width="9.140625" customWidth="1"/>
    <col min="19" max="19" width="14" customWidth="1"/>
  </cols>
  <sheetData>
    <row r="1" spans="1:20" x14ac:dyDescent="0.25">
      <c r="A1" s="1" t="s">
        <v>368</v>
      </c>
    </row>
    <row r="3" spans="1:20" x14ac:dyDescent="0.25">
      <c r="A3" s="131" t="s">
        <v>75</v>
      </c>
      <c r="B3" s="131" t="s">
        <v>76</v>
      </c>
      <c r="D3" s="131" t="s">
        <v>4</v>
      </c>
      <c r="E3" s="131" t="s">
        <v>142</v>
      </c>
      <c r="G3" t="s">
        <v>290</v>
      </c>
      <c r="O3" t="s">
        <v>78</v>
      </c>
      <c r="S3" t="s">
        <v>370</v>
      </c>
    </row>
    <row r="4" spans="1:20" ht="15.75" thickBot="1" x14ac:dyDescent="0.3">
      <c r="A4" s="129">
        <v>13</v>
      </c>
      <c r="B4" s="129">
        <v>12</v>
      </c>
      <c r="D4" s="50">
        <v>0</v>
      </c>
      <c r="E4" s="50">
        <v>13</v>
      </c>
    </row>
    <row r="5" spans="1:20" x14ac:dyDescent="0.25">
      <c r="A5" s="50">
        <v>17</v>
      </c>
      <c r="B5" s="50">
        <v>8</v>
      </c>
      <c r="D5" s="50">
        <v>0</v>
      </c>
      <c r="E5" s="50">
        <v>17</v>
      </c>
      <c r="G5" s="21" t="s">
        <v>291</v>
      </c>
      <c r="H5" s="21"/>
      <c r="O5" s="18"/>
      <c r="P5" s="18" t="s">
        <v>75</v>
      </c>
      <c r="Q5" s="18" t="s">
        <v>76</v>
      </c>
      <c r="S5" t="s">
        <v>135</v>
      </c>
      <c r="T5" s="614">
        <f>K14</f>
        <v>4.7383177570093391</v>
      </c>
    </row>
    <row r="6" spans="1:20" ht="17.25" x14ac:dyDescent="0.25">
      <c r="A6" s="50">
        <v>19</v>
      </c>
      <c r="B6" s="50">
        <v>6</v>
      </c>
      <c r="D6" s="50">
        <v>0</v>
      </c>
      <c r="E6" s="50">
        <v>19</v>
      </c>
      <c r="G6" s="19" t="s">
        <v>292</v>
      </c>
      <c r="H6" s="19">
        <v>0.45649174169340506</v>
      </c>
      <c r="O6" s="19" t="s">
        <v>10</v>
      </c>
      <c r="P6" s="19">
        <v>15</v>
      </c>
      <c r="Q6" s="19">
        <v>11.1</v>
      </c>
      <c r="S6" t="s">
        <v>371</v>
      </c>
      <c r="T6" s="420">
        <f>P12^2</f>
        <v>4.7383177570093453</v>
      </c>
    </row>
    <row r="7" spans="1:20" x14ac:dyDescent="0.25">
      <c r="A7" s="50">
        <v>11</v>
      </c>
      <c r="B7" s="50">
        <v>16</v>
      </c>
      <c r="D7" s="50">
        <v>0</v>
      </c>
      <c r="E7" s="50">
        <v>11</v>
      </c>
      <c r="G7" s="19" t="s">
        <v>285</v>
      </c>
      <c r="H7" s="19">
        <v>0.20838471023427843</v>
      </c>
      <c r="O7" s="19" t="s">
        <v>80</v>
      </c>
      <c r="P7" s="19">
        <v>13.333333333333334</v>
      </c>
      <c r="Q7" s="19">
        <v>18.766666666666676</v>
      </c>
    </row>
    <row r="8" spans="1:20" x14ac:dyDescent="0.25">
      <c r="A8" s="50">
        <v>20</v>
      </c>
      <c r="B8" s="50">
        <v>12</v>
      </c>
      <c r="D8" s="50">
        <v>0</v>
      </c>
      <c r="E8" s="50">
        <v>20</v>
      </c>
      <c r="G8" s="19" t="s">
        <v>293</v>
      </c>
      <c r="H8" s="19">
        <v>0.16440608302507168</v>
      </c>
      <c r="O8" s="19" t="s">
        <v>81</v>
      </c>
      <c r="P8" s="19">
        <v>10</v>
      </c>
      <c r="Q8" s="19">
        <v>10</v>
      </c>
      <c r="S8" t="s">
        <v>372</v>
      </c>
      <c r="T8" s="614">
        <f>L14</f>
        <v>4.3052716529839559E-2</v>
      </c>
    </row>
    <row r="9" spans="1:20" x14ac:dyDescent="0.25">
      <c r="A9" s="50">
        <v>15</v>
      </c>
      <c r="B9" s="50">
        <v>14</v>
      </c>
      <c r="D9" s="50">
        <v>0</v>
      </c>
      <c r="E9" s="50">
        <v>15</v>
      </c>
      <c r="G9" s="19" t="s">
        <v>11</v>
      </c>
      <c r="H9" s="19">
        <v>4.0062451248020263</v>
      </c>
      <c r="O9" s="19" t="s">
        <v>83</v>
      </c>
      <c r="P9" s="19">
        <v>16.050000000000004</v>
      </c>
      <c r="Q9" s="19"/>
      <c r="S9" t="s">
        <v>373</v>
      </c>
      <c r="T9" s="420">
        <f>P15</f>
        <v>4.3052715280251515E-2</v>
      </c>
    </row>
    <row r="10" spans="1:20" ht="15.75" thickBot="1" x14ac:dyDescent="0.3">
      <c r="A10" s="50">
        <v>18</v>
      </c>
      <c r="B10" s="50">
        <v>10</v>
      </c>
      <c r="D10" s="50">
        <v>0</v>
      </c>
      <c r="E10" s="50">
        <v>18</v>
      </c>
      <c r="G10" s="20" t="s">
        <v>81</v>
      </c>
      <c r="H10" s="20">
        <v>20</v>
      </c>
      <c r="O10" s="19" t="s">
        <v>84</v>
      </c>
      <c r="P10" s="19">
        <v>0</v>
      </c>
      <c r="Q10" s="19"/>
    </row>
    <row r="11" spans="1:20" x14ac:dyDescent="0.25">
      <c r="A11" s="50">
        <v>9</v>
      </c>
      <c r="B11" s="50">
        <v>18</v>
      </c>
      <c r="D11" s="50">
        <v>0</v>
      </c>
      <c r="E11" s="50">
        <v>9</v>
      </c>
      <c r="O11" s="19" t="s">
        <v>60</v>
      </c>
      <c r="P11" s="19">
        <v>18</v>
      </c>
      <c r="Q11" s="19"/>
      <c r="S11" t="s">
        <v>292</v>
      </c>
      <c r="T11" s="614">
        <f>H6</f>
        <v>0.45649174169340506</v>
      </c>
    </row>
    <row r="12" spans="1:20" ht="15.75" thickBot="1" x14ac:dyDescent="0.3">
      <c r="A12" s="50">
        <v>12</v>
      </c>
      <c r="B12" s="50">
        <v>4</v>
      </c>
      <c r="D12" s="50">
        <v>0</v>
      </c>
      <c r="E12" s="50">
        <v>12</v>
      </c>
      <c r="G12" t="s">
        <v>294</v>
      </c>
      <c r="O12" s="19" t="s">
        <v>85</v>
      </c>
      <c r="P12" s="19">
        <v>2.1767677315251954</v>
      </c>
      <c r="Q12" s="19"/>
      <c r="S12" t="s">
        <v>60</v>
      </c>
      <c r="T12" s="503">
        <f>18</f>
        <v>18</v>
      </c>
    </row>
    <row r="13" spans="1:20" x14ac:dyDescent="0.25">
      <c r="A13" s="130">
        <v>16</v>
      </c>
      <c r="B13" s="130">
        <v>11</v>
      </c>
      <c r="D13" s="50">
        <v>0</v>
      </c>
      <c r="E13" s="50">
        <v>16</v>
      </c>
      <c r="G13" s="18"/>
      <c r="H13" s="18" t="s">
        <v>60</v>
      </c>
      <c r="I13" s="18" t="s">
        <v>219</v>
      </c>
      <c r="J13" s="18" t="s">
        <v>240</v>
      </c>
      <c r="K13" s="18" t="s">
        <v>135</v>
      </c>
      <c r="L13" s="18" t="s">
        <v>297</v>
      </c>
      <c r="O13" s="19" t="s">
        <v>86</v>
      </c>
      <c r="P13" s="19">
        <v>2.1526357640125757E-2</v>
      </c>
      <c r="Q13" s="19"/>
      <c r="S13" s="30" t="s">
        <v>374</v>
      </c>
      <c r="T13" s="420">
        <f>SQRT(T5/(T5+T12))</f>
        <v>0.45649174169340506</v>
      </c>
    </row>
    <row r="14" spans="1:20" x14ac:dyDescent="0.25">
      <c r="A14" s="91"/>
      <c r="B14" s="91"/>
      <c r="D14" s="50">
        <v>1</v>
      </c>
      <c r="E14" s="50">
        <v>12</v>
      </c>
      <c r="G14" s="19" t="s">
        <v>222</v>
      </c>
      <c r="H14" s="19">
        <v>1</v>
      </c>
      <c r="I14" s="19">
        <v>76.049999999999898</v>
      </c>
      <c r="J14" s="19">
        <v>76.049999999999898</v>
      </c>
      <c r="K14" s="19">
        <v>4.7383177570093391</v>
      </c>
      <c r="L14" s="19">
        <v>4.3052716529839559E-2</v>
      </c>
      <c r="O14" s="19" t="s">
        <v>87</v>
      </c>
      <c r="P14" s="19">
        <v>1.7340635923093939</v>
      </c>
      <c r="Q14" s="19"/>
    </row>
    <row r="15" spans="1:20" x14ac:dyDescent="0.25">
      <c r="A15" s="91"/>
      <c r="B15" s="91"/>
      <c r="D15" s="50">
        <v>1</v>
      </c>
      <c r="E15" s="50">
        <v>8</v>
      </c>
      <c r="G15" s="19" t="s">
        <v>295</v>
      </c>
      <c r="H15" s="19">
        <v>18</v>
      </c>
      <c r="I15" s="19">
        <v>288.90000000000003</v>
      </c>
      <c r="J15" s="19">
        <v>16.05</v>
      </c>
      <c r="K15" s="19"/>
      <c r="L15" s="19"/>
      <c r="O15" s="19" t="s">
        <v>88</v>
      </c>
      <c r="P15" s="19">
        <v>4.3052715280251515E-2</v>
      </c>
      <c r="Q15" s="19"/>
    </row>
    <row r="16" spans="1:20" ht="15.75" thickBot="1" x14ac:dyDescent="0.3">
      <c r="A16" s="91"/>
      <c r="B16" s="91"/>
      <c r="D16" s="50">
        <v>1</v>
      </c>
      <c r="E16" s="50">
        <v>6</v>
      </c>
      <c r="G16" s="20" t="s">
        <v>1</v>
      </c>
      <c r="H16" s="20">
        <v>19</v>
      </c>
      <c r="I16" s="20">
        <v>364.94999999999993</v>
      </c>
      <c r="J16" s="20"/>
      <c r="K16" s="20"/>
      <c r="L16" s="20"/>
      <c r="O16" s="20" t="s">
        <v>89</v>
      </c>
      <c r="P16" s="20">
        <v>2.1009220368611805</v>
      </c>
      <c r="Q16" s="20"/>
    </row>
    <row r="17" spans="1:13" ht="15.75" thickBot="1" x14ac:dyDescent="0.3">
      <c r="A17" s="91"/>
      <c r="B17" s="91"/>
      <c r="D17" s="50">
        <v>1</v>
      </c>
      <c r="E17" s="50">
        <v>16</v>
      </c>
    </row>
    <row r="18" spans="1:13" x14ac:dyDescent="0.25">
      <c r="D18" s="50">
        <v>1</v>
      </c>
      <c r="E18" s="50">
        <v>12</v>
      </c>
      <c r="G18" s="18"/>
      <c r="H18" s="18" t="s">
        <v>298</v>
      </c>
      <c r="I18" s="18" t="s">
        <v>11</v>
      </c>
      <c r="J18" s="18" t="s">
        <v>85</v>
      </c>
      <c r="K18" s="18" t="s">
        <v>119</v>
      </c>
      <c r="L18" s="18" t="s">
        <v>299</v>
      </c>
      <c r="M18" s="18" t="s">
        <v>300</v>
      </c>
    </row>
    <row r="19" spans="1:13" x14ac:dyDescent="0.25">
      <c r="D19" s="50">
        <v>1</v>
      </c>
      <c r="E19" s="50">
        <v>14</v>
      </c>
      <c r="G19" s="19" t="s">
        <v>296</v>
      </c>
      <c r="H19" s="19">
        <v>15</v>
      </c>
      <c r="I19" s="19">
        <v>1.2668859459319928</v>
      </c>
      <c r="J19" s="19">
        <v>11.840055569457876</v>
      </c>
      <c r="K19" s="19">
        <v>6.2614481541286654E-10</v>
      </c>
      <c r="L19" s="19">
        <v>12.338371393719861</v>
      </c>
      <c r="M19" s="19">
        <v>17.661628606280139</v>
      </c>
    </row>
    <row r="20" spans="1:13" ht="15.75" thickBot="1" x14ac:dyDescent="0.3">
      <c r="D20" s="50">
        <v>1</v>
      </c>
      <c r="E20" s="50">
        <v>10</v>
      </c>
      <c r="G20" s="20" t="s">
        <v>4</v>
      </c>
      <c r="H20" s="20">
        <v>-3.8999999999999995</v>
      </c>
      <c r="I20" s="20">
        <v>1.7916472867168918</v>
      </c>
      <c r="J20" s="20">
        <v>-2.176767731525195</v>
      </c>
      <c r="K20" s="20">
        <v>4.3052716529839503E-2</v>
      </c>
      <c r="L20" s="20">
        <v>-7.6641112730015717</v>
      </c>
      <c r="M20" s="20">
        <v>-0.13588872699842769</v>
      </c>
    </row>
    <row r="21" spans="1:13" x14ac:dyDescent="0.25">
      <c r="D21" s="50">
        <v>1</v>
      </c>
      <c r="E21" s="50">
        <v>18</v>
      </c>
    </row>
    <row r="22" spans="1:13" x14ac:dyDescent="0.25">
      <c r="D22" s="50">
        <v>1</v>
      </c>
      <c r="E22" s="50">
        <v>4</v>
      </c>
    </row>
    <row r="23" spans="1:13" x14ac:dyDescent="0.25">
      <c r="D23" s="130">
        <v>1</v>
      </c>
      <c r="E23" s="130">
        <v>11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G44"/>
  <sheetViews>
    <sheetView workbookViewId="0"/>
  </sheetViews>
  <sheetFormatPr defaultRowHeight="15" x14ac:dyDescent="0.25"/>
  <cols>
    <col min="1" max="1" width="17.140625" customWidth="1"/>
    <col min="2" max="2" width="12.28515625" customWidth="1"/>
    <col min="3" max="3" width="11.85546875" customWidth="1"/>
    <col min="4" max="4" width="17.28515625" customWidth="1"/>
    <col min="5" max="5" width="11.28515625" customWidth="1"/>
    <col min="6" max="6" width="12.85546875" customWidth="1"/>
    <col min="7" max="7" width="12.28515625" customWidth="1"/>
  </cols>
  <sheetData>
    <row r="1" spans="1:7" x14ac:dyDescent="0.25">
      <c r="A1" t="s">
        <v>290</v>
      </c>
    </row>
    <row r="2" spans="1:7" ht="15.75" thickBot="1" x14ac:dyDescent="0.3"/>
    <row r="3" spans="1:7" x14ac:dyDescent="0.25">
      <c r="A3" s="21" t="s">
        <v>291</v>
      </c>
      <c r="B3" s="21"/>
    </row>
    <row r="4" spans="1:7" x14ac:dyDescent="0.25">
      <c r="A4" s="19" t="s">
        <v>292</v>
      </c>
      <c r="B4" s="19">
        <v>0.45649174169340506</v>
      </c>
    </row>
    <row r="5" spans="1:7" x14ac:dyDescent="0.25">
      <c r="A5" s="19" t="s">
        <v>285</v>
      </c>
      <c r="B5" s="19">
        <v>0.20838471023427843</v>
      </c>
    </row>
    <row r="6" spans="1:7" x14ac:dyDescent="0.25">
      <c r="A6" s="19" t="s">
        <v>293</v>
      </c>
      <c r="B6" s="19">
        <v>0.16440608302507168</v>
      </c>
    </row>
    <row r="7" spans="1:7" x14ac:dyDescent="0.25">
      <c r="A7" s="19" t="s">
        <v>11</v>
      </c>
      <c r="B7" s="19">
        <v>4.0062451248020263</v>
      </c>
    </row>
    <row r="8" spans="1:7" ht="15.75" thickBot="1" x14ac:dyDescent="0.3">
      <c r="A8" s="20" t="s">
        <v>81</v>
      </c>
      <c r="B8" s="20">
        <v>20</v>
      </c>
    </row>
    <row r="10" spans="1:7" ht="15.75" thickBot="1" x14ac:dyDescent="0.3">
      <c r="A10" t="s">
        <v>294</v>
      </c>
    </row>
    <row r="11" spans="1:7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</row>
    <row r="12" spans="1:7" x14ac:dyDescent="0.25">
      <c r="A12" s="19" t="s">
        <v>222</v>
      </c>
      <c r="B12" s="19">
        <v>1</v>
      </c>
      <c r="C12" s="19">
        <v>76.049999999999898</v>
      </c>
      <c r="D12" s="19">
        <v>76.049999999999898</v>
      </c>
      <c r="E12" s="19">
        <v>4.7383177570093391</v>
      </c>
      <c r="F12" s="19">
        <v>4.3052716529839559E-2</v>
      </c>
    </row>
    <row r="13" spans="1:7" x14ac:dyDescent="0.25">
      <c r="A13" s="19" t="s">
        <v>295</v>
      </c>
      <c r="B13" s="19">
        <v>18</v>
      </c>
      <c r="C13" s="19">
        <v>288.90000000000003</v>
      </c>
      <c r="D13" s="19">
        <v>16.05</v>
      </c>
      <c r="E13" s="19"/>
      <c r="F13" s="19"/>
    </row>
    <row r="14" spans="1:7" ht="15.75" thickBot="1" x14ac:dyDescent="0.3">
      <c r="A14" s="20" t="s">
        <v>1</v>
      </c>
      <c r="B14" s="20">
        <v>19</v>
      </c>
      <c r="C14" s="20">
        <v>364.94999999999993</v>
      </c>
      <c r="D14" s="20"/>
      <c r="E14" s="20"/>
      <c r="F14" s="20"/>
    </row>
    <row r="15" spans="1:7" ht="15.75" thickBot="1" x14ac:dyDescent="0.3"/>
    <row r="16" spans="1:7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</row>
    <row r="17" spans="1:7" x14ac:dyDescent="0.25">
      <c r="A17" s="19" t="s">
        <v>296</v>
      </c>
      <c r="B17" s="19">
        <v>15</v>
      </c>
      <c r="C17" s="19">
        <v>1.2668859459319928</v>
      </c>
      <c r="D17" s="19">
        <v>11.840055569457876</v>
      </c>
      <c r="E17" s="19">
        <v>6.2614481541286654E-10</v>
      </c>
      <c r="F17" s="19">
        <v>12.338371393719861</v>
      </c>
      <c r="G17" s="19">
        <v>17.661628606280139</v>
      </c>
    </row>
    <row r="18" spans="1:7" ht="15.75" thickBot="1" x14ac:dyDescent="0.3">
      <c r="A18" s="20" t="s">
        <v>4</v>
      </c>
      <c r="B18" s="20">
        <v>-3.8999999999999995</v>
      </c>
      <c r="C18" s="20">
        <v>1.7916472867168918</v>
      </c>
      <c r="D18" s="20">
        <v>-2.176767731525195</v>
      </c>
      <c r="E18" s="20">
        <v>4.3052716529839503E-2</v>
      </c>
      <c r="F18" s="20">
        <v>-7.6641112730015717</v>
      </c>
      <c r="G18" s="20">
        <v>-0.13588872699842769</v>
      </c>
    </row>
    <row r="22" spans="1:7" x14ac:dyDescent="0.25">
      <c r="A22" t="s">
        <v>301</v>
      </c>
      <c r="F22" t="s">
        <v>305</v>
      </c>
    </row>
    <row r="23" spans="1:7" ht="15.75" thickBot="1" x14ac:dyDescent="0.3"/>
    <row r="24" spans="1:7" x14ac:dyDescent="0.25">
      <c r="A24" s="18" t="s">
        <v>302</v>
      </c>
      <c r="B24" s="18" t="s">
        <v>369</v>
      </c>
      <c r="C24" s="18" t="s">
        <v>303</v>
      </c>
      <c r="D24" s="18" t="s">
        <v>304</v>
      </c>
      <c r="F24" s="18" t="s">
        <v>306</v>
      </c>
      <c r="G24" s="18" t="s">
        <v>142</v>
      </c>
    </row>
    <row r="25" spans="1:7" x14ac:dyDescent="0.25">
      <c r="A25" s="19">
        <v>1</v>
      </c>
      <c r="B25" s="19">
        <v>15</v>
      </c>
      <c r="C25" s="19">
        <v>-2</v>
      </c>
      <c r="D25" s="19">
        <v>-0.51290038518495951</v>
      </c>
      <c r="F25" s="19">
        <v>2.5</v>
      </c>
      <c r="G25" s="19">
        <v>4</v>
      </c>
    </row>
    <row r="26" spans="1:7" x14ac:dyDescent="0.25">
      <c r="A26" s="19">
        <v>2</v>
      </c>
      <c r="B26" s="19">
        <v>15</v>
      </c>
      <c r="C26" s="19">
        <v>2</v>
      </c>
      <c r="D26" s="19">
        <v>0.51290038518495951</v>
      </c>
      <c r="F26" s="19">
        <v>7.5</v>
      </c>
      <c r="G26" s="19">
        <v>6</v>
      </c>
    </row>
    <row r="27" spans="1:7" x14ac:dyDescent="0.25">
      <c r="A27" s="19">
        <v>3</v>
      </c>
      <c r="B27" s="19">
        <v>15</v>
      </c>
      <c r="C27" s="19">
        <v>4</v>
      </c>
      <c r="D27" s="19">
        <v>1.025800770369919</v>
      </c>
      <c r="F27" s="19">
        <v>12.5</v>
      </c>
      <c r="G27" s="19">
        <v>8</v>
      </c>
    </row>
    <row r="28" spans="1:7" x14ac:dyDescent="0.25">
      <c r="A28" s="19">
        <v>4</v>
      </c>
      <c r="B28" s="19">
        <v>15</v>
      </c>
      <c r="C28" s="19">
        <v>-4</v>
      </c>
      <c r="D28" s="19">
        <v>-1.025800770369919</v>
      </c>
      <c r="F28" s="19">
        <v>17.5</v>
      </c>
      <c r="G28" s="19">
        <v>9</v>
      </c>
    </row>
    <row r="29" spans="1:7" x14ac:dyDescent="0.25">
      <c r="A29" s="19">
        <v>5</v>
      </c>
      <c r="B29" s="19">
        <v>15</v>
      </c>
      <c r="C29" s="19">
        <v>5</v>
      </c>
      <c r="D29" s="19">
        <v>1.2822509629623988</v>
      </c>
      <c r="F29" s="19">
        <v>22.5</v>
      </c>
      <c r="G29" s="19">
        <v>10</v>
      </c>
    </row>
    <row r="30" spans="1:7" x14ac:dyDescent="0.25">
      <c r="A30" s="19">
        <v>6</v>
      </c>
      <c r="B30" s="19">
        <v>15</v>
      </c>
      <c r="C30" s="19">
        <v>0</v>
      </c>
      <c r="D30" s="19">
        <v>0</v>
      </c>
      <c r="F30" s="19">
        <v>27.5</v>
      </c>
      <c r="G30" s="19">
        <v>11</v>
      </c>
    </row>
    <row r="31" spans="1:7" x14ac:dyDescent="0.25">
      <c r="A31" s="19">
        <v>7</v>
      </c>
      <c r="B31" s="19">
        <v>15</v>
      </c>
      <c r="C31" s="19">
        <v>3</v>
      </c>
      <c r="D31" s="19">
        <v>0.76935057777743932</v>
      </c>
      <c r="F31" s="19">
        <v>32.5</v>
      </c>
      <c r="G31" s="19">
        <v>11</v>
      </c>
    </row>
    <row r="32" spans="1:7" x14ac:dyDescent="0.25">
      <c r="A32" s="19">
        <v>8</v>
      </c>
      <c r="B32" s="19">
        <v>15</v>
      </c>
      <c r="C32" s="19">
        <v>-6</v>
      </c>
      <c r="D32" s="19">
        <v>-1.5387011555548786</v>
      </c>
      <c r="F32" s="19">
        <v>37.5</v>
      </c>
      <c r="G32" s="19">
        <v>12</v>
      </c>
    </row>
    <row r="33" spans="1:7" x14ac:dyDescent="0.25">
      <c r="A33" s="19">
        <v>9</v>
      </c>
      <c r="B33" s="19">
        <v>15</v>
      </c>
      <c r="C33" s="19">
        <v>-3</v>
      </c>
      <c r="D33" s="19">
        <v>-0.76935057777743932</v>
      </c>
      <c r="F33" s="19">
        <v>42.5</v>
      </c>
      <c r="G33" s="19">
        <v>12</v>
      </c>
    </row>
    <row r="34" spans="1:7" x14ac:dyDescent="0.25">
      <c r="A34" s="19">
        <v>10</v>
      </c>
      <c r="B34" s="19">
        <v>15</v>
      </c>
      <c r="C34" s="19">
        <v>1</v>
      </c>
      <c r="D34" s="19">
        <v>0.25645019259247975</v>
      </c>
      <c r="F34" s="19">
        <v>47.5</v>
      </c>
      <c r="G34" s="19">
        <v>12</v>
      </c>
    </row>
    <row r="35" spans="1:7" x14ac:dyDescent="0.25">
      <c r="A35" s="19">
        <v>11</v>
      </c>
      <c r="B35" s="19">
        <v>11.100000000000001</v>
      </c>
      <c r="C35" s="19">
        <v>0.89999999999999858</v>
      </c>
      <c r="D35" s="19">
        <v>0.23080517333323142</v>
      </c>
      <c r="F35" s="19">
        <v>52.5</v>
      </c>
      <c r="G35" s="19">
        <v>13</v>
      </c>
    </row>
    <row r="36" spans="1:7" x14ac:dyDescent="0.25">
      <c r="A36" s="19">
        <v>12</v>
      </c>
      <c r="B36" s="19">
        <v>11.100000000000001</v>
      </c>
      <c r="C36" s="19">
        <v>-3.1000000000000014</v>
      </c>
      <c r="D36" s="19">
        <v>-0.79499559703668765</v>
      </c>
      <c r="F36" s="19">
        <v>57.5</v>
      </c>
      <c r="G36" s="19">
        <v>14</v>
      </c>
    </row>
    <row r="37" spans="1:7" x14ac:dyDescent="0.25">
      <c r="A37" s="19">
        <v>13</v>
      </c>
      <c r="B37" s="19">
        <v>11.100000000000001</v>
      </c>
      <c r="C37" s="19">
        <v>-5.1000000000000014</v>
      </c>
      <c r="D37" s="19">
        <v>-1.3078959822216472</v>
      </c>
      <c r="F37" s="19">
        <v>62.5</v>
      </c>
      <c r="G37" s="19">
        <v>15</v>
      </c>
    </row>
    <row r="38" spans="1:7" x14ac:dyDescent="0.25">
      <c r="A38" s="19">
        <v>14</v>
      </c>
      <c r="B38" s="19">
        <v>11.100000000000001</v>
      </c>
      <c r="C38" s="19">
        <v>4.8999999999999986</v>
      </c>
      <c r="D38" s="19">
        <v>1.2566059437031505</v>
      </c>
      <c r="F38" s="19">
        <v>67.5</v>
      </c>
      <c r="G38" s="19">
        <v>16</v>
      </c>
    </row>
    <row r="39" spans="1:7" x14ac:dyDescent="0.25">
      <c r="A39" s="19">
        <v>15</v>
      </c>
      <c r="B39" s="19">
        <v>11.100000000000001</v>
      </c>
      <c r="C39" s="19">
        <v>0.89999999999999858</v>
      </c>
      <c r="D39" s="19">
        <v>0.23080517333323142</v>
      </c>
      <c r="F39" s="19">
        <v>72.5</v>
      </c>
      <c r="G39" s="19">
        <v>16</v>
      </c>
    </row>
    <row r="40" spans="1:7" x14ac:dyDescent="0.25">
      <c r="A40" s="19">
        <v>16</v>
      </c>
      <c r="B40" s="19">
        <v>11.100000000000001</v>
      </c>
      <c r="C40" s="19">
        <v>2.8999999999999986</v>
      </c>
      <c r="D40" s="19">
        <v>0.74370555851819098</v>
      </c>
      <c r="F40" s="19">
        <v>77.5</v>
      </c>
      <c r="G40" s="19">
        <v>17</v>
      </c>
    </row>
    <row r="41" spans="1:7" x14ac:dyDescent="0.25">
      <c r="A41" s="19">
        <v>17</v>
      </c>
      <c r="B41" s="19">
        <v>11.100000000000001</v>
      </c>
      <c r="C41" s="19">
        <v>-1.1000000000000014</v>
      </c>
      <c r="D41" s="19">
        <v>-0.28209521185172809</v>
      </c>
      <c r="F41" s="19">
        <v>82.5</v>
      </c>
      <c r="G41" s="19">
        <v>18</v>
      </c>
    </row>
    <row r="42" spans="1:7" x14ac:dyDescent="0.25">
      <c r="A42" s="19">
        <v>18</v>
      </c>
      <c r="B42" s="19">
        <v>11.100000000000001</v>
      </c>
      <c r="C42" s="19">
        <v>6.8999999999999986</v>
      </c>
      <c r="D42" s="19">
        <v>1.7695063288881099</v>
      </c>
      <c r="F42" s="19">
        <v>87.5</v>
      </c>
      <c r="G42" s="19">
        <v>18</v>
      </c>
    </row>
    <row r="43" spans="1:7" x14ac:dyDescent="0.25">
      <c r="A43" s="19">
        <v>19</v>
      </c>
      <c r="B43" s="19">
        <v>11.100000000000001</v>
      </c>
      <c r="C43" s="19">
        <v>-7.1000000000000014</v>
      </c>
      <c r="D43" s="19">
        <v>-1.8207963674066066</v>
      </c>
      <c r="F43" s="19">
        <v>92.5</v>
      </c>
      <c r="G43" s="19">
        <v>19</v>
      </c>
    </row>
    <row r="44" spans="1:7" ht="15.75" thickBot="1" x14ac:dyDescent="0.3">
      <c r="A44" s="20">
        <v>20</v>
      </c>
      <c r="B44" s="20">
        <v>11.100000000000001</v>
      </c>
      <c r="C44" s="20">
        <v>-0.10000000000000142</v>
      </c>
      <c r="D44" s="20">
        <v>-2.564501925924834E-2</v>
      </c>
      <c r="F44" s="20">
        <v>97.5</v>
      </c>
      <c r="G44" s="20">
        <v>20</v>
      </c>
    </row>
  </sheetData>
  <sortState ref="G25:G44">
    <sortCondition ref="G25"/>
  </sortState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U23"/>
  <sheetViews>
    <sheetView workbookViewId="0"/>
  </sheetViews>
  <sheetFormatPr defaultRowHeight="15" x14ac:dyDescent="0.25"/>
  <cols>
    <col min="3" max="3" width="5.5703125" customWidth="1"/>
    <col min="4" max="5" width="7.140625" customWidth="1"/>
    <col min="6" max="6" width="5.7109375" customWidth="1"/>
    <col min="7" max="7" width="17.28515625" customWidth="1"/>
    <col min="8" max="8" width="11.5703125" customWidth="1"/>
    <col min="9" max="9" width="14.140625" customWidth="1"/>
    <col min="10" max="10" width="11.85546875" customWidth="1"/>
    <col min="11" max="11" width="11.42578125" customWidth="1"/>
    <col min="12" max="13" width="12.42578125" customWidth="1"/>
    <col min="15" max="15" width="28.5703125" customWidth="1"/>
    <col min="16" max="16" width="9.140625" customWidth="1"/>
    <col min="19" max="19" width="28.5703125" customWidth="1"/>
  </cols>
  <sheetData>
    <row r="1" spans="1:21" x14ac:dyDescent="0.25">
      <c r="A1" s="1" t="s">
        <v>368</v>
      </c>
    </row>
    <row r="3" spans="1:21" x14ac:dyDescent="0.25">
      <c r="A3" s="131" t="s">
        <v>75</v>
      </c>
      <c r="B3" s="131" t="s">
        <v>76</v>
      </c>
      <c r="D3" s="131" t="s">
        <v>4</v>
      </c>
      <c r="E3" s="131" t="s">
        <v>142</v>
      </c>
      <c r="G3" t="s">
        <v>290</v>
      </c>
      <c r="O3" t="s">
        <v>78</v>
      </c>
      <c r="S3" t="s">
        <v>90</v>
      </c>
    </row>
    <row r="4" spans="1:21" ht="15.75" thickBot="1" x14ac:dyDescent="0.3">
      <c r="A4" s="129">
        <v>34</v>
      </c>
      <c r="B4" s="129">
        <v>12</v>
      </c>
      <c r="D4" s="50">
        <v>0</v>
      </c>
      <c r="E4" s="129">
        <v>34</v>
      </c>
    </row>
    <row r="5" spans="1:21" x14ac:dyDescent="0.25">
      <c r="A5" s="50">
        <v>52</v>
      </c>
      <c r="B5" s="50">
        <v>8</v>
      </c>
      <c r="D5" s="50">
        <v>0</v>
      </c>
      <c r="E5" s="50">
        <v>52</v>
      </c>
      <c r="G5" s="21" t="s">
        <v>291</v>
      </c>
      <c r="H5" s="21"/>
      <c r="O5" s="18"/>
      <c r="P5" s="18" t="s">
        <v>75</v>
      </c>
      <c r="Q5" s="18" t="s">
        <v>76</v>
      </c>
      <c r="S5" s="18"/>
      <c r="T5" s="18" t="s">
        <v>75</v>
      </c>
      <c r="U5" s="18" t="s">
        <v>76</v>
      </c>
    </row>
    <row r="6" spans="1:21" x14ac:dyDescent="0.25">
      <c r="A6" s="50">
        <v>17</v>
      </c>
      <c r="B6" s="50">
        <v>6</v>
      </c>
      <c r="D6" s="50">
        <v>0</v>
      </c>
      <c r="E6" s="50">
        <v>17</v>
      </c>
      <c r="G6" s="19" t="s">
        <v>292</v>
      </c>
      <c r="H6" s="19">
        <v>0.63143952239527301</v>
      </c>
      <c r="O6" s="19" t="s">
        <v>10</v>
      </c>
      <c r="P6" s="19">
        <v>33.5</v>
      </c>
      <c r="Q6" s="19">
        <v>11.1</v>
      </c>
      <c r="S6" s="19" t="s">
        <v>10</v>
      </c>
      <c r="T6" s="19">
        <v>33.5</v>
      </c>
      <c r="U6" s="19">
        <v>11.1</v>
      </c>
    </row>
    <row r="7" spans="1:21" x14ac:dyDescent="0.25">
      <c r="A7" s="50">
        <v>45</v>
      </c>
      <c r="B7" s="50">
        <v>16</v>
      </c>
      <c r="D7" s="50">
        <v>0</v>
      </c>
      <c r="E7" s="50">
        <v>45</v>
      </c>
      <c r="G7" s="19" t="s">
        <v>285</v>
      </c>
      <c r="H7" s="19">
        <v>0.39871587044277046</v>
      </c>
      <c r="O7" s="19" t="s">
        <v>80</v>
      </c>
      <c r="P7" s="19">
        <v>401.61111111111109</v>
      </c>
      <c r="Q7" s="19">
        <v>18.766666666666676</v>
      </c>
      <c r="S7" s="19" t="s">
        <v>80</v>
      </c>
      <c r="T7" s="19">
        <v>401.61111111111109</v>
      </c>
      <c r="U7" s="19">
        <v>18.766666666666676</v>
      </c>
    </row>
    <row r="8" spans="1:21" x14ac:dyDescent="0.25">
      <c r="A8" s="50">
        <v>5</v>
      </c>
      <c r="B8" s="50">
        <v>12</v>
      </c>
      <c r="D8" s="50">
        <v>0</v>
      </c>
      <c r="E8" s="50">
        <v>5</v>
      </c>
      <c r="G8" s="19" t="s">
        <v>293</v>
      </c>
      <c r="H8" s="19">
        <v>0.36531119657847994</v>
      </c>
      <c r="O8" s="19" t="s">
        <v>81</v>
      </c>
      <c r="P8" s="19">
        <v>10</v>
      </c>
      <c r="Q8" s="19">
        <v>10</v>
      </c>
      <c r="S8" s="19" t="s">
        <v>81</v>
      </c>
      <c r="T8" s="19">
        <v>10</v>
      </c>
      <c r="U8" s="19">
        <v>10</v>
      </c>
    </row>
    <row r="9" spans="1:21" x14ac:dyDescent="0.25">
      <c r="A9" s="50">
        <v>29</v>
      </c>
      <c r="B9" s="50">
        <v>14</v>
      </c>
      <c r="D9" s="50">
        <v>0</v>
      </c>
      <c r="E9" s="50">
        <v>29</v>
      </c>
      <c r="G9" s="19" t="s">
        <v>11</v>
      </c>
      <c r="H9" s="19">
        <v>14.497892567159163</v>
      </c>
      <c r="O9" s="19" t="s">
        <v>83</v>
      </c>
      <c r="P9" s="19">
        <v>210.1888888888889</v>
      </c>
      <c r="Q9" s="19"/>
      <c r="S9" s="19" t="s">
        <v>84</v>
      </c>
      <c r="T9" s="19">
        <v>0</v>
      </c>
      <c r="U9" s="19"/>
    </row>
    <row r="10" spans="1:21" ht="15.75" thickBot="1" x14ac:dyDescent="0.3">
      <c r="A10" s="50">
        <v>31</v>
      </c>
      <c r="B10" s="50">
        <v>10</v>
      </c>
      <c r="D10" s="50">
        <v>0</v>
      </c>
      <c r="E10" s="50">
        <v>31</v>
      </c>
      <c r="G10" s="20" t="s">
        <v>81</v>
      </c>
      <c r="H10" s="20">
        <v>20</v>
      </c>
      <c r="O10" s="19" t="s">
        <v>84</v>
      </c>
      <c r="P10" s="19">
        <v>0</v>
      </c>
      <c r="Q10" s="19"/>
      <c r="S10" s="19" t="s">
        <v>60</v>
      </c>
      <c r="T10" s="19">
        <v>10</v>
      </c>
      <c r="U10" s="19"/>
    </row>
    <row r="11" spans="1:21" x14ac:dyDescent="0.25">
      <c r="A11" s="50">
        <v>6</v>
      </c>
      <c r="B11" s="50">
        <v>18</v>
      </c>
      <c r="D11" s="50">
        <v>0</v>
      </c>
      <c r="E11" s="50">
        <v>6</v>
      </c>
      <c r="O11" s="19" t="s">
        <v>60</v>
      </c>
      <c r="P11" s="19">
        <v>18</v>
      </c>
      <c r="Q11" s="19"/>
      <c r="S11" s="19" t="s">
        <v>85</v>
      </c>
      <c r="T11" s="19">
        <v>3.4548416236339881</v>
      </c>
      <c r="U11" s="19"/>
    </row>
    <row r="12" spans="1:21" ht="15.75" thickBot="1" x14ac:dyDescent="0.3">
      <c r="A12" s="50">
        <v>52</v>
      </c>
      <c r="B12" s="50">
        <v>4</v>
      </c>
      <c r="D12" s="50">
        <v>0</v>
      </c>
      <c r="E12" s="50">
        <v>52</v>
      </c>
      <c r="G12" t="s">
        <v>294</v>
      </c>
      <c r="O12" s="19" t="s">
        <v>85</v>
      </c>
      <c r="P12" s="19">
        <v>3.4548416236339876</v>
      </c>
      <c r="Q12" s="19"/>
      <c r="S12" s="19" t="s">
        <v>86</v>
      </c>
      <c r="T12" s="19">
        <v>3.0879404292687403E-3</v>
      </c>
      <c r="U12" s="19"/>
    </row>
    <row r="13" spans="1:21" x14ac:dyDescent="0.25">
      <c r="A13" s="130">
        <v>64</v>
      </c>
      <c r="B13" s="130">
        <v>11</v>
      </c>
      <c r="D13" s="50">
        <v>0</v>
      </c>
      <c r="E13" s="50">
        <v>64</v>
      </c>
      <c r="G13" s="18"/>
      <c r="H13" s="18" t="s">
        <v>60</v>
      </c>
      <c r="I13" s="18" t="s">
        <v>219</v>
      </c>
      <c r="J13" s="18" t="s">
        <v>240</v>
      </c>
      <c r="K13" s="18" t="s">
        <v>135</v>
      </c>
      <c r="L13" s="18" t="s">
        <v>297</v>
      </c>
      <c r="O13" s="19" t="s">
        <v>86</v>
      </c>
      <c r="P13" s="19">
        <v>1.4131153759735829E-3</v>
      </c>
      <c r="Q13" s="19"/>
      <c r="S13" s="19" t="s">
        <v>87</v>
      </c>
      <c r="T13" s="19">
        <v>1.8124611021972235</v>
      </c>
      <c r="U13" s="19"/>
    </row>
    <row r="14" spans="1:21" x14ac:dyDescent="0.25">
      <c r="A14" s="91"/>
      <c r="B14" s="91"/>
      <c r="D14" s="50">
        <v>1</v>
      </c>
      <c r="E14" s="50">
        <v>12</v>
      </c>
      <c r="G14" s="19" t="s">
        <v>222</v>
      </c>
      <c r="H14" s="19">
        <v>1</v>
      </c>
      <c r="I14" s="19">
        <v>2508.8000000000002</v>
      </c>
      <c r="J14" s="19">
        <v>2508.8000000000002</v>
      </c>
      <c r="K14" s="19">
        <v>11.935930644393933</v>
      </c>
      <c r="L14" s="19">
        <v>2.8262307651200484E-3</v>
      </c>
      <c r="O14" s="19" t="s">
        <v>87</v>
      </c>
      <c r="P14" s="19">
        <v>1.7340635923093939</v>
      </c>
      <c r="Q14" s="19"/>
      <c r="S14" s="19" t="s">
        <v>88</v>
      </c>
      <c r="T14" s="19">
        <v>6.1758808585374806E-3</v>
      </c>
      <c r="U14" s="19"/>
    </row>
    <row r="15" spans="1:21" ht="15.75" thickBot="1" x14ac:dyDescent="0.3">
      <c r="A15" s="91"/>
      <c r="B15" s="91"/>
      <c r="D15" s="50">
        <v>1</v>
      </c>
      <c r="E15" s="50">
        <v>8</v>
      </c>
      <c r="G15" s="19" t="s">
        <v>295</v>
      </c>
      <c r="H15" s="19">
        <v>18</v>
      </c>
      <c r="I15" s="19">
        <v>3783.3999999999996</v>
      </c>
      <c r="J15" s="19">
        <v>210.18888888888887</v>
      </c>
      <c r="K15" s="19"/>
      <c r="L15" s="19"/>
      <c r="O15" s="19" t="s">
        <v>88</v>
      </c>
      <c r="P15" s="19">
        <v>2.8262307519471659E-3</v>
      </c>
      <c r="Q15" s="19"/>
      <c r="S15" s="20" t="s">
        <v>89</v>
      </c>
      <c r="T15" s="20">
        <v>2.2281388424258681</v>
      </c>
      <c r="U15" s="20"/>
    </row>
    <row r="16" spans="1:21" ht="15.75" thickBot="1" x14ac:dyDescent="0.3">
      <c r="A16" s="91"/>
      <c r="B16" s="91"/>
      <c r="D16" s="50">
        <v>1</v>
      </c>
      <c r="E16" s="50">
        <v>6</v>
      </c>
      <c r="G16" s="20" t="s">
        <v>1</v>
      </c>
      <c r="H16" s="20">
        <v>19</v>
      </c>
      <c r="I16" s="20">
        <v>6292.2</v>
      </c>
      <c r="J16" s="20"/>
      <c r="K16" s="20"/>
      <c r="L16" s="20"/>
      <c r="O16" s="20" t="s">
        <v>89</v>
      </c>
      <c r="P16" s="20">
        <v>2.1009220368611805</v>
      </c>
      <c r="Q16" s="20"/>
    </row>
    <row r="17" spans="1:13" ht="15.75" thickBot="1" x14ac:dyDescent="0.3">
      <c r="A17" s="91"/>
      <c r="B17" s="91"/>
      <c r="D17" s="50">
        <v>1</v>
      </c>
      <c r="E17" s="50">
        <v>16</v>
      </c>
    </row>
    <row r="18" spans="1:13" x14ac:dyDescent="0.25">
      <c r="D18" s="50">
        <v>1</v>
      </c>
      <c r="E18" s="50">
        <v>12</v>
      </c>
      <c r="G18" s="18"/>
      <c r="H18" s="18" t="s">
        <v>298</v>
      </c>
      <c r="I18" s="18" t="s">
        <v>11</v>
      </c>
      <c r="J18" s="18" t="s">
        <v>85</v>
      </c>
      <c r="K18" s="18" t="s">
        <v>119</v>
      </c>
      <c r="L18" s="18" t="s">
        <v>299</v>
      </c>
      <c r="M18" s="18" t="s">
        <v>300</v>
      </c>
    </row>
    <row r="19" spans="1:13" x14ac:dyDescent="0.25">
      <c r="D19" s="50">
        <v>1</v>
      </c>
      <c r="E19" s="50">
        <v>14</v>
      </c>
      <c r="G19" s="19" t="s">
        <v>296</v>
      </c>
      <c r="H19" s="19">
        <v>33.5</v>
      </c>
      <c r="I19" s="19">
        <v>4.5846361784648613</v>
      </c>
      <c r="J19" s="19">
        <v>7.3070138383842878</v>
      </c>
      <c r="K19" s="19">
        <v>8.6872089940159996E-7</v>
      </c>
      <c r="L19" s="19">
        <v>23.868036806176729</v>
      </c>
      <c r="M19" s="19">
        <v>43.131963193823267</v>
      </c>
    </row>
    <row r="20" spans="1:13" ht="15.75" thickBot="1" x14ac:dyDescent="0.3">
      <c r="D20" s="50">
        <v>1</v>
      </c>
      <c r="E20" s="50">
        <v>10</v>
      </c>
      <c r="G20" s="20" t="s">
        <v>4</v>
      </c>
      <c r="H20" s="20">
        <v>-22.399999999999995</v>
      </c>
      <c r="I20" s="20">
        <v>6.4836546621313635</v>
      </c>
      <c r="J20" s="20">
        <v>-3.4548416236339881</v>
      </c>
      <c r="K20" s="20">
        <v>2.8262307651200484E-3</v>
      </c>
      <c r="L20" s="20">
        <v>-36.021652980983333</v>
      </c>
      <c r="M20" s="20">
        <v>-8.778347019016655</v>
      </c>
    </row>
    <row r="21" spans="1:13" x14ac:dyDescent="0.25">
      <c r="D21" s="50">
        <v>1</v>
      </c>
      <c r="E21" s="50">
        <v>18</v>
      </c>
    </row>
    <row r="22" spans="1:13" x14ac:dyDescent="0.25">
      <c r="D22" s="50">
        <v>1</v>
      </c>
      <c r="E22" s="50">
        <v>4</v>
      </c>
    </row>
    <row r="23" spans="1:13" x14ac:dyDescent="0.25">
      <c r="D23" s="130">
        <v>1</v>
      </c>
      <c r="E23" s="130">
        <v>11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G44"/>
  <sheetViews>
    <sheetView workbookViewId="0"/>
  </sheetViews>
  <sheetFormatPr defaultRowHeight="15" x14ac:dyDescent="0.25"/>
  <cols>
    <col min="1" max="1" width="19.85546875" customWidth="1"/>
    <col min="2" max="2" width="14.7109375" customWidth="1"/>
    <col min="3" max="3" width="14.28515625" customWidth="1"/>
    <col min="4" max="4" width="17.140625" customWidth="1"/>
    <col min="6" max="6" width="12" customWidth="1"/>
    <col min="7" max="7" width="11.7109375" customWidth="1"/>
  </cols>
  <sheetData>
    <row r="1" spans="1:7" x14ac:dyDescent="0.25">
      <c r="A1" t="s">
        <v>290</v>
      </c>
    </row>
    <row r="2" spans="1:7" ht="15.75" thickBot="1" x14ac:dyDescent="0.3"/>
    <row r="3" spans="1:7" x14ac:dyDescent="0.25">
      <c r="A3" s="21" t="s">
        <v>291</v>
      </c>
      <c r="B3" s="21"/>
    </row>
    <row r="4" spans="1:7" x14ac:dyDescent="0.25">
      <c r="A4" s="19" t="s">
        <v>292</v>
      </c>
      <c r="B4" s="19">
        <v>0.63143952239527301</v>
      </c>
    </row>
    <row r="5" spans="1:7" x14ac:dyDescent="0.25">
      <c r="A5" s="19" t="s">
        <v>285</v>
      </c>
      <c r="B5" s="19">
        <v>0.39871587044277046</v>
      </c>
    </row>
    <row r="6" spans="1:7" x14ac:dyDescent="0.25">
      <c r="A6" s="19" t="s">
        <v>293</v>
      </c>
      <c r="B6" s="19">
        <v>0.36531119657847994</v>
      </c>
    </row>
    <row r="7" spans="1:7" x14ac:dyDescent="0.25">
      <c r="A7" s="19" t="s">
        <v>11</v>
      </c>
      <c r="B7" s="19">
        <v>14.497892567159163</v>
      </c>
    </row>
    <row r="8" spans="1:7" ht="15.75" thickBot="1" x14ac:dyDescent="0.3">
      <c r="A8" s="20" t="s">
        <v>81</v>
      </c>
      <c r="B8" s="20">
        <v>20</v>
      </c>
    </row>
    <row r="10" spans="1:7" ht="15.75" thickBot="1" x14ac:dyDescent="0.3">
      <c r="A10" t="s">
        <v>294</v>
      </c>
    </row>
    <row r="11" spans="1:7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</row>
    <row r="12" spans="1:7" x14ac:dyDescent="0.25">
      <c r="A12" s="19" t="s">
        <v>222</v>
      </c>
      <c r="B12" s="19">
        <v>1</v>
      </c>
      <c r="C12" s="19">
        <v>2508.8000000000002</v>
      </c>
      <c r="D12" s="19">
        <v>2508.8000000000002</v>
      </c>
      <c r="E12" s="19">
        <v>11.935930644393933</v>
      </c>
      <c r="F12" s="19">
        <v>2.8262307651200484E-3</v>
      </c>
    </row>
    <row r="13" spans="1:7" x14ac:dyDescent="0.25">
      <c r="A13" s="19" t="s">
        <v>295</v>
      </c>
      <c r="B13" s="19">
        <v>18</v>
      </c>
      <c r="C13" s="19">
        <v>3783.3999999999996</v>
      </c>
      <c r="D13" s="19">
        <v>210.18888888888887</v>
      </c>
      <c r="E13" s="19"/>
      <c r="F13" s="19"/>
    </row>
    <row r="14" spans="1:7" ht="15.75" thickBot="1" x14ac:dyDescent="0.3">
      <c r="A14" s="20" t="s">
        <v>1</v>
      </c>
      <c r="B14" s="20">
        <v>19</v>
      </c>
      <c r="C14" s="20">
        <v>6292.2</v>
      </c>
      <c r="D14" s="20"/>
      <c r="E14" s="20"/>
      <c r="F14" s="20"/>
    </row>
    <row r="15" spans="1:7" ht="15.75" thickBot="1" x14ac:dyDescent="0.3"/>
    <row r="16" spans="1:7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</row>
    <row r="17" spans="1:7" x14ac:dyDescent="0.25">
      <c r="A17" s="19" t="s">
        <v>296</v>
      </c>
      <c r="B17" s="19">
        <v>33.5</v>
      </c>
      <c r="C17" s="19">
        <v>4.5846361784648613</v>
      </c>
      <c r="D17" s="19">
        <v>7.3070138383842878</v>
      </c>
      <c r="E17" s="19">
        <v>8.6872089940159996E-7</v>
      </c>
      <c r="F17" s="19">
        <v>23.868036806176729</v>
      </c>
      <c r="G17" s="19">
        <v>43.131963193823267</v>
      </c>
    </row>
    <row r="18" spans="1:7" ht="15.75" thickBot="1" x14ac:dyDescent="0.3">
      <c r="A18" s="20" t="s">
        <v>4</v>
      </c>
      <c r="B18" s="20">
        <v>-22.399999999999995</v>
      </c>
      <c r="C18" s="20">
        <v>6.4836546621313635</v>
      </c>
      <c r="D18" s="20">
        <v>-3.4548416236339881</v>
      </c>
      <c r="E18" s="20">
        <v>2.8262307651200484E-3</v>
      </c>
      <c r="F18" s="20">
        <v>-36.021652980983333</v>
      </c>
      <c r="G18" s="20">
        <v>-8.778347019016655</v>
      </c>
    </row>
    <row r="22" spans="1:7" x14ac:dyDescent="0.25">
      <c r="A22" t="s">
        <v>301</v>
      </c>
      <c r="F22" t="s">
        <v>305</v>
      </c>
    </row>
    <row r="23" spans="1:7" ht="15.75" thickBot="1" x14ac:dyDescent="0.3"/>
    <row r="24" spans="1:7" x14ac:dyDescent="0.25">
      <c r="A24" s="18" t="s">
        <v>302</v>
      </c>
      <c r="B24" s="18" t="s">
        <v>369</v>
      </c>
      <c r="C24" s="18" t="s">
        <v>303</v>
      </c>
      <c r="D24" s="18" t="s">
        <v>304</v>
      </c>
      <c r="F24" s="18" t="s">
        <v>306</v>
      </c>
      <c r="G24" s="18" t="s">
        <v>142</v>
      </c>
    </row>
    <row r="25" spans="1:7" x14ac:dyDescent="0.25">
      <c r="A25" s="19">
        <v>1</v>
      </c>
      <c r="B25" s="19">
        <v>33.5</v>
      </c>
      <c r="C25" s="19">
        <v>0.5</v>
      </c>
      <c r="D25" s="19">
        <v>3.5432816496221299E-2</v>
      </c>
      <c r="F25" s="19">
        <v>2.5</v>
      </c>
      <c r="G25" s="19">
        <v>4</v>
      </c>
    </row>
    <row r="26" spans="1:7" x14ac:dyDescent="0.25">
      <c r="A26" s="19">
        <v>2</v>
      </c>
      <c r="B26" s="19">
        <v>33.5</v>
      </c>
      <c r="C26" s="19">
        <v>18.5</v>
      </c>
      <c r="D26" s="19">
        <v>1.3110142103601881</v>
      </c>
      <c r="F26" s="19">
        <v>7.5</v>
      </c>
      <c r="G26" s="19">
        <v>5</v>
      </c>
    </row>
    <row r="27" spans="1:7" x14ac:dyDescent="0.25">
      <c r="A27" s="19">
        <v>3</v>
      </c>
      <c r="B27" s="19">
        <v>33.5</v>
      </c>
      <c r="C27" s="19">
        <v>-16.5</v>
      </c>
      <c r="D27" s="19">
        <v>-1.169282944375303</v>
      </c>
      <c r="F27" s="19">
        <v>12.5</v>
      </c>
      <c r="G27" s="19">
        <v>6</v>
      </c>
    </row>
    <row r="28" spans="1:7" x14ac:dyDescent="0.25">
      <c r="A28" s="19">
        <v>4</v>
      </c>
      <c r="B28" s="19">
        <v>33.5</v>
      </c>
      <c r="C28" s="19">
        <v>11.5</v>
      </c>
      <c r="D28" s="19">
        <v>0.81495477941308991</v>
      </c>
      <c r="F28" s="19">
        <v>17.5</v>
      </c>
      <c r="G28" s="19">
        <v>6</v>
      </c>
    </row>
    <row r="29" spans="1:7" x14ac:dyDescent="0.25">
      <c r="A29" s="19">
        <v>5</v>
      </c>
      <c r="B29" s="19">
        <v>33.5</v>
      </c>
      <c r="C29" s="19">
        <v>-28.5</v>
      </c>
      <c r="D29" s="19">
        <v>-2.019670540284614</v>
      </c>
      <c r="F29" s="19">
        <v>22.5</v>
      </c>
      <c r="G29" s="19">
        <v>8</v>
      </c>
    </row>
    <row r="30" spans="1:7" x14ac:dyDescent="0.25">
      <c r="A30" s="19">
        <v>6</v>
      </c>
      <c r="B30" s="19">
        <v>33.5</v>
      </c>
      <c r="C30" s="19">
        <v>-4.5</v>
      </c>
      <c r="D30" s="19">
        <v>-0.31889534846599171</v>
      </c>
      <c r="F30" s="19">
        <v>27.5</v>
      </c>
      <c r="G30" s="19">
        <v>10</v>
      </c>
    </row>
    <row r="31" spans="1:7" x14ac:dyDescent="0.25">
      <c r="A31" s="19">
        <v>7</v>
      </c>
      <c r="B31" s="19">
        <v>33.5</v>
      </c>
      <c r="C31" s="19">
        <v>-2.5</v>
      </c>
      <c r="D31" s="19">
        <v>-0.17716408248110652</v>
      </c>
      <c r="F31" s="19">
        <v>32.5</v>
      </c>
      <c r="G31" s="19">
        <v>11</v>
      </c>
    </row>
    <row r="32" spans="1:7" x14ac:dyDescent="0.25">
      <c r="A32" s="19">
        <v>8</v>
      </c>
      <c r="B32" s="19">
        <v>33.5</v>
      </c>
      <c r="C32" s="19">
        <v>-27.5</v>
      </c>
      <c r="D32" s="19">
        <v>-1.9488049072921716</v>
      </c>
      <c r="F32" s="19">
        <v>37.5</v>
      </c>
      <c r="G32" s="19">
        <v>12</v>
      </c>
    </row>
    <row r="33" spans="1:7" x14ac:dyDescent="0.25">
      <c r="A33" s="19">
        <v>9</v>
      </c>
      <c r="B33" s="19">
        <v>33.5</v>
      </c>
      <c r="C33" s="19">
        <v>18.5</v>
      </c>
      <c r="D33" s="19">
        <v>1.3110142103601881</v>
      </c>
      <c r="F33" s="19">
        <v>42.5</v>
      </c>
      <c r="G33" s="19">
        <v>12</v>
      </c>
    </row>
    <row r="34" spans="1:7" x14ac:dyDescent="0.25">
      <c r="A34" s="19">
        <v>10</v>
      </c>
      <c r="B34" s="19">
        <v>33.5</v>
      </c>
      <c r="C34" s="19">
        <v>30.5</v>
      </c>
      <c r="D34" s="19">
        <v>2.1614018062694993</v>
      </c>
      <c r="F34" s="19">
        <v>47.5</v>
      </c>
      <c r="G34" s="19">
        <v>14</v>
      </c>
    </row>
    <row r="35" spans="1:7" x14ac:dyDescent="0.25">
      <c r="A35" s="19">
        <v>11</v>
      </c>
      <c r="B35" s="19">
        <v>11.100000000000005</v>
      </c>
      <c r="C35" s="19">
        <v>0.89999999999999503</v>
      </c>
      <c r="D35" s="19">
        <v>6.3779069693197993E-2</v>
      </c>
      <c r="F35" s="19">
        <v>52.5</v>
      </c>
      <c r="G35" s="19">
        <v>16</v>
      </c>
    </row>
    <row r="36" spans="1:7" x14ac:dyDescent="0.25">
      <c r="A36" s="19">
        <v>12</v>
      </c>
      <c r="B36" s="19">
        <v>11.100000000000005</v>
      </c>
      <c r="C36" s="19">
        <v>-3.100000000000005</v>
      </c>
      <c r="D36" s="19">
        <v>-0.21968346227657243</v>
      </c>
      <c r="F36" s="19">
        <v>57.5</v>
      </c>
      <c r="G36" s="19">
        <v>17</v>
      </c>
    </row>
    <row r="37" spans="1:7" x14ac:dyDescent="0.25">
      <c r="A37" s="19">
        <v>13</v>
      </c>
      <c r="B37" s="19">
        <v>11.100000000000005</v>
      </c>
      <c r="C37" s="19">
        <v>-5.100000000000005</v>
      </c>
      <c r="D37" s="19">
        <v>-0.36141472826145765</v>
      </c>
      <c r="F37" s="19">
        <v>62.5</v>
      </c>
      <c r="G37" s="19">
        <v>18</v>
      </c>
    </row>
    <row r="38" spans="1:7" x14ac:dyDescent="0.25">
      <c r="A38" s="19">
        <v>14</v>
      </c>
      <c r="B38" s="19">
        <v>11.100000000000005</v>
      </c>
      <c r="C38" s="19">
        <v>4.899999999999995</v>
      </c>
      <c r="D38" s="19">
        <v>0.34724160166296841</v>
      </c>
      <c r="F38" s="19">
        <v>67.5</v>
      </c>
      <c r="G38" s="19">
        <v>29</v>
      </c>
    </row>
    <row r="39" spans="1:7" x14ac:dyDescent="0.25">
      <c r="A39" s="19">
        <v>15</v>
      </c>
      <c r="B39" s="19">
        <v>11.100000000000005</v>
      </c>
      <c r="C39" s="19">
        <v>0.89999999999999503</v>
      </c>
      <c r="D39" s="19">
        <v>6.3779069693197993E-2</v>
      </c>
      <c r="F39" s="19">
        <v>72.5</v>
      </c>
      <c r="G39" s="19">
        <v>31</v>
      </c>
    </row>
    <row r="40" spans="1:7" x14ac:dyDescent="0.25">
      <c r="A40" s="19">
        <v>16</v>
      </c>
      <c r="B40" s="19">
        <v>11.100000000000005</v>
      </c>
      <c r="C40" s="19">
        <v>2.899999999999995</v>
      </c>
      <c r="D40" s="19">
        <v>0.20551033567808319</v>
      </c>
      <c r="F40" s="19">
        <v>77.5</v>
      </c>
      <c r="G40" s="19">
        <v>34</v>
      </c>
    </row>
    <row r="41" spans="1:7" x14ac:dyDescent="0.25">
      <c r="A41" s="19">
        <v>17</v>
      </c>
      <c r="B41" s="19">
        <v>11.100000000000005</v>
      </c>
      <c r="C41" s="19">
        <v>-1.100000000000005</v>
      </c>
      <c r="D41" s="19">
        <v>-7.7952196291687217E-2</v>
      </c>
      <c r="F41" s="19">
        <v>82.5</v>
      </c>
      <c r="G41" s="19">
        <v>45</v>
      </c>
    </row>
    <row r="42" spans="1:7" x14ac:dyDescent="0.25">
      <c r="A42" s="19">
        <v>18</v>
      </c>
      <c r="B42" s="19">
        <v>11.100000000000005</v>
      </c>
      <c r="C42" s="19">
        <v>6.899999999999995</v>
      </c>
      <c r="D42" s="19">
        <v>0.48897286764785364</v>
      </c>
      <c r="F42" s="19">
        <v>87.5</v>
      </c>
      <c r="G42" s="19">
        <v>52</v>
      </c>
    </row>
    <row r="43" spans="1:7" x14ac:dyDescent="0.25">
      <c r="A43" s="19">
        <v>19</v>
      </c>
      <c r="B43" s="19">
        <v>11.100000000000005</v>
      </c>
      <c r="C43" s="19">
        <v>-7.100000000000005</v>
      </c>
      <c r="D43" s="19">
        <v>-0.50314599424634288</v>
      </c>
      <c r="F43" s="19">
        <v>92.5</v>
      </c>
      <c r="G43" s="19">
        <v>52</v>
      </c>
    </row>
    <row r="44" spans="1:7" ht="15.75" thickBot="1" x14ac:dyDescent="0.3">
      <c r="A44" s="20">
        <v>20</v>
      </c>
      <c r="B44" s="20">
        <v>11.100000000000005</v>
      </c>
      <c r="C44" s="20">
        <v>-0.10000000000000497</v>
      </c>
      <c r="D44" s="20">
        <v>-7.0865632992446132E-3</v>
      </c>
      <c r="F44" s="20">
        <v>97.5</v>
      </c>
      <c r="G44" s="20">
        <v>64</v>
      </c>
    </row>
  </sheetData>
  <sortState ref="G25:G44">
    <sortCondition ref="G25"/>
  </sortState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L28"/>
  <sheetViews>
    <sheetView workbookViewId="0"/>
  </sheetViews>
  <sheetFormatPr defaultRowHeight="15" x14ac:dyDescent="0.25"/>
  <cols>
    <col min="1" max="3" width="8.28515625" customWidth="1"/>
    <col min="5" max="5" width="4" customWidth="1"/>
    <col min="6" max="6" width="10.5703125" customWidth="1"/>
    <col min="7" max="8" width="9.140625" customWidth="1"/>
  </cols>
  <sheetData>
    <row r="1" spans="1:12" x14ac:dyDescent="0.25">
      <c r="A1" s="1" t="s">
        <v>375</v>
      </c>
    </row>
    <row r="3" spans="1:12" x14ac:dyDescent="0.25">
      <c r="A3" s="131" t="s">
        <v>382</v>
      </c>
      <c r="B3" s="131" t="s">
        <v>383</v>
      </c>
      <c r="C3" s="131" t="s">
        <v>376</v>
      </c>
      <c r="F3" s="132" t="s">
        <v>386</v>
      </c>
      <c r="L3" s="91"/>
    </row>
    <row r="4" spans="1:12" x14ac:dyDescent="0.25">
      <c r="A4" s="91">
        <v>7</v>
      </c>
      <c r="B4" s="91">
        <v>5</v>
      </c>
      <c r="C4" s="91">
        <v>65</v>
      </c>
    </row>
    <row r="5" spans="1:12" x14ac:dyDescent="0.25">
      <c r="A5" s="91">
        <v>3</v>
      </c>
      <c r="B5" s="91">
        <v>7</v>
      </c>
      <c r="C5" s="91">
        <v>38</v>
      </c>
      <c r="G5" s="130" t="s">
        <v>382</v>
      </c>
      <c r="H5" s="130" t="s">
        <v>383</v>
      </c>
      <c r="I5" s="130" t="s">
        <v>376</v>
      </c>
    </row>
    <row r="6" spans="1:12" x14ac:dyDescent="0.25">
      <c r="A6" s="91">
        <v>5</v>
      </c>
      <c r="B6" s="91">
        <v>8</v>
      </c>
      <c r="C6" s="91">
        <v>51</v>
      </c>
      <c r="F6" t="s">
        <v>382</v>
      </c>
      <c r="G6" s="96">
        <f t="array" ref="G6:I8">MMULT(TRANSPOSE(A4:C14-A15:C15),A4:C14-A15:C15)/(B17-1)</f>
        <v>5.8</v>
      </c>
      <c r="H6" s="98">
        <v>-2.0999999999999996</v>
      </c>
      <c r="I6" s="97">
        <v>20.500000000000004</v>
      </c>
    </row>
    <row r="7" spans="1:12" x14ac:dyDescent="0.25">
      <c r="A7" s="91">
        <v>8</v>
      </c>
      <c r="B7" s="91">
        <v>1</v>
      </c>
      <c r="C7" s="91">
        <v>38</v>
      </c>
      <c r="F7" t="s">
        <v>383</v>
      </c>
      <c r="G7" s="6">
        <v>-2.0999999999999996</v>
      </c>
      <c r="H7" s="7">
        <v>6.8181818181818183</v>
      </c>
      <c r="I7" s="8">
        <v>15.345454545454547</v>
      </c>
    </row>
    <row r="8" spans="1:12" x14ac:dyDescent="0.25">
      <c r="A8" s="91">
        <v>9</v>
      </c>
      <c r="B8" s="91">
        <v>3</v>
      </c>
      <c r="C8" s="91">
        <v>55</v>
      </c>
      <c r="F8" t="s">
        <v>376</v>
      </c>
      <c r="G8" s="134">
        <v>20.500000000000004</v>
      </c>
      <c r="H8" s="135">
        <v>15.345454545454547</v>
      </c>
      <c r="I8" s="136">
        <v>185.76363636363632</v>
      </c>
    </row>
    <row r="9" spans="1:12" x14ac:dyDescent="0.25">
      <c r="A9" s="91">
        <v>5</v>
      </c>
      <c r="B9" s="91">
        <v>4</v>
      </c>
      <c r="C9" s="91">
        <v>43</v>
      </c>
    </row>
    <row r="10" spans="1:12" x14ac:dyDescent="0.25">
      <c r="A10" s="91">
        <v>4</v>
      </c>
      <c r="B10" s="91">
        <v>0</v>
      </c>
      <c r="C10" s="91">
        <v>25</v>
      </c>
      <c r="F10" t="s">
        <v>385</v>
      </c>
    </row>
    <row r="11" spans="1:12" x14ac:dyDescent="0.25">
      <c r="A11" s="91">
        <v>2</v>
      </c>
      <c r="B11" s="91">
        <v>6</v>
      </c>
      <c r="C11" s="91">
        <v>33</v>
      </c>
      <c r="G11" s="13" t="s">
        <v>387</v>
      </c>
      <c r="H11" s="13" t="s">
        <v>388</v>
      </c>
      <c r="I11" s="13" t="s">
        <v>379</v>
      </c>
    </row>
    <row r="12" spans="1:12" x14ac:dyDescent="0.25">
      <c r="A12" s="91">
        <v>8</v>
      </c>
      <c r="B12" s="91">
        <v>7</v>
      </c>
      <c r="C12" s="91">
        <v>71</v>
      </c>
      <c r="G12" s="96">
        <f t="shared" ref="G12:I13" si="0">G6</f>
        <v>5.8</v>
      </c>
      <c r="H12" s="137">
        <f t="shared" si="0"/>
        <v>-2.0999999999999996</v>
      </c>
      <c r="I12" s="138">
        <f t="shared" si="0"/>
        <v>20.500000000000004</v>
      </c>
    </row>
    <row r="13" spans="1:12" x14ac:dyDescent="0.25">
      <c r="A13" s="91">
        <v>6</v>
      </c>
      <c r="B13" s="91">
        <v>4</v>
      </c>
      <c r="C13" s="91">
        <v>51</v>
      </c>
      <c r="G13" s="134">
        <f t="shared" si="0"/>
        <v>-2.0999999999999996</v>
      </c>
      <c r="H13" s="135">
        <f t="shared" si="0"/>
        <v>6.8181818181818183</v>
      </c>
      <c r="I13" s="136">
        <f t="shared" si="0"/>
        <v>15.345454545454547</v>
      </c>
    </row>
    <row r="14" spans="1:12" x14ac:dyDescent="0.25">
      <c r="A14" s="130">
        <v>9</v>
      </c>
      <c r="B14" s="130">
        <v>2</v>
      </c>
      <c r="C14" s="130">
        <v>49</v>
      </c>
    </row>
    <row r="15" spans="1:12" ht="17.25" x14ac:dyDescent="0.25">
      <c r="A15" s="91">
        <f>AVERAGE(A4:A14)</f>
        <v>6</v>
      </c>
      <c r="B15" s="91">
        <f>AVERAGE(B4:B14)</f>
        <v>4.2727272727272725</v>
      </c>
      <c r="C15" s="91">
        <f>AVERAGE(C4:C14)</f>
        <v>47.18181818181818</v>
      </c>
      <c r="D15" s="91" t="s">
        <v>7</v>
      </c>
      <c r="F15" t="s">
        <v>213</v>
      </c>
      <c r="I15" t="s">
        <v>132</v>
      </c>
      <c r="K15" t="s">
        <v>381</v>
      </c>
    </row>
    <row r="16" spans="1:12" x14ac:dyDescent="0.25">
      <c r="D16" s="91"/>
      <c r="E16" s="91"/>
      <c r="F16" s="96">
        <f>G12</f>
        <v>5.8</v>
      </c>
      <c r="G16" s="97">
        <f>H12</f>
        <v>-2.0999999999999996</v>
      </c>
      <c r="I16" s="114">
        <f>I12</f>
        <v>20.500000000000004</v>
      </c>
      <c r="K16" s="114">
        <f t="array" ref="K16:K17">MMULT(MINVERSE(F16:G17),I16:I17)</f>
        <v>4.8952883645113729</v>
      </c>
    </row>
    <row r="17" spans="1:11" x14ac:dyDescent="0.25">
      <c r="A17" s="91" t="s">
        <v>31</v>
      </c>
      <c r="B17" s="91">
        <f>COUNT(A4:A14)</f>
        <v>11</v>
      </c>
      <c r="F17" s="83">
        <f>G13</f>
        <v>-2.0999999999999996</v>
      </c>
      <c r="G17" s="85">
        <f>H13</f>
        <v>6.8181818181818183</v>
      </c>
      <c r="I17" s="90">
        <f>I13</f>
        <v>15.345454545454547</v>
      </c>
      <c r="K17" s="90">
        <v>3.7584154829361696</v>
      </c>
    </row>
    <row r="19" spans="1:11" x14ac:dyDescent="0.25">
      <c r="F19" t="s">
        <v>389</v>
      </c>
      <c r="G19" s="141">
        <f>C15-MMULT(A15:B15,G20:G21)</f>
        <v>1.7514036585681296</v>
      </c>
    </row>
    <row r="20" spans="1:11" x14ac:dyDescent="0.25">
      <c r="F20" t="s">
        <v>387</v>
      </c>
      <c r="G20" s="139">
        <f t="array" ref="G20:G21">MMULT(MINVERSE(G12:H13),I12:I13)</f>
        <v>4.8952883645113729</v>
      </c>
    </row>
    <row r="21" spans="1:11" x14ac:dyDescent="0.25">
      <c r="F21" t="s">
        <v>388</v>
      </c>
      <c r="G21" s="133">
        <v>3.7584154829361696</v>
      </c>
    </row>
    <row r="23" spans="1:11" x14ac:dyDescent="0.25">
      <c r="F23" s="132" t="s">
        <v>390</v>
      </c>
    </row>
    <row r="25" spans="1:11" x14ac:dyDescent="0.25">
      <c r="G25" s="130" t="s">
        <v>382</v>
      </c>
      <c r="H25" s="130" t="s">
        <v>383</v>
      </c>
      <c r="I25" s="130" t="s">
        <v>376</v>
      </c>
    </row>
    <row r="26" spans="1:11" x14ac:dyDescent="0.25">
      <c r="F26" t="s">
        <v>382</v>
      </c>
      <c r="G26" s="96">
        <f t="array" ref="G26:I28">[1]!COV(A4:C14)</f>
        <v>5.8000000000000007</v>
      </c>
      <c r="H26" s="98">
        <v>-2.0999999999999996</v>
      </c>
      <c r="I26" s="97">
        <v>20.500000000000004</v>
      </c>
    </row>
    <row r="27" spans="1:11" x14ac:dyDescent="0.25">
      <c r="F27" t="s">
        <v>383</v>
      </c>
      <c r="G27" s="6">
        <v>-2.0999999999999996</v>
      </c>
      <c r="H27" s="7">
        <v>6.8181818181818192</v>
      </c>
      <c r="I27" s="8">
        <v>15.345454545454547</v>
      </c>
    </row>
    <row r="28" spans="1:11" x14ac:dyDescent="0.25">
      <c r="F28" t="s">
        <v>376</v>
      </c>
      <c r="G28" s="134">
        <v>20.500000000000004</v>
      </c>
      <c r="H28" s="135">
        <v>15.345454545454547</v>
      </c>
      <c r="I28" s="136">
        <v>185.76363636363635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C58"/>
  <sheetViews>
    <sheetView workbookViewId="0"/>
  </sheetViews>
  <sheetFormatPr defaultRowHeight="15" x14ac:dyDescent="0.25"/>
  <cols>
    <col min="1" max="3" width="8.28515625" customWidth="1"/>
    <col min="4" max="4" width="5.5703125" customWidth="1"/>
    <col min="5" max="10" width="5.85546875" customWidth="1"/>
    <col min="11" max="11" width="6.5703125" customWidth="1"/>
    <col min="12" max="12" width="5.42578125" customWidth="1"/>
    <col min="14" max="14" width="5.7109375" customWidth="1"/>
    <col min="16" max="16" width="5.85546875" customWidth="1"/>
  </cols>
  <sheetData>
    <row r="1" spans="1:29" x14ac:dyDescent="0.25">
      <c r="A1" s="1" t="s">
        <v>375</v>
      </c>
    </row>
    <row r="3" spans="1:29" ht="17.25" x14ac:dyDescent="0.25">
      <c r="A3" s="131" t="s">
        <v>382</v>
      </c>
      <c r="B3" s="131" t="s">
        <v>383</v>
      </c>
      <c r="C3" s="131" t="s">
        <v>376</v>
      </c>
      <c r="E3" s="1309" t="s">
        <v>377</v>
      </c>
      <c r="F3" s="1309"/>
      <c r="G3" s="1309"/>
      <c r="I3" s="91" t="s">
        <v>378</v>
      </c>
      <c r="K3" s="91" t="s">
        <v>131</v>
      </c>
      <c r="M3" s="82" t="s">
        <v>391</v>
      </c>
      <c r="N3" s="91"/>
      <c r="O3" s="82" t="s">
        <v>134</v>
      </c>
      <c r="Q3" t="s">
        <v>714</v>
      </c>
      <c r="AC3" s="318" t="s">
        <v>727</v>
      </c>
    </row>
    <row r="4" spans="1:29" x14ac:dyDescent="0.25">
      <c r="A4" s="91">
        <v>7</v>
      </c>
      <c r="B4" s="91">
        <v>5</v>
      </c>
      <c r="C4" s="91">
        <v>65</v>
      </c>
      <c r="E4" s="140">
        <v>1</v>
      </c>
      <c r="F4" s="129">
        <f t="shared" ref="F4:F14" si="0">A4</f>
        <v>7</v>
      </c>
      <c r="G4" s="104">
        <f t="shared" ref="G4:G14" si="1">B4</f>
        <v>5</v>
      </c>
      <c r="I4" s="126">
        <f t="shared" ref="I4:I14" si="2">C4</f>
        <v>65</v>
      </c>
      <c r="K4" s="114">
        <f t="array" ref="K4:K6">MMULT(E17:G19,MMULT(TRANSPOSE(E4:G14),I4:I14))</f>
        <v>1.7514036585681367</v>
      </c>
      <c r="M4" s="175">
        <f t="array" ref="M4:M14">MMULT(E4:G14,K4:K6)</f>
        <v>54.810499624828537</v>
      </c>
      <c r="O4" s="167">
        <f>I4-M4</f>
        <v>10.189500375171463</v>
      </c>
      <c r="Q4" s="321">
        <f t="array" ref="Q4:AA14">MMULT(MMULT(E4:G14,E17:G19),TRANSPOSE(E4:G14))</f>
        <v>0.12773939817330332</v>
      </c>
      <c r="R4" s="322">
        <v>6.8695179694170633E-2</v>
      </c>
      <c r="S4" s="322">
        <v>0.13418199694688096</v>
      </c>
      <c r="T4" s="322">
        <v>7.9562213770084489E-2</v>
      </c>
      <c r="U4" s="322">
        <v>0.13927915340629765</v>
      </c>
      <c r="V4" s="322">
        <v>6.2252580920592965E-2</v>
      </c>
      <c r="W4" s="322">
        <v>-3.3429066728764195E-2</v>
      </c>
      <c r="X4" s="322">
        <v>2.6960594064529456E-2</v>
      </c>
      <c r="Y4" s="322">
        <v>0.18745633780951648</v>
      </c>
      <c r="Z4" s="322">
        <v>8.6004812543662157E-2</v>
      </c>
      <c r="AA4" s="323">
        <v>0.12129679939972565</v>
      </c>
      <c r="AB4">
        <v>1</v>
      </c>
      <c r="AC4" s="337">
        <f t="array" ref="AC4:AC14">O4:O14/SQRT(O19*(1-INDEX(Q4:AA14,AB4:AB14,AB4:AB14)))</f>
        <v>1.8529159932154711</v>
      </c>
    </row>
    <row r="5" spans="1:29" x14ac:dyDescent="0.25">
      <c r="A5" s="91">
        <v>3</v>
      </c>
      <c r="B5" s="91">
        <v>7</v>
      </c>
      <c r="C5" s="91">
        <v>38</v>
      </c>
      <c r="E5" s="35">
        <v>1</v>
      </c>
      <c r="F5" s="50">
        <f t="shared" si="0"/>
        <v>3</v>
      </c>
      <c r="G5" s="36">
        <f t="shared" si="1"/>
        <v>7</v>
      </c>
      <c r="I5" s="124">
        <f t="shared" si="2"/>
        <v>38</v>
      </c>
      <c r="K5" s="23">
        <v>4.8952883645113623</v>
      </c>
      <c r="M5" s="176">
        <v>42.746177132655433</v>
      </c>
      <c r="O5" s="23">
        <f t="shared" ref="O5:O14" si="3">I5-M5</f>
        <v>-4.7461771326554327</v>
      </c>
      <c r="Q5" s="273">
        <v>6.8695179694170494E-2</v>
      </c>
      <c r="R5" s="7">
        <v>0.29053791818675778</v>
      </c>
      <c r="S5" s="7">
        <v>0.23379647597609252</v>
      </c>
      <c r="T5" s="7">
        <v>-8.1580377241325941E-2</v>
      </c>
      <c r="U5" s="7">
        <v>-6.9316153069937325E-2</v>
      </c>
      <c r="V5" s="7">
        <v>0.12543662190483582</v>
      </c>
      <c r="W5" s="7">
        <v>5.899247069781885E-2</v>
      </c>
      <c r="X5" s="7">
        <v>0.3053636575331834</v>
      </c>
      <c r="Y5" s="7">
        <v>8.095940386555911E-2</v>
      </c>
      <c r="Z5" s="7">
        <v>8.3520919040596053E-2</v>
      </c>
      <c r="AA5" s="8">
        <v>-9.64061165877515E-2</v>
      </c>
      <c r="AB5">
        <f>AB4+1</f>
        <v>2</v>
      </c>
      <c r="AC5" s="272">
        <v>-0.95698541007981308</v>
      </c>
    </row>
    <row r="6" spans="1:29" x14ac:dyDescent="0.25">
      <c r="A6" s="91">
        <v>5</v>
      </c>
      <c r="B6" s="91">
        <v>8</v>
      </c>
      <c r="C6" s="91">
        <v>51</v>
      </c>
      <c r="E6" s="35">
        <v>1</v>
      </c>
      <c r="F6" s="50">
        <f t="shared" si="0"/>
        <v>5</v>
      </c>
      <c r="G6" s="36">
        <f t="shared" si="1"/>
        <v>8</v>
      </c>
      <c r="I6" s="124">
        <f t="shared" si="2"/>
        <v>51</v>
      </c>
      <c r="K6" s="90">
        <v>3.7584154829361722</v>
      </c>
      <c r="M6" s="176">
        <v>56.295169344614322</v>
      </c>
      <c r="O6" s="23">
        <f t="shared" si="3"/>
        <v>-5.2951693446143224</v>
      </c>
      <c r="Q6" s="6">
        <v>0.13418199694688102</v>
      </c>
      <c r="R6" s="7">
        <v>0.23379647597609252</v>
      </c>
      <c r="S6" s="7">
        <v>0.29509172294237895</v>
      </c>
      <c r="T6" s="7">
        <v>-8.5150974151983277E-2</v>
      </c>
      <c r="U6" s="7">
        <v>2.8823514191829103E-2</v>
      </c>
      <c r="V6" s="7">
        <v>7.2886749980594551E-2</v>
      </c>
      <c r="W6" s="7">
        <v>-0.15219022484411004</v>
      </c>
      <c r="X6" s="7">
        <v>0.17537323087272627</v>
      </c>
      <c r="Y6" s="7">
        <v>0.24815648529069334</v>
      </c>
      <c r="Z6" s="7">
        <v>7.5758751843514716E-2</v>
      </c>
      <c r="AA6" s="8">
        <v>-2.6727729048617005E-2</v>
      </c>
      <c r="AB6">
        <f t="shared" ref="AB6:AB14" si="4">AB5+1</f>
        <v>3</v>
      </c>
      <c r="AC6" s="272">
        <v>-1.0711234253885886</v>
      </c>
    </row>
    <row r="7" spans="1:29" x14ac:dyDescent="0.25">
      <c r="A7" s="91">
        <v>8</v>
      </c>
      <c r="B7" s="91">
        <v>1</v>
      </c>
      <c r="C7" s="91">
        <v>38</v>
      </c>
      <c r="E7" s="35">
        <v>1</v>
      </c>
      <c r="F7" s="50">
        <f t="shared" si="0"/>
        <v>8</v>
      </c>
      <c r="G7" s="36">
        <f t="shared" si="1"/>
        <v>1</v>
      </c>
      <c r="I7" s="124">
        <f t="shared" si="2"/>
        <v>38</v>
      </c>
      <c r="M7" s="176">
        <v>44.672126057595207</v>
      </c>
      <c r="O7" s="23">
        <f t="shared" si="3"/>
        <v>-6.6721260575952073</v>
      </c>
      <c r="Q7" s="6">
        <v>7.9562213770084517E-2</v>
      </c>
      <c r="R7" s="7">
        <v>-8.1580377241325747E-2</v>
      </c>
      <c r="S7" s="7">
        <v>-8.515097415198325E-2</v>
      </c>
      <c r="T7" s="7">
        <v>0.26709617325157176</v>
      </c>
      <c r="U7" s="7">
        <v>0.20220445548397095</v>
      </c>
      <c r="V7" s="7">
        <v>8.3132810680742075E-2</v>
      </c>
      <c r="W7" s="7">
        <v>0.23216642086470549</v>
      </c>
      <c r="X7" s="7">
        <v>-5.8759605681906302E-2</v>
      </c>
      <c r="Y7" s="7">
        <v>1.4670496002483713E-2</v>
      </c>
      <c r="Z7" s="7">
        <v>0.10238298532950396</v>
      </c>
      <c r="AA7" s="8">
        <v>0.24427540169215228</v>
      </c>
      <c r="AB7">
        <f t="shared" si="4"/>
        <v>4</v>
      </c>
      <c r="AC7" s="272">
        <v>-1.3236303505689102</v>
      </c>
    </row>
    <row r="8" spans="1:29" x14ac:dyDescent="0.25">
      <c r="A8" s="91">
        <v>9</v>
      </c>
      <c r="B8" s="91">
        <v>3</v>
      </c>
      <c r="C8" s="91">
        <v>55</v>
      </c>
      <c r="E8" s="35">
        <v>1</v>
      </c>
      <c r="F8" s="50">
        <f t="shared" si="0"/>
        <v>9</v>
      </c>
      <c r="G8" s="36">
        <f t="shared" si="1"/>
        <v>3</v>
      </c>
      <c r="I8" s="124">
        <f t="shared" si="2"/>
        <v>55</v>
      </c>
      <c r="K8" s="95" t="s">
        <v>425</v>
      </c>
      <c r="M8" s="176">
        <v>57.08424538797891</v>
      </c>
      <c r="O8" s="23">
        <f t="shared" si="3"/>
        <v>-2.0842453879789105</v>
      </c>
      <c r="Q8" s="6">
        <v>0.13927915340629782</v>
      </c>
      <c r="R8" s="7">
        <v>-6.9316153069937117E-2</v>
      </c>
      <c r="S8" s="7">
        <v>2.8823514191829103E-2</v>
      </c>
      <c r="T8" s="7">
        <v>0.2022044554839712</v>
      </c>
      <c r="U8" s="7">
        <v>0.24665579963259088</v>
      </c>
      <c r="V8" s="7">
        <v>4.1139486144531556E-2</v>
      </c>
      <c r="W8" s="7">
        <v>2.8461279722631072E-3</v>
      </c>
      <c r="X8" s="7">
        <v>-0.11684649020673242</v>
      </c>
      <c r="Y8" s="7">
        <v>0.18373049755491749</v>
      </c>
      <c r="Z8" s="7">
        <v>9.1748816269502487E-2</v>
      </c>
      <c r="AA8" s="8">
        <v>0.2497347926207665</v>
      </c>
      <c r="AB8">
        <f t="shared" si="4"/>
        <v>5</v>
      </c>
      <c r="AC8" s="272">
        <v>-0.40782898942708506</v>
      </c>
    </row>
    <row r="9" spans="1:29" x14ac:dyDescent="0.25">
      <c r="A9" s="91">
        <v>5</v>
      </c>
      <c r="B9" s="91">
        <v>4</v>
      </c>
      <c r="C9" s="91">
        <v>43</v>
      </c>
      <c r="E9" s="35">
        <v>1</v>
      </c>
      <c r="F9" s="50">
        <f t="shared" si="0"/>
        <v>5</v>
      </c>
      <c r="G9" s="36">
        <f t="shared" si="1"/>
        <v>4</v>
      </c>
      <c r="I9" s="124">
        <f t="shared" si="2"/>
        <v>43</v>
      </c>
      <c r="K9" s="172">
        <f>SQRT(I17)</f>
        <v>6.9602026710152911</v>
      </c>
      <c r="M9" s="176">
        <v>41.261507412869634</v>
      </c>
      <c r="O9" s="23">
        <f t="shared" si="3"/>
        <v>1.7384925871303665</v>
      </c>
      <c r="Q9" s="6">
        <v>6.2252580920593034E-2</v>
      </c>
      <c r="R9" s="7">
        <v>0.12543662190483601</v>
      </c>
      <c r="S9" s="7">
        <v>7.2886749980594689E-2</v>
      </c>
      <c r="T9" s="7">
        <v>8.3132810680742006E-2</v>
      </c>
      <c r="U9" s="7">
        <v>4.1139486144531459E-2</v>
      </c>
      <c r="V9" s="7">
        <v>0.11480245284483437</v>
      </c>
      <c r="W9" s="7">
        <v>0.17775362881316475</v>
      </c>
      <c r="X9" s="7">
        <v>0.15695102072498665</v>
      </c>
      <c r="Y9" s="7">
        <v>2.0259256384382487E-2</v>
      </c>
      <c r="Z9" s="7">
        <v>9.3766979740743661E-2</v>
      </c>
      <c r="AA9" s="8">
        <v>5.1618411860591379E-2</v>
      </c>
      <c r="AB9">
        <f t="shared" si="4"/>
        <v>6</v>
      </c>
      <c r="AC9" s="272">
        <v>0.31381862189921916</v>
      </c>
    </row>
    <row r="10" spans="1:29" x14ac:dyDescent="0.25">
      <c r="A10" s="91">
        <v>4</v>
      </c>
      <c r="B10" s="91">
        <v>0</v>
      </c>
      <c r="C10" s="91">
        <v>25</v>
      </c>
      <c r="E10" s="35">
        <v>1</v>
      </c>
      <c r="F10" s="50">
        <f t="shared" si="0"/>
        <v>4</v>
      </c>
      <c r="G10" s="36">
        <f t="shared" si="1"/>
        <v>0</v>
      </c>
      <c r="I10" s="124">
        <f t="shared" si="2"/>
        <v>25</v>
      </c>
      <c r="K10" s="173">
        <f>SQRT(J18)</f>
        <v>0.82022977846272849</v>
      </c>
      <c r="M10" s="176">
        <v>21.332557116613586</v>
      </c>
      <c r="O10" s="23">
        <f t="shared" si="3"/>
        <v>3.6674428833864141</v>
      </c>
      <c r="Q10" s="6">
        <v>-3.3429066728764167E-2</v>
      </c>
      <c r="R10" s="7">
        <v>5.8992470697819321E-2</v>
      </c>
      <c r="S10" s="7">
        <v>-0.15219022484410982</v>
      </c>
      <c r="T10" s="7">
        <v>0.23216642086470532</v>
      </c>
      <c r="U10" s="7">
        <v>2.8461279722628852E-3</v>
      </c>
      <c r="V10" s="7">
        <v>0.17775362881316481</v>
      </c>
      <c r="W10" s="7">
        <v>0.57204584853424467</v>
      </c>
      <c r="X10" s="7">
        <v>0.20582680017594307</v>
      </c>
      <c r="Y10" s="7">
        <v>-0.2627493596212066</v>
      </c>
      <c r="Z10" s="7">
        <v>0.11340526274935969</v>
      </c>
      <c r="AA10" s="8">
        <v>8.5332091386581543E-2</v>
      </c>
      <c r="AB10">
        <f t="shared" si="4"/>
        <v>7</v>
      </c>
      <c r="AC10" s="272">
        <v>0.95211784652177578</v>
      </c>
    </row>
    <row r="11" spans="1:29" x14ac:dyDescent="0.25">
      <c r="A11" s="91">
        <v>2</v>
      </c>
      <c r="B11" s="91">
        <v>6</v>
      </c>
      <c r="C11" s="91">
        <v>33</v>
      </c>
      <c r="E11" s="35">
        <v>1</v>
      </c>
      <c r="F11" s="50">
        <f t="shared" si="0"/>
        <v>2</v>
      </c>
      <c r="G11" s="36">
        <f t="shared" si="1"/>
        <v>6</v>
      </c>
      <c r="I11" s="124">
        <f t="shared" si="2"/>
        <v>33</v>
      </c>
      <c r="K11" s="174">
        <f>SQRT(K19)</f>
        <v>0.75651098735033706</v>
      </c>
      <c r="M11" s="176">
        <v>34.092473285207895</v>
      </c>
      <c r="O11" s="23">
        <f t="shared" si="3"/>
        <v>-1.0924732852078947</v>
      </c>
      <c r="Q11" s="6">
        <v>2.6960594064529331E-2</v>
      </c>
      <c r="R11" s="7">
        <v>0.3053636575331834</v>
      </c>
      <c r="S11" s="7">
        <v>0.17537323087272627</v>
      </c>
      <c r="T11" s="7">
        <v>-5.8759605681906524E-2</v>
      </c>
      <c r="U11" s="7">
        <v>-0.11684649020673266</v>
      </c>
      <c r="V11" s="7">
        <v>0.15695102072498646</v>
      </c>
      <c r="W11" s="7">
        <v>0.20582680017594268</v>
      </c>
      <c r="X11" s="7">
        <v>0.36805609459494448</v>
      </c>
      <c r="Y11" s="7">
        <v>-3.1126290460296802E-2</v>
      </c>
      <c r="Z11" s="7">
        <v>8.9653031126290417E-2</v>
      </c>
      <c r="AA11" s="8">
        <v>-0.12145204274366761</v>
      </c>
      <c r="AB11">
        <f t="shared" si="4"/>
        <v>8</v>
      </c>
      <c r="AC11" s="272">
        <v>-0.23339821457085794</v>
      </c>
    </row>
    <row r="12" spans="1:29" x14ac:dyDescent="0.25">
      <c r="A12" s="91">
        <v>8</v>
      </c>
      <c r="B12" s="91">
        <v>7</v>
      </c>
      <c r="C12" s="91">
        <v>71</v>
      </c>
      <c r="E12" s="35">
        <v>1</v>
      </c>
      <c r="F12" s="50">
        <f t="shared" si="0"/>
        <v>8</v>
      </c>
      <c r="G12" s="36">
        <f t="shared" si="1"/>
        <v>7</v>
      </c>
      <c r="I12" s="124">
        <f t="shared" si="2"/>
        <v>71</v>
      </c>
      <c r="M12" s="176">
        <v>67.222618955212241</v>
      </c>
      <c r="O12" s="23">
        <f t="shared" si="3"/>
        <v>3.7773810447877594</v>
      </c>
      <c r="Q12" s="6">
        <v>0.18745633780951643</v>
      </c>
      <c r="R12" s="7">
        <v>8.0959403865559054E-2</v>
      </c>
      <c r="S12" s="7">
        <v>0.24815648529069312</v>
      </c>
      <c r="T12" s="7">
        <v>1.4670496002483775E-2</v>
      </c>
      <c r="U12" s="7">
        <v>0.18373049755491741</v>
      </c>
      <c r="V12" s="7">
        <v>2.0259256384382279E-2</v>
      </c>
      <c r="W12" s="7">
        <v>-0.26274935962120671</v>
      </c>
      <c r="X12" s="7">
        <v>-3.1126290460296857E-2</v>
      </c>
      <c r="Y12" s="7">
        <v>0.35651633936195004</v>
      </c>
      <c r="Z12" s="7">
        <v>7.5370643483660488E-2</v>
      </c>
      <c r="AA12" s="8">
        <v>0.12675619032833968</v>
      </c>
      <c r="AB12">
        <f t="shared" si="4"/>
        <v>9</v>
      </c>
      <c r="AC12" s="272">
        <v>0.79973849933219099</v>
      </c>
    </row>
    <row r="13" spans="1:29" x14ac:dyDescent="0.25">
      <c r="A13" s="91">
        <v>6</v>
      </c>
      <c r="B13" s="91">
        <v>4</v>
      </c>
      <c r="C13" s="91">
        <v>51</v>
      </c>
      <c r="E13" s="35">
        <v>1</v>
      </c>
      <c r="F13" s="50">
        <f t="shared" si="0"/>
        <v>6</v>
      </c>
      <c r="G13" s="36">
        <f t="shared" si="1"/>
        <v>4</v>
      </c>
      <c r="I13" s="124">
        <f t="shared" si="2"/>
        <v>51</v>
      </c>
      <c r="M13" s="176">
        <v>46.156795777380999</v>
      </c>
      <c r="O13" s="23">
        <f t="shared" si="3"/>
        <v>4.8432042226190006</v>
      </c>
      <c r="Q13" s="6">
        <v>8.6004812543662199E-2</v>
      </c>
      <c r="R13" s="7">
        <v>8.3520919040596261E-2</v>
      </c>
      <c r="S13" s="7">
        <v>7.5758751843514785E-2</v>
      </c>
      <c r="T13" s="7">
        <v>0.10238298532950396</v>
      </c>
      <c r="U13" s="7">
        <v>9.174881626950239E-2</v>
      </c>
      <c r="V13" s="7">
        <v>9.3766979740743675E-2</v>
      </c>
      <c r="W13" s="7">
        <v>0.11340526274935969</v>
      </c>
      <c r="X13" s="7">
        <v>8.9653031126290611E-2</v>
      </c>
      <c r="Y13" s="7">
        <v>7.5370643483660626E-2</v>
      </c>
      <c r="Z13" s="7">
        <v>9.2136924629356548E-2</v>
      </c>
      <c r="AA13" s="8">
        <v>9.6250873243809612E-2</v>
      </c>
      <c r="AB13">
        <f t="shared" si="4"/>
        <v>10</v>
      </c>
      <c r="AC13" s="272">
        <v>0.86327382787517848</v>
      </c>
    </row>
    <row r="14" spans="1:29" x14ac:dyDescent="0.25">
      <c r="A14" s="130">
        <v>9</v>
      </c>
      <c r="B14" s="130">
        <v>2</v>
      </c>
      <c r="C14" s="130">
        <v>49</v>
      </c>
      <c r="E14" s="106">
        <v>1</v>
      </c>
      <c r="F14" s="130">
        <f t="shared" si="0"/>
        <v>9</v>
      </c>
      <c r="G14" s="107">
        <f t="shared" si="1"/>
        <v>2</v>
      </c>
      <c r="I14" s="125">
        <f t="shared" si="2"/>
        <v>49</v>
      </c>
      <c r="M14" s="177">
        <v>53.325829905042738</v>
      </c>
      <c r="O14" s="168">
        <f t="shared" si="3"/>
        <v>-4.3258299050427382</v>
      </c>
      <c r="Q14" s="9">
        <v>0.12129679939972585</v>
      </c>
      <c r="R14" s="10">
        <v>-9.6406116587751223E-2</v>
      </c>
      <c r="S14" s="10">
        <v>-2.6727729048616949E-2</v>
      </c>
      <c r="T14" s="10">
        <v>0.24427540169215248</v>
      </c>
      <c r="U14" s="10">
        <v>0.24973479262076642</v>
      </c>
      <c r="V14" s="10">
        <v>5.1618411860591518E-2</v>
      </c>
      <c r="W14" s="10">
        <v>8.5332091386581793E-2</v>
      </c>
      <c r="X14" s="10">
        <v>-0.12145204274366732</v>
      </c>
      <c r="Y14" s="10">
        <v>0.12675619032833976</v>
      </c>
      <c r="Z14" s="10">
        <v>9.6250873243809765E-2</v>
      </c>
      <c r="AA14" s="11">
        <v>0.26932132784806856</v>
      </c>
      <c r="AB14">
        <f t="shared" si="4"/>
        <v>11</v>
      </c>
      <c r="AC14" s="168">
        <v>-0.85947290855377767</v>
      </c>
    </row>
    <row r="15" spans="1:29" x14ac:dyDescent="0.25">
      <c r="A15" s="50"/>
      <c r="B15" s="50"/>
      <c r="C15" s="50"/>
    </row>
    <row r="16" spans="1:29" ht="18.75" x14ac:dyDescent="0.35">
      <c r="A16" s="91"/>
      <c r="B16" s="91"/>
      <c r="C16" s="91"/>
      <c r="D16" s="91"/>
      <c r="E16" s="1314" t="s">
        <v>380</v>
      </c>
      <c r="F16" s="1314"/>
      <c r="G16" s="1314"/>
      <c r="I16" s="1309" t="s">
        <v>424</v>
      </c>
      <c r="J16" s="1309"/>
      <c r="K16" s="1309"/>
    </row>
    <row r="17" spans="1:21" ht="18" x14ac:dyDescent="0.35">
      <c r="D17" s="91"/>
      <c r="E17" s="96">
        <f t="array" ref="E17:G19">MINVERSE(MMULT(TRANSPOSE(E4:G14),E4:G14))</f>
        <v>1.3973194649279432</v>
      </c>
      <c r="F17" s="98">
        <v>-0.14197003803461952</v>
      </c>
      <c r="G17" s="97">
        <v>-0.10639343838132949</v>
      </c>
      <c r="I17" s="169">
        <f t="array" ref="I17:K19">O19*E17:G19</f>
        <v>48.444421221608387</v>
      </c>
      <c r="J17" s="170">
        <v>-4.9220357234138561</v>
      </c>
      <c r="K17" s="171">
        <v>-3.6886114260393215</v>
      </c>
      <c r="N17" t="s">
        <v>289</v>
      </c>
      <c r="O17" s="167">
        <f>DEVSQ(O4:O14)</f>
        <v>277.35630934823661</v>
      </c>
    </row>
    <row r="18" spans="1:21" ht="18" x14ac:dyDescent="0.35">
      <c r="E18" s="6">
        <v>-0.14197003803461947</v>
      </c>
      <c r="F18" s="7">
        <v>1.9405417992703587E-2</v>
      </c>
      <c r="G18" s="8">
        <v>5.9768687417527068E-3</v>
      </c>
      <c r="I18" s="6">
        <v>-4.9220357234138543</v>
      </c>
      <c r="J18" s="7">
        <v>0.67277688947701664</v>
      </c>
      <c r="K18" s="8">
        <v>0.20721528195892117</v>
      </c>
      <c r="N18" t="s">
        <v>287</v>
      </c>
      <c r="O18" s="23">
        <f>COUNT(A4:A14)-COUNT(A4:B4)-1</f>
        <v>8</v>
      </c>
    </row>
    <row r="19" spans="1:21" ht="18" x14ac:dyDescent="0.35">
      <c r="E19" s="83">
        <v>-0.10639343838132957</v>
      </c>
      <c r="F19" s="84">
        <v>5.976868741752718E-3</v>
      </c>
      <c r="G19" s="85">
        <v>1.6507542239126507E-2</v>
      </c>
      <c r="I19" s="134">
        <v>-3.6886114260393241</v>
      </c>
      <c r="J19" s="135">
        <v>0.20721528195892158</v>
      </c>
      <c r="K19" s="136">
        <v>0.57230887398178176</v>
      </c>
      <c r="N19" t="s">
        <v>423</v>
      </c>
      <c r="O19" s="168">
        <f>O17/O18</f>
        <v>34.669538668529576</v>
      </c>
    </row>
    <row r="21" spans="1:21" x14ac:dyDescent="0.25">
      <c r="A21" s="1" t="s">
        <v>721</v>
      </c>
    </row>
    <row r="23" spans="1:21" x14ac:dyDescent="0.25">
      <c r="A23" t="s">
        <v>729</v>
      </c>
      <c r="R23" t="s">
        <v>728</v>
      </c>
    </row>
    <row r="25" spans="1:21" x14ac:dyDescent="0.25">
      <c r="A25" t="s">
        <v>22</v>
      </c>
      <c r="B25">
        <f>COUNT(AC4:AC14)</f>
        <v>11</v>
      </c>
      <c r="C25">
        <f>2*B25</f>
        <v>22</v>
      </c>
      <c r="R25" t="s">
        <v>22</v>
      </c>
      <c r="S25">
        <f>COUNT(I4:I14)</f>
        <v>11</v>
      </c>
      <c r="T25">
        <f>2*S25</f>
        <v>22</v>
      </c>
    </row>
    <row r="26" spans="1:21" x14ac:dyDescent="0.25">
      <c r="A26" t="s">
        <v>10</v>
      </c>
      <c r="B26">
        <f>AVERAGE(AC4:AC14)</f>
        <v>-6.4158645222906537E-3</v>
      </c>
      <c r="R26" t="s">
        <v>10</v>
      </c>
      <c r="S26">
        <f>AVERAGE(I4:I14)</f>
        <v>47.18181818181818</v>
      </c>
    </row>
    <row r="27" spans="1:21" x14ac:dyDescent="0.25">
      <c r="A27" t="s">
        <v>58</v>
      </c>
      <c r="B27">
        <f>STDEV(AC4:AC14)</f>
        <v>1.029431660477452</v>
      </c>
      <c r="R27" t="s">
        <v>58</v>
      </c>
      <c r="S27">
        <f>STDEV(I4:I14)</f>
        <v>13.629513430920284</v>
      </c>
    </row>
    <row r="29" spans="1:21" x14ac:dyDescent="0.25">
      <c r="A29" t="s">
        <v>71</v>
      </c>
      <c r="B29" t="s">
        <v>72</v>
      </c>
      <c r="C29" t="s">
        <v>217</v>
      </c>
      <c r="D29" t="s">
        <v>73</v>
      </c>
      <c r="R29" t="s">
        <v>71</v>
      </c>
      <c r="S29" t="s">
        <v>72</v>
      </c>
      <c r="T29" t="s">
        <v>217</v>
      </c>
      <c r="U29" t="s">
        <v>73</v>
      </c>
    </row>
    <row r="30" spans="1:21" x14ac:dyDescent="0.25">
      <c r="A30">
        <v>1</v>
      </c>
      <c r="B30">
        <v>-1.3236303505689102</v>
      </c>
      <c r="C30">
        <f>NORMSINV(A30/C$25)</f>
        <v>-1.6906216295848977</v>
      </c>
      <c r="D30">
        <f>STANDARDIZE(B30,B$26,B$27)</f>
        <v>-1.2795550560740412</v>
      </c>
      <c r="R30">
        <v>1</v>
      </c>
      <c r="S30">
        <v>25</v>
      </c>
      <c r="T30">
        <f>NORMSINV(R30/T$25)</f>
        <v>-1.6906216295848977</v>
      </c>
      <c r="U30">
        <f>STANDARDIZE(S30,S$26,S$27)</f>
        <v>-1.6274842307646806</v>
      </c>
    </row>
    <row r="31" spans="1:21" x14ac:dyDescent="0.25">
      <c r="A31">
        <f>A30+2</f>
        <v>3</v>
      </c>
      <c r="B31">
        <v>-1.0711234253885886</v>
      </c>
      <c r="C31">
        <f t="shared" ref="C31:C40" si="5">NORMSINV(A31/C$25)</f>
        <v>-1.096803562093513</v>
      </c>
      <c r="D31">
        <f t="shared" ref="D31:D40" si="6">STANDARDIZE(B31,B$26,B$27)</f>
        <v>-1.0342673552244206</v>
      </c>
      <c r="R31">
        <f>R30+2</f>
        <v>3</v>
      </c>
      <c r="S31">
        <v>33</v>
      </c>
      <c r="T31">
        <f t="shared" ref="T31:T40" si="7">NORMSINV(R31/T$25)</f>
        <v>-1.096803562093513</v>
      </c>
      <c r="U31">
        <f t="shared" ref="U31:U40" si="8">STANDARDIZE(S31,S$26,S$27)</f>
        <v>-1.0405227049151236</v>
      </c>
    </row>
    <row r="32" spans="1:21" x14ac:dyDescent="0.25">
      <c r="A32">
        <f t="shared" ref="A32:A40" si="9">A31+2</f>
        <v>5</v>
      </c>
      <c r="B32">
        <v>-0.95698541007981308</v>
      </c>
      <c r="C32">
        <f t="shared" si="5"/>
        <v>-0.74785859476330196</v>
      </c>
      <c r="D32">
        <f t="shared" si="6"/>
        <v>-0.92339256897990363</v>
      </c>
      <c r="R32">
        <f t="shared" ref="R32:R40" si="10">R31+2</f>
        <v>5</v>
      </c>
      <c r="S32">
        <v>38</v>
      </c>
      <c r="T32">
        <f t="shared" si="7"/>
        <v>-0.74785859476330196</v>
      </c>
      <c r="U32">
        <f t="shared" si="8"/>
        <v>-0.67367175125915046</v>
      </c>
    </row>
    <row r="33" spans="1:21" x14ac:dyDescent="0.25">
      <c r="A33">
        <f t="shared" si="9"/>
        <v>7</v>
      </c>
      <c r="B33">
        <v>-0.85947290855377767</v>
      </c>
      <c r="C33">
        <f t="shared" si="5"/>
        <v>-0.47278912099226744</v>
      </c>
      <c r="D33">
        <f t="shared" si="6"/>
        <v>-0.8286679696987731</v>
      </c>
      <c r="R33">
        <f t="shared" si="10"/>
        <v>7</v>
      </c>
      <c r="S33">
        <v>38</v>
      </c>
      <c r="T33">
        <f t="shared" si="7"/>
        <v>-0.47278912099226744</v>
      </c>
      <c r="U33">
        <f t="shared" si="8"/>
        <v>-0.67367175125915046</v>
      </c>
    </row>
    <row r="34" spans="1:21" x14ac:dyDescent="0.25">
      <c r="A34">
        <f t="shared" si="9"/>
        <v>9</v>
      </c>
      <c r="B34">
        <v>-0.40782898942708506</v>
      </c>
      <c r="C34">
        <f t="shared" si="5"/>
        <v>-0.22988411757923208</v>
      </c>
      <c r="D34">
        <f t="shared" si="6"/>
        <v>-0.3899366420483108</v>
      </c>
      <c r="R34">
        <f t="shared" si="10"/>
        <v>9</v>
      </c>
      <c r="S34">
        <v>43</v>
      </c>
      <c r="T34">
        <f t="shared" si="7"/>
        <v>-0.22988411757923208</v>
      </c>
      <c r="U34">
        <f t="shared" si="8"/>
        <v>-0.30682079760317738</v>
      </c>
    </row>
    <row r="35" spans="1:21" x14ac:dyDescent="0.25">
      <c r="A35">
        <f t="shared" si="9"/>
        <v>11</v>
      </c>
      <c r="B35">
        <v>-0.23339821457085794</v>
      </c>
      <c r="C35">
        <f t="shared" si="5"/>
        <v>0</v>
      </c>
      <c r="D35">
        <f t="shared" si="6"/>
        <v>-0.22049287851054875</v>
      </c>
      <c r="R35">
        <f t="shared" si="10"/>
        <v>11</v>
      </c>
      <c r="S35">
        <v>49</v>
      </c>
      <c r="T35">
        <f t="shared" si="7"/>
        <v>0</v>
      </c>
      <c r="U35">
        <f t="shared" si="8"/>
        <v>0.13340034678399038</v>
      </c>
    </row>
    <row r="36" spans="1:21" x14ac:dyDescent="0.25">
      <c r="A36">
        <f t="shared" si="9"/>
        <v>13</v>
      </c>
      <c r="B36">
        <v>0.31381862189921916</v>
      </c>
      <c r="C36">
        <f t="shared" si="5"/>
        <v>0.22988411757923222</v>
      </c>
      <c r="D36">
        <f t="shared" si="6"/>
        <v>0.31107891734453219</v>
      </c>
      <c r="R36">
        <f t="shared" si="10"/>
        <v>13</v>
      </c>
      <c r="S36">
        <v>51</v>
      </c>
      <c r="T36">
        <f t="shared" si="7"/>
        <v>0.22988411757923222</v>
      </c>
      <c r="U36">
        <f t="shared" si="8"/>
        <v>0.28014072824637959</v>
      </c>
    </row>
    <row r="37" spans="1:21" x14ac:dyDescent="0.25">
      <c r="A37">
        <f t="shared" si="9"/>
        <v>15</v>
      </c>
      <c r="B37">
        <v>0.79973849933219099</v>
      </c>
      <c r="C37">
        <f t="shared" si="5"/>
        <v>0.47278912099226728</v>
      </c>
      <c r="D37">
        <f t="shared" si="6"/>
        <v>0.78310624668429762</v>
      </c>
      <c r="R37">
        <f t="shared" si="10"/>
        <v>15</v>
      </c>
      <c r="S37">
        <v>51</v>
      </c>
      <c r="T37">
        <f t="shared" si="7"/>
        <v>0.47278912099226728</v>
      </c>
      <c r="U37">
        <f t="shared" si="8"/>
        <v>0.28014072824637959</v>
      </c>
    </row>
    <row r="38" spans="1:21" x14ac:dyDescent="0.25">
      <c r="A38">
        <f t="shared" si="9"/>
        <v>17</v>
      </c>
      <c r="B38">
        <v>0.86327382787517848</v>
      </c>
      <c r="C38">
        <f t="shared" si="5"/>
        <v>0.74785859476330196</v>
      </c>
      <c r="D38">
        <f t="shared" si="6"/>
        <v>0.84482508726621608</v>
      </c>
      <c r="R38">
        <f t="shared" si="10"/>
        <v>17</v>
      </c>
      <c r="S38">
        <v>55</v>
      </c>
      <c r="T38">
        <f t="shared" si="7"/>
        <v>0.74785859476330196</v>
      </c>
      <c r="U38">
        <f t="shared" si="8"/>
        <v>0.57362149117115813</v>
      </c>
    </row>
    <row r="39" spans="1:21" x14ac:dyDescent="0.25">
      <c r="A39">
        <f t="shared" si="9"/>
        <v>19</v>
      </c>
      <c r="B39">
        <v>0.95211784652177578</v>
      </c>
      <c r="C39">
        <f t="shared" si="5"/>
        <v>1.096803562093513</v>
      </c>
      <c r="D39">
        <f t="shared" si="6"/>
        <v>0.93112903735591057</v>
      </c>
      <c r="R39">
        <f t="shared" si="10"/>
        <v>19</v>
      </c>
      <c r="S39">
        <v>65</v>
      </c>
      <c r="T39">
        <f t="shared" si="7"/>
        <v>1.096803562093513</v>
      </c>
      <c r="U39">
        <f t="shared" si="8"/>
        <v>1.3073233984831043</v>
      </c>
    </row>
    <row r="40" spans="1:21" x14ac:dyDescent="0.25">
      <c r="A40">
        <f t="shared" si="9"/>
        <v>21</v>
      </c>
      <c r="B40">
        <v>1.8529159932154711</v>
      </c>
      <c r="C40">
        <f t="shared" si="5"/>
        <v>1.6906216295848984</v>
      </c>
      <c r="D40">
        <f t="shared" si="6"/>
        <v>1.8061731818850419</v>
      </c>
      <c r="R40">
        <f t="shared" si="10"/>
        <v>21</v>
      </c>
      <c r="S40">
        <v>71</v>
      </c>
      <c r="T40">
        <f t="shared" si="7"/>
        <v>1.6906216295848984</v>
      </c>
      <c r="U40">
        <f t="shared" si="8"/>
        <v>1.7475445428702721</v>
      </c>
    </row>
    <row r="45" spans="1:21" x14ac:dyDescent="0.25">
      <c r="A45" s="1" t="s">
        <v>730</v>
      </c>
    </row>
    <row r="47" spans="1:21" x14ac:dyDescent="0.25">
      <c r="A47" s="82" t="s">
        <v>391</v>
      </c>
      <c r="B47" s="318" t="s">
        <v>731</v>
      </c>
    </row>
    <row r="48" spans="1:21" x14ac:dyDescent="0.25">
      <c r="A48" s="338">
        <f>M4</f>
        <v>54.810499624828537</v>
      </c>
      <c r="B48" s="336">
        <f>AC4</f>
        <v>1.8529159932154711</v>
      </c>
    </row>
    <row r="49" spans="1:2" x14ac:dyDescent="0.25">
      <c r="A49" s="339">
        <f t="shared" ref="A49:A58" si="11">M5</f>
        <v>42.746177132655433</v>
      </c>
      <c r="B49" s="8">
        <f t="shared" ref="B49:B58" si="12">AC5</f>
        <v>-0.95698541007981308</v>
      </c>
    </row>
    <row r="50" spans="1:2" x14ac:dyDescent="0.25">
      <c r="A50" s="339">
        <f t="shared" si="11"/>
        <v>56.295169344614322</v>
      </c>
      <c r="B50" s="8">
        <f t="shared" si="12"/>
        <v>-1.0711234253885886</v>
      </c>
    </row>
    <row r="51" spans="1:2" x14ac:dyDescent="0.25">
      <c r="A51" s="339">
        <f t="shared" si="11"/>
        <v>44.672126057595207</v>
      </c>
      <c r="B51" s="8">
        <f t="shared" si="12"/>
        <v>-1.3236303505689102</v>
      </c>
    </row>
    <row r="52" spans="1:2" x14ac:dyDescent="0.25">
      <c r="A52" s="339">
        <f t="shared" si="11"/>
        <v>57.08424538797891</v>
      </c>
      <c r="B52" s="8">
        <f t="shared" si="12"/>
        <v>-0.40782898942708506</v>
      </c>
    </row>
    <row r="53" spans="1:2" x14ac:dyDescent="0.25">
      <c r="A53" s="339">
        <f t="shared" si="11"/>
        <v>41.261507412869634</v>
      </c>
      <c r="B53" s="8">
        <f t="shared" si="12"/>
        <v>0.31381862189921916</v>
      </c>
    </row>
    <row r="54" spans="1:2" x14ac:dyDescent="0.25">
      <c r="A54" s="339">
        <f t="shared" si="11"/>
        <v>21.332557116613586</v>
      </c>
      <c r="B54" s="8">
        <f t="shared" si="12"/>
        <v>0.95211784652177578</v>
      </c>
    </row>
    <row r="55" spans="1:2" x14ac:dyDescent="0.25">
      <c r="A55" s="339">
        <f t="shared" si="11"/>
        <v>34.092473285207895</v>
      </c>
      <c r="B55" s="8">
        <f t="shared" si="12"/>
        <v>-0.23339821457085794</v>
      </c>
    </row>
    <row r="56" spans="1:2" x14ac:dyDescent="0.25">
      <c r="A56" s="339">
        <f t="shared" si="11"/>
        <v>67.222618955212241</v>
      </c>
      <c r="B56" s="8">
        <f t="shared" si="12"/>
        <v>0.79973849933219099</v>
      </c>
    </row>
    <row r="57" spans="1:2" x14ac:dyDescent="0.25">
      <c r="A57" s="339">
        <f t="shared" si="11"/>
        <v>46.156795777380999</v>
      </c>
      <c r="B57" s="8">
        <f t="shared" si="12"/>
        <v>0.86327382787517848</v>
      </c>
    </row>
    <row r="58" spans="1:2" x14ac:dyDescent="0.25">
      <c r="A58" s="340">
        <f t="shared" si="11"/>
        <v>53.325829905042738</v>
      </c>
      <c r="B58" s="11">
        <f t="shared" si="12"/>
        <v>-0.85947290855377767</v>
      </c>
    </row>
  </sheetData>
  <mergeCells count="3">
    <mergeCell ref="E3:G3"/>
    <mergeCell ref="E16:G16"/>
    <mergeCell ref="I16:K16"/>
  </mergeCells>
  <pageMargins left="0.7" right="0.7" top="0.75" bottom="0.75" header="0.3" footer="0.3"/>
  <pageSetup paperSize="9" orientation="portrait" horizontalDpi="300" verticalDpi="300" r:id="rId1"/>
  <ignoredErrors>
    <ignoredError sqref="O18" formulaRange="1"/>
  </ignoredError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AC19"/>
  <sheetViews>
    <sheetView workbookViewId="0"/>
  </sheetViews>
  <sheetFormatPr defaultRowHeight="15" x14ac:dyDescent="0.25"/>
  <cols>
    <col min="1" max="3" width="8.28515625" customWidth="1"/>
    <col min="4" max="4" width="5.5703125" customWidth="1"/>
    <col min="5" max="8" width="5.85546875" customWidth="1"/>
    <col min="9" max="11" width="7" customWidth="1"/>
    <col min="12" max="12" width="5.42578125" customWidth="1"/>
    <col min="14" max="14" width="5.7109375" customWidth="1"/>
    <col min="16" max="16" width="5.85546875" customWidth="1"/>
  </cols>
  <sheetData>
    <row r="1" spans="1:29" x14ac:dyDescent="0.25">
      <c r="A1" s="1" t="s">
        <v>2323</v>
      </c>
    </row>
    <row r="3" spans="1:29" ht="17.25" x14ac:dyDescent="0.25">
      <c r="A3" s="131" t="s">
        <v>382</v>
      </c>
      <c r="B3" s="131" t="s">
        <v>383</v>
      </c>
      <c r="C3" s="131" t="s">
        <v>376</v>
      </c>
      <c r="E3" s="1309" t="s">
        <v>377</v>
      </c>
      <c r="F3" s="1309"/>
      <c r="G3" s="1309"/>
      <c r="I3" s="569" t="s">
        <v>378</v>
      </c>
      <c r="K3" s="569" t="s">
        <v>131</v>
      </c>
      <c r="M3" s="82" t="s">
        <v>391</v>
      </c>
      <c r="N3" s="569"/>
      <c r="O3" s="82" t="s">
        <v>134</v>
      </c>
      <c r="Q3" t="s">
        <v>714</v>
      </c>
      <c r="AC3" s="569" t="s">
        <v>727</v>
      </c>
    </row>
    <row r="4" spans="1:29" x14ac:dyDescent="0.25">
      <c r="A4" s="569">
        <v>7</v>
      </c>
      <c r="B4" s="569">
        <v>5</v>
      </c>
      <c r="C4" s="569">
        <v>65</v>
      </c>
      <c r="E4" s="140">
        <f t="array" ref="E4:G14">[1]!DESIGN(A4:B14)</f>
        <v>1</v>
      </c>
      <c r="F4" s="129">
        <v>7</v>
      </c>
      <c r="G4" s="104">
        <v>5</v>
      </c>
      <c r="I4" s="126">
        <f t="shared" ref="I4:I14" si="0">C4</f>
        <v>65</v>
      </c>
      <c r="K4" s="114">
        <f t="array" ref="K4:K6">[1]!RegCoeff(A4:B14,C4:C14)</f>
        <v>1.7514036585681438</v>
      </c>
      <c r="M4" s="175">
        <f t="array" ref="M4:M14">[1]!regY(A4:B14,C4:C14)</f>
        <v>54.810499624828587</v>
      </c>
      <c r="O4" s="167">
        <f t="array" ref="O4:O14">[1]!rege(A4:B14,C4:C14)</f>
        <v>10.189500375171413</v>
      </c>
      <c r="Q4" s="321">
        <f t="array" ref="Q4:AA14">[1]!HAT(A4:B14)</f>
        <v>0.12773939817330332</v>
      </c>
      <c r="R4" s="322">
        <v>6.8695179694170633E-2</v>
      </c>
      <c r="S4" s="322">
        <v>0.13418199694688096</v>
      </c>
      <c r="T4" s="322">
        <v>7.9562213770084489E-2</v>
      </c>
      <c r="U4" s="322">
        <v>0.13927915340629765</v>
      </c>
      <c r="V4" s="322">
        <v>6.2252580920592965E-2</v>
      </c>
      <c r="W4" s="322">
        <v>-3.3429066728764195E-2</v>
      </c>
      <c r="X4" s="322">
        <v>2.6960594064529456E-2</v>
      </c>
      <c r="Y4" s="322">
        <v>0.18745633780951648</v>
      </c>
      <c r="Z4" s="322">
        <v>8.6004812543662157E-2</v>
      </c>
      <c r="AA4" s="323">
        <v>0.12129679939972565</v>
      </c>
      <c r="AB4">
        <v>1</v>
      </c>
      <c r="AC4" s="337">
        <f t="array" ref="AC4:AC14">[1]!RegStudE(A4:B14,C4:C14)</f>
        <v>1.8529159932154615</v>
      </c>
    </row>
    <row r="5" spans="1:29" x14ac:dyDescent="0.25">
      <c r="A5" s="569">
        <v>3</v>
      </c>
      <c r="B5" s="569">
        <v>7</v>
      </c>
      <c r="C5" s="569">
        <v>38</v>
      </c>
      <c r="E5" s="35">
        <v>1</v>
      </c>
      <c r="F5" s="50">
        <v>3</v>
      </c>
      <c r="G5" s="36">
        <v>7</v>
      </c>
      <c r="I5" s="124">
        <f t="shared" si="0"/>
        <v>38</v>
      </c>
      <c r="K5" s="23">
        <v>4.8952883645113721</v>
      </c>
      <c r="M5" s="176">
        <v>42.746177132655426</v>
      </c>
      <c r="O5" s="23">
        <v>-4.7461771326554256</v>
      </c>
      <c r="Q5" s="273">
        <v>6.8695179694170494E-2</v>
      </c>
      <c r="R5" s="7">
        <v>0.29053791818675778</v>
      </c>
      <c r="S5" s="7">
        <v>0.23379647597609252</v>
      </c>
      <c r="T5" s="7">
        <v>-8.1580377241325941E-2</v>
      </c>
      <c r="U5" s="7">
        <v>-6.9316153069937325E-2</v>
      </c>
      <c r="V5" s="7">
        <v>0.12543662190483582</v>
      </c>
      <c r="W5" s="7">
        <v>5.899247069781885E-2</v>
      </c>
      <c r="X5" s="7">
        <v>0.3053636575331834</v>
      </c>
      <c r="Y5" s="7">
        <v>8.095940386555911E-2</v>
      </c>
      <c r="Z5" s="7">
        <v>8.3520919040596053E-2</v>
      </c>
      <c r="AA5" s="8">
        <v>-9.64061165877515E-2</v>
      </c>
      <c r="AB5">
        <f>AB4+1</f>
        <v>2</v>
      </c>
      <c r="AC5" s="272">
        <v>-0.95698541007981131</v>
      </c>
    </row>
    <row r="6" spans="1:29" x14ac:dyDescent="0.25">
      <c r="A6" s="569">
        <v>5</v>
      </c>
      <c r="B6" s="569">
        <v>8</v>
      </c>
      <c r="C6" s="569">
        <v>51</v>
      </c>
      <c r="E6" s="35">
        <v>1</v>
      </c>
      <c r="F6" s="50">
        <v>5</v>
      </c>
      <c r="G6" s="36">
        <v>8</v>
      </c>
      <c r="I6" s="124">
        <f t="shared" si="0"/>
        <v>51</v>
      </c>
      <c r="K6" s="90">
        <v>3.7584154829361673</v>
      </c>
      <c r="M6" s="176">
        <v>56.295169344614344</v>
      </c>
      <c r="O6" s="23">
        <v>-5.2951693446143437</v>
      </c>
      <c r="Q6" s="6">
        <v>0.13418199694688102</v>
      </c>
      <c r="R6" s="7">
        <v>0.23379647597609252</v>
      </c>
      <c r="S6" s="7">
        <v>0.29509172294237895</v>
      </c>
      <c r="T6" s="7">
        <v>-8.5150974151983277E-2</v>
      </c>
      <c r="U6" s="7">
        <v>2.8823514191829103E-2</v>
      </c>
      <c r="V6" s="7">
        <v>7.2886749980594551E-2</v>
      </c>
      <c r="W6" s="7">
        <v>-0.15219022484411004</v>
      </c>
      <c r="X6" s="7">
        <v>0.17537323087272627</v>
      </c>
      <c r="Y6" s="7">
        <v>0.24815648529069334</v>
      </c>
      <c r="Z6" s="7">
        <v>7.5758751843514716E-2</v>
      </c>
      <c r="AA6" s="8">
        <v>-2.6727729048617005E-2</v>
      </c>
      <c r="AB6">
        <f t="shared" ref="AB6:AB14" si="1">AB5+1</f>
        <v>3</v>
      </c>
      <c r="AC6" s="272">
        <v>-1.0711234253885926</v>
      </c>
    </row>
    <row r="7" spans="1:29" x14ac:dyDescent="0.25">
      <c r="A7" s="569">
        <v>8</v>
      </c>
      <c r="B7" s="569">
        <v>1</v>
      </c>
      <c r="C7" s="569">
        <v>38</v>
      </c>
      <c r="E7" s="35">
        <v>1</v>
      </c>
      <c r="F7" s="50">
        <v>8</v>
      </c>
      <c r="G7" s="36">
        <v>1</v>
      </c>
      <c r="I7" s="124">
        <f t="shared" si="0"/>
        <v>38</v>
      </c>
      <c r="M7" s="176">
        <v>44.672126057595285</v>
      </c>
      <c r="O7" s="23">
        <v>-6.6721260575952854</v>
      </c>
      <c r="Q7" s="6">
        <v>7.9562213770084517E-2</v>
      </c>
      <c r="R7" s="7">
        <v>-8.1580377241325747E-2</v>
      </c>
      <c r="S7" s="7">
        <v>-8.515097415198325E-2</v>
      </c>
      <c r="T7" s="7">
        <v>0.26709617325157176</v>
      </c>
      <c r="U7" s="7">
        <v>0.20220445548397095</v>
      </c>
      <c r="V7" s="7">
        <v>8.3132810680742075E-2</v>
      </c>
      <c r="W7" s="7">
        <v>0.23216642086470549</v>
      </c>
      <c r="X7" s="7">
        <v>-5.8759605681906302E-2</v>
      </c>
      <c r="Y7" s="7">
        <v>1.4670496002483713E-2</v>
      </c>
      <c r="Z7" s="7">
        <v>0.10238298532950396</v>
      </c>
      <c r="AA7" s="8">
        <v>0.24427540169215228</v>
      </c>
      <c r="AB7">
        <f t="shared" si="1"/>
        <v>4</v>
      </c>
      <c r="AC7" s="272">
        <v>-1.3236303505689253</v>
      </c>
    </row>
    <row r="8" spans="1:29" x14ac:dyDescent="0.25">
      <c r="A8" s="569">
        <v>9</v>
      </c>
      <c r="B8" s="569">
        <v>3</v>
      </c>
      <c r="C8" s="569">
        <v>55</v>
      </c>
      <c r="E8" s="35">
        <v>1</v>
      </c>
      <c r="F8" s="50">
        <v>9</v>
      </c>
      <c r="G8" s="36">
        <v>3</v>
      </c>
      <c r="I8" s="124">
        <f t="shared" si="0"/>
        <v>55</v>
      </c>
      <c r="K8" s="569" t="s">
        <v>425</v>
      </c>
      <c r="M8" s="176">
        <v>57.084245387978996</v>
      </c>
      <c r="O8" s="23">
        <v>-2.0842453879789957</v>
      </c>
      <c r="Q8" s="6">
        <v>0.13927915340629782</v>
      </c>
      <c r="R8" s="7">
        <v>-6.9316153069937117E-2</v>
      </c>
      <c r="S8" s="7">
        <v>2.8823514191829103E-2</v>
      </c>
      <c r="T8" s="7">
        <v>0.2022044554839712</v>
      </c>
      <c r="U8" s="7">
        <v>0.24665579963259088</v>
      </c>
      <c r="V8" s="7">
        <v>4.1139486144531556E-2</v>
      </c>
      <c r="W8" s="7">
        <v>2.8461279722631072E-3</v>
      </c>
      <c r="X8" s="7">
        <v>-0.11684649020673242</v>
      </c>
      <c r="Y8" s="7">
        <v>0.18373049755491749</v>
      </c>
      <c r="Z8" s="7">
        <v>9.1748816269502487E-2</v>
      </c>
      <c r="AA8" s="8">
        <v>0.2497347926207665</v>
      </c>
      <c r="AB8">
        <f t="shared" si="1"/>
        <v>5</v>
      </c>
      <c r="AC8" s="272">
        <v>-0.40782898942710161</v>
      </c>
    </row>
    <row r="9" spans="1:29" x14ac:dyDescent="0.25">
      <c r="A9" s="569">
        <v>5</v>
      </c>
      <c r="B9" s="569">
        <v>4</v>
      </c>
      <c r="C9" s="569">
        <v>43</v>
      </c>
      <c r="E9" s="35">
        <v>1</v>
      </c>
      <c r="F9" s="50">
        <v>5</v>
      </c>
      <c r="G9" s="36">
        <v>4</v>
      </c>
      <c r="I9" s="124">
        <f t="shared" si="0"/>
        <v>43</v>
      </c>
      <c r="K9" s="172">
        <f t="array" ref="K9:K11">[1]!RegCoeffSE(A4:B14,C4:C14)</f>
        <v>6.9602026710152867</v>
      </c>
      <c r="M9" s="176">
        <v>41.261507412869676</v>
      </c>
      <c r="O9" s="23">
        <v>1.7384925871303238</v>
      </c>
      <c r="Q9" s="6">
        <v>6.2252580920593034E-2</v>
      </c>
      <c r="R9" s="7">
        <v>0.12543662190483601</v>
      </c>
      <c r="S9" s="7">
        <v>7.2886749980594689E-2</v>
      </c>
      <c r="T9" s="7">
        <v>8.3132810680742006E-2</v>
      </c>
      <c r="U9" s="7">
        <v>4.1139486144531459E-2</v>
      </c>
      <c r="V9" s="7">
        <v>0.11480245284483437</v>
      </c>
      <c r="W9" s="7">
        <v>0.17775362881316475</v>
      </c>
      <c r="X9" s="7">
        <v>0.15695102072498665</v>
      </c>
      <c r="Y9" s="7">
        <v>2.0259256384382487E-2</v>
      </c>
      <c r="Z9" s="7">
        <v>9.3766979740743661E-2</v>
      </c>
      <c r="AA9" s="8">
        <v>5.1618411860591379E-2</v>
      </c>
      <c r="AB9">
        <f t="shared" si="1"/>
        <v>6</v>
      </c>
      <c r="AC9" s="272">
        <v>0.31381862189921134</v>
      </c>
    </row>
    <row r="10" spans="1:29" x14ac:dyDescent="0.25">
      <c r="A10" s="569">
        <v>4</v>
      </c>
      <c r="B10" s="569">
        <v>0</v>
      </c>
      <c r="C10" s="569">
        <v>25</v>
      </c>
      <c r="E10" s="35">
        <v>1</v>
      </c>
      <c r="F10" s="50">
        <v>4</v>
      </c>
      <c r="G10" s="36">
        <v>0</v>
      </c>
      <c r="I10" s="124">
        <f t="shared" si="0"/>
        <v>25</v>
      </c>
      <c r="K10" s="173">
        <v>0.82022977846272815</v>
      </c>
      <c r="M10" s="176">
        <v>21.332557116613632</v>
      </c>
      <c r="O10" s="23">
        <v>3.6674428833863679</v>
      </c>
      <c r="Q10" s="6">
        <v>-3.3429066728764167E-2</v>
      </c>
      <c r="R10" s="7">
        <v>5.8992470697819321E-2</v>
      </c>
      <c r="S10" s="7">
        <v>-0.15219022484410982</v>
      </c>
      <c r="T10" s="7">
        <v>0.23216642086470532</v>
      </c>
      <c r="U10" s="7">
        <v>2.8461279722628852E-3</v>
      </c>
      <c r="V10" s="7">
        <v>0.17775362881316481</v>
      </c>
      <c r="W10" s="7">
        <v>0.57204584853424467</v>
      </c>
      <c r="X10" s="7">
        <v>0.20582680017594307</v>
      </c>
      <c r="Y10" s="7">
        <v>-0.2627493596212066</v>
      </c>
      <c r="Z10" s="7">
        <v>0.11340526274935969</v>
      </c>
      <c r="AA10" s="8">
        <v>8.5332091386581543E-2</v>
      </c>
      <c r="AB10">
        <f t="shared" si="1"/>
        <v>7</v>
      </c>
      <c r="AC10" s="272">
        <v>0.95211784652176357</v>
      </c>
    </row>
    <row r="11" spans="1:29" x14ac:dyDescent="0.25">
      <c r="A11" s="569">
        <v>2</v>
      </c>
      <c r="B11" s="569">
        <v>6</v>
      </c>
      <c r="C11" s="569">
        <v>33</v>
      </c>
      <c r="E11" s="35">
        <v>1</v>
      </c>
      <c r="F11" s="50">
        <v>2</v>
      </c>
      <c r="G11" s="36">
        <v>6</v>
      </c>
      <c r="I11" s="124">
        <f t="shared" si="0"/>
        <v>33</v>
      </c>
      <c r="K11" s="174">
        <v>0.75651098735033695</v>
      </c>
      <c r="M11" s="176">
        <v>34.092473285207895</v>
      </c>
      <c r="O11" s="23">
        <v>-1.0924732852078947</v>
      </c>
      <c r="Q11" s="6">
        <v>2.6960594064529331E-2</v>
      </c>
      <c r="R11" s="7">
        <v>0.3053636575331834</v>
      </c>
      <c r="S11" s="7">
        <v>0.17537323087272627</v>
      </c>
      <c r="T11" s="7">
        <v>-5.8759605681906524E-2</v>
      </c>
      <c r="U11" s="7">
        <v>-0.11684649020673266</v>
      </c>
      <c r="V11" s="7">
        <v>0.15695102072498646</v>
      </c>
      <c r="W11" s="7">
        <v>0.20582680017594268</v>
      </c>
      <c r="X11" s="7">
        <v>0.36805609459494448</v>
      </c>
      <c r="Y11" s="7">
        <v>-3.1126290460296802E-2</v>
      </c>
      <c r="Z11" s="7">
        <v>8.9653031126290417E-2</v>
      </c>
      <c r="AA11" s="8">
        <v>-0.12145204274366761</v>
      </c>
      <c r="AB11">
        <f t="shared" si="1"/>
        <v>8</v>
      </c>
      <c r="AC11" s="272">
        <v>-0.23339821457085785</v>
      </c>
    </row>
    <row r="12" spans="1:29" x14ac:dyDescent="0.25">
      <c r="A12" s="569">
        <v>8</v>
      </c>
      <c r="B12" s="569">
        <v>7</v>
      </c>
      <c r="C12" s="569">
        <v>71</v>
      </c>
      <c r="E12" s="35">
        <v>1</v>
      </c>
      <c r="F12" s="50">
        <v>8</v>
      </c>
      <c r="G12" s="36">
        <v>7</v>
      </c>
      <c r="I12" s="124">
        <f t="shared" si="0"/>
        <v>71</v>
      </c>
      <c r="M12" s="176">
        <v>67.222618955212283</v>
      </c>
      <c r="O12" s="23">
        <v>3.7773810447877167</v>
      </c>
      <c r="Q12" s="6">
        <v>0.18745633780951643</v>
      </c>
      <c r="R12" s="7">
        <v>8.0959403865559054E-2</v>
      </c>
      <c r="S12" s="7">
        <v>0.24815648529069312</v>
      </c>
      <c r="T12" s="7">
        <v>1.4670496002483775E-2</v>
      </c>
      <c r="U12" s="7">
        <v>0.18373049755491741</v>
      </c>
      <c r="V12" s="7">
        <v>2.0259256384382279E-2</v>
      </c>
      <c r="W12" s="7">
        <v>-0.26274935962120671</v>
      </c>
      <c r="X12" s="7">
        <v>-3.1126290460296857E-2</v>
      </c>
      <c r="Y12" s="7">
        <v>0.35651633936195004</v>
      </c>
      <c r="Z12" s="7">
        <v>7.5370643483660488E-2</v>
      </c>
      <c r="AA12" s="8">
        <v>0.12675619032833968</v>
      </c>
      <c r="AB12">
        <f t="shared" si="1"/>
        <v>9</v>
      </c>
      <c r="AC12" s="272">
        <v>0.79973849933218188</v>
      </c>
    </row>
    <row r="13" spans="1:29" x14ac:dyDescent="0.25">
      <c r="A13" s="569">
        <v>6</v>
      </c>
      <c r="B13" s="569">
        <v>4</v>
      </c>
      <c r="C13" s="569">
        <v>51</v>
      </c>
      <c r="E13" s="35">
        <v>1</v>
      </c>
      <c r="F13" s="50">
        <v>6</v>
      </c>
      <c r="G13" s="36">
        <v>4</v>
      </c>
      <c r="I13" s="124">
        <f t="shared" si="0"/>
        <v>51</v>
      </c>
      <c r="M13" s="176">
        <v>46.156795777381042</v>
      </c>
      <c r="O13" s="23">
        <v>4.843204222618958</v>
      </c>
      <c r="Q13" s="6">
        <v>8.6004812543662199E-2</v>
      </c>
      <c r="R13" s="7">
        <v>8.3520919040596261E-2</v>
      </c>
      <c r="S13" s="7">
        <v>7.5758751843514785E-2</v>
      </c>
      <c r="T13" s="7">
        <v>0.10238298532950396</v>
      </c>
      <c r="U13" s="7">
        <v>9.174881626950239E-2</v>
      </c>
      <c r="V13" s="7">
        <v>9.3766979740743675E-2</v>
      </c>
      <c r="W13" s="7">
        <v>0.11340526274935969</v>
      </c>
      <c r="X13" s="7">
        <v>8.9653031126290611E-2</v>
      </c>
      <c r="Y13" s="7">
        <v>7.5370643483660626E-2</v>
      </c>
      <c r="Z13" s="7">
        <v>9.2136924629356548E-2</v>
      </c>
      <c r="AA13" s="8">
        <v>9.6250873243809612E-2</v>
      </c>
      <c r="AB13">
        <f t="shared" si="1"/>
        <v>10</v>
      </c>
      <c r="AC13" s="272">
        <v>0.86327382787517071</v>
      </c>
    </row>
    <row r="14" spans="1:29" x14ac:dyDescent="0.25">
      <c r="A14" s="570">
        <v>9</v>
      </c>
      <c r="B14" s="570">
        <v>2</v>
      </c>
      <c r="C14" s="570">
        <v>49</v>
      </c>
      <c r="E14" s="106">
        <v>1</v>
      </c>
      <c r="F14" s="570">
        <v>9</v>
      </c>
      <c r="G14" s="107">
        <v>2</v>
      </c>
      <c r="I14" s="125">
        <f t="shared" si="0"/>
        <v>49</v>
      </c>
      <c r="M14" s="177">
        <v>53.325829905042831</v>
      </c>
      <c r="O14" s="168">
        <v>-4.3258299050428306</v>
      </c>
      <c r="Q14" s="9">
        <v>0.12129679939972585</v>
      </c>
      <c r="R14" s="10">
        <v>-9.6406116587751223E-2</v>
      </c>
      <c r="S14" s="10">
        <v>-2.6727729048616949E-2</v>
      </c>
      <c r="T14" s="10">
        <v>0.24427540169215248</v>
      </c>
      <c r="U14" s="10">
        <v>0.24973479262076642</v>
      </c>
      <c r="V14" s="10">
        <v>5.1618411860591518E-2</v>
      </c>
      <c r="W14" s="10">
        <v>8.5332091386581793E-2</v>
      </c>
      <c r="X14" s="10">
        <v>-0.12145204274366732</v>
      </c>
      <c r="Y14" s="10">
        <v>0.12675619032833976</v>
      </c>
      <c r="Z14" s="10">
        <v>9.6250873243809765E-2</v>
      </c>
      <c r="AA14" s="11">
        <v>0.26932132784806856</v>
      </c>
      <c r="AB14">
        <f t="shared" si="1"/>
        <v>11</v>
      </c>
      <c r="AC14" s="168">
        <v>-0.85947290855379566</v>
      </c>
    </row>
    <row r="15" spans="1:29" x14ac:dyDescent="0.25">
      <c r="A15" s="50"/>
      <c r="B15" s="50"/>
      <c r="C15" s="50"/>
    </row>
    <row r="16" spans="1:29" ht="18.75" x14ac:dyDescent="0.35">
      <c r="A16" s="569"/>
      <c r="B16" s="569"/>
      <c r="C16" s="569"/>
      <c r="D16" s="569"/>
      <c r="E16" s="1314" t="s">
        <v>380</v>
      </c>
      <c r="F16" s="1314"/>
      <c r="G16" s="1314"/>
      <c r="I16" s="1309" t="s">
        <v>424</v>
      </c>
      <c r="J16" s="1309"/>
      <c r="K16" s="1309"/>
    </row>
    <row r="17" spans="4:18" ht="18" x14ac:dyDescent="0.35">
      <c r="D17" s="569"/>
      <c r="E17" s="96">
        <f t="array" ref="E17:G19">[1]!CORE(A4:B14)</f>
        <v>1.3973194649279432</v>
      </c>
      <c r="F17" s="98">
        <v>-0.14197003803461952</v>
      </c>
      <c r="G17" s="97">
        <v>-0.10639343838132949</v>
      </c>
      <c r="I17" s="169">
        <f t="array" ref="I17:K19">[1]!RegCov(A4:B14,C4:C14)</f>
        <v>48.444421221608415</v>
      </c>
      <c r="J17" s="170">
        <v>-4.9220357234138588</v>
      </c>
      <c r="K17" s="171">
        <v>-3.6886114260393237</v>
      </c>
      <c r="N17" t="s">
        <v>289</v>
      </c>
      <c r="O17" s="167">
        <f>[1]!ssres(A4:B14,C4:C14)</f>
        <v>277.35630934823678</v>
      </c>
      <c r="Q17" s="580">
        <f t="array" ref="Q17">MMULT(TRANSPOSE(I4:I14-M4:M14),I4:I14-M4:M14)</f>
        <v>277.35630934823672</v>
      </c>
      <c r="R17" s="16" t="s">
        <v>1978</v>
      </c>
    </row>
    <row r="18" spans="4:18" ht="18" x14ac:dyDescent="0.35">
      <c r="E18" s="6">
        <v>-0.14197003803461947</v>
      </c>
      <c r="F18" s="7">
        <v>1.9405417992703587E-2</v>
      </c>
      <c r="G18" s="8">
        <v>5.9768687417527068E-3</v>
      </c>
      <c r="I18" s="6">
        <v>-4.922035723413857</v>
      </c>
      <c r="J18" s="7">
        <v>0.67277688947701697</v>
      </c>
      <c r="K18" s="8">
        <v>0.2072152819589213</v>
      </c>
      <c r="N18" t="s">
        <v>287</v>
      </c>
      <c r="O18" s="23">
        <f t="array" ref="O18">[1]!dfres(A4:B14)</f>
        <v>8</v>
      </c>
    </row>
    <row r="19" spans="4:18" ht="18" x14ac:dyDescent="0.35">
      <c r="E19" s="83">
        <v>-0.10639343838132957</v>
      </c>
      <c r="F19" s="84">
        <v>5.976868741752718E-3</v>
      </c>
      <c r="G19" s="85">
        <v>1.6507542239126507E-2</v>
      </c>
      <c r="I19" s="134">
        <v>-3.6886114260393268</v>
      </c>
      <c r="J19" s="135">
        <v>0.20721528195892169</v>
      </c>
      <c r="K19" s="136">
        <v>0.5723088739817821</v>
      </c>
      <c r="N19" t="s">
        <v>423</v>
      </c>
      <c r="O19" s="168">
        <f>[1]!MSRes(A4:B14,C4:C14)</f>
        <v>34.669538668529597</v>
      </c>
    </row>
  </sheetData>
  <mergeCells count="3">
    <mergeCell ref="E3:G3"/>
    <mergeCell ref="E16:G16"/>
    <mergeCell ref="I16:K1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:J14"/>
  <sheetViews>
    <sheetView workbookViewId="0"/>
  </sheetViews>
  <sheetFormatPr defaultRowHeight="15" x14ac:dyDescent="0.25"/>
  <cols>
    <col min="7" max="7" width="5.5703125" customWidth="1"/>
    <col min="9" max="9" width="5.7109375" customWidth="1"/>
  </cols>
  <sheetData>
    <row r="1" spans="1:10" x14ac:dyDescent="0.25">
      <c r="A1" s="1" t="s">
        <v>1312</v>
      </c>
    </row>
    <row r="3" spans="1:10" x14ac:dyDescent="0.25">
      <c r="A3" s="131" t="s">
        <v>382</v>
      </c>
      <c r="B3" s="131" t="s">
        <v>383</v>
      </c>
      <c r="C3" s="131" t="s">
        <v>751</v>
      </c>
      <c r="D3" s="644"/>
      <c r="F3" s="643" t="s">
        <v>131</v>
      </c>
      <c r="H3" s="82" t="s">
        <v>391</v>
      </c>
      <c r="J3" s="643" t="s">
        <v>134</v>
      </c>
    </row>
    <row r="4" spans="1:10" x14ac:dyDescent="0.25">
      <c r="A4" s="643">
        <v>7</v>
      </c>
      <c r="B4" s="643">
        <v>5</v>
      </c>
      <c r="C4" s="643">
        <v>65</v>
      </c>
      <c r="D4" s="643"/>
      <c r="E4" t="s">
        <v>400</v>
      </c>
      <c r="F4" s="114">
        <v>1.751632038762762</v>
      </c>
      <c r="H4" s="614">
        <f>A4*$F$5+B4*$F$6+$F$4</f>
        <v>54.810483602128372</v>
      </c>
      <c r="J4" s="614">
        <f>C4-H4</f>
        <v>10.189516397871628</v>
      </c>
    </row>
    <row r="5" spans="1:10" x14ac:dyDescent="0.25">
      <c r="A5" s="643">
        <v>3</v>
      </c>
      <c r="B5" s="643">
        <v>7</v>
      </c>
      <c r="C5" s="643">
        <v>38</v>
      </c>
      <c r="D5" s="643"/>
      <c r="E5" t="s">
        <v>1310</v>
      </c>
      <c r="F5" s="23">
        <v>4.8952632583756195</v>
      </c>
      <c r="H5" s="503">
        <f t="shared" ref="H5:H14" si="0">A5*$F$5+B5*$F$6+$F$4</f>
        <v>42.746234070520401</v>
      </c>
      <c r="J5" s="503">
        <f t="shared" ref="J5:J14" si="1">C5-H5</f>
        <v>-4.7462340705204014</v>
      </c>
    </row>
    <row r="6" spans="1:10" x14ac:dyDescent="0.25">
      <c r="A6" s="643">
        <v>5</v>
      </c>
      <c r="B6" s="643">
        <v>8</v>
      </c>
      <c r="C6" s="643">
        <v>51</v>
      </c>
      <c r="D6" s="643"/>
      <c r="E6" t="s">
        <v>1311</v>
      </c>
      <c r="F6" s="90">
        <v>3.7584017509472538</v>
      </c>
      <c r="H6" s="503">
        <f t="shared" si="0"/>
        <v>56.295162338218894</v>
      </c>
      <c r="J6" s="503">
        <f t="shared" si="1"/>
        <v>-5.2951623382188941</v>
      </c>
    </row>
    <row r="7" spans="1:10" x14ac:dyDescent="0.25">
      <c r="A7" s="643">
        <v>8</v>
      </c>
      <c r="B7" s="643">
        <v>1</v>
      </c>
      <c r="C7" s="643">
        <v>38</v>
      </c>
      <c r="D7" s="643"/>
      <c r="H7" s="503">
        <f t="shared" si="0"/>
        <v>44.672139856714978</v>
      </c>
      <c r="J7" s="503">
        <f t="shared" si="1"/>
        <v>-6.6721398567149777</v>
      </c>
    </row>
    <row r="8" spans="1:10" x14ac:dyDescent="0.25">
      <c r="A8" s="643">
        <v>9</v>
      </c>
      <c r="B8" s="643">
        <v>3</v>
      </c>
      <c r="C8" s="643">
        <v>55</v>
      </c>
      <c r="D8" s="643"/>
      <c r="E8" t="s">
        <v>754</v>
      </c>
      <c r="F8" s="580">
        <f>SUMSQ(J4:J14)</f>
        <v>277.35630938717281</v>
      </c>
      <c r="H8" s="503">
        <f t="shared" si="0"/>
        <v>57.084206616985099</v>
      </c>
      <c r="J8" s="503">
        <f t="shared" si="1"/>
        <v>-2.0842066169850995</v>
      </c>
    </row>
    <row r="9" spans="1:10" x14ac:dyDescent="0.25">
      <c r="A9" s="643">
        <v>5</v>
      </c>
      <c r="B9" s="643">
        <v>4</v>
      </c>
      <c r="C9" s="643">
        <v>43</v>
      </c>
      <c r="D9" s="643"/>
      <c r="H9" s="503">
        <f t="shared" si="0"/>
        <v>41.261555334429879</v>
      </c>
      <c r="J9" s="503">
        <f t="shared" si="1"/>
        <v>1.7384446655701211</v>
      </c>
    </row>
    <row r="10" spans="1:10" x14ac:dyDescent="0.25">
      <c r="A10" s="643">
        <v>4</v>
      </c>
      <c r="B10" s="643">
        <v>0</v>
      </c>
      <c r="C10" s="643">
        <v>25</v>
      </c>
      <c r="D10" s="643"/>
      <c r="H10" s="503">
        <f t="shared" si="0"/>
        <v>21.332685072265239</v>
      </c>
      <c r="J10" s="503">
        <f t="shared" si="1"/>
        <v>3.6673149277347612</v>
      </c>
    </row>
    <row r="11" spans="1:10" x14ac:dyDescent="0.25">
      <c r="A11" s="643">
        <v>2</v>
      </c>
      <c r="B11" s="643">
        <v>6</v>
      </c>
      <c r="C11" s="643">
        <v>33</v>
      </c>
      <c r="D11" s="643"/>
      <c r="H11" s="503">
        <f t="shared" si="0"/>
        <v>34.092569061197523</v>
      </c>
      <c r="J11" s="503">
        <f t="shared" si="1"/>
        <v>-1.0925690611975227</v>
      </c>
    </row>
    <row r="12" spans="1:10" x14ac:dyDescent="0.25">
      <c r="A12" s="643">
        <v>8</v>
      </c>
      <c r="B12" s="643">
        <v>7</v>
      </c>
      <c r="C12" s="643">
        <v>71</v>
      </c>
      <c r="D12" s="643"/>
      <c r="H12" s="503">
        <f t="shared" si="0"/>
        <v>67.222550362398493</v>
      </c>
      <c r="J12" s="503">
        <f t="shared" si="1"/>
        <v>3.7774496376015065</v>
      </c>
    </row>
    <row r="13" spans="1:10" x14ac:dyDescent="0.25">
      <c r="A13" s="643">
        <v>6</v>
      </c>
      <c r="B13" s="643">
        <v>4</v>
      </c>
      <c r="C13" s="643">
        <v>51</v>
      </c>
      <c r="D13" s="643"/>
      <c r="H13" s="503">
        <f t="shared" si="0"/>
        <v>46.156818592805493</v>
      </c>
      <c r="J13" s="503">
        <f t="shared" si="1"/>
        <v>4.843181407194507</v>
      </c>
    </row>
    <row r="14" spans="1:10" x14ac:dyDescent="0.25">
      <c r="A14" s="645">
        <v>9</v>
      </c>
      <c r="B14" s="645">
        <v>2</v>
      </c>
      <c r="C14" s="645">
        <v>49</v>
      </c>
      <c r="D14" s="644"/>
      <c r="H14" s="420">
        <f t="shared" si="0"/>
        <v>53.325804866037849</v>
      </c>
      <c r="J14" s="420">
        <f t="shared" si="1"/>
        <v>-4.3258048660378492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J13"/>
  <sheetViews>
    <sheetView workbookViewId="0"/>
  </sheetViews>
  <sheetFormatPr defaultRowHeight="15" x14ac:dyDescent="0.25"/>
  <cols>
    <col min="1" max="1" width="8" customWidth="1"/>
    <col min="6" max="6" width="8" customWidth="1"/>
  </cols>
  <sheetData>
    <row r="1" spans="1:10" x14ac:dyDescent="0.25">
      <c r="A1" s="1" t="s">
        <v>392</v>
      </c>
    </row>
    <row r="2" spans="1:10" x14ac:dyDescent="0.25">
      <c r="A2" s="1"/>
    </row>
    <row r="3" spans="1:10" x14ac:dyDescent="0.25">
      <c r="B3" s="1309" t="s">
        <v>393</v>
      </c>
      <c r="C3" s="1309"/>
      <c r="D3" s="1309"/>
      <c r="E3" s="1309"/>
      <c r="G3" s="1309" t="s">
        <v>394</v>
      </c>
      <c r="H3" s="1309"/>
      <c r="I3" s="1309"/>
      <c r="J3" s="1309"/>
    </row>
    <row r="4" spans="1:10" x14ac:dyDescent="0.25">
      <c r="A4" s="13" t="s">
        <v>56</v>
      </c>
      <c r="B4" s="142">
        <v>2</v>
      </c>
      <c r="C4" s="143">
        <v>5</v>
      </c>
      <c r="D4" s="143">
        <v>10</v>
      </c>
      <c r="E4" s="144">
        <v>20</v>
      </c>
      <c r="G4" s="142">
        <v>2</v>
      </c>
      <c r="H4" s="143">
        <v>5</v>
      </c>
      <c r="I4" s="143">
        <v>10</v>
      </c>
      <c r="J4" s="144">
        <v>20</v>
      </c>
    </row>
    <row r="5" spans="1:10" x14ac:dyDescent="0.25">
      <c r="A5">
        <v>20</v>
      </c>
      <c r="B5" s="145">
        <v>0.45</v>
      </c>
      <c r="C5" s="146">
        <v>0.56000000000000005</v>
      </c>
      <c r="D5" s="146">
        <v>0.71</v>
      </c>
      <c r="E5" s="147" t="s">
        <v>395</v>
      </c>
      <c r="G5" s="145">
        <v>0.39</v>
      </c>
      <c r="H5" s="146">
        <v>0.48</v>
      </c>
      <c r="I5" s="146">
        <v>0.64</v>
      </c>
      <c r="J5" s="148" t="s">
        <v>395</v>
      </c>
    </row>
    <row r="6" spans="1:10" x14ac:dyDescent="0.25">
      <c r="A6">
        <v>50</v>
      </c>
      <c r="B6" s="42">
        <v>0.23</v>
      </c>
      <c r="C6" s="43">
        <v>0.28999999999999998</v>
      </c>
      <c r="D6" s="43">
        <v>0.36</v>
      </c>
      <c r="E6" s="148">
        <v>0.49</v>
      </c>
      <c r="G6" s="42">
        <v>0.19</v>
      </c>
      <c r="H6" s="43">
        <v>0.23</v>
      </c>
      <c r="I6" s="43">
        <v>0.28999999999999998</v>
      </c>
      <c r="J6" s="14">
        <v>0.42</v>
      </c>
    </row>
    <row r="7" spans="1:10" x14ac:dyDescent="0.25">
      <c r="A7">
        <v>100</v>
      </c>
      <c r="B7" s="42">
        <v>0.13</v>
      </c>
      <c r="C7" s="43">
        <v>0.16</v>
      </c>
      <c r="D7" s="43">
        <v>0.2</v>
      </c>
      <c r="E7" s="14">
        <v>0.26</v>
      </c>
      <c r="G7" s="42">
        <v>0.1</v>
      </c>
      <c r="H7" s="43">
        <v>0.12</v>
      </c>
      <c r="I7" s="43">
        <v>0.15</v>
      </c>
      <c r="J7" s="14">
        <v>0.21</v>
      </c>
    </row>
    <row r="8" spans="1:10" x14ac:dyDescent="0.25">
      <c r="A8">
        <v>250</v>
      </c>
      <c r="B8" s="42">
        <v>0.05</v>
      </c>
      <c r="C8" s="43">
        <v>7.0000000000000007E-2</v>
      </c>
      <c r="D8" s="43">
        <v>0.08</v>
      </c>
      <c r="E8" s="14">
        <v>0.11</v>
      </c>
      <c r="G8" s="42">
        <v>0.04</v>
      </c>
      <c r="H8" s="43">
        <v>0.05</v>
      </c>
      <c r="I8" s="43">
        <v>0.06</v>
      </c>
      <c r="J8" s="14">
        <v>0.09</v>
      </c>
    </row>
    <row r="9" spans="1:10" x14ac:dyDescent="0.25">
      <c r="A9">
        <v>500</v>
      </c>
      <c r="B9" s="42">
        <v>0.03</v>
      </c>
      <c r="C9" s="43">
        <v>0.03</v>
      </c>
      <c r="D9" s="43">
        <v>0.04</v>
      </c>
      <c r="E9" s="14">
        <v>0.06</v>
      </c>
      <c r="G9" s="42">
        <v>0.03</v>
      </c>
      <c r="H9" s="43">
        <v>0.04</v>
      </c>
      <c r="I9" s="43">
        <v>0.05</v>
      </c>
      <c r="J9" s="14">
        <v>0.08</v>
      </c>
    </row>
    <row r="10" spans="1:10" x14ac:dyDescent="0.25">
      <c r="A10">
        <v>1000</v>
      </c>
      <c r="B10" s="149">
        <v>0.01</v>
      </c>
      <c r="C10" s="150">
        <v>0.02</v>
      </c>
      <c r="D10" s="150">
        <v>0.02</v>
      </c>
      <c r="E10" s="151">
        <v>0.03</v>
      </c>
      <c r="G10" s="149">
        <v>0.01</v>
      </c>
      <c r="H10" s="150">
        <v>0.01</v>
      </c>
      <c r="I10" s="150">
        <v>0.02</v>
      </c>
      <c r="J10" s="151">
        <v>0.02</v>
      </c>
    </row>
    <row r="12" spans="1:10" ht="17.25" x14ac:dyDescent="0.25">
      <c r="A12" t="s">
        <v>397</v>
      </c>
    </row>
    <row r="13" spans="1:10" x14ac:dyDescent="0.25">
      <c r="A13" t="s">
        <v>396</v>
      </c>
    </row>
  </sheetData>
  <mergeCells count="2">
    <mergeCell ref="B3:E3"/>
    <mergeCell ref="G3:J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AL58"/>
  <sheetViews>
    <sheetView workbookViewId="0"/>
  </sheetViews>
  <sheetFormatPr defaultRowHeight="15" x14ac:dyDescent="0.25"/>
  <cols>
    <col min="1" max="1" width="13.140625" customWidth="1"/>
    <col min="2" max="5" width="10.28515625" customWidth="1"/>
    <col min="6" max="6" width="6.7109375" customWidth="1"/>
    <col min="7" max="11" width="13.5703125" customWidth="1"/>
    <col min="12" max="12" width="18" customWidth="1"/>
    <col min="13" max="13" width="17.140625" customWidth="1"/>
    <col min="14" max="19" width="13.42578125" customWidth="1"/>
    <col min="20" max="20" width="9.140625" customWidth="1"/>
    <col min="21" max="21" width="17.85546875" customWidth="1"/>
    <col min="22" max="27" width="14.28515625" customWidth="1"/>
    <col min="28" max="28" width="9.140625" customWidth="1"/>
    <col min="30" max="32" width="10.140625" customWidth="1"/>
    <col min="33" max="33" width="3" customWidth="1"/>
    <col min="34" max="34" width="27.42578125" customWidth="1"/>
  </cols>
  <sheetData>
    <row r="1" spans="1:38" x14ac:dyDescent="0.25">
      <c r="A1" s="1" t="s">
        <v>398</v>
      </c>
      <c r="M1" t="s">
        <v>412</v>
      </c>
      <c r="U1" t="s">
        <v>413</v>
      </c>
      <c r="AC1" t="s">
        <v>752</v>
      </c>
      <c r="AJ1" t="s">
        <v>2674</v>
      </c>
    </row>
    <row r="2" spans="1:38" ht="15.75" customHeight="1" x14ac:dyDescent="0.25"/>
    <row r="3" spans="1:38" ht="15.75" customHeight="1" x14ac:dyDescent="0.25">
      <c r="A3" s="59"/>
      <c r="B3" s="60" t="s">
        <v>143</v>
      </c>
      <c r="C3" s="60" t="s">
        <v>144</v>
      </c>
      <c r="D3" s="60" t="s">
        <v>145</v>
      </c>
      <c r="E3" s="60" t="s">
        <v>146</v>
      </c>
      <c r="G3" s="154" t="s">
        <v>399</v>
      </c>
      <c r="M3" t="s">
        <v>290</v>
      </c>
      <c r="U3" t="s">
        <v>290</v>
      </c>
      <c r="AD3" s="352" t="s">
        <v>756</v>
      </c>
      <c r="AE3" s="352" t="s">
        <v>757</v>
      </c>
      <c r="AF3" s="352" t="s">
        <v>758</v>
      </c>
      <c r="AK3" s="352" t="s">
        <v>756</v>
      </c>
      <c r="AL3" s="352" t="s">
        <v>757</v>
      </c>
    </row>
    <row r="4" spans="1:38" ht="15.75" customHeight="1" thickBot="1" x14ac:dyDescent="0.3">
      <c r="A4" s="58" t="s">
        <v>151</v>
      </c>
      <c r="B4" s="61">
        <v>15.7</v>
      </c>
      <c r="C4" s="62">
        <v>9</v>
      </c>
      <c r="D4" s="63">
        <v>71.027177760140717</v>
      </c>
      <c r="E4" s="64">
        <v>448</v>
      </c>
      <c r="AC4" s="371" t="s">
        <v>754</v>
      </c>
      <c r="AD4" s="354">
        <f>O15</f>
        <v>280.69844043360786</v>
      </c>
      <c r="AE4" s="357">
        <f>W15</f>
        <v>288.40988529461998</v>
      </c>
      <c r="AF4" s="358">
        <f>AE4-AD4</f>
        <v>7.7114448610121258</v>
      </c>
      <c r="AH4" s="16" t="s">
        <v>759</v>
      </c>
      <c r="AJ4" s="371" t="s">
        <v>31</v>
      </c>
      <c r="AK4" s="354">
        <f>N10</f>
        <v>50</v>
      </c>
      <c r="AL4" s="358">
        <f>AK4</f>
        <v>50</v>
      </c>
    </row>
    <row r="5" spans="1:38" ht="15.75" customHeight="1" x14ac:dyDescent="0.25">
      <c r="A5" s="58" t="s">
        <v>152</v>
      </c>
      <c r="B5" s="61">
        <v>8.4</v>
      </c>
      <c r="C5" s="62">
        <v>6.9</v>
      </c>
      <c r="D5" s="63">
        <v>70.62318863808899</v>
      </c>
      <c r="E5" s="64">
        <v>661.2</v>
      </c>
      <c r="G5" s="60" t="s">
        <v>144</v>
      </c>
      <c r="H5" s="60" t="s">
        <v>145</v>
      </c>
      <c r="I5" s="60" t="s">
        <v>146</v>
      </c>
      <c r="J5" s="60" t="s">
        <v>143</v>
      </c>
      <c r="M5" s="21" t="s">
        <v>291</v>
      </c>
      <c r="N5" s="21"/>
      <c r="U5" s="21" t="s">
        <v>291</v>
      </c>
      <c r="V5" s="21"/>
      <c r="AC5" t="s">
        <v>753</v>
      </c>
      <c r="AD5" s="6">
        <f>N15</f>
        <v>46</v>
      </c>
      <c r="AE5" s="7">
        <f>V15</f>
        <v>48</v>
      </c>
      <c r="AF5" s="272">
        <f>AE5-AD5</f>
        <v>2</v>
      </c>
      <c r="AH5" s="16" t="s">
        <v>760</v>
      </c>
      <c r="AJ5" t="s">
        <v>56</v>
      </c>
      <c r="AK5" s="6">
        <f>N14</f>
        <v>3</v>
      </c>
      <c r="AL5" s="272">
        <f>V14</f>
        <v>1</v>
      </c>
    </row>
    <row r="6" spans="1:38" ht="15.75" customHeight="1" x14ac:dyDescent="0.25">
      <c r="A6" s="58" t="s">
        <v>153</v>
      </c>
      <c r="B6" s="61">
        <v>14.7</v>
      </c>
      <c r="C6" s="62">
        <v>6.4</v>
      </c>
      <c r="D6" s="63">
        <v>86.505696765320337</v>
      </c>
      <c r="E6" s="64">
        <v>482.7</v>
      </c>
      <c r="G6" s="29">
        <v>7</v>
      </c>
      <c r="H6">
        <v>80</v>
      </c>
      <c r="I6">
        <v>400</v>
      </c>
      <c r="J6" s="61">
        <f t="array" ref="J6:J8">TREND(B4:B53,C4:E53,G6:I8)</f>
        <v>12.867466231009725</v>
      </c>
      <c r="M6" s="19" t="s">
        <v>292</v>
      </c>
      <c r="N6" s="19">
        <v>0.58034505841999007</v>
      </c>
      <c r="U6" s="19" t="s">
        <v>292</v>
      </c>
      <c r="V6" s="19">
        <v>0.56442956793415189</v>
      </c>
      <c r="AC6" t="s">
        <v>755</v>
      </c>
      <c r="AD6" s="9">
        <f>AD4/AD5</f>
        <v>6.1021400094262574</v>
      </c>
      <c r="AE6" s="10"/>
      <c r="AF6" s="168">
        <f>AF4/AF5</f>
        <v>3.8557224305060629</v>
      </c>
      <c r="AH6" s="16" t="s">
        <v>761</v>
      </c>
      <c r="AJ6" t="s">
        <v>754</v>
      </c>
      <c r="AK6" s="6">
        <f>O15</f>
        <v>280.69844043360786</v>
      </c>
      <c r="AL6" s="23">
        <f>W15</f>
        <v>288.40988529461998</v>
      </c>
    </row>
    <row r="7" spans="1:38" ht="15.75" customHeight="1" x14ac:dyDescent="0.25">
      <c r="A7" s="58" t="s">
        <v>154</v>
      </c>
      <c r="B7" s="61">
        <v>17.3</v>
      </c>
      <c r="C7" s="62">
        <v>8.5</v>
      </c>
      <c r="D7" s="63">
        <v>80.783955956979611</v>
      </c>
      <c r="E7" s="64">
        <v>529.4</v>
      </c>
      <c r="G7" s="29">
        <v>7.5</v>
      </c>
      <c r="H7">
        <v>70</v>
      </c>
      <c r="I7">
        <v>500</v>
      </c>
      <c r="J7" s="61">
        <v>13.286031725599845</v>
      </c>
      <c r="M7" s="19" t="s">
        <v>285</v>
      </c>
      <c r="N7" s="19">
        <v>0.33680038683250163</v>
      </c>
      <c r="U7" s="19" t="s">
        <v>285</v>
      </c>
      <c r="V7" s="19">
        <v>0.31858073715833335</v>
      </c>
      <c r="AC7" t="s">
        <v>135</v>
      </c>
      <c r="AF7" s="272">
        <f>AF6/AD6</f>
        <v>0.63186397305698494</v>
      </c>
      <c r="AH7" s="16" t="s">
        <v>762</v>
      </c>
      <c r="AJ7" t="s">
        <v>774</v>
      </c>
      <c r="AK7" s="1226">
        <f>AK4*LN(AK6/AK4)+2*(AK5+1)</f>
        <v>94.262896096712964</v>
      </c>
      <c r="AL7" s="1193">
        <f>AL4*LN(AL6/AL4)+2*(AL5+1)</f>
        <v>91.617983786443077</v>
      </c>
    </row>
    <row r="8" spans="1:38" ht="15.75" customHeight="1" x14ac:dyDescent="0.25">
      <c r="A8" s="58" t="s">
        <v>155</v>
      </c>
      <c r="B8" s="61">
        <v>13.3</v>
      </c>
      <c r="C8" s="62">
        <v>5</v>
      </c>
      <c r="D8" s="63">
        <v>76.640052174481781</v>
      </c>
      <c r="E8" s="64">
        <v>522.6</v>
      </c>
      <c r="G8" s="155">
        <v>8</v>
      </c>
      <c r="H8" s="135">
        <v>75</v>
      </c>
      <c r="I8" s="135">
        <v>450</v>
      </c>
      <c r="J8" s="156">
        <v>14.036276218092199</v>
      </c>
      <c r="M8" s="19" t="s">
        <v>293</v>
      </c>
      <c r="N8" s="19">
        <v>0.29354823814766479</v>
      </c>
      <c r="U8" s="19" t="s">
        <v>293</v>
      </c>
      <c r="V8" s="19">
        <v>0.30438450251579863</v>
      </c>
      <c r="AC8" s="30" t="s">
        <v>48</v>
      </c>
      <c r="AF8" s="272">
        <v>0.05</v>
      </c>
      <c r="AJ8" t="s">
        <v>775</v>
      </c>
      <c r="AK8" s="6">
        <f>AK7+2*(AK5+2)*(AK5+3)/(AK4-AK5-3)</f>
        <v>95.626532460349324</v>
      </c>
      <c r="AL8" s="23">
        <f>AL7+2*(AL5+2)*(AL5+3)/(AL4-AL5-3)</f>
        <v>92.139722916877858</v>
      </c>
    </row>
    <row r="9" spans="1:38" ht="15.75" customHeight="1" x14ac:dyDescent="0.25">
      <c r="A9" s="58" t="s">
        <v>156</v>
      </c>
      <c r="B9" s="61">
        <v>11.4</v>
      </c>
      <c r="C9" s="62">
        <v>5.7</v>
      </c>
      <c r="D9" s="63">
        <v>89.734092175332663</v>
      </c>
      <c r="E9" s="64">
        <v>347.8</v>
      </c>
      <c r="M9" s="19" t="s">
        <v>11</v>
      </c>
      <c r="N9" s="19">
        <v>2.4702510013005274</v>
      </c>
      <c r="U9" s="19" t="s">
        <v>11</v>
      </c>
      <c r="V9" s="19">
        <v>2.4512321956459466</v>
      </c>
      <c r="AC9" s="371" t="s">
        <v>67</v>
      </c>
      <c r="AF9" s="272">
        <f>FDIST(AF7,AF5,AD5)</f>
        <v>0.53615051955111592</v>
      </c>
      <c r="AH9" s="16" t="s">
        <v>763</v>
      </c>
      <c r="AJ9" t="s">
        <v>2661</v>
      </c>
      <c r="AK9" s="409">
        <f>AK4*LN(AK6/AK4)+LN(AK4)*(AK5+1)</f>
        <v>101.91098811842555</v>
      </c>
      <c r="AL9" s="420">
        <f>AL4*LN(AL6/AL4)+LN(AL4)*(AL5+1)</f>
        <v>95.442029797299369</v>
      </c>
    </row>
    <row r="10" spans="1:38" ht="15.75" customHeight="1" thickBot="1" x14ac:dyDescent="0.3">
      <c r="A10" s="58" t="s">
        <v>157</v>
      </c>
      <c r="B10" s="61">
        <v>9.3000000000000007</v>
      </c>
      <c r="C10" s="62">
        <v>6.2</v>
      </c>
      <c r="D10" s="63">
        <v>84.278652322083644</v>
      </c>
      <c r="E10" s="64">
        <v>256</v>
      </c>
      <c r="G10" s="157" t="s">
        <v>402</v>
      </c>
      <c r="H10" s="157"/>
      <c r="I10" s="157"/>
      <c r="J10" s="157"/>
      <c r="K10" s="157"/>
      <c r="L10" s="157"/>
      <c r="M10" s="20" t="s">
        <v>81</v>
      </c>
      <c r="N10" s="20">
        <v>50</v>
      </c>
      <c r="U10" s="20" t="s">
        <v>81</v>
      </c>
      <c r="V10" s="20">
        <v>50</v>
      </c>
      <c r="AC10" s="372" t="s">
        <v>527</v>
      </c>
      <c r="AF10" s="166" t="str">
        <f>IF(AF9&lt;AF8,"yes","no")</f>
        <v>no</v>
      </c>
      <c r="AH10" s="16" t="s">
        <v>764</v>
      </c>
    </row>
    <row r="11" spans="1:38" ht="15.75" customHeight="1" x14ac:dyDescent="0.25">
      <c r="A11" s="58" t="s">
        <v>158</v>
      </c>
      <c r="B11" s="70">
        <v>10</v>
      </c>
      <c r="C11" s="62">
        <v>8.3000000000000007</v>
      </c>
      <c r="D11" s="63">
        <v>74.266056727126113</v>
      </c>
      <c r="E11" s="64">
        <v>689.2</v>
      </c>
      <c r="G11" s="157"/>
      <c r="H11" s="157"/>
      <c r="I11" s="157"/>
      <c r="J11" s="157"/>
      <c r="K11" s="157"/>
      <c r="L11" s="157"/>
      <c r="AJ11" t="s">
        <v>2675</v>
      </c>
    </row>
    <row r="12" spans="1:38" ht="15.75" customHeight="1" thickBot="1" x14ac:dyDescent="0.3">
      <c r="A12" s="58" t="s">
        <v>159</v>
      </c>
      <c r="B12" s="61">
        <v>13.2</v>
      </c>
      <c r="C12" s="62">
        <v>7.3</v>
      </c>
      <c r="D12" s="63">
        <v>79.811068541941054</v>
      </c>
      <c r="E12" s="64">
        <v>722.6</v>
      </c>
      <c r="G12" s="157"/>
      <c r="H12" s="158" t="s">
        <v>401</v>
      </c>
      <c r="I12" s="158" t="s">
        <v>388</v>
      </c>
      <c r="J12" s="158" t="s">
        <v>387</v>
      </c>
      <c r="K12" s="158" t="s">
        <v>400</v>
      </c>
      <c r="L12" s="157"/>
      <c r="M12" t="s">
        <v>294</v>
      </c>
      <c r="U12" t="s">
        <v>294</v>
      </c>
    </row>
    <row r="13" spans="1:38" ht="15.75" customHeight="1" x14ac:dyDescent="0.25">
      <c r="A13" s="58" t="s">
        <v>160</v>
      </c>
      <c r="B13" s="61">
        <v>14.7</v>
      </c>
      <c r="C13" s="62">
        <v>8.1</v>
      </c>
      <c r="D13" s="63">
        <v>65.387718279566343</v>
      </c>
      <c r="E13" s="64">
        <v>493.2</v>
      </c>
      <c r="G13" s="157" t="s">
        <v>281</v>
      </c>
      <c r="H13" s="159">
        <f t="array" ref="H13:K17">LINEST(B4:B53,C4:E53,TRUE,TRUE)</f>
        <v>1.4214989878583481E-3</v>
      </c>
      <c r="I13" s="159">
        <v>3.6326923072065739E-2</v>
      </c>
      <c r="J13" s="159">
        <v>1.279369653049887</v>
      </c>
      <c r="K13" s="159">
        <v>0.43712521875191612</v>
      </c>
      <c r="L13" s="157" t="s">
        <v>282</v>
      </c>
      <c r="M13" s="18"/>
      <c r="N13" s="18" t="s">
        <v>60</v>
      </c>
      <c r="O13" s="18" t="s">
        <v>219</v>
      </c>
      <c r="P13" s="18" t="s">
        <v>240</v>
      </c>
      <c r="Q13" s="18" t="s">
        <v>135</v>
      </c>
      <c r="R13" s="18" t="s">
        <v>297</v>
      </c>
      <c r="U13" s="18"/>
      <c r="V13" s="18" t="s">
        <v>60</v>
      </c>
      <c r="W13" s="18" t="s">
        <v>219</v>
      </c>
      <c r="X13" s="18" t="s">
        <v>240</v>
      </c>
      <c r="Y13" s="18" t="s">
        <v>135</v>
      </c>
      <c r="Z13" s="18" t="s">
        <v>297</v>
      </c>
      <c r="AD13" s="352" t="s">
        <v>756</v>
      </c>
      <c r="AE13" s="352" t="s">
        <v>757</v>
      </c>
      <c r="AF13" s="352" t="s">
        <v>758</v>
      </c>
      <c r="AJ13" t="s">
        <v>774</v>
      </c>
      <c r="AK13" s="1226">
        <f>[1]!RegAIC(C4:E53,B4:B53)</f>
        <v>94.262896096712964</v>
      </c>
      <c r="AL13" s="1249">
        <f>[1]!RegAIC(C4:C53,B4:B53)</f>
        <v>91.617983786443077</v>
      </c>
    </row>
    <row r="14" spans="1:38" ht="15.75" customHeight="1" x14ac:dyDescent="0.25">
      <c r="A14" s="58" t="s">
        <v>161</v>
      </c>
      <c r="B14" s="61">
        <v>9.1</v>
      </c>
      <c r="C14" s="62">
        <v>5.6</v>
      </c>
      <c r="D14" s="63">
        <v>29.667333748383395</v>
      </c>
      <c r="E14" s="64">
        <v>272.8</v>
      </c>
      <c r="G14" s="157" t="s">
        <v>403</v>
      </c>
      <c r="H14" s="159">
        <v>2.2421016620427178E-3</v>
      </c>
      <c r="I14" s="159">
        <v>3.3602531929280269E-2</v>
      </c>
      <c r="J14" s="159">
        <v>0.3006729090126502</v>
      </c>
      <c r="K14" s="159">
        <v>3.9875336904973384</v>
      </c>
      <c r="L14" s="157" t="s">
        <v>404</v>
      </c>
      <c r="M14" s="19" t="s">
        <v>222</v>
      </c>
      <c r="N14" s="19">
        <v>3</v>
      </c>
      <c r="O14" s="19">
        <v>142.5503595663921</v>
      </c>
      <c r="P14" s="19">
        <v>47.516786522130701</v>
      </c>
      <c r="Q14" s="19">
        <v>7.7869053231701217</v>
      </c>
      <c r="R14" s="19">
        <v>2.6221319906024227E-4</v>
      </c>
      <c r="U14" s="19" t="s">
        <v>222</v>
      </c>
      <c r="V14" s="19">
        <v>1</v>
      </c>
      <c r="W14" s="19">
        <v>134.83891470537998</v>
      </c>
      <c r="X14" s="19">
        <v>134.83891470537998</v>
      </c>
      <c r="Y14" s="19">
        <v>22.441213827489335</v>
      </c>
      <c r="Z14" s="19">
        <v>1.9607327286956678E-5</v>
      </c>
      <c r="AC14" s="371" t="s">
        <v>769</v>
      </c>
      <c r="AD14" s="354">
        <f>N7</f>
        <v>0.33680038683250163</v>
      </c>
      <c r="AE14" s="357">
        <f>V7</f>
        <v>0.31858073715833335</v>
      </c>
      <c r="AF14" s="358">
        <f>AD14-AE14</f>
        <v>1.8219649674168281E-2</v>
      </c>
      <c r="AH14" s="16" t="s">
        <v>770</v>
      </c>
      <c r="AJ14" t="s">
        <v>775</v>
      </c>
      <c r="AK14" s="6">
        <f>[1]!RegAICc(C4:E53,B4:B53)</f>
        <v>95.626532460349324</v>
      </c>
      <c r="AL14" s="533">
        <f>[1]!RegAICc(C4:C53,B4:B53)</f>
        <v>92.139722916877858</v>
      </c>
    </row>
    <row r="15" spans="1:38" ht="15.75" customHeight="1" x14ac:dyDescent="0.25">
      <c r="A15" s="58" t="s">
        <v>162</v>
      </c>
      <c r="B15" s="61">
        <v>12.6</v>
      </c>
      <c r="C15" s="62">
        <v>6.8</v>
      </c>
      <c r="D15" s="63">
        <v>94.600660447193093</v>
      </c>
      <c r="E15" s="64">
        <v>239.4</v>
      </c>
      <c r="G15" s="157" t="s">
        <v>285</v>
      </c>
      <c r="H15" s="159">
        <v>0.33680038683250163</v>
      </c>
      <c r="I15" s="159">
        <v>2.4702510013005274</v>
      </c>
      <c r="J15" s="159" t="e">
        <v>#N/A</v>
      </c>
      <c r="K15" s="159" t="e">
        <v>#N/A</v>
      </c>
      <c r="L15" s="157" t="s">
        <v>405</v>
      </c>
      <c r="M15" s="19" t="s">
        <v>295</v>
      </c>
      <c r="N15" s="19">
        <v>46</v>
      </c>
      <c r="O15" s="19">
        <v>280.69844043360786</v>
      </c>
      <c r="P15" s="19">
        <v>6.1021400094262574</v>
      </c>
      <c r="Q15" s="19"/>
      <c r="R15" s="19"/>
      <c r="U15" s="19" t="s">
        <v>295</v>
      </c>
      <c r="V15" s="19">
        <v>48</v>
      </c>
      <c r="W15" s="19">
        <v>288.40988529461998</v>
      </c>
      <c r="X15" s="19">
        <v>6.0085392769712493</v>
      </c>
      <c r="Y15" s="19"/>
      <c r="Z15" s="19"/>
      <c r="AC15" t="s">
        <v>753</v>
      </c>
      <c r="AD15" s="9">
        <f>N15</f>
        <v>46</v>
      </c>
      <c r="AE15" s="10">
        <f>V15</f>
        <v>48</v>
      </c>
      <c r="AF15" s="168">
        <f>AE15-AD15</f>
        <v>2</v>
      </c>
      <c r="AH15" s="16" t="s">
        <v>771</v>
      </c>
      <c r="AJ15" t="s">
        <v>2661</v>
      </c>
      <c r="AK15" s="409">
        <f>[1]!RegSBC(C4:E53,B4:B53)</f>
        <v>101.91098811842555</v>
      </c>
      <c r="AL15" s="417">
        <f>[1]!RegSBC(C4:C53,B4:B53)</f>
        <v>95.442029797299369</v>
      </c>
    </row>
    <row r="16" spans="1:38" ht="15.75" customHeight="1" thickBot="1" x14ac:dyDescent="0.3">
      <c r="A16" s="58" t="s">
        <v>163</v>
      </c>
      <c r="B16" s="61">
        <v>12.2</v>
      </c>
      <c r="C16" s="62">
        <v>7.3</v>
      </c>
      <c r="D16" s="63">
        <v>79.13310968601246</v>
      </c>
      <c r="E16" s="64">
        <v>533.20000000000005</v>
      </c>
      <c r="G16" s="157" t="s">
        <v>135</v>
      </c>
      <c r="H16" s="159">
        <v>7.7869053231701217</v>
      </c>
      <c r="I16" s="159">
        <v>46</v>
      </c>
      <c r="J16" s="159" t="e">
        <v>#N/A</v>
      </c>
      <c r="K16" s="159" t="e">
        <v>#N/A</v>
      </c>
      <c r="L16" s="157" t="s">
        <v>406</v>
      </c>
      <c r="M16" s="20" t="s">
        <v>1</v>
      </c>
      <c r="N16" s="20">
        <v>49</v>
      </c>
      <c r="O16" s="20">
        <v>423.24879999999996</v>
      </c>
      <c r="P16" s="20"/>
      <c r="Q16" s="20"/>
      <c r="R16" s="20"/>
      <c r="U16" s="20" t="s">
        <v>1</v>
      </c>
      <c r="V16" s="20">
        <v>49</v>
      </c>
      <c r="W16" s="20">
        <v>423.24879999999996</v>
      </c>
      <c r="X16" s="20"/>
      <c r="Y16" s="20"/>
      <c r="Z16" s="20"/>
      <c r="AC16" t="s">
        <v>135</v>
      </c>
      <c r="AF16" s="272">
        <f>AF14*AD15/(AF15*(1-AD14))</f>
        <v>0.63186397305698405</v>
      </c>
      <c r="AH16" s="16" t="s">
        <v>1260</v>
      </c>
    </row>
    <row r="17" spans="1:38" ht="15.75" customHeight="1" thickBot="1" x14ac:dyDescent="0.3">
      <c r="A17" s="58" t="s">
        <v>164</v>
      </c>
      <c r="B17" s="61">
        <v>13.1</v>
      </c>
      <c r="C17" s="62">
        <v>8</v>
      </c>
      <c r="D17" s="63">
        <v>88.000000627274659</v>
      </c>
      <c r="E17" s="64">
        <v>333.6</v>
      </c>
      <c r="G17" s="157" t="s">
        <v>407</v>
      </c>
      <c r="H17" s="159">
        <v>142.5503595663921</v>
      </c>
      <c r="I17" s="159">
        <v>280.69844043360786</v>
      </c>
      <c r="J17" s="159" t="e">
        <v>#N/A</v>
      </c>
      <c r="K17" s="159" t="e">
        <v>#N/A</v>
      </c>
      <c r="L17" s="157" t="s">
        <v>408</v>
      </c>
      <c r="AC17" s="30" t="s">
        <v>48</v>
      </c>
      <c r="AF17" s="272">
        <v>0.05</v>
      </c>
      <c r="AJ17" t="s">
        <v>2676</v>
      </c>
    </row>
    <row r="18" spans="1:38" ht="15.75" customHeight="1" x14ac:dyDescent="0.25">
      <c r="A18" s="58" t="s">
        <v>165</v>
      </c>
      <c r="B18" s="61">
        <v>11.5</v>
      </c>
      <c r="C18" s="62">
        <v>5.0999999999999996</v>
      </c>
      <c r="D18" s="63">
        <v>94.170464820794294</v>
      </c>
      <c r="E18" s="64">
        <v>294.7</v>
      </c>
      <c r="M18" s="18"/>
      <c r="N18" s="18" t="s">
        <v>298</v>
      </c>
      <c r="O18" s="18" t="s">
        <v>11</v>
      </c>
      <c r="P18" s="18" t="s">
        <v>85</v>
      </c>
      <c r="Q18" s="18" t="s">
        <v>119</v>
      </c>
      <c r="R18" s="18" t="s">
        <v>299</v>
      </c>
      <c r="S18" s="18" t="s">
        <v>300</v>
      </c>
      <c r="U18" s="18"/>
      <c r="V18" s="18" t="s">
        <v>298</v>
      </c>
      <c r="W18" s="18" t="s">
        <v>11</v>
      </c>
      <c r="X18" s="18" t="s">
        <v>85</v>
      </c>
      <c r="Y18" s="18" t="s">
        <v>119</v>
      </c>
      <c r="Z18" s="18" t="s">
        <v>299</v>
      </c>
      <c r="AA18" s="18" t="s">
        <v>300</v>
      </c>
      <c r="AC18" s="371" t="s">
        <v>67</v>
      </c>
      <c r="AF18" s="272">
        <f>FDIST(AF16,AF15,AD15)</f>
        <v>0.53615051955111637</v>
      </c>
      <c r="AH18" s="16" t="s">
        <v>772</v>
      </c>
    </row>
    <row r="19" spans="1:38" ht="15.75" customHeight="1" x14ac:dyDescent="0.25">
      <c r="A19" s="58" t="s">
        <v>166</v>
      </c>
      <c r="B19" s="61">
        <v>11.3</v>
      </c>
      <c r="C19" s="62">
        <v>7.1</v>
      </c>
      <c r="D19" s="63">
        <v>88.703716524620162</v>
      </c>
      <c r="E19" s="64">
        <v>452.7</v>
      </c>
      <c r="M19" s="19" t="s">
        <v>296</v>
      </c>
      <c r="N19" s="19">
        <v>0.43712521875191612</v>
      </c>
      <c r="O19" s="19">
        <v>3.9875336904973384</v>
      </c>
      <c r="P19" s="19">
        <v>0.10962295310347495</v>
      </c>
      <c r="Q19" s="19">
        <v>0.91318525331884337</v>
      </c>
      <c r="R19" s="19">
        <v>-7.5893637973931281</v>
      </c>
      <c r="S19" s="19">
        <v>8.4636142348969603</v>
      </c>
      <c r="U19" s="19" t="s">
        <v>296</v>
      </c>
      <c r="V19" s="19">
        <v>4.2690992314261393</v>
      </c>
      <c r="W19" s="19">
        <v>1.8197942130118463</v>
      </c>
      <c r="X19" s="19">
        <v>2.3459241714812227</v>
      </c>
      <c r="Y19" s="19">
        <v>2.3158321935178951E-2</v>
      </c>
      <c r="Z19" s="19">
        <v>0.61015773502108672</v>
      </c>
      <c r="AA19" s="19">
        <v>7.928040727831192</v>
      </c>
      <c r="AC19" s="372" t="s">
        <v>527</v>
      </c>
      <c r="AF19" s="166" t="str">
        <f>IF(AF18&lt;AF17,"yes","no")</f>
        <v>no</v>
      </c>
      <c r="AH19" s="16" t="s">
        <v>773</v>
      </c>
      <c r="AJ19" t="s">
        <v>774</v>
      </c>
      <c r="AK19" s="1226">
        <f>[1]!RegAIC(C4:E53,B4:B53,,TRUE)</f>
        <v>236.15674941718021</v>
      </c>
      <c r="AL19" s="1249">
        <f>[1]!RegAIC(C4:C53,B4:B53,,TRUE)</f>
        <v>233.51183710691032</v>
      </c>
    </row>
    <row r="20" spans="1:38" ht="15.75" customHeight="1" thickBot="1" x14ac:dyDescent="0.3">
      <c r="A20" s="58" t="s">
        <v>167</v>
      </c>
      <c r="B20" s="61">
        <v>17.3</v>
      </c>
      <c r="C20" s="62">
        <v>7.5</v>
      </c>
      <c r="D20" s="63">
        <v>89.904327345935869</v>
      </c>
      <c r="E20" s="64">
        <v>295</v>
      </c>
      <c r="M20" s="19" t="s">
        <v>144</v>
      </c>
      <c r="N20" s="19">
        <v>1.279369653049887</v>
      </c>
      <c r="O20" s="19">
        <v>0.3006729090126502</v>
      </c>
      <c r="P20" s="19">
        <v>4.255021369404651</v>
      </c>
      <c r="Q20" s="19">
        <v>1.0162763056825428E-4</v>
      </c>
      <c r="R20" s="19">
        <v>0.67414647778402126</v>
      </c>
      <c r="S20" s="19">
        <v>1.8845928283157529</v>
      </c>
      <c r="U20" s="20" t="s">
        <v>144</v>
      </c>
      <c r="V20" s="20">
        <v>1.2390777113578131</v>
      </c>
      <c r="W20" s="20">
        <v>0.26156243574638349</v>
      </c>
      <c r="X20" s="20">
        <v>4.7372158307902028</v>
      </c>
      <c r="Y20" s="20">
        <v>1.9607327286956929E-5</v>
      </c>
      <c r="Z20" s="20">
        <v>0.71317118675727975</v>
      </c>
      <c r="AA20" s="20">
        <v>1.7649842359583463</v>
      </c>
      <c r="AJ20" t="s">
        <v>775</v>
      </c>
      <c r="AK20" s="6">
        <f>[1]!RegAICc(C4:E53,B4:B53,,TRUE)</f>
        <v>237.52038578081658</v>
      </c>
      <c r="AL20" s="533">
        <f>[1]!RegAICc(C4:C53,B4:B53,, TRUE)</f>
        <v>234.0335762373451</v>
      </c>
    </row>
    <row r="21" spans="1:38" ht="15.75" customHeight="1" x14ac:dyDescent="0.25">
      <c r="A21" s="58" t="s">
        <v>168</v>
      </c>
      <c r="B21" s="61">
        <v>17.3</v>
      </c>
      <c r="C21" s="62">
        <v>9.9</v>
      </c>
      <c r="D21" s="63">
        <v>64.839543701408999</v>
      </c>
      <c r="E21" s="64">
        <v>729.5</v>
      </c>
      <c r="M21" s="19" t="s">
        <v>145</v>
      </c>
      <c r="N21" s="19">
        <v>3.6326923072065739E-2</v>
      </c>
      <c r="O21" s="19">
        <v>3.3602531929280269E-2</v>
      </c>
      <c r="P21" s="19">
        <v>1.0810769601683352</v>
      </c>
      <c r="Q21" s="19">
        <v>0.28529815262504604</v>
      </c>
      <c r="R21" s="19">
        <v>-3.1311465560932131E-2</v>
      </c>
      <c r="S21" s="19">
        <v>0.10396531170506361</v>
      </c>
      <c r="AC21" t="s">
        <v>1257</v>
      </c>
      <c r="AF21" s="580">
        <f>[1]!RSquareTest(C4:E53,C4:C53,B4:B53)</f>
        <v>0.53615051955111637</v>
      </c>
      <c r="AH21" s="16" t="s">
        <v>1258</v>
      </c>
      <c r="AJ21" t="s">
        <v>2661</v>
      </c>
      <c r="AK21" s="409">
        <f>[1]!RegSBC(C4:E53,B4:B53,,TRUE)</f>
        <v>243.80484143889279</v>
      </c>
      <c r="AL21" s="417">
        <f>[1]!RegSBC(C4:C53,B4:B53,,TRUE)</f>
        <v>237.33588311776663</v>
      </c>
    </row>
    <row r="22" spans="1:38" ht="15.75" customHeight="1" thickBot="1" x14ac:dyDescent="0.3">
      <c r="A22" s="58" t="s">
        <v>169</v>
      </c>
      <c r="B22" s="61">
        <v>12.3</v>
      </c>
      <c r="C22" s="62">
        <v>6.3</v>
      </c>
      <c r="D22" s="63">
        <v>96.389852756187835</v>
      </c>
      <c r="E22" s="64">
        <v>118</v>
      </c>
      <c r="M22" s="20" t="s">
        <v>146</v>
      </c>
      <c r="N22" s="20">
        <v>1.4214989878583481E-3</v>
      </c>
      <c r="O22" s="20">
        <v>2.2421016620427178E-3</v>
      </c>
      <c r="P22" s="20">
        <v>0.63400291428501021</v>
      </c>
      <c r="Q22" s="20">
        <v>0.52921921764794777</v>
      </c>
      <c r="R22" s="20">
        <v>-3.091617579997377E-3</v>
      </c>
      <c r="S22" s="20">
        <v>5.9346155557140736E-3</v>
      </c>
    </row>
    <row r="23" spans="1:38" ht="15.75" customHeight="1" x14ac:dyDescent="0.25">
      <c r="A23" s="58" t="s">
        <v>170</v>
      </c>
      <c r="B23" s="61">
        <v>8.1</v>
      </c>
      <c r="C23" s="62">
        <v>8</v>
      </c>
      <c r="D23" s="63">
        <v>63.398020838196281</v>
      </c>
      <c r="E23" s="64">
        <v>641.9</v>
      </c>
      <c r="AC23" t="s">
        <v>1256</v>
      </c>
    </row>
    <row r="24" spans="1:38" ht="15.75" customHeight="1" x14ac:dyDescent="0.25">
      <c r="A24" s="58" t="s">
        <v>171</v>
      </c>
      <c r="B24" s="70">
        <v>10</v>
      </c>
      <c r="C24" s="62">
        <v>4.8</v>
      </c>
      <c r="D24" s="63">
        <v>86.203669547721617</v>
      </c>
      <c r="E24" s="64">
        <v>431.5</v>
      </c>
    </row>
    <row r="25" spans="1:38" ht="15.75" customHeight="1" x14ac:dyDescent="0.25">
      <c r="A25" s="58" t="s">
        <v>172</v>
      </c>
      <c r="B25" s="61">
        <v>14.4</v>
      </c>
      <c r="C25" s="62">
        <v>7.4</v>
      </c>
      <c r="D25" s="63">
        <v>81.183409037427396</v>
      </c>
      <c r="E25" s="64">
        <v>536</v>
      </c>
      <c r="AD25" s="352" t="s">
        <v>756</v>
      </c>
      <c r="AE25" s="352" t="s">
        <v>757</v>
      </c>
      <c r="AF25" s="352" t="s">
        <v>758</v>
      </c>
    </row>
    <row r="26" spans="1:38" ht="15.75" customHeight="1" x14ac:dyDescent="0.25">
      <c r="A26" s="58" t="s">
        <v>173</v>
      </c>
      <c r="B26" s="61">
        <v>9.6</v>
      </c>
      <c r="C26" s="62">
        <v>5.2</v>
      </c>
      <c r="D26" s="63">
        <v>89.045556531854984</v>
      </c>
      <c r="E26" s="64">
        <v>288.7</v>
      </c>
      <c r="AC26" s="371" t="s">
        <v>710</v>
      </c>
      <c r="AD26" s="354">
        <f>O14</f>
        <v>142.5503595663921</v>
      </c>
      <c r="AE26" s="357">
        <f>W14</f>
        <v>134.83891470537998</v>
      </c>
      <c r="AF26" s="358">
        <f>AD26-AE26</f>
        <v>7.7114448610121258</v>
      </c>
    </row>
    <row r="27" spans="1:38" ht="15.75" customHeight="1" x14ac:dyDescent="0.25">
      <c r="A27" s="58" t="s">
        <v>174</v>
      </c>
      <c r="B27" s="61">
        <v>21.2</v>
      </c>
      <c r="C27" s="62">
        <v>10.6</v>
      </c>
      <c r="D27" s="63">
        <v>60.598179144073846</v>
      </c>
      <c r="E27" s="64">
        <v>291.3</v>
      </c>
      <c r="AC27" t="s">
        <v>711</v>
      </c>
      <c r="AD27" s="6">
        <f>N14</f>
        <v>3</v>
      </c>
      <c r="AE27" s="7">
        <f>V14</f>
        <v>1</v>
      </c>
      <c r="AF27" s="272">
        <f>AD27-AE27</f>
        <v>2</v>
      </c>
    </row>
    <row r="28" spans="1:38" ht="15.75" customHeight="1" x14ac:dyDescent="0.25">
      <c r="A28" s="58" t="s">
        <v>175</v>
      </c>
      <c r="B28" s="61">
        <v>13.4</v>
      </c>
      <c r="C28" s="62">
        <v>7.4</v>
      </c>
      <c r="D28" s="63">
        <v>85.028888093842554</v>
      </c>
      <c r="E28" s="64">
        <v>504.9</v>
      </c>
      <c r="AC28" t="s">
        <v>755</v>
      </c>
      <c r="AD28" s="6">
        <f>P15</f>
        <v>6.1021400094262574</v>
      </c>
      <c r="AE28" s="7"/>
      <c r="AF28" s="272"/>
    </row>
    <row r="29" spans="1:38" ht="15.75" customHeight="1" x14ac:dyDescent="0.25">
      <c r="A29" s="58" t="s">
        <v>176</v>
      </c>
      <c r="B29" s="61">
        <v>14.8</v>
      </c>
      <c r="C29" s="62">
        <v>5.8</v>
      </c>
      <c r="D29" s="63">
        <v>90.467729264863962</v>
      </c>
      <c r="E29" s="64">
        <v>287.5</v>
      </c>
      <c r="AC29" t="s">
        <v>753</v>
      </c>
      <c r="AD29" s="9">
        <f>N15</f>
        <v>46</v>
      </c>
      <c r="AE29" s="10"/>
      <c r="AF29" s="168"/>
    </row>
    <row r="30" spans="1:38" ht="15.75" customHeight="1" x14ac:dyDescent="0.25">
      <c r="A30" s="58" t="s">
        <v>177</v>
      </c>
      <c r="B30" s="61">
        <v>10.8</v>
      </c>
      <c r="C30" s="62">
        <v>5.6</v>
      </c>
      <c r="D30" s="63">
        <v>91.372477335833381</v>
      </c>
      <c r="E30" s="64">
        <v>302.39999999999998</v>
      </c>
      <c r="AC30" t="s">
        <v>135</v>
      </c>
      <c r="AF30" s="272">
        <f>AF26/(AF27*AD28)</f>
        <v>0.63186397305698494</v>
      </c>
    </row>
    <row r="31" spans="1:38" ht="15.75" customHeight="1" x14ac:dyDescent="0.25">
      <c r="A31" s="58" t="s">
        <v>178</v>
      </c>
      <c r="B31" s="61">
        <v>11.3</v>
      </c>
      <c r="C31" s="62">
        <v>6.4</v>
      </c>
      <c r="D31" s="63">
        <v>80.891227371165002</v>
      </c>
      <c r="E31" s="64">
        <v>750.6</v>
      </c>
      <c r="AC31" s="30" t="s">
        <v>48</v>
      </c>
      <c r="AF31" s="272">
        <v>0.05</v>
      </c>
    </row>
    <row r="32" spans="1:38" ht="15.75" customHeight="1" x14ac:dyDescent="0.25">
      <c r="A32" s="58" t="s">
        <v>179</v>
      </c>
      <c r="B32" s="61">
        <v>7.6</v>
      </c>
      <c r="C32" s="62">
        <v>6.1</v>
      </c>
      <c r="D32" s="63">
        <v>95.487186970145373</v>
      </c>
      <c r="E32" s="64">
        <v>137.30000000000001</v>
      </c>
      <c r="AC32" s="371" t="s">
        <v>67</v>
      </c>
      <c r="AF32" s="272">
        <f>FDIST(AF30,AF27,AD29)</f>
        <v>0.53615051955111592</v>
      </c>
    </row>
    <row r="33" spans="1:32" ht="15.75" customHeight="1" x14ac:dyDescent="0.25">
      <c r="A33" s="58" t="s">
        <v>180</v>
      </c>
      <c r="B33" s="61">
        <v>8.6999999999999993</v>
      </c>
      <c r="C33" s="62">
        <v>5.5</v>
      </c>
      <c r="D33" s="63">
        <v>76.032117342828414</v>
      </c>
      <c r="E33" s="64">
        <v>329.3</v>
      </c>
      <c r="AC33" s="372" t="s">
        <v>527</v>
      </c>
      <c r="AF33" s="166" t="str">
        <f>IF(AF32&lt;AF31,"yes","no")</f>
        <v>no</v>
      </c>
    </row>
    <row r="34" spans="1:32" ht="15.75" customHeight="1" x14ac:dyDescent="0.25">
      <c r="A34" s="58" t="s">
        <v>181</v>
      </c>
      <c r="B34" s="61">
        <v>17.100000000000001</v>
      </c>
      <c r="C34" s="62">
        <v>5.8</v>
      </c>
      <c r="D34" s="63">
        <v>83.996520785584835</v>
      </c>
      <c r="E34" s="64">
        <v>664.2</v>
      </c>
    </row>
    <row r="35" spans="1:32" ht="15.75" customHeight="1" x14ac:dyDescent="0.25">
      <c r="A35" s="58" t="s">
        <v>182</v>
      </c>
      <c r="B35" s="61">
        <v>13.6</v>
      </c>
      <c r="C35" s="62">
        <v>5.6</v>
      </c>
      <c r="D35" s="63">
        <v>73.422529169257928</v>
      </c>
      <c r="E35" s="64">
        <v>414.1</v>
      </c>
    </row>
    <row r="36" spans="1:32" ht="15.75" customHeight="1" x14ac:dyDescent="0.25">
      <c r="A36" s="58" t="s">
        <v>183</v>
      </c>
      <c r="B36" s="61">
        <v>14.6</v>
      </c>
      <c r="C36" s="62">
        <v>8.1</v>
      </c>
      <c r="D36" s="63">
        <v>73.937344387272134</v>
      </c>
      <c r="E36" s="64">
        <v>466.4</v>
      </c>
    </row>
    <row r="37" spans="1:32" ht="15.75" customHeight="1" x14ac:dyDescent="0.25">
      <c r="A37" s="58" t="s">
        <v>184</v>
      </c>
      <c r="B37" s="71">
        <v>12</v>
      </c>
      <c r="C37" s="62">
        <v>5.8</v>
      </c>
      <c r="D37" s="63">
        <v>91.393509706444945</v>
      </c>
      <c r="E37" s="64">
        <v>142.4</v>
      </c>
    </row>
    <row r="38" spans="1:32" ht="15.75" customHeight="1" x14ac:dyDescent="0.25">
      <c r="A38" s="58" t="s">
        <v>185</v>
      </c>
      <c r="B38" s="61">
        <v>13.4</v>
      </c>
      <c r="C38" s="62">
        <v>7.8</v>
      </c>
      <c r="D38" s="63">
        <v>84.764237226305966</v>
      </c>
      <c r="E38" s="64">
        <v>343.2</v>
      </c>
    </row>
    <row r="39" spans="1:32" ht="15.75" customHeight="1" x14ac:dyDescent="0.25">
      <c r="A39" s="58" t="s">
        <v>186</v>
      </c>
      <c r="B39" s="61">
        <v>15.9</v>
      </c>
      <c r="C39" s="62">
        <v>8</v>
      </c>
      <c r="D39" s="63">
        <v>78.141238608693655</v>
      </c>
      <c r="E39" s="64">
        <v>499.6</v>
      </c>
    </row>
    <row r="40" spans="1:32" ht="15.75" customHeight="1" x14ac:dyDescent="0.25">
      <c r="A40" s="58" t="s">
        <v>187</v>
      </c>
      <c r="B40" s="61">
        <v>13.6</v>
      </c>
      <c r="C40" s="62">
        <v>5.5</v>
      </c>
      <c r="D40" s="63">
        <v>90.140446325387984</v>
      </c>
      <c r="E40" s="64">
        <v>287.60000000000002</v>
      </c>
    </row>
    <row r="41" spans="1:32" ht="15.75" customHeight="1" x14ac:dyDescent="0.25">
      <c r="A41" s="58" t="s">
        <v>188</v>
      </c>
      <c r="B41" s="61">
        <v>12.1</v>
      </c>
      <c r="C41" s="62">
        <v>7.6</v>
      </c>
      <c r="D41" s="63">
        <v>85.424563507935517</v>
      </c>
      <c r="E41" s="64">
        <v>416.5</v>
      </c>
    </row>
    <row r="42" spans="1:32" ht="15.75" customHeight="1" x14ac:dyDescent="0.25">
      <c r="A42" s="58" t="s">
        <v>189</v>
      </c>
      <c r="B42" s="61">
        <v>11.7</v>
      </c>
      <c r="C42" s="62">
        <v>6.1</v>
      </c>
      <c r="D42" s="63">
        <v>88.483880668602993</v>
      </c>
      <c r="E42" s="64">
        <v>227.3</v>
      </c>
    </row>
    <row r="43" spans="1:32" ht="15.75" customHeight="1" x14ac:dyDescent="0.25">
      <c r="A43" s="58" t="s">
        <v>190</v>
      </c>
      <c r="B43" s="61">
        <v>15.7</v>
      </c>
      <c r="C43" s="62">
        <v>8.4</v>
      </c>
      <c r="D43" s="63">
        <v>68.748136077503446</v>
      </c>
      <c r="E43" s="64">
        <v>788.3</v>
      </c>
    </row>
    <row r="44" spans="1:32" ht="15.75" customHeight="1" x14ac:dyDescent="0.25">
      <c r="A44" s="58" t="s">
        <v>191</v>
      </c>
      <c r="B44" s="61">
        <v>12.5</v>
      </c>
      <c r="C44" s="62">
        <v>6.9</v>
      </c>
      <c r="D44" s="63">
        <v>88.189790025789804</v>
      </c>
      <c r="E44" s="64">
        <v>169.2</v>
      </c>
    </row>
    <row r="45" spans="1:32" ht="15.75" customHeight="1" x14ac:dyDescent="0.25">
      <c r="A45" s="58" t="s">
        <v>192</v>
      </c>
      <c r="B45" s="61">
        <v>15.5</v>
      </c>
      <c r="C45" s="62">
        <v>8.6999999999999993</v>
      </c>
      <c r="D45" s="63">
        <v>80.371971305033981</v>
      </c>
      <c r="E45" s="64">
        <v>753.3</v>
      </c>
    </row>
    <row r="46" spans="1:32" ht="15.75" customHeight="1" x14ac:dyDescent="0.25">
      <c r="A46" s="58" t="s">
        <v>193</v>
      </c>
      <c r="B46" s="61">
        <v>15.8</v>
      </c>
      <c r="C46" s="62">
        <v>6.2</v>
      </c>
      <c r="D46" s="63">
        <v>82.402677784750395</v>
      </c>
      <c r="E46" s="64">
        <v>510.6</v>
      </c>
    </row>
    <row r="47" spans="1:32" ht="15.75" customHeight="1" x14ac:dyDescent="0.25">
      <c r="A47" s="58" t="s">
        <v>194</v>
      </c>
      <c r="B47" s="61">
        <v>9.6</v>
      </c>
      <c r="C47" s="62">
        <v>5.0999999999999996</v>
      </c>
      <c r="D47" s="63">
        <v>92.915461931338129</v>
      </c>
      <c r="E47" s="64">
        <v>234.8</v>
      </c>
    </row>
    <row r="48" spans="1:32" ht="15.75" customHeight="1" x14ac:dyDescent="0.25">
      <c r="A48" s="58" t="s">
        <v>195</v>
      </c>
      <c r="B48" s="61">
        <v>10.6</v>
      </c>
      <c r="C48" s="62">
        <v>5.5</v>
      </c>
      <c r="D48" s="63">
        <v>96.408807764739961</v>
      </c>
      <c r="E48" s="64">
        <v>124.3</v>
      </c>
    </row>
    <row r="49" spans="1:5" ht="15.75" customHeight="1" x14ac:dyDescent="0.25">
      <c r="A49" s="58" t="s">
        <v>196</v>
      </c>
      <c r="B49" s="61">
        <v>10.199999999999999</v>
      </c>
      <c r="C49" s="62">
        <v>7.1</v>
      </c>
      <c r="D49" s="63">
        <v>73.031896017666924</v>
      </c>
      <c r="E49" s="64">
        <v>269.7</v>
      </c>
    </row>
    <row r="50" spans="1:5" ht="15.75" customHeight="1" x14ac:dyDescent="0.25">
      <c r="A50" s="58" t="s">
        <v>197</v>
      </c>
      <c r="B50" s="61">
        <v>11.3</v>
      </c>
      <c r="C50" s="62">
        <v>4.7</v>
      </c>
      <c r="D50" s="63">
        <v>84.290902250404002</v>
      </c>
      <c r="E50" s="64">
        <v>333.1</v>
      </c>
    </row>
    <row r="51" spans="1:5" ht="15.75" customHeight="1" x14ac:dyDescent="0.25">
      <c r="A51" s="58" t="s">
        <v>198</v>
      </c>
      <c r="B51" s="71">
        <v>17</v>
      </c>
      <c r="C51" s="62">
        <v>7.4</v>
      </c>
      <c r="D51" s="63">
        <v>94.524786328554711</v>
      </c>
      <c r="E51" s="64">
        <v>275.2</v>
      </c>
    </row>
    <row r="52" spans="1:5" ht="15.75" customHeight="1" x14ac:dyDescent="0.25">
      <c r="A52" s="58" t="s">
        <v>199</v>
      </c>
      <c r="B52" s="61">
        <v>10.4</v>
      </c>
      <c r="C52" s="62">
        <v>6.4</v>
      </c>
      <c r="D52" s="63">
        <v>89.673695670212709</v>
      </c>
      <c r="E52" s="64">
        <v>290.89999999999998</v>
      </c>
    </row>
    <row r="53" spans="1:5" ht="15.75" customHeight="1" x14ac:dyDescent="0.25">
      <c r="A53" s="72" t="s">
        <v>200</v>
      </c>
      <c r="B53" s="73">
        <v>9.4</v>
      </c>
      <c r="C53" s="74">
        <v>7</v>
      </c>
      <c r="D53" s="75">
        <v>93.867286940458214</v>
      </c>
      <c r="E53" s="76">
        <v>239.3</v>
      </c>
    </row>
    <row r="54" spans="1:5" x14ac:dyDescent="0.25">
      <c r="A54" s="58"/>
      <c r="B54" s="58"/>
      <c r="C54" s="58"/>
      <c r="D54" s="58"/>
      <c r="E54" s="58"/>
    </row>
    <row r="55" spans="1:5" x14ac:dyDescent="0.25">
      <c r="A55" s="58" t="s">
        <v>201</v>
      </c>
      <c r="B55" s="58"/>
      <c r="C55" s="58"/>
      <c r="D55" s="58"/>
      <c r="E55" s="58"/>
    </row>
    <row r="56" spans="1:5" x14ac:dyDescent="0.25">
      <c r="A56" s="58" t="s">
        <v>202</v>
      </c>
      <c r="B56" s="58"/>
      <c r="C56" s="58"/>
      <c r="D56" s="58"/>
      <c r="E56" s="58"/>
    </row>
    <row r="57" spans="1:5" x14ac:dyDescent="0.25">
      <c r="A57" s="58" t="s">
        <v>203</v>
      </c>
      <c r="B57" s="58"/>
      <c r="C57" s="58"/>
      <c r="D57" s="58"/>
      <c r="E57" s="58"/>
    </row>
    <row r="58" spans="1:5" x14ac:dyDescent="0.25">
      <c r="A58" s="58" t="s">
        <v>204</v>
      </c>
      <c r="B58" s="58"/>
      <c r="C58" s="58"/>
      <c r="D58" s="58"/>
      <c r="E58" s="58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Q63"/>
  <sheetViews>
    <sheetView workbookViewId="0"/>
  </sheetViews>
  <sheetFormatPr defaultRowHeight="15" x14ac:dyDescent="0.25"/>
  <cols>
    <col min="1" max="1" width="13.140625" customWidth="1"/>
    <col min="2" max="10" width="11.140625" customWidth="1"/>
  </cols>
  <sheetData>
    <row r="1" spans="1:17" x14ac:dyDescent="0.25">
      <c r="A1" s="1" t="s">
        <v>398</v>
      </c>
    </row>
    <row r="3" spans="1:17" x14ac:dyDescent="0.25">
      <c r="A3" s="59"/>
      <c r="B3" s="60" t="s">
        <v>143</v>
      </c>
      <c r="C3" s="60" t="s">
        <v>144</v>
      </c>
      <c r="D3" s="60" t="s">
        <v>145</v>
      </c>
      <c r="E3" s="60" t="s">
        <v>146</v>
      </c>
      <c r="F3" s="60" t="s">
        <v>147</v>
      </c>
      <c r="G3" s="60" t="s">
        <v>148</v>
      </c>
      <c r="H3" s="60" t="s">
        <v>149</v>
      </c>
      <c r="I3" s="60" t="s">
        <v>150</v>
      </c>
      <c r="J3" s="60" t="s">
        <v>3</v>
      </c>
      <c r="N3" t="s">
        <v>70</v>
      </c>
    </row>
    <row r="4" spans="1:17" x14ac:dyDescent="0.25">
      <c r="A4" s="58" t="s">
        <v>151</v>
      </c>
      <c r="B4" s="61">
        <v>15.7</v>
      </c>
      <c r="C4" s="62">
        <v>9</v>
      </c>
      <c r="D4" s="63">
        <v>71.027177760140717</v>
      </c>
      <c r="E4" s="64">
        <v>448</v>
      </c>
      <c r="F4" s="65">
        <v>218.17340830567619</v>
      </c>
      <c r="G4" s="66">
        <v>1.81</v>
      </c>
      <c r="H4" s="67">
        <v>22</v>
      </c>
      <c r="I4" s="68">
        <v>5</v>
      </c>
      <c r="J4" s="69">
        <v>42666</v>
      </c>
    </row>
    <row r="5" spans="1:17" x14ac:dyDescent="0.25">
      <c r="A5" s="58" t="s">
        <v>152</v>
      </c>
      <c r="B5" s="61">
        <v>8.4</v>
      </c>
      <c r="C5" s="62">
        <v>6.9</v>
      </c>
      <c r="D5" s="63">
        <v>70.62318863808899</v>
      </c>
      <c r="E5" s="64">
        <v>661.2</v>
      </c>
      <c r="F5" s="65">
        <v>228.45028196578826</v>
      </c>
      <c r="G5" s="66">
        <v>1.63</v>
      </c>
      <c r="H5" s="67">
        <v>27.3</v>
      </c>
      <c r="I5" s="68">
        <v>6.7</v>
      </c>
      <c r="J5" s="69">
        <v>68460</v>
      </c>
      <c r="N5" t="s">
        <v>22</v>
      </c>
      <c r="O5">
        <f>COUNT(B4:B53)</f>
        <v>50</v>
      </c>
      <c r="P5">
        <f>2*O5</f>
        <v>100</v>
      </c>
    </row>
    <row r="6" spans="1:17" x14ac:dyDescent="0.25">
      <c r="A6" s="58" t="s">
        <v>153</v>
      </c>
      <c r="B6" s="61">
        <v>14.7</v>
      </c>
      <c r="C6" s="62">
        <v>6.4</v>
      </c>
      <c r="D6" s="63">
        <v>86.505696765320337</v>
      </c>
      <c r="E6" s="64">
        <v>482.7</v>
      </c>
      <c r="F6" s="65">
        <v>209.66657175716827</v>
      </c>
      <c r="G6" s="66">
        <v>1.69</v>
      </c>
      <c r="H6" s="67">
        <v>25.1</v>
      </c>
      <c r="I6" s="68">
        <v>5.5</v>
      </c>
      <c r="J6" s="69">
        <v>50958</v>
      </c>
      <c r="N6" t="s">
        <v>10</v>
      </c>
      <c r="O6">
        <f>AVERAGE(B4:B53)</f>
        <v>12.732000000000001</v>
      </c>
    </row>
    <row r="7" spans="1:17" x14ac:dyDescent="0.25">
      <c r="A7" s="58" t="s">
        <v>154</v>
      </c>
      <c r="B7" s="61">
        <v>17.3</v>
      </c>
      <c r="C7" s="62">
        <v>8.5</v>
      </c>
      <c r="D7" s="63">
        <v>80.783955956979611</v>
      </c>
      <c r="E7" s="64">
        <v>529.4</v>
      </c>
      <c r="F7" s="65">
        <v>203.42285988234826</v>
      </c>
      <c r="G7" s="66">
        <v>1.96</v>
      </c>
      <c r="H7" s="67">
        <v>18.8</v>
      </c>
      <c r="I7" s="68">
        <v>5.0999999999999996</v>
      </c>
      <c r="J7" s="69">
        <v>38815</v>
      </c>
      <c r="N7" t="s">
        <v>58</v>
      </c>
      <c r="O7">
        <f>STDEV(B4:B53)</f>
        <v>2.9390016352912913</v>
      </c>
    </row>
    <row r="8" spans="1:17" x14ac:dyDescent="0.25">
      <c r="A8" s="58" t="s">
        <v>155</v>
      </c>
      <c r="B8" s="61">
        <v>13.3</v>
      </c>
      <c r="C8" s="62">
        <v>5</v>
      </c>
      <c r="D8" s="63">
        <v>76.640052174481781</v>
      </c>
      <c r="E8" s="64">
        <v>522.6</v>
      </c>
      <c r="F8" s="65">
        <v>268.69056049813605</v>
      </c>
      <c r="G8" s="66">
        <v>1.21</v>
      </c>
      <c r="H8" s="67">
        <v>29.6</v>
      </c>
      <c r="I8" s="68">
        <v>7.2</v>
      </c>
      <c r="J8" s="69">
        <v>61021</v>
      </c>
    </row>
    <row r="9" spans="1:17" x14ac:dyDescent="0.25">
      <c r="A9" s="58" t="s">
        <v>156</v>
      </c>
      <c r="B9" s="61">
        <v>11.4</v>
      </c>
      <c r="C9" s="62">
        <v>5.7</v>
      </c>
      <c r="D9" s="63">
        <v>89.734092175332663</v>
      </c>
      <c r="E9" s="64">
        <v>347.8</v>
      </c>
      <c r="F9" s="65">
        <v>259.68608874672964</v>
      </c>
      <c r="G9" s="66">
        <v>1.1399999999999999</v>
      </c>
      <c r="H9" s="67">
        <v>35.6</v>
      </c>
      <c r="I9" s="68">
        <v>4.9000000000000004</v>
      </c>
      <c r="J9" s="69">
        <v>56993</v>
      </c>
      <c r="N9" t="s">
        <v>71</v>
      </c>
      <c r="O9" t="s">
        <v>72</v>
      </c>
      <c r="P9" t="s">
        <v>217</v>
      </c>
      <c r="Q9" t="s">
        <v>73</v>
      </c>
    </row>
    <row r="10" spans="1:17" x14ac:dyDescent="0.25">
      <c r="A10" s="58" t="s">
        <v>157</v>
      </c>
      <c r="B10" s="61">
        <v>9.3000000000000007</v>
      </c>
      <c r="C10" s="62">
        <v>6.2</v>
      </c>
      <c r="D10" s="63">
        <v>84.278652322083644</v>
      </c>
      <c r="E10" s="64">
        <v>256</v>
      </c>
      <c r="F10" s="65">
        <v>376.3752669155395</v>
      </c>
      <c r="G10" s="66">
        <v>0.86</v>
      </c>
      <c r="H10" s="67">
        <v>35.6</v>
      </c>
      <c r="I10" s="68">
        <v>5.7</v>
      </c>
      <c r="J10" s="69">
        <v>68595</v>
      </c>
      <c r="N10">
        <v>1</v>
      </c>
      <c r="O10">
        <v>7.6</v>
      </c>
      <c r="P10">
        <f>NORMSINV(N10/P$5)</f>
        <v>-2.3263478740408408</v>
      </c>
      <c r="Q10">
        <f>STANDARDIZE(O10,O$6,O$7)</f>
        <v>-1.7461711958153969</v>
      </c>
    </row>
    <row r="11" spans="1:17" x14ac:dyDescent="0.25">
      <c r="A11" s="58" t="s">
        <v>158</v>
      </c>
      <c r="B11" s="70">
        <v>10</v>
      </c>
      <c r="C11" s="62">
        <v>8.3000000000000007</v>
      </c>
      <c r="D11" s="63">
        <v>74.266056727126113</v>
      </c>
      <c r="E11" s="64">
        <v>689.2</v>
      </c>
      <c r="F11" s="65">
        <v>250.94175668510928</v>
      </c>
      <c r="G11" s="66">
        <v>1.23</v>
      </c>
      <c r="H11" s="67">
        <v>27.5</v>
      </c>
      <c r="I11" s="68">
        <v>4.8</v>
      </c>
      <c r="J11" s="69">
        <v>57989</v>
      </c>
      <c r="N11">
        <f>N10+2</f>
        <v>3</v>
      </c>
      <c r="O11">
        <v>8.1</v>
      </c>
      <c r="P11">
        <f t="shared" ref="P11:P59" si="0">NORMSINV(N11/P$5)</f>
        <v>-1.8807936081512509</v>
      </c>
      <c r="Q11">
        <f t="shared" ref="Q11:Q59" si="1">STANDARDIZE(O11,O$6,O$7)</f>
        <v>-1.5760453973142867</v>
      </c>
    </row>
    <row r="12" spans="1:17" x14ac:dyDescent="0.25">
      <c r="A12" s="58" t="s">
        <v>159</v>
      </c>
      <c r="B12" s="61">
        <v>13.2</v>
      </c>
      <c r="C12" s="62">
        <v>7.3</v>
      </c>
      <c r="D12" s="63">
        <v>79.811068541941054</v>
      </c>
      <c r="E12" s="64">
        <v>722.6</v>
      </c>
      <c r="F12" s="65">
        <v>247.86359820579941</v>
      </c>
      <c r="G12" s="66">
        <v>1.56</v>
      </c>
      <c r="H12" s="67">
        <v>25.8</v>
      </c>
      <c r="I12" s="68">
        <v>6.2</v>
      </c>
      <c r="J12" s="69">
        <v>47778</v>
      </c>
      <c r="N12">
        <f t="shared" ref="N12:N59" si="2">N11+2</f>
        <v>5</v>
      </c>
      <c r="O12">
        <v>8.4</v>
      </c>
      <c r="P12">
        <f t="shared" si="0"/>
        <v>-1.6448536269514726</v>
      </c>
      <c r="Q12">
        <f t="shared" si="1"/>
        <v>-1.4739699182136201</v>
      </c>
    </row>
    <row r="13" spans="1:17" x14ac:dyDescent="0.25">
      <c r="A13" s="58" t="s">
        <v>160</v>
      </c>
      <c r="B13" s="61">
        <v>14.7</v>
      </c>
      <c r="C13" s="62">
        <v>8.1</v>
      </c>
      <c r="D13" s="63">
        <v>65.387718279566343</v>
      </c>
      <c r="E13" s="64">
        <v>493.2</v>
      </c>
      <c r="F13" s="65">
        <v>217.44570184044454</v>
      </c>
      <c r="G13" s="66">
        <v>1.46</v>
      </c>
      <c r="H13" s="67">
        <v>27.5</v>
      </c>
      <c r="I13" s="68">
        <v>6.2</v>
      </c>
      <c r="J13" s="69">
        <v>50861</v>
      </c>
      <c r="N13">
        <f t="shared" si="2"/>
        <v>7</v>
      </c>
      <c r="O13">
        <v>8.6999999999999993</v>
      </c>
      <c r="P13">
        <f t="shared" si="0"/>
        <v>-1.4757910281791702</v>
      </c>
      <c r="Q13">
        <f t="shared" si="1"/>
        <v>-1.3718944391129544</v>
      </c>
    </row>
    <row r="14" spans="1:17" x14ac:dyDescent="0.25">
      <c r="A14" s="58" t="s">
        <v>161</v>
      </c>
      <c r="B14" s="61">
        <v>9.1</v>
      </c>
      <c r="C14" s="62">
        <v>5.6</v>
      </c>
      <c r="D14" s="63">
        <v>29.667333748383395</v>
      </c>
      <c r="E14" s="64">
        <v>272.8</v>
      </c>
      <c r="F14" s="65">
        <v>316.98289278791503</v>
      </c>
      <c r="G14" s="66">
        <v>1.33</v>
      </c>
      <c r="H14" s="67">
        <v>29.1</v>
      </c>
      <c r="I14" s="68">
        <v>3.9</v>
      </c>
      <c r="J14" s="69">
        <v>67214</v>
      </c>
      <c r="N14">
        <f t="shared" si="2"/>
        <v>9</v>
      </c>
      <c r="O14">
        <v>9.1</v>
      </c>
      <c r="P14">
        <f t="shared" si="0"/>
        <v>-1.3407550336902161</v>
      </c>
      <c r="Q14">
        <f t="shared" si="1"/>
        <v>-1.2357938003120661</v>
      </c>
    </row>
    <row r="15" spans="1:17" x14ac:dyDescent="0.25">
      <c r="A15" s="58" t="s">
        <v>162</v>
      </c>
      <c r="B15" s="61">
        <v>12.6</v>
      </c>
      <c r="C15" s="62">
        <v>6.8</v>
      </c>
      <c r="D15" s="63">
        <v>94.600660447193093</v>
      </c>
      <c r="E15" s="64">
        <v>239.4</v>
      </c>
      <c r="F15" s="65">
        <v>168.83390313104681</v>
      </c>
      <c r="G15" s="66">
        <v>1.6</v>
      </c>
      <c r="H15" s="67">
        <v>24</v>
      </c>
      <c r="I15" s="68">
        <v>4.9000000000000004</v>
      </c>
      <c r="J15" s="69">
        <v>47576</v>
      </c>
      <c r="N15">
        <f t="shared" si="2"/>
        <v>11</v>
      </c>
      <c r="O15">
        <v>9.3000000000000007</v>
      </c>
      <c r="P15">
        <f t="shared" si="0"/>
        <v>-1.2265281200366105</v>
      </c>
      <c r="Q15">
        <f t="shared" si="1"/>
        <v>-1.1677434809116214</v>
      </c>
    </row>
    <row r="16" spans="1:17" x14ac:dyDescent="0.25">
      <c r="A16" s="58" t="s">
        <v>163</v>
      </c>
      <c r="B16" s="61">
        <v>12.2</v>
      </c>
      <c r="C16" s="62">
        <v>7.3</v>
      </c>
      <c r="D16" s="63">
        <v>79.13310968601246</v>
      </c>
      <c r="E16" s="64">
        <v>533.20000000000005</v>
      </c>
      <c r="F16" s="65">
        <v>280.15386787687231</v>
      </c>
      <c r="G16" s="66">
        <v>1.1599999999999999</v>
      </c>
      <c r="H16" s="67">
        <v>29.9</v>
      </c>
      <c r="I16" s="68">
        <v>6.5</v>
      </c>
      <c r="J16" s="69">
        <v>56235</v>
      </c>
      <c r="N16">
        <f t="shared" si="2"/>
        <v>13</v>
      </c>
      <c r="O16">
        <v>9.4</v>
      </c>
      <c r="P16">
        <f t="shared" si="0"/>
        <v>-1.1263911290388013</v>
      </c>
      <c r="Q16">
        <f t="shared" si="1"/>
        <v>-1.1337183212113995</v>
      </c>
    </row>
    <row r="17" spans="1:17" x14ac:dyDescent="0.25">
      <c r="A17" s="58" t="s">
        <v>164</v>
      </c>
      <c r="B17" s="61">
        <v>13.1</v>
      </c>
      <c r="C17" s="62">
        <v>8</v>
      </c>
      <c r="D17" s="63">
        <v>88.000000627274659</v>
      </c>
      <c r="E17" s="64">
        <v>333.6</v>
      </c>
      <c r="F17" s="65">
        <v>216.93969975987483</v>
      </c>
      <c r="G17" s="66">
        <v>1.26</v>
      </c>
      <c r="H17" s="67">
        <v>22.9</v>
      </c>
      <c r="I17" s="68">
        <v>5.9</v>
      </c>
      <c r="J17" s="69">
        <v>47966</v>
      </c>
      <c r="N17">
        <f t="shared" si="2"/>
        <v>15</v>
      </c>
      <c r="O17">
        <v>9.6</v>
      </c>
      <c r="P17">
        <f t="shared" si="0"/>
        <v>-1.0364333894937898</v>
      </c>
      <c r="Q17">
        <f t="shared" si="1"/>
        <v>-1.0656680018109557</v>
      </c>
    </row>
    <row r="18" spans="1:17" x14ac:dyDescent="0.25">
      <c r="A18" s="58" t="s">
        <v>165</v>
      </c>
      <c r="B18" s="61">
        <v>11.5</v>
      </c>
      <c r="C18" s="62">
        <v>5.0999999999999996</v>
      </c>
      <c r="D18" s="63">
        <v>94.170464820794294</v>
      </c>
      <c r="E18" s="64">
        <v>294.7</v>
      </c>
      <c r="F18" s="65">
        <v>189.28322428402873</v>
      </c>
      <c r="G18" s="66">
        <v>1.42</v>
      </c>
      <c r="H18" s="67">
        <v>24.3</v>
      </c>
      <c r="I18" s="68">
        <v>4.0999999999999996</v>
      </c>
      <c r="J18" s="69">
        <v>48980</v>
      </c>
      <c r="N18">
        <f t="shared" si="2"/>
        <v>17</v>
      </c>
      <c r="O18">
        <v>9.6</v>
      </c>
      <c r="P18">
        <f t="shared" si="0"/>
        <v>-0.95416525314619549</v>
      </c>
      <c r="Q18">
        <f t="shared" si="1"/>
        <v>-1.0656680018109557</v>
      </c>
    </row>
    <row r="19" spans="1:17" x14ac:dyDescent="0.25">
      <c r="A19" s="58" t="s">
        <v>166</v>
      </c>
      <c r="B19" s="61">
        <v>11.3</v>
      </c>
      <c r="C19" s="62">
        <v>7.1</v>
      </c>
      <c r="D19" s="63">
        <v>88.703716524620162</v>
      </c>
      <c r="E19" s="64">
        <v>452.7</v>
      </c>
      <c r="F19" s="65">
        <v>222.54770859752097</v>
      </c>
      <c r="G19" s="66">
        <v>1.38</v>
      </c>
      <c r="H19" s="67">
        <v>29.6</v>
      </c>
      <c r="I19" s="68">
        <v>4.4000000000000004</v>
      </c>
      <c r="J19" s="69">
        <v>50177</v>
      </c>
      <c r="N19">
        <f t="shared" si="2"/>
        <v>19</v>
      </c>
      <c r="O19">
        <v>10</v>
      </c>
      <c r="P19">
        <f t="shared" si="0"/>
        <v>-0.87789629505122846</v>
      </c>
      <c r="Q19">
        <f t="shared" si="1"/>
        <v>-0.92956736301006726</v>
      </c>
    </row>
    <row r="20" spans="1:17" x14ac:dyDescent="0.25">
      <c r="A20" s="58" t="s">
        <v>167</v>
      </c>
      <c r="B20" s="61">
        <v>17.3</v>
      </c>
      <c r="C20" s="62">
        <v>7.5</v>
      </c>
      <c r="D20" s="63">
        <v>89.904327345935869</v>
      </c>
      <c r="E20" s="64">
        <v>295</v>
      </c>
      <c r="F20" s="65">
        <v>232.34854500664258</v>
      </c>
      <c r="G20" s="66">
        <v>1.8</v>
      </c>
      <c r="H20" s="67">
        <v>19.7</v>
      </c>
      <c r="I20" s="68">
        <v>6.4</v>
      </c>
      <c r="J20" s="69">
        <v>41538</v>
      </c>
      <c r="N20">
        <f t="shared" si="2"/>
        <v>21</v>
      </c>
      <c r="O20">
        <v>10</v>
      </c>
      <c r="P20">
        <f t="shared" si="0"/>
        <v>-0.80642124701824058</v>
      </c>
      <c r="Q20">
        <f t="shared" si="1"/>
        <v>-0.92956736301006726</v>
      </c>
    </row>
    <row r="21" spans="1:17" x14ac:dyDescent="0.25">
      <c r="A21" s="58" t="s">
        <v>168</v>
      </c>
      <c r="B21" s="61">
        <v>17.3</v>
      </c>
      <c r="C21" s="62">
        <v>9.9</v>
      </c>
      <c r="D21" s="63">
        <v>64.839543701408999</v>
      </c>
      <c r="E21" s="64">
        <v>729.5</v>
      </c>
      <c r="F21" s="65">
        <v>262.66146237060713</v>
      </c>
      <c r="G21" s="66">
        <v>2.17</v>
      </c>
      <c r="H21" s="67">
        <v>20.3</v>
      </c>
      <c r="I21" s="68">
        <v>4.5999999999999996</v>
      </c>
      <c r="J21" s="69">
        <v>43733</v>
      </c>
      <c r="N21">
        <f t="shared" si="2"/>
        <v>23</v>
      </c>
      <c r="O21">
        <v>10.199999999999999</v>
      </c>
      <c r="P21">
        <f t="shared" si="0"/>
        <v>-0.73884684918521393</v>
      </c>
      <c r="Q21">
        <f t="shared" si="1"/>
        <v>-0.86151704360962333</v>
      </c>
    </row>
    <row r="22" spans="1:17" x14ac:dyDescent="0.25">
      <c r="A22" s="58" t="s">
        <v>169</v>
      </c>
      <c r="B22" s="61">
        <v>12.3</v>
      </c>
      <c r="C22" s="62">
        <v>6.3</v>
      </c>
      <c r="D22" s="63">
        <v>96.389852756187835</v>
      </c>
      <c r="E22" s="64">
        <v>118</v>
      </c>
      <c r="F22" s="65">
        <v>278.39482802923527</v>
      </c>
      <c r="G22" s="66">
        <v>1.22</v>
      </c>
      <c r="H22" s="67">
        <v>25.4</v>
      </c>
      <c r="I22" s="68">
        <v>5.4</v>
      </c>
      <c r="J22" s="69">
        <v>46581</v>
      </c>
      <c r="N22">
        <f t="shared" si="2"/>
        <v>25</v>
      </c>
      <c r="O22">
        <v>10.4</v>
      </c>
      <c r="P22">
        <f t="shared" si="0"/>
        <v>-0.67448975019608193</v>
      </c>
      <c r="Q22">
        <f t="shared" si="1"/>
        <v>-0.79346672420917885</v>
      </c>
    </row>
    <row r="23" spans="1:17" x14ac:dyDescent="0.25">
      <c r="A23" s="58" t="s">
        <v>170</v>
      </c>
      <c r="B23" s="61">
        <v>8.1</v>
      </c>
      <c r="C23" s="62">
        <v>8</v>
      </c>
      <c r="D23" s="63">
        <v>63.398020838196281</v>
      </c>
      <c r="E23" s="64">
        <v>641.9</v>
      </c>
      <c r="F23" s="65">
        <v>421.43487540886565</v>
      </c>
      <c r="G23" s="66">
        <v>1.0900000000000001</v>
      </c>
      <c r="H23" s="67">
        <v>35.200000000000003</v>
      </c>
      <c r="I23" s="68">
        <v>4.4000000000000004</v>
      </c>
      <c r="J23" s="69">
        <v>70545</v>
      </c>
      <c r="N23">
        <f t="shared" si="2"/>
        <v>27</v>
      </c>
      <c r="O23">
        <v>10.6</v>
      </c>
      <c r="P23">
        <f t="shared" si="0"/>
        <v>-0.61281299101662734</v>
      </c>
      <c r="Q23">
        <f t="shared" si="1"/>
        <v>-0.72541640480873493</v>
      </c>
    </row>
    <row r="24" spans="1:17" x14ac:dyDescent="0.25">
      <c r="A24" s="58" t="s">
        <v>171</v>
      </c>
      <c r="B24" s="70">
        <v>10</v>
      </c>
      <c r="C24" s="62">
        <v>4.8</v>
      </c>
      <c r="D24" s="63">
        <v>86.203669547721617</v>
      </c>
      <c r="E24" s="64">
        <v>431.5</v>
      </c>
      <c r="F24" s="65">
        <v>469.00740037554607</v>
      </c>
      <c r="G24" s="66">
        <v>0.76</v>
      </c>
      <c r="H24" s="67">
        <v>38.1</v>
      </c>
      <c r="I24" s="68">
        <v>5.3</v>
      </c>
      <c r="J24" s="69">
        <v>65401</v>
      </c>
      <c r="N24">
        <f t="shared" si="2"/>
        <v>29</v>
      </c>
      <c r="O24">
        <v>10.8</v>
      </c>
      <c r="P24">
        <f t="shared" si="0"/>
        <v>-0.55338471955567303</v>
      </c>
      <c r="Q24">
        <f t="shared" si="1"/>
        <v>-0.65736608540829045</v>
      </c>
    </row>
    <row r="25" spans="1:17" x14ac:dyDescent="0.25">
      <c r="A25" s="58" t="s">
        <v>172</v>
      </c>
      <c r="B25" s="61">
        <v>14.4</v>
      </c>
      <c r="C25" s="62">
        <v>7.4</v>
      </c>
      <c r="D25" s="63">
        <v>81.183409037427396</v>
      </c>
      <c r="E25" s="64">
        <v>536</v>
      </c>
      <c r="F25" s="65">
        <v>250.2141835799554</v>
      </c>
      <c r="G25" s="66">
        <v>1.04</v>
      </c>
      <c r="H25" s="67">
        <v>24.7</v>
      </c>
      <c r="I25" s="68">
        <v>8.4</v>
      </c>
      <c r="J25" s="69">
        <v>48591</v>
      </c>
      <c r="N25">
        <f t="shared" si="2"/>
        <v>31</v>
      </c>
      <c r="O25">
        <v>11.3</v>
      </c>
      <c r="P25">
        <f t="shared" si="0"/>
        <v>-0.49585034734745354</v>
      </c>
      <c r="Q25">
        <f t="shared" si="1"/>
        <v>-0.48724028690718013</v>
      </c>
    </row>
    <row r="26" spans="1:17" x14ac:dyDescent="0.25">
      <c r="A26" s="58" t="s">
        <v>173</v>
      </c>
      <c r="B26" s="61">
        <v>9.6</v>
      </c>
      <c r="C26" s="62">
        <v>5.2</v>
      </c>
      <c r="D26" s="63">
        <v>89.045556531854984</v>
      </c>
      <c r="E26" s="64">
        <v>288.7</v>
      </c>
      <c r="F26" s="65">
        <v>293.18688782716754</v>
      </c>
      <c r="G26" s="66">
        <v>0.88</v>
      </c>
      <c r="H26" s="67">
        <v>31.5</v>
      </c>
      <c r="I26" s="68">
        <v>5.4</v>
      </c>
      <c r="J26" s="69">
        <v>57288</v>
      </c>
      <c r="N26">
        <f t="shared" si="2"/>
        <v>33</v>
      </c>
      <c r="O26">
        <v>11.3</v>
      </c>
      <c r="P26">
        <f t="shared" si="0"/>
        <v>-0.43991316567323374</v>
      </c>
      <c r="Q26">
        <f t="shared" si="1"/>
        <v>-0.48724028690718013</v>
      </c>
    </row>
    <row r="27" spans="1:17" x14ac:dyDescent="0.25">
      <c r="A27" s="58" t="s">
        <v>174</v>
      </c>
      <c r="B27" s="61">
        <v>21.2</v>
      </c>
      <c r="C27" s="62">
        <v>10.6</v>
      </c>
      <c r="D27" s="63">
        <v>60.598179144073846</v>
      </c>
      <c r="E27" s="64">
        <v>291.3</v>
      </c>
      <c r="F27" s="65">
        <v>177.88245926950424</v>
      </c>
      <c r="G27" s="66">
        <v>2.04</v>
      </c>
      <c r="H27" s="67">
        <v>19.399999999999999</v>
      </c>
      <c r="I27" s="68">
        <v>6.9</v>
      </c>
      <c r="J27" s="69">
        <v>37790</v>
      </c>
      <c r="N27">
        <f t="shared" si="2"/>
        <v>35</v>
      </c>
      <c r="O27">
        <v>11.3</v>
      </c>
      <c r="P27">
        <f t="shared" si="0"/>
        <v>-0.38532046640756784</v>
      </c>
      <c r="Q27">
        <f t="shared" si="1"/>
        <v>-0.48724028690718013</v>
      </c>
    </row>
    <row r="28" spans="1:17" x14ac:dyDescent="0.25">
      <c r="A28" s="58" t="s">
        <v>175</v>
      </c>
      <c r="B28" s="61">
        <v>13.4</v>
      </c>
      <c r="C28" s="62">
        <v>7.4</v>
      </c>
      <c r="D28" s="63">
        <v>85.028888093842554</v>
      </c>
      <c r="E28" s="64">
        <v>504.9</v>
      </c>
      <c r="F28" s="65">
        <v>246.01936683780735</v>
      </c>
      <c r="G28" s="66">
        <v>1.43</v>
      </c>
      <c r="H28" s="67">
        <v>25</v>
      </c>
      <c r="I28" s="68">
        <v>6.1</v>
      </c>
      <c r="J28" s="69">
        <v>46867</v>
      </c>
      <c r="N28">
        <f t="shared" si="2"/>
        <v>37</v>
      </c>
      <c r="O28">
        <v>11.4</v>
      </c>
      <c r="P28">
        <f t="shared" si="0"/>
        <v>-0.33185334643681658</v>
      </c>
      <c r="Q28">
        <f t="shared" si="1"/>
        <v>-0.45321512720695817</v>
      </c>
    </row>
    <row r="29" spans="1:17" x14ac:dyDescent="0.25">
      <c r="A29" s="58" t="s">
        <v>176</v>
      </c>
      <c r="B29" s="61">
        <v>14.8</v>
      </c>
      <c r="C29" s="62">
        <v>5.8</v>
      </c>
      <c r="D29" s="63">
        <v>90.467729264863962</v>
      </c>
      <c r="E29" s="64">
        <v>287.5</v>
      </c>
      <c r="F29" s="65">
        <v>220.56732843834149</v>
      </c>
      <c r="G29" s="66">
        <v>2.4500000000000002</v>
      </c>
      <c r="H29" s="67">
        <v>27.1</v>
      </c>
      <c r="I29" s="68">
        <v>4.5</v>
      </c>
      <c r="J29" s="69">
        <v>43654</v>
      </c>
      <c r="N29">
        <f t="shared" si="2"/>
        <v>39</v>
      </c>
      <c r="O29">
        <v>11.5</v>
      </c>
      <c r="P29">
        <f t="shared" si="0"/>
        <v>-0.27931903444745415</v>
      </c>
      <c r="Q29">
        <f t="shared" si="1"/>
        <v>-0.41918996750673626</v>
      </c>
    </row>
    <row r="30" spans="1:17" x14ac:dyDescent="0.25">
      <c r="A30" s="58" t="s">
        <v>177</v>
      </c>
      <c r="B30" s="61">
        <v>10.8</v>
      </c>
      <c r="C30" s="62">
        <v>5.6</v>
      </c>
      <c r="D30" s="63">
        <v>91.372477335833381</v>
      </c>
      <c r="E30" s="64">
        <v>302.39999999999998</v>
      </c>
      <c r="F30" s="65">
        <v>245.38379506214562</v>
      </c>
      <c r="G30" s="66">
        <v>1.32</v>
      </c>
      <c r="H30" s="67">
        <v>27.1</v>
      </c>
      <c r="I30" s="68">
        <v>3.3</v>
      </c>
      <c r="J30" s="69">
        <v>49693</v>
      </c>
      <c r="N30">
        <f t="shared" si="2"/>
        <v>41</v>
      </c>
      <c r="O30">
        <v>11.7</v>
      </c>
      <c r="P30">
        <f t="shared" si="0"/>
        <v>-0.2275449766411495</v>
      </c>
      <c r="Q30">
        <f t="shared" si="1"/>
        <v>-0.35113964810629233</v>
      </c>
    </row>
    <row r="31" spans="1:17" x14ac:dyDescent="0.25">
      <c r="A31" s="58" t="s">
        <v>178</v>
      </c>
      <c r="B31" s="61">
        <v>11.3</v>
      </c>
      <c r="C31" s="62">
        <v>6.4</v>
      </c>
      <c r="D31" s="63">
        <v>80.891227371165002</v>
      </c>
      <c r="E31" s="64">
        <v>750.6</v>
      </c>
      <c r="F31" s="65">
        <v>187.75857911072276</v>
      </c>
      <c r="G31" s="66">
        <v>1.68</v>
      </c>
      <c r="H31" s="67">
        <v>21.9</v>
      </c>
      <c r="I31" s="68">
        <v>6.7</v>
      </c>
      <c r="J31" s="69">
        <v>56361</v>
      </c>
      <c r="N31">
        <f t="shared" si="2"/>
        <v>43</v>
      </c>
      <c r="O31">
        <v>12</v>
      </c>
      <c r="P31">
        <f t="shared" si="0"/>
        <v>-0.17637416478086138</v>
      </c>
      <c r="Q31">
        <f t="shared" si="1"/>
        <v>-0.24906416900562592</v>
      </c>
    </row>
    <row r="32" spans="1:17" x14ac:dyDescent="0.25">
      <c r="A32" s="58" t="s">
        <v>179</v>
      </c>
      <c r="B32" s="61">
        <v>7.6</v>
      </c>
      <c r="C32" s="62">
        <v>6.1</v>
      </c>
      <c r="D32" s="63">
        <v>95.487186970145373</v>
      </c>
      <c r="E32" s="64">
        <v>137.30000000000001</v>
      </c>
      <c r="F32" s="65">
        <v>274.87014728833395</v>
      </c>
      <c r="G32" s="66">
        <v>0.96</v>
      </c>
      <c r="H32" s="67">
        <v>33.299999999999997</v>
      </c>
      <c r="I32" s="68">
        <v>3.8</v>
      </c>
      <c r="J32" s="69">
        <v>63731</v>
      </c>
      <c r="N32">
        <f t="shared" si="2"/>
        <v>45</v>
      </c>
      <c r="O32">
        <v>12.1</v>
      </c>
      <c r="P32">
        <f t="shared" si="0"/>
        <v>-0.12566134685507402</v>
      </c>
      <c r="Q32">
        <f t="shared" si="1"/>
        <v>-0.21503900930540396</v>
      </c>
    </row>
    <row r="33" spans="1:17" x14ac:dyDescent="0.25">
      <c r="A33" s="58" t="s">
        <v>180</v>
      </c>
      <c r="B33" s="61">
        <v>8.6999999999999993</v>
      </c>
      <c r="C33" s="62">
        <v>5.5</v>
      </c>
      <c r="D33" s="63">
        <v>76.032117342828414</v>
      </c>
      <c r="E33" s="64">
        <v>329.3</v>
      </c>
      <c r="F33" s="65">
        <v>316.33654704669738</v>
      </c>
      <c r="G33" s="66">
        <v>0.95</v>
      </c>
      <c r="H33" s="67">
        <v>34.4</v>
      </c>
      <c r="I33" s="68">
        <v>5.5</v>
      </c>
      <c r="J33" s="69">
        <v>70378</v>
      </c>
      <c r="N33">
        <f t="shared" si="2"/>
        <v>47</v>
      </c>
      <c r="O33">
        <v>12.2</v>
      </c>
      <c r="P33">
        <f t="shared" si="0"/>
        <v>-7.5269862099829901E-2</v>
      </c>
      <c r="Q33">
        <f t="shared" si="1"/>
        <v>-0.18101384960518202</v>
      </c>
    </row>
    <row r="34" spans="1:17" x14ac:dyDescent="0.25">
      <c r="A34" s="58" t="s">
        <v>181</v>
      </c>
      <c r="B34" s="61">
        <v>17.100000000000001</v>
      </c>
      <c r="C34" s="62">
        <v>5.8</v>
      </c>
      <c r="D34" s="63">
        <v>83.996520785584835</v>
      </c>
      <c r="E34" s="64">
        <v>664.2</v>
      </c>
      <c r="F34" s="65">
        <v>243.58557973367977</v>
      </c>
      <c r="G34" s="66">
        <v>1.54</v>
      </c>
      <c r="H34" s="67">
        <v>24.7</v>
      </c>
      <c r="I34" s="68">
        <v>4.2</v>
      </c>
      <c r="J34" s="69">
        <v>43508</v>
      </c>
      <c r="N34">
        <f t="shared" si="2"/>
        <v>49</v>
      </c>
      <c r="O34">
        <v>12.3</v>
      </c>
      <c r="P34">
        <f t="shared" si="0"/>
        <v>-2.506890825871106E-2</v>
      </c>
      <c r="Q34">
        <f t="shared" si="1"/>
        <v>-0.14698868990495947</v>
      </c>
    </row>
    <row r="35" spans="1:17" x14ac:dyDescent="0.25">
      <c r="A35" s="58" t="s">
        <v>182</v>
      </c>
      <c r="B35" s="61">
        <v>13.6</v>
      </c>
      <c r="C35" s="62">
        <v>5.6</v>
      </c>
      <c r="D35" s="63">
        <v>73.422529169257928</v>
      </c>
      <c r="E35" s="64">
        <v>414.1</v>
      </c>
      <c r="F35" s="65">
        <v>395.92232685906185</v>
      </c>
      <c r="G35" s="66">
        <v>0.97</v>
      </c>
      <c r="H35" s="67">
        <v>31.9</v>
      </c>
      <c r="I35" s="68">
        <v>5.4</v>
      </c>
      <c r="J35" s="69">
        <v>56033</v>
      </c>
      <c r="N35">
        <f t="shared" si="2"/>
        <v>51</v>
      </c>
      <c r="O35">
        <v>12.5</v>
      </c>
      <c r="P35">
        <f t="shared" si="0"/>
        <v>2.506890825871106E-2</v>
      </c>
      <c r="Q35">
        <f t="shared" si="1"/>
        <v>-7.8938370504515562E-2</v>
      </c>
    </row>
    <row r="36" spans="1:17" x14ac:dyDescent="0.25">
      <c r="A36" s="58" t="s">
        <v>183</v>
      </c>
      <c r="B36" s="61">
        <v>14.6</v>
      </c>
      <c r="C36" s="62">
        <v>8.1</v>
      </c>
      <c r="D36" s="63">
        <v>73.937344387272134</v>
      </c>
      <c r="E36" s="64">
        <v>466.4</v>
      </c>
      <c r="F36" s="65">
        <v>254.23614464440675</v>
      </c>
      <c r="G36" s="66">
        <v>1.62</v>
      </c>
      <c r="H36" s="67">
        <v>26.1</v>
      </c>
      <c r="I36" s="68">
        <v>6.3</v>
      </c>
      <c r="J36" s="69">
        <v>46549</v>
      </c>
      <c r="N36">
        <f t="shared" si="2"/>
        <v>53</v>
      </c>
      <c r="O36">
        <v>12.6</v>
      </c>
      <c r="P36">
        <f t="shared" si="0"/>
        <v>7.5269862099829901E-2</v>
      </c>
      <c r="Q36">
        <f t="shared" si="1"/>
        <v>-4.491321080429362E-2</v>
      </c>
    </row>
    <row r="37" spans="1:17" x14ac:dyDescent="0.25">
      <c r="A37" s="58" t="s">
        <v>184</v>
      </c>
      <c r="B37" s="71">
        <v>12</v>
      </c>
      <c r="C37" s="62">
        <v>5.8</v>
      </c>
      <c r="D37" s="63">
        <v>91.393509706444945</v>
      </c>
      <c r="E37" s="64">
        <v>142.4</v>
      </c>
      <c r="F37" s="65">
        <v>244.39414081115655</v>
      </c>
      <c r="G37" s="66">
        <v>1.42</v>
      </c>
      <c r="H37" s="67">
        <v>26.9</v>
      </c>
      <c r="I37" s="68">
        <v>3.2</v>
      </c>
      <c r="J37" s="69">
        <v>45685</v>
      </c>
      <c r="N37">
        <f t="shared" si="2"/>
        <v>55</v>
      </c>
      <c r="O37">
        <v>13.1</v>
      </c>
      <c r="P37">
        <f t="shared" si="0"/>
        <v>0.12566134685507416</v>
      </c>
      <c r="Q37">
        <f t="shared" si="1"/>
        <v>0.1252125876968167</v>
      </c>
    </row>
    <row r="38" spans="1:17" x14ac:dyDescent="0.25">
      <c r="A38" s="58" t="s">
        <v>185</v>
      </c>
      <c r="B38" s="61">
        <v>13.4</v>
      </c>
      <c r="C38" s="62">
        <v>7.8</v>
      </c>
      <c r="D38" s="63">
        <v>84.764237226305966</v>
      </c>
      <c r="E38" s="64">
        <v>343.2</v>
      </c>
      <c r="F38" s="65">
        <v>266.73599566322036</v>
      </c>
      <c r="G38" s="66">
        <v>1.1399999999999999</v>
      </c>
      <c r="H38" s="67">
        <v>24.1</v>
      </c>
      <c r="I38" s="68">
        <v>6.5</v>
      </c>
      <c r="J38" s="69">
        <v>47988</v>
      </c>
      <c r="N38">
        <f t="shared" si="2"/>
        <v>57</v>
      </c>
      <c r="O38">
        <v>13.2</v>
      </c>
      <c r="P38">
        <f t="shared" si="0"/>
        <v>0.17637416478086121</v>
      </c>
      <c r="Q38">
        <f t="shared" si="1"/>
        <v>0.15923774739703866</v>
      </c>
    </row>
    <row r="39" spans="1:17" x14ac:dyDescent="0.25">
      <c r="A39" s="58" t="s">
        <v>186</v>
      </c>
      <c r="B39" s="61">
        <v>15.9</v>
      </c>
      <c r="C39" s="62">
        <v>8</v>
      </c>
      <c r="D39" s="63">
        <v>78.141238608693655</v>
      </c>
      <c r="E39" s="64">
        <v>499.6</v>
      </c>
      <c r="F39" s="65">
        <v>173.49741125787563</v>
      </c>
      <c r="G39" s="66">
        <v>1.58</v>
      </c>
      <c r="H39" s="67">
        <v>22.2</v>
      </c>
      <c r="I39" s="68">
        <v>3.8</v>
      </c>
      <c r="J39" s="69">
        <v>42822</v>
      </c>
      <c r="N39">
        <f t="shared" si="2"/>
        <v>59</v>
      </c>
      <c r="O39">
        <v>13.3</v>
      </c>
      <c r="P39">
        <f t="shared" si="0"/>
        <v>0.22754497664114934</v>
      </c>
      <c r="Q39">
        <f t="shared" si="1"/>
        <v>0.19326290709726121</v>
      </c>
    </row>
    <row r="40" spans="1:17" x14ac:dyDescent="0.25">
      <c r="A40" s="58" t="s">
        <v>187</v>
      </c>
      <c r="B40" s="61">
        <v>13.6</v>
      </c>
      <c r="C40" s="62">
        <v>5.5</v>
      </c>
      <c r="D40" s="63">
        <v>90.140446325387984</v>
      </c>
      <c r="E40" s="64">
        <v>287.60000000000002</v>
      </c>
      <c r="F40" s="65">
        <v>274.47103491347588</v>
      </c>
      <c r="G40" s="66">
        <v>1.31</v>
      </c>
      <c r="H40" s="67">
        <v>28.1</v>
      </c>
      <c r="I40" s="68">
        <v>6.4</v>
      </c>
      <c r="J40" s="69">
        <v>50169</v>
      </c>
      <c r="N40">
        <f t="shared" si="2"/>
        <v>61</v>
      </c>
      <c r="O40">
        <v>13.4</v>
      </c>
      <c r="P40">
        <f t="shared" si="0"/>
        <v>0.27931903444745415</v>
      </c>
      <c r="Q40">
        <f t="shared" si="1"/>
        <v>0.22728806679748315</v>
      </c>
    </row>
    <row r="41" spans="1:17" x14ac:dyDescent="0.25">
      <c r="A41" s="58" t="s">
        <v>188</v>
      </c>
      <c r="B41" s="61">
        <v>12.1</v>
      </c>
      <c r="C41" s="62">
        <v>7.6</v>
      </c>
      <c r="D41" s="63">
        <v>85.424563507935517</v>
      </c>
      <c r="E41" s="64">
        <v>416.5</v>
      </c>
      <c r="F41" s="65">
        <v>305.34793674360481</v>
      </c>
      <c r="G41" s="66">
        <v>1.37</v>
      </c>
      <c r="H41" s="67">
        <v>26.3</v>
      </c>
      <c r="I41" s="68">
        <v>5.4</v>
      </c>
      <c r="J41" s="69">
        <v>50713</v>
      </c>
      <c r="N41">
        <f t="shared" si="2"/>
        <v>63</v>
      </c>
      <c r="O41">
        <v>13.4</v>
      </c>
      <c r="P41">
        <f t="shared" si="0"/>
        <v>0.33185334643681658</v>
      </c>
      <c r="Q41">
        <f t="shared" si="1"/>
        <v>0.22728806679748315</v>
      </c>
    </row>
    <row r="42" spans="1:17" x14ac:dyDescent="0.25">
      <c r="A42" s="58" t="s">
        <v>189</v>
      </c>
      <c r="B42" s="61">
        <v>11.7</v>
      </c>
      <c r="C42" s="62">
        <v>6.1</v>
      </c>
      <c r="D42" s="63">
        <v>88.483880668602993</v>
      </c>
      <c r="E42" s="64">
        <v>227.3</v>
      </c>
      <c r="F42" s="65">
        <v>375.54503881739873</v>
      </c>
      <c r="G42" s="66">
        <v>0.8</v>
      </c>
      <c r="H42" s="67">
        <v>30</v>
      </c>
      <c r="I42" s="68">
        <v>7.8</v>
      </c>
      <c r="J42" s="69">
        <v>55701</v>
      </c>
      <c r="N42">
        <f t="shared" si="2"/>
        <v>65</v>
      </c>
      <c r="O42">
        <v>13.6</v>
      </c>
      <c r="P42">
        <f t="shared" si="0"/>
        <v>0.38532046640756784</v>
      </c>
      <c r="Q42">
        <f t="shared" si="1"/>
        <v>0.29533838619792707</v>
      </c>
    </row>
    <row r="43" spans="1:17" x14ac:dyDescent="0.25">
      <c r="A43" s="58" t="s">
        <v>190</v>
      </c>
      <c r="B43" s="61">
        <v>15.7</v>
      </c>
      <c r="C43" s="62">
        <v>8.4</v>
      </c>
      <c r="D43" s="63">
        <v>68.748136077503446</v>
      </c>
      <c r="E43" s="64">
        <v>788.3</v>
      </c>
      <c r="F43" s="65">
        <v>229.78882221083092</v>
      </c>
      <c r="G43" s="66">
        <v>2.09</v>
      </c>
      <c r="H43" s="67">
        <v>23.7</v>
      </c>
      <c r="I43" s="68">
        <v>6.9</v>
      </c>
      <c r="J43" s="69">
        <v>44625</v>
      </c>
      <c r="N43">
        <f t="shared" si="2"/>
        <v>67</v>
      </c>
      <c r="O43">
        <v>13.6</v>
      </c>
      <c r="P43">
        <f t="shared" si="0"/>
        <v>0.43991316567323396</v>
      </c>
      <c r="Q43">
        <f t="shared" si="1"/>
        <v>0.29533838619792707</v>
      </c>
    </row>
    <row r="44" spans="1:17" x14ac:dyDescent="0.25">
      <c r="A44" s="58" t="s">
        <v>191</v>
      </c>
      <c r="B44" s="61">
        <v>12.5</v>
      </c>
      <c r="C44" s="62">
        <v>6.9</v>
      </c>
      <c r="D44" s="63">
        <v>88.189790025789804</v>
      </c>
      <c r="E44" s="64">
        <v>169.2</v>
      </c>
      <c r="F44" s="65">
        <v>219.05543497522274</v>
      </c>
      <c r="G44" s="66">
        <v>1.62</v>
      </c>
      <c r="H44" s="67">
        <v>25.1</v>
      </c>
      <c r="I44" s="68">
        <v>3</v>
      </c>
      <c r="J44" s="69">
        <v>46032</v>
      </c>
      <c r="N44">
        <f t="shared" si="2"/>
        <v>69</v>
      </c>
      <c r="O44">
        <v>14.4</v>
      </c>
      <c r="P44">
        <f t="shared" si="0"/>
        <v>0.49585034734745331</v>
      </c>
      <c r="Q44">
        <f t="shared" si="1"/>
        <v>0.56753966379970389</v>
      </c>
    </row>
    <row r="45" spans="1:17" x14ac:dyDescent="0.25">
      <c r="A45" s="58" t="s">
        <v>192</v>
      </c>
      <c r="B45" s="61">
        <v>15.5</v>
      </c>
      <c r="C45" s="62">
        <v>8.6999999999999993</v>
      </c>
      <c r="D45" s="63">
        <v>80.371971305033981</v>
      </c>
      <c r="E45" s="64">
        <v>753.3</v>
      </c>
      <c r="F45" s="65">
        <v>263.55007776727581</v>
      </c>
      <c r="G45" s="66">
        <v>1.7</v>
      </c>
      <c r="H45" s="67">
        <v>22.9</v>
      </c>
      <c r="I45" s="68">
        <v>6.4</v>
      </c>
      <c r="J45" s="69">
        <v>43614</v>
      </c>
      <c r="N45">
        <f t="shared" si="2"/>
        <v>71</v>
      </c>
      <c r="O45">
        <v>14.6</v>
      </c>
      <c r="P45">
        <f t="shared" si="0"/>
        <v>0.5533847195556727</v>
      </c>
      <c r="Q45">
        <f t="shared" si="1"/>
        <v>0.6355899832001477</v>
      </c>
    </row>
    <row r="46" spans="1:17" x14ac:dyDescent="0.25">
      <c r="A46" s="58" t="s">
        <v>193</v>
      </c>
      <c r="B46" s="61">
        <v>15.8</v>
      </c>
      <c r="C46" s="62">
        <v>6.2</v>
      </c>
      <c r="D46" s="63">
        <v>82.402677784750395</v>
      </c>
      <c r="E46" s="64">
        <v>510.6</v>
      </c>
      <c r="F46" s="65">
        <v>214.23090434296537</v>
      </c>
      <c r="G46" s="66">
        <v>1.38</v>
      </c>
      <c r="H46" s="67">
        <v>25.3</v>
      </c>
      <c r="I46" s="68">
        <v>4.9000000000000004</v>
      </c>
      <c r="J46" s="69">
        <v>50043</v>
      </c>
      <c r="N46">
        <f t="shared" si="2"/>
        <v>73</v>
      </c>
      <c r="O46">
        <v>14.7</v>
      </c>
      <c r="P46">
        <f t="shared" si="0"/>
        <v>0.61281299101662734</v>
      </c>
      <c r="Q46">
        <f t="shared" si="1"/>
        <v>0.66961514290036972</v>
      </c>
    </row>
    <row r="47" spans="1:17" x14ac:dyDescent="0.25">
      <c r="A47" s="58" t="s">
        <v>194</v>
      </c>
      <c r="B47" s="61">
        <v>9.6</v>
      </c>
      <c r="C47" s="62">
        <v>5.0999999999999996</v>
      </c>
      <c r="D47" s="63">
        <v>92.915461931338129</v>
      </c>
      <c r="E47" s="64">
        <v>234.8</v>
      </c>
      <c r="F47" s="65">
        <v>208.06129808818156</v>
      </c>
      <c r="G47" s="66">
        <v>1.1100000000000001</v>
      </c>
      <c r="H47" s="67">
        <v>29.1</v>
      </c>
      <c r="I47" s="68">
        <v>3.4</v>
      </c>
      <c r="J47" s="69">
        <v>56633</v>
      </c>
      <c r="N47">
        <f t="shared" si="2"/>
        <v>75</v>
      </c>
      <c r="O47">
        <v>14.7</v>
      </c>
      <c r="P47">
        <f t="shared" si="0"/>
        <v>0.67448975019608193</v>
      </c>
      <c r="Q47">
        <f t="shared" si="1"/>
        <v>0.66961514290036972</v>
      </c>
    </row>
    <row r="48" spans="1:17" x14ac:dyDescent="0.25">
      <c r="A48" s="58" t="s">
        <v>195</v>
      </c>
      <c r="B48" s="61">
        <v>10.6</v>
      </c>
      <c r="C48" s="62">
        <v>5.5</v>
      </c>
      <c r="D48" s="63">
        <v>96.408807764739961</v>
      </c>
      <c r="E48" s="64">
        <v>124.3</v>
      </c>
      <c r="F48" s="65">
        <v>373.74264596905664</v>
      </c>
      <c r="G48" s="66">
        <v>0.86</v>
      </c>
      <c r="H48" s="67">
        <v>32.1</v>
      </c>
      <c r="I48" s="68">
        <v>4.8</v>
      </c>
      <c r="J48" s="69">
        <v>52104</v>
      </c>
      <c r="N48">
        <f t="shared" si="2"/>
        <v>77</v>
      </c>
      <c r="O48">
        <v>14.8</v>
      </c>
      <c r="P48">
        <f t="shared" si="0"/>
        <v>0.73884684918521393</v>
      </c>
      <c r="Q48">
        <f t="shared" si="1"/>
        <v>0.70364030260059218</v>
      </c>
    </row>
    <row r="49" spans="1:17" x14ac:dyDescent="0.25">
      <c r="A49" s="58" t="s">
        <v>196</v>
      </c>
      <c r="B49" s="61">
        <v>10.199999999999999</v>
      </c>
      <c r="C49" s="62">
        <v>7.1</v>
      </c>
      <c r="D49" s="63">
        <v>73.031896017666924</v>
      </c>
      <c r="E49" s="64">
        <v>269.7</v>
      </c>
      <c r="F49" s="65">
        <v>274.48522654578164</v>
      </c>
      <c r="G49" s="66">
        <v>1.25</v>
      </c>
      <c r="H49" s="67">
        <v>33.700000000000003</v>
      </c>
      <c r="I49" s="68">
        <v>4</v>
      </c>
      <c r="J49" s="69">
        <v>61233</v>
      </c>
      <c r="N49">
        <f t="shared" si="2"/>
        <v>79</v>
      </c>
      <c r="O49">
        <v>15.5</v>
      </c>
      <c r="P49">
        <f t="shared" si="0"/>
        <v>0.80642124701824058</v>
      </c>
      <c r="Q49">
        <f t="shared" si="1"/>
        <v>0.94181642050214642</v>
      </c>
    </row>
    <row r="50" spans="1:17" x14ac:dyDescent="0.25">
      <c r="A50" s="58" t="s">
        <v>197</v>
      </c>
      <c r="B50" s="61">
        <v>11.3</v>
      </c>
      <c r="C50" s="62">
        <v>4.7</v>
      </c>
      <c r="D50" s="63">
        <v>84.290902250404002</v>
      </c>
      <c r="E50" s="64">
        <v>333.1</v>
      </c>
      <c r="F50" s="65">
        <v>269.98946121651699</v>
      </c>
      <c r="G50" s="66">
        <v>1</v>
      </c>
      <c r="H50" s="67">
        <v>30.7</v>
      </c>
      <c r="I50" s="68">
        <v>5.3</v>
      </c>
      <c r="J50" s="69">
        <v>58078</v>
      </c>
      <c r="N50">
        <f t="shared" si="2"/>
        <v>81</v>
      </c>
      <c r="O50">
        <v>15.7</v>
      </c>
      <c r="P50">
        <f t="shared" si="0"/>
        <v>0.87789629505122857</v>
      </c>
      <c r="Q50">
        <f t="shared" si="1"/>
        <v>1.0098667399025902</v>
      </c>
    </row>
    <row r="51" spans="1:17" x14ac:dyDescent="0.25">
      <c r="A51" s="58" t="s">
        <v>198</v>
      </c>
      <c r="B51" s="71">
        <v>17</v>
      </c>
      <c r="C51" s="62">
        <v>7.4</v>
      </c>
      <c r="D51" s="63">
        <v>94.524786328554711</v>
      </c>
      <c r="E51" s="64">
        <v>275.2</v>
      </c>
      <c r="F51" s="65">
        <v>232.12047942465506</v>
      </c>
      <c r="G51" s="66">
        <v>2.1</v>
      </c>
      <c r="H51" s="67">
        <v>17.100000000000001</v>
      </c>
      <c r="I51" s="68">
        <v>4.3</v>
      </c>
      <c r="J51" s="69">
        <v>37989</v>
      </c>
      <c r="N51">
        <f t="shared" si="2"/>
        <v>83</v>
      </c>
      <c r="O51">
        <v>15.7</v>
      </c>
      <c r="P51">
        <f t="shared" si="0"/>
        <v>0.95416525314619549</v>
      </c>
      <c r="Q51">
        <f t="shared" si="1"/>
        <v>1.0098667399025902</v>
      </c>
    </row>
    <row r="52" spans="1:17" x14ac:dyDescent="0.25">
      <c r="A52" s="58" t="s">
        <v>199</v>
      </c>
      <c r="B52" s="61">
        <v>10.4</v>
      </c>
      <c r="C52" s="62">
        <v>6.4</v>
      </c>
      <c r="D52" s="63">
        <v>89.673695670212709</v>
      </c>
      <c r="E52" s="64">
        <v>290.89999999999998</v>
      </c>
      <c r="F52" s="65">
        <v>259.10479089348553</v>
      </c>
      <c r="G52" s="66">
        <v>1.27</v>
      </c>
      <c r="H52" s="67">
        <v>25.7</v>
      </c>
      <c r="I52" s="68">
        <v>4.7</v>
      </c>
      <c r="J52" s="69">
        <v>52094</v>
      </c>
      <c r="N52">
        <f t="shared" si="2"/>
        <v>85</v>
      </c>
      <c r="O52">
        <v>15.8</v>
      </c>
      <c r="P52">
        <f t="shared" si="0"/>
        <v>1.0364333894937898</v>
      </c>
      <c r="Q52">
        <f t="shared" si="1"/>
        <v>1.0438918996028128</v>
      </c>
    </row>
    <row r="53" spans="1:17" x14ac:dyDescent="0.25">
      <c r="A53" s="72" t="s">
        <v>200</v>
      </c>
      <c r="B53" s="73">
        <v>9.4</v>
      </c>
      <c r="C53" s="74">
        <v>7</v>
      </c>
      <c r="D53" s="75">
        <v>93.867286940458214</v>
      </c>
      <c r="E53" s="76">
        <v>239.3</v>
      </c>
      <c r="F53" s="77">
        <v>184.42356646510669</v>
      </c>
      <c r="G53" s="78">
        <v>1.6</v>
      </c>
      <c r="H53" s="79">
        <v>23.6</v>
      </c>
      <c r="I53" s="80">
        <v>3.1</v>
      </c>
      <c r="J53" s="81">
        <v>53207</v>
      </c>
      <c r="N53">
        <f t="shared" si="2"/>
        <v>87</v>
      </c>
      <c r="O53">
        <v>15.9</v>
      </c>
      <c r="P53">
        <f t="shared" si="0"/>
        <v>1.1263911290388013</v>
      </c>
      <c r="Q53">
        <f t="shared" si="1"/>
        <v>1.0779170593030349</v>
      </c>
    </row>
    <row r="54" spans="1:17" x14ac:dyDescent="0.25">
      <c r="A54" s="58"/>
      <c r="B54" s="58"/>
      <c r="C54" s="58"/>
      <c r="D54" s="58"/>
      <c r="E54" s="58"/>
      <c r="F54" s="58"/>
      <c r="G54" s="58"/>
      <c r="H54" s="58"/>
      <c r="I54" s="58"/>
      <c r="J54" s="58"/>
      <c r="N54">
        <f t="shared" si="2"/>
        <v>89</v>
      </c>
      <c r="O54">
        <v>17</v>
      </c>
      <c r="P54">
        <f t="shared" si="0"/>
        <v>1.2265281200366105</v>
      </c>
      <c r="Q54">
        <f t="shared" si="1"/>
        <v>1.4521938160054775</v>
      </c>
    </row>
    <row r="55" spans="1:17" x14ac:dyDescent="0.25">
      <c r="A55" s="58" t="s">
        <v>201</v>
      </c>
      <c r="B55" s="58"/>
      <c r="C55" s="58"/>
      <c r="D55" s="58"/>
      <c r="E55" s="58"/>
      <c r="F55" s="58"/>
      <c r="G55" s="58"/>
      <c r="H55" s="58"/>
      <c r="I55" s="58"/>
      <c r="J55" s="58"/>
      <c r="N55">
        <f t="shared" si="2"/>
        <v>91</v>
      </c>
      <c r="O55">
        <v>17.100000000000001</v>
      </c>
      <c r="P55">
        <f t="shared" si="0"/>
        <v>1.3407550336902161</v>
      </c>
      <c r="Q55">
        <f t="shared" si="1"/>
        <v>1.4862189757057001</v>
      </c>
    </row>
    <row r="56" spans="1:17" x14ac:dyDescent="0.25">
      <c r="A56" s="58" t="s">
        <v>202</v>
      </c>
      <c r="B56" s="58"/>
      <c r="C56" s="58"/>
      <c r="D56" s="58"/>
      <c r="E56" s="58"/>
      <c r="F56" s="58"/>
      <c r="G56" s="58"/>
      <c r="H56" s="58"/>
      <c r="I56" s="58"/>
      <c r="J56" s="58"/>
      <c r="N56">
        <f t="shared" si="2"/>
        <v>93</v>
      </c>
      <c r="O56">
        <v>17.3</v>
      </c>
      <c r="P56">
        <f t="shared" si="0"/>
        <v>1.4757910281791713</v>
      </c>
      <c r="Q56">
        <f t="shared" si="1"/>
        <v>1.5542692951061439</v>
      </c>
    </row>
    <row r="57" spans="1:17" x14ac:dyDescent="0.25">
      <c r="A57" s="58" t="s">
        <v>203</v>
      </c>
      <c r="B57" s="58"/>
      <c r="C57" s="58"/>
      <c r="D57" s="58"/>
      <c r="E57" s="58"/>
      <c r="F57" s="58"/>
      <c r="G57" s="58"/>
      <c r="H57" s="58"/>
      <c r="I57" s="58"/>
      <c r="J57" s="58"/>
      <c r="N57">
        <f t="shared" si="2"/>
        <v>95</v>
      </c>
      <c r="O57">
        <v>17.3</v>
      </c>
      <c r="P57">
        <f t="shared" si="0"/>
        <v>1.6448536269514715</v>
      </c>
      <c r="Q57">
        <f t="shared" si="1"/>
        <v>1.5542692951061439</v>
      </c>
    </row>
    <row r="58" spans="1:17" x14ac:dyDescent="0.25">
      <c r="A58" s="58" t="s">
        <v>204</v>
      </c>
      <c r="B58" s="58"/>
      <c r="C58" s="58"/>
      <c r="D58" s="58"/>
      <c r="E58" s="58"/>
      <c r="F58" s="58"/>
      <c r="G58" s="58"/>
      <c r="H58" s="58"/>
      <c r="I58" s="58"/>
      <c r="J58" s="58"/>
      <c r="N58">
        <f t="shared" si="2"/>
        <v>97</v>
      </c>
      <c r="O58">
        <v>17.3</v>
      </c>
      <c r="P58">
        <f t="shared" si="0"/>
        <v>1.8807936081512504</v>
      </c>
      <c r="Q58">
        <f t="shared" si="1"/>
        <v>1.5542692951061439</v>
      </c>
    </row>
    <row r="59" spans="1:17" x14ac:dyDescent="0.25">
      <c r="A59" s="58" t="s">
        <v>205</v>
      </c>
      <c r="B59" s="58"/>
      <c r="C59" s="58"/>
      <c r="D59" s="58"/>
      <c r="E59" s="58"/>
      <c r="F59" s="58"/>
      <c r="G59" s="58"/>
      <c r="H59" s="58"/>
      <c r="I59" s="58"/>
      <c r="J59" s="58"/>
      <c r="N59">
        <f t="shared" si="2"/>
        <v>99</v>
      </c>
      <c r="O59">
        <v>21.2</v>
      </c>
      <c r="P59">
        <f t="shared" si="0"/>
        <v>2.3263478740408408</v>
      </c>
      <c r="Q59">
        <f t="shared" si="1"/>
        <v>2.881250523414804</v>
      </c>
    </row>
    <row r="60" spans="1:17" x14ac:dyDescent="0.25">
      <c r="A60" s="58" t="s">
        <v>206</v>
      </c>
      <c r="B60" s="58"/>
      <c r="C60" s="58"/>
      <c r="D60" s="58"/>
      <c r="E60" s="58"/>
      <c r="F60" s="58"/>
      <c r="G60" s="58"/>
      <c r="H60" s="58"/>
      <c r="I60" s="58"/>
      <c r="J60" s="58"/>
    </row>
    <row r="61" spans="1:17" x14ac:dyDescent="0.25">
      <c r="A61" s="58" t="s">
        <v>207</v>
      </c>
      <c r="B61" s="58"/>
      <c r="C61" s="58"/>
      <c r="D61" s="58"/>
      <c r="E61" s="58"/>
      <c r="F61" s="58"/>
      <c r="G61" s="58"/>
      <c r="H61" s="58"/>
      <c r="I61" s="58"/>
      <c r="J61" s="58"/>
    </row>
    <row r="62" spans="1:17" x14ac:dyDescent="0.25">
      <c r="A62" s="58" t="s">
        <v>208</v>
      </c>
      <c r="B62" s="58"/>
      <c r="C62" s="58"/>
      <c r="D62" s="58"/>
      <c r="E62" s="58"/>
      <c r="F62" s="58"/>
      <c r="G62" s="58"/>
      <c r="H62" s="58"/>
      <c r="I62" s="58"/>
      <c r="J62" s="58"/>
    </row>
    <row r="63" spans="1:17" x14ac:dyDescent="0.25">
      <c r="A63" s="58" t="s">
        <v>209</v>
      </c>
      <c r="B63" s="58"/>
      <c r="C63" s="58"/>
      <c r="D63" s="58"/>
      <c r="E63" s="58"/>
      <c r="F63" s="58"/>
      <c r="G63" s="58"/>
      <c r="H63" s="58"/>
      <c r="I63" s="58"/>
      <c r="J63" s="58"/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O101"/>
  <sheetViews>
    <sheetView workbookViewId="0"/>
  </sheetViews>
  <sheetFormatPr defaultRowHeight="15" x14ac:dyDescent="0.25"/>
  <cols>
    <col min="1" max="3" width="7.5703125" customWidth="1"/>
    <col min="4" max="4" width="6.5703125" customWidth="1"/>
    <col min="5" max="5" width="17.85546875" customWidth="1"/>
    <col min="6" max="11" width="13.42578125" customWidth="1"/>
  </cols>
  <sheetData>
    <row r="1" spans="1:10" x14ac:dyDescent="0.25">
      <c r="A1" s="1" t="s">
        <v>414</v>
      </c>
      <c r="E1" t="s">
        <v>418</v>
      </c>
    </row>
    <row r="3" spans="1:10" x14ac:dyDescent="0.25">
      <c r="A3" s="131" t="s">
        <v>382</v>
      </c>
      <c r="B3" s="131" t="s">
        <v>383</v>
      </c>
      <c r="C3" s="131" t="s">
        <v>376</v>
      </c>
      <c r="E3" t="s">
        <v>290</v>
      </c>
    </row>
    <row r="4" spans="1:10" ht="15.75" thickBot="1" x14ac:dyDescent="0.3">
      <c r="A4" s="95">
        <v>7</v>
      </c>
      <c r="B4" s="95">
        <v>5</v>
      </c>
      <c r="C4" s="95">
        <v>65</v>
      </c>
    </row>
    <row r="5" spans="1:10" x14ac:dyDescent="0.25">
      <c r="A5" s="95">
        <v>3</v>
      </c>
      <c r="B5" s="95">
        <v>7</v>
      </c>
      <c r="C5" s="95">
        <v>38</v>
      </c>
      <c r="E5" s="21" t="s">
        <v>291</v>
      </c>
      <c r="F5" s="21"/>
    </row>
    <row r="6" spans="1:10" x14ac:dyDescent="0.25">
      <c r="A6" s="95">
        <v>5</v>
      </c>
      <c r="B6" s="95">
        <v>8</v>
      </c>
      <c r="C6" s="95">
        <v>51</v>
      </c>
      <c r="E6" s="19" t="s">
        <v>292</v>
      </c>
      <c r="F6" s="19">
        <v>0.92233072739359667</v>
      </c>
    </row>
    <row r="7" spans="1:10" x14ac:dyDescent="0.25">
      <c r="A7" s="95">
        <v>8</v>
      </c>
      <c r="B7" s="95">
        <v>1</v>
      </c>
      <c r="C7" s="95">
        <v>38</v>
      </c>
      <c r="E7" s="19" t="s">
        <v>285</v>
      </c>
      <c r="F7" s="19">
        <v>0.85069397069440122</v>
      </c>
    </row>
    <row r="8" spans="1:10" x14ac:dyDescent="0.25">
      <c r="A8" s="95">
        <v>9</v>
      </c>
      <c r="B8" s="95">
        <v>3</v>
      </c>
      <c r="C8" s="95">
        <v>55</v>
      </c>
      <c r="E8" s="19" t="s">
        <v>293</v>
      </c>
      <c r="F8" s="19">
        <v>0.81336746336800148</v>
      </c>
    </row>
    <row r="9" spans="1:10" x14ac:dyDescent="0.25">
      <c r="A9" s="95">
        <v>5</v>
      </c>
      <c r="B9" s="95">
        <v>4</v>
      </c>
      <c r="C9" s="95">
        <v>43</v>
      </c>
      <c r="E9" s="19" t="s">
        <v>11</v>
      </c>
      <c r="F9" s="19">
        <v>5.8880844651320681</v>
      </c>
    </row>
    <row r="10" spans="1:10" ht="15.75" thickBot="1" x14ac:dyDescent="0.3">
      <c r="A10" s="95">
        <v>4</v>
      </c>
      <c r="B10" s="95">
        <v>0</v>
      </c>
      <c r="C10" s="95">
        <v>25</v>
      </c>
      <c r="E10" s="20" t="s">
        <v>81</v>
      </c>
      <c r="F10" s="20">
        <v>11</v>
      </c>
    </row>
    <row r="11" spans="1:10" x14ac:dyDescent="0.25">
      <c r="A11" s="95">
        <v>2</v>
      </c>
      <c r="B11" s="95">
        <v>6</v>
      </c>
      <c r="C11" s="95">
        <v>33</v>
      </c>
    </row>
    <row r="12" spans="1:10" ht="15.75" thickBot="1" x14ac:dyDescent="0.3">
      <c r="A12" s="95">
        <v>8</v>
      </c>
      <c r="B12" s="95">
        <v>7</v>
      </c>
      <c r="C12" s="95">
        <v>71</v>
      </c>
      <c r="E12" t="s">
        <v>294</v>
      </c>
    </row>
    <row r="13" spans="1:10" x14ac:dyDescent="0.25">
      <c r="A13" s="95">
        <v>6</v>
      </c>
      <c r="B13" s="95">
        <v>4</v>
      </c>
      <c r="C13" s="95">
        <v>51</v>
      </c>
      <c r="E13" s="320"/>
      <c r="F13" s="320" t="s">
        <v>60</v>
      </c>
      <c r="G13" s="320" t="s">
        <v>219</v>
      </c>
      <c r="H13" s="320" t="s">
        <v>240</v>
      </c>
      <c r="I13" s="320" t="s">
        <v>135</v>
      </c>
      <c r="J13" s="320" t="s">
        <v>297</v>
      </c>
    </row>
    <row r="14" spans="1:10" x14ac:dyDescent="0.25">
      <c r="A14" s="130">
        <v>9</v>
      </c>
      <c r="B14" s="130">
        <v>2</v>
      </c>
      <c r="C14" s="130">
        <v>49</v>
      </c>
      <c r="E14" s="19" t="s">
        <v>222</v>
      </c>
      <c r="F14" s="19">
        <v>2</v>
      </c>
      <c r="G14" s="19">
        <v>1580.2800542881264</v>
      </c>
      <c r="H14" s="19">
        <v>790.1400271440632</v>
      </c>
      <c r="I14" s="19">
        <v>22.790612667173818</v>
      </c>
      <c r="J14" s="19">
        <v>4.9694621069852531E-4</v>
      </c>
    </row>
    <row r="15" spans="1:10" x14ac:dyDescent="0.25">
      <c r="E15" s="19" t="s">
        <v>295</v>
      </c>
      <c r="F15" s="19">
        <v>8</v>
      </c>
      <c r="G15" s="19">
        <v>277.35630934823678</v>
      </c>
      <c r="H15" s="19">
        <v>34.669538668529597</v>
      </c>
      <c r="I15" s="19"/>
      <c r="J15" s="19"/>
    </row>
    <row r="16" spans="1:10" ht="15.75" thickBot="1" x14ac:dyDescent="0.3">
      <c r="E16" s="20" t="s">
        <v>1</v>
      </c>
      <c r="F16" s="20">
        <v>10</v>
      </c>
      <c r="G16" s="20">
        <v>1857.6363636363631</v>
      </c>
      <c r="H16" s="20"/>
      <c r="I16" s="20"/>
      <c r="J16" s="20"/>
    </row>
    <row r="17" spans="5:11" ht="15.75" thickBot="1" x14ac:dyDescent="0.3"/>
    <row r="18" spans="5:11" x14ac:dyDescent="0.25">
      <c r="E18" s="320"/>
      <c r="F18" s="320" t="s">
        <v>298</v>
      </c>
      <c r="G18" s="320" t="s">
        <v>11</v>
      </c>
      <c r="H18" s="320" t="s">
        <v>85</v>
      </c>
      <c r="I18" s="320" t="s">
        <v>119</v>
      </c>
      <c r="J18" s="320" t="s">
        <v>299</v>
      </c>
      <c r="K18" s="320" t="s">
        <v>300</v>
      </c>
    </row>
    <row r="19" spans="5:11" x14ac:dyDescent="0.25">
      <c r="E19" s="19" t="s">
        <v>296</v>
      </c>
      <c r="F19" s="19">
        <v>1.7514036585681438</v>
      </c>
      <c r="G19" s="19">
        <v>6.9602026710152867</v>
      </c>
      <c r="H19" s="19">
        <v>0.25163112934363246</v>
      </c>
      <c r="I19" s="19">
        <v>0.80766962414536592</v>
      </c>
      <c r="J19" s="19">
        <v>-14.298852482652197</v>
      </c>
      <c r="K19" s="19">
        <v>17.801659799788485</v>
      </c>
    </row>
    <row r="20" spans="5:11" x14ac:dyDescent="0.25">
      <c r="E20" s="19" t="s">
        <v>382</v>
      </c>
      <c r="F20" s="19">
        <v>4.8952883645113721</v>
      </c>
      <c r="G20" s="19">
        <v>0.82022977846272815</v>
      </c>
      <c r="H20" s="19">
        <v>5.9681914666474372</v>
      </c>
      <c r="I20" s="19">
        <v>3.3508360543825895E-4</v>
      </c>
      <c r="J20" s="19">
        <v>3.003835103558723</v>
      </c>
      <c r="K20" s="19">
        <v>6.7867416254640212</v>
      </c>
    </row>
    <row r="21" spans="5:11" ht="15.75" thickBot="1" x14ac:dyDescent="0.3">
      <c r="E21" s="20" t="s">
        <v>383</v>
      </c>
      <c r="F21" s="20">
        <v>3.7584154829361673</v>
      </c>
      <c r="G21" s="20">
        <v>0.75651098735033695</v>
      </c>
      <c r="H21" s="20">
        <v>4.9680910730720971</v>
      </c>
      <c r="I21" s="20">
        <v>1.0957202090976618E-3</v>
      </c>
      <c r="J21" s="20">
        <v>2.013898017778903</v>
      </c>
      <c r="K21" s="20">
        <v>5.5029329480934317</v>
      </c>
    </row>
    <row r="25" spans="5:11" x14ac:dyDescent="0.25">
      <c r="E25" t="s">
        <v>301</v>
      </c>
      <c r="J25" t="s">
        <v>305</v>
      </c>
    </row>
    <row r="26" spans="5:11" ht="15.75" thickBot="1" x14ac:dyDescent="0.3"/>
    <row r="27" spans="5:11" x14ac:dyDescent="0.25">
      <c r="E27" s="320" t="s">
        <v>302</v>
      </c>
      <c r="F27" s="320" t="s">
        <v>384</v>
      </c>
      <c r="G27" s="320" t="s">
        <v>303</v>
      </c>
      <c r="H27" s="320" t="s">
        <v>304</v>
      </c>
      <c r="J27" s="320" t="s">
        <v>306</v>
      </c>
      <c r="K27" s="320" t="s">
        <v>376</v>
      </c>
    </row>
    <row r="28" spans="5:11" x14ac:dyDescent="0.25">
      <c r="E28" s="19">
        <v>1</v>
      </c>
      <c r="F28" s="19">
        <v>54.81049962482858</v>
      </c>
      <c r="G28" s="19">
        <v>10.18950037517142</v>
      </c>
      <c r="H28" s="19">
        <v>1.934790136806559</v>
      </c>
      <c r="J28" s="19">
        <v>4.5454545454545459</v>
      </c>
      <c r="K28" s="19">
        <v>25</v>
      </c>
    </row>
    <row r="29" spans="5:11" x14ac:dyDescent="0.25">
      <c r="E29" s="19">
        <v>2</v>
      </c>
      <c r="F29" s="19">
        <v>42.746177132655433</v>
      </c>
      <c r="G29" s="19">
        <v>-4.7461771326554327</v>
      </c>
      <c r="H29" s="19">
        <v>-0.90120774971207374</v>
      </c>
      <c r="J29" s="19">
        <v>13.636363636363637</v>
      </c>
      <c r="K29" s="19">
        <v>33</v>
      </c>
    </row>
    <row r="30" spans="5:11" x14ac:dyDescent="0.25">
      <c r="E30" s="19">
        <v>3</v>
      </c>
      <c r="F30" s="19">
        <v>56.295169344614344</v>
      </c>
      <c r="G30" s="19">
        <v>-5.2951693446143437</v>
      </c>
      <c r="H30" s="19">
        <v>-1.005450811469049</v>
      </c>
      <c r="J30" s="19">
        <v>22.72727272727273</v>
      </c>
      <c r="K30" s="19">
        <v>38</v>
      </c>
    </row>
    <row r="31" spans="5:11" x14ac:dyDescent="0.25">
      <c r="E31" s="19">
        <v>4</v>
      </c>
      <c r="F31" s="19">
        <v>44.672126057595285</v>
      </c>
      <c r="G31" s="19">
        <v>-6.6721260575952854</v>
      </c>
      <c r="H31" s="19">
        <v>-1.2669084069343504</v>
      </c>
      <c r="J31" s="19">
        <v>31.81818181818182</v>
      </c>
      <c r="K31" s="19">
        <v>38</v>
      </c>
    </row>
    <row r="32" spans="5:11" x14ac:dyDescent="0.25">
      <c r="E32" s="19">
        <v>5</v>
      </c>
      <c r="F32" s="19">
        <v>57.084245387978996</v>
      </c>
      <c r="G32" s="19">
        <v>-2.0842453879789957</v>
      </c>
      <c r="H32" s="19">
        <v>-0.39575811088563606</v>
      </c>
      <c r="J32" s="19">
        <v>40.909090909090914</v>
      </c>
      <c r="K32" s="19">
        <v>43</v>
      </c>
    </row>
    <row r="33" spans="5:15" x14ac:dyDescent="0.25">
      <c r="E33" s="19">
        <v>6</v>
      </c>
      <c r="F33" s="19">
        <v>41.261507412869676</v>
      </c>
      <c r="G33" s="19">
        <v>1.7384925871303238</v>
      </c>
      <c r="H33" s="19">
        <v>0.33010630419987413</v>
      </c>
      <c r="J33" s="19">
        <v>50.000000000000007</v>
      </c>
      <c r="K33" s="19">
        <v>49</v>
      </c>
    </row>
    <row r="34" spans="5:15" x14ac:dyDescent="0.25">
      <c r="E34" s="19">
        <v>7</v>
      </c>
      <c r="F34" s="19">
        <v>21.332557116613632</v>
      </c>
      <c r="G34" s="19">
        <v>3.6674428833863679</v>
      </c>
      <c r="H34" s="19">
        <v>0.69637686410684085</v>
      </c>
      <c r="J34" s="19">
        <v>59.090909090909093</v>
      </c>
      <c r="K34" s="19">
        <v>51</v>
      </c>
    </row>
    <row r="35" spans="5:15" x14ac:dyDescent="0.25">
      <c r="E35" s="19">
        <v>8</v>
      </c>
      <c r="F35" s="19">
        <v>34.092473285207895</v>
      </c>
      <c r="G35" s="19">
        <v>-1.0924732852078947</v>
      </c>
      <c r="H35" s="19">
        <v>-0.20743966427395458</v>
      </c>
      <c r="J35" s="19">
        <v>68.181818181818187</v>
      </c>
      <c r="K35" s="19">
        <v>51</v>
      </c>
    </row>
    <row r="36" spans="5:15" x14ac:dyDescent="0.25">
      <c r="E36" s="19">
        <v>9</v>
      </c>
      <c r="F36" s="19">
        <v>67.222618955212283</v>
      </c>
      <c r="G36" s="19">
        <v>3.7773810447877167</v>
      </c>
      <c r="H36" s="19">
        <v>0.71725200641080289</v>
      </c>
      <c r="J36" s="19">
        <v>77.27272727272728</v>
      </c>
      <c r="K36" s="19">
        <v>55</v>
      </c>
    </row>
    <row r="37" spans="5:15" x14ac:dyDescent="0.25">
      <c r="E37" s="19">
        <v>10</v>
      </c>
      <c r="F37" s="19">
        <v>46.156795777381042</v>
      </c>
      <c r="G37" s="19">
        <v>4.843204222618958</v>
      </c>
      <c r="H37" s="19">
        <v>0.91963132788101942</v>
      </c>
      <c r="J37" s="19">
        <v>86.363636363636374</v>
      </c>
      <c r="K37" s="19">
        <v>65</v>
      </c>
    </row>
    <row r="38" spans="5:15" ht="15.75" thickBot="1" x14ac:dyDescent="0.3">
      <c r="E38" s="20">
        <v>11</v>
      </c>
      <c r="F38" s="20">
        <v>53.325829905042831</v>
      </c>
      <c r="G38" s="20">
        <v>-4.3258299050428306</v>
      </c>
      <c r="H38" s="20">
        <v>-0.82139189613003172</v>
      </c>
      <c r="J38" s="20">
        <v>95.454545454545467</v>
      </c>
      <c r="K38" s="20">
        <v>71</v>
      </c>
      <c r="N38" t="s">
        <v>734</v>
      </c>
    </row>
    <row r="40" spans="5:15" x14ac:dyDescent="0.25">
      <c r="N40">
        <v>1</v>
      </c>
      <c r="O40">
        <v>-1</v>
      </c>
    </row>
    <row r="41" spans="5:15" x14ac:dyDescent="0.25">
      <c r="N41">
        <f>N40+1</f>
        <v>2</v>
      </c>
      <c r="O41">
        <v>7</v>
      </c>
    </row>
    <row r="42" spans="5:15" x14ac:dyDescent="0.25">
      <c r="N42">
        <f t="shared" ref="N42:N59" si="0">N41+1</f>
        <v>3</v>
      </c>
      <c r="O42">
        <v>8</v>
      </c>
    </row>
    <row r="43" spans="5:15" x14ac:dyDescent="0.25">
      <c r="N43">
        <f t="shared" si="0"/>
        <v>4</v>
      </c>
      <c r="O43">
        <v>7</v>
      </c>
    </row>
    <row r="44" spans="5:15" x14ac:dyDescent="0.25">
      <c r="N44">
        <f t="shared" si="0"/>
        <v>5</v>
      </c>
      <c r="O44">
        <v>0</v>
      </c>
    </row>
    <row r="45" spans="5:15" x14ac:dyDescent="0.25">
      <c r="N45">
        <f t="shared" si="0"/>
        <v>6</v>
      </c>
      <c r="O45">
        <v>-7</v>
      </c>
    </row>
    <row r="46" spans="5:15" x14ac:dyDescent="0.25">
      <c r="N46">
        <f t="shared" si="0"/>
        <v>7</v>
      </c>
      <c r="O46">
        <v>-4</v>
      </c>
    </row>
    <row r="47" spans="5:15" x14ac:dyDescent="0.25">
      <c r="N47">
        <f t="shared" si="0"/>
        <v>8</v>
      </c>
      <c r="O47">
        <v>1</v>
      </c>
    </row>
    <row r="48" spans="5:15" x14ac:dyDescent="0.25">
      <c r="N48">
        <f t="shared" si="0"/>
        <v>9</v>
      </c>
      <c r="O48">
        <v>8</v>
      </c>
    </row>
    <row r="49" spans="14:15" x14ac:dyDescent="0.25">
      <c r="N49">
        <f t="shared" si="0"/>
        <v>10</v>
      </c>
      <c r="O49">
        <v>5</v>
      </c>
    </row>
    <row r="50" spans="14:15" x14ac:dyDescent="0.25">
      <c r="N50">
        <f t="shared" si="0"/>
        <v>11</v>
      </c>
      <c r="O50">
        <v>6</v>
      </c>
    </row>
    <row r="51" spans="14:15" x14ac:dyDescent="0.25">
      <c r="N51">
        <f t="shared" si="0"/>
        <v>12</v>
      </c>
      <c r="O51">
        <v>-2</v>
      </c>
    </row>
    <row r="52" spans="14:15" x14ac:dyDescent="0.25">
      <c r="N52">
        <f t="shared" si="0"/>
        <v>13</v>
      </c>
      <c r="O52">
        <v>-1</v>
      </c>
    </row>
    <row r="53" spans="14:15" x14ac:dyDescent="0.25">
      <c r="N53">
        <f t="shared" si="0"/>
        <v>14</v>
      </c>
      <c r="O53">
        <v>7</v>
      </c>
    </row>
    <row r="54" spans="14:15" x14ac:dyDescent="0.25">
      <c r="N54">
        <f t="shared" si="0"/>
        <v>15</v>
      </c>
      <c r="O54">
        <v>0</v>
      </c>
    </row>
    <row r="55" spans="14:15" x14ac:dyDescent="0.25">
      <c r="N55">
        <f t="shared" si="0"/>
        <v>16</v>
      </c>
      <c r="O55">
        <v>-4</v>
      </c>
    </row>
    <row r="56" spans="14:15" x14ac:dyDescent="0.25">
      <c r="N56">
        <f t="shared" si="0"/>
        <v>17</v>
      </c>
      <c r="O56">
        <v>6</v>
      </c>
    </row>
    <row r="57" spans="14:15" x14ac:dyDescent="0.25">
      <c r="N57">
        <f t="shared" si="0"/>
        <v>18</v>
      </c>
      <c r="O57">
        <v>5</v>
      </c>
    </row>
    <row r="58" spans="14:15" x14ac:dyDescent="0.25">
      <c r="N58">
        <f t="shared" si="0"/>
        <v>19</v>
      </c>
      <c r="O58">
        <v>-8</v>
      </c>
    </row>
    <row r="59" spans="14:15" x14ac:dyDescent="0.25">
      <c r="N59">
        <f t="shared" si="0"/>
        <v>20</v>
      </c>
      <c r="O59">
        <v>-3</v>
      </c>
    </row>
    <row r="61" spans="14:15" x14ac:dyDescent="0.25">
      <c r="N61">
        <v>1</v>
      </c>
      <c r="O61">
        <f>INT(O40*0.3)</f>
        <v>-1</v>
      </c>
    </row>
    <row r="62" spans="14:15" x14ac:dyDescent="0.25">
      <c r="N62">
        <f>N61+1</f>
        <v>2</v>
      </c>
      <c r="O62">
        <v>1</v>
      </c>
    </row>
    <row r="63" spans="14:15" x14ac:dyDescent="0.25">
      <c r="N63">
        <f t="shared" ref="N63:N80" si="1">N62+1</f>
        <v>3</v>
      </c>
      <c r="O63">
        <v>-2</v>
      </c>
    </row>
    <row r="64" spans="14:15" x14ac:dyDescent="0.25">
      <c r="N64">
        <f t="shared" si="1"/>
        <v>4</v>
      </c>
      <c r="O64">
        <v>1</v>
      </c>
    </row>
    <row r="65" spans="14:15" x14ac:dyDescent="0.25">
      <c r="N65">
        <f t="shared" si="1"/>
        <v>5</v>
      </c>
      <c r="O65">
        <f>INT(O44*0.3)</f>
        <v>0</v>
      </c>
    </row>
    <row r="66" spans="14:15" x14ac:dyDescent="0.25">
      <c r="N66">
        <f t="shared" si="1"/>
        <v>6</v>
      </c>
      <c r="O66">
        <f>INT(O45*0.3)</f>
        <v>-3</v>
      </c>
    </row>
    <row r="67" spans="14:15" x14ac:dyDescent="0.25">
      <c r="N67">
        <f t="shared" si="1"/>
        <v>7</v>
      </c>
      <c r="O67">
        <v>-1</v>
      </c>
    </row>
    <row r="68" spans="14:15" x14ac:dyDescent="0.25">
      <c r="N68">
        <f t="shared" si="1"/>
        <v>8</v>
      </c>
      <c r="O68">
        <f t="shared" ref="O68:O74" si="2">INT(O47*0.6)</f>
        <v>0</v>
      </c>
    </row>
    <row r="69" spans="14:15" x14ac:dyDescent="0.25">
      <c r="N69">
        <f t="shared" si="1"/>
        <v>9</v>
      </c>
      <c r="O69">
        <f t="shared" si="2"/>
        <v>4</v>
      </c>
    </row>
    <row r="70" spans="14:15" x14ac:dyDescent="0.25">
      <c r="N70">
        <f t="shared" si="1"/>
        <v>10</v>
      </c>
      <c r="O70">
        <f t="shared" si="2"/>
        <v>3</v>
      </c>
    </row>
    <row r="71" spans="14:15" x14ac:dyDescent="0.25">
      <c r="N71">
        <f t="shared" si="1"/>
        <v>11</v>
      </c>
      <c r="O71">
        <f t="shared" si="2"/>
        <v>3</v>
      </c>
    </row>
    <row r="72" spans="14:15" x14ac:dyDescent="0.25">
      <c r="N72">
        <f t="shared" si="1"/>
        <v>12</v>
      </c>
      <c r="O72">
        <f t="shared" si="2"/>
        <v>-2</v>
      </c>
    </row>
    <row r="73" spans="14:15" x14ac:dyDescent="0.25">
      <c r="N73">
        <f t="shared" si="1"/>
        <v>13</v>
      </c>
      <c r="O73">
        <f t="shared" si="2"/>
        <v>-1</v>
      </c>
    </row>
    <row r="74" spans="14:15" x14ac:dyDescent="0.25">
      <c r="N74">
        <f t="shared" si="1"/>
        <v>14</v>
      </c>
      <c r="O74">
        <f t="shared" si="2"/>
        <v>4</v>
      </c>
    </row>
    <row r="75" spans="14:15" x14ac:dyDescent="0.25">
      <c r="N75">
        <f t="shared" si="1"/>
        <v>15</v>
      </c>
      <c r="O75">
        <f>INT(O54)</f>
        <v>0</v>
      </c>
    </row>
    <row r="76" spans="14:15" x14ac:dyDescent="0.25">
      <c r="N76">
        <f t="shared" si="1"/>
        <v>16</v>
      </c>
      <c r="O76">
        <f>INT(O55)</f>
        <v>-4</v>
      </c>
    </row>
    <row r="77" spans="14:15" x14ac:dyDescent="0.25">
      <c r="N77">
        <f t="shared" si="1"/>
        <v>17</v>
      </c>
      <c r="O77">
        <v>8</v>
      </c>
    </row>
    <row r="78" spans="14:15" x14ac:dyDescent="0.25">
      <c r="N78">
        <f t="shared" si="1"/>
        <v>18</v>
      </c>
      <c r="O78">
        <f>INT(O57)</f>
        <v>5</v>
      </c>
    </row>
    <row r="79" spans="14:15" x14ac:dyDescent="0.25">
      <c r="N79">
        <f t="shared" si="1"/>
        <v>19</v>
      </c>
      <c r="O79">
        <f>INT(O58)</f>
        <v>-8</v>
      </c>
    </row>
    <row r="80" spans="14:15" x14ac:dyDescent="0.25">
      <c r="N80">
        <f t="shared" si="1"/>
        <v>20</v>
      </c>
      <c r="O80">
        <f>INT(O59)</f>
        <v>-3</v>
      </c>
    </row>
    <row r="82" spans="14:15" x14ac:dyDescent="0.25">
      <c r="N82">
        <v>1</v>
      </c>
      <c r="O82">
        <f>INT(O61*0.3)</f>
        <v>-1</v>
      </c>
    </row>
    <row r="83" spans="14:15" x14ac:dyDescent="0.25">
      <c r="N83">
        <f>N82+1</f>
        <v>2</v>
      </c>
      <c r="O83">
        <v>1</v>
      </c>
    </row>
    <row r="84" spans="14:15" x14ac:dyDescent="0.25">
      <c r="N84">
        <f t="shared" ref="N84:N101" si="3">N83+1</f>
        <v>3</v>
      </c>
      <c r="O84">
        <v>3</v>
      </c>
    </row>
    <row r="85" spans="14:15" x14ac:dyDescent="0.25">
      <c r="N85">
        <f t="shared" si="3"/>
        <v>4</v>
      </c>
      <c r="O85">
        <v>6</v>
      </c>
    </row>
    <row r="86" spans="14:15" x14ac:dyDescent="0.25">
      <c r="N86">
        <f t="shared" si="3"/>
        <v>5</v>
      </c>
      <c r="O86">
        <v>6</v>
      </c>
    </row>
    <row r="87" spans="14:15" x14ac:dyDescent="0.25">
      <c r="N87">
        <f t="shared" si="3"/>
        <v>6</v>
      </c>
      <c r="O87">
        <v>4</v>
      </c>
    </row>
    <row r="88" spans="14:15" x14ac:dyDescent="0.25">
      <c r="N88">
        <f t="shared" si="3"/>
        <v>7</v>
      </c>
      <c r="O88">
        <v>3</v>
      </c>
    </row>
    <row r="89" spans="14:15" x14ac:dyDescent="0.25">
      <c r="N89">
        <f t="shared" si="3"/>
        <v>8</v>
      </c>
      <c r="O89">
        <v>1</v>
      </c>
    </row>
    <row r="90" spans="14:15" x14ac:dyDescent="0.25">
      <c r="N90">
        <f t="shared" si="3"/>
        <v>9</v>
      </c>
      <c r="O90">
        <f t="shared" ref="O90:O95" si="4">INT(O69*0.6)</f>
        <v>2</v>
      </c>
    </row>
    <row r="91" spans="14:15" x14ac:dyDescent="0.25">
      <c r="N91">
        <f t="shared" si="3"/>
        <v>10</v>
      </c>
      <c r="O91">
        <f t="shared" si="4"/>
        <v>1</v>
      </c>
    </row>
    <row r="92" spans="14:15" x14ac:dyDescent="0.25">
      <c r="N92">
        <f t="shared" si="3"/>
        <v>11</v>
      </c>
      <c r="O92">
        <f t="shared" si="4"/>
        <v>1</v>
      </c>
    </row>
    <row r="93" spans="14:15" x14ac:dyDescent="0.25">
      <c r="N93">
        <f t="shared" si="3"/>
        <v>12</v>
      </c>
      <c r="O93">
        <f t="shared" si="4"/>
        <v>-2</v>
      </c>
    </row>
    <row r="94" spans="14:15" x14ac:dyDescent="0.25">
      <c r="N94">
        <f t="shared" si="3"/>
        <v>13</v>
      </c>
      <c r="O94">
        <f t="shared" si="4"/>
        <v>-1</v>
      </c>
    </row>
    <row r="95" spans="14:15" x14ac:dyDescent="0.25">
      <c r="N95">
        <f t="shared" si="3"/>
        <v>14</v>
      </c>
      <c r="O95">
        <f t="shared" si="4"/>
        <v>2</v>
      </c>
    </row>
    <row r="96" spans="14:15" x14ac:dyDescent="0.25">
      <c r="N96">
        <f t="shared" si="3"/>
        <v>15</v>
      </c>
      <c r="O96">
        <f>INT(O75)</f>
        <v>0</v>
      </c>
    </row>
    <row r="97" spans="14:15" x14ac:dyDescent="0.25">
      <c r="N97">
        <f t="shared" si="3"/>
        <v>16</v>
      </c>
      <c r="O97">
        <v>6</v>
      </c>
    </row>
    <row r="98" spans="14:15" x14ac:dyDescent="0.25">
      <c r="N98">
        <f t="shared" si="3"/>
        <v>17</v>
      </c>
      <c r="O98">
        <v>8</v>
      </c>
    </row>
    <row r="99" spans="14:15" x14ac:dyDescent="0.25">
      <c r="N99">
        <f t="shared" si="3"/>
        <v>18</v>
      </c>
      <c r="O99">
        <v>-3</v>
      </c>
    </row>
    <row r="100" spans="14:15" x14ac:dyDescent="0.25">
      <c r="N100">
        <f t="shared" si="3"/>
        <v>19</v>
      </c>
      <c r="O100">
        <v>6</v>
      </c>
    </row>
    <row r="101" spans="14:15" x14ac:dyDescent="0.25">
      <c r="N101">
        <f t="shared" si="3"/>
        <v>20</v>
      </c>
      <c r="O101">
        <v>4</v>
      </c>
    </row>
  </sheetData>
  <sortState ref="K28:K38">
    <sortCondition ref="K28"/>
  </sortState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G76"/>
  <sheetViews>
    <sheetView workbookViewId="0"/>
  </sheetViews>
  <sheetFormatPr defaultRowHeight="15" x14ac:dyDescent="0.25"/>
  <cols>
    <col min="1" max="1" width="16.28515625" customWidth="1"/>
    <col min="2" max="2" width="13.28515625" customWidth="1"/>
    <col min="3" max="3" width="14.28515625" customWidth="1"/>
    <col min="6" max="6" width="12.140625" customWidth="1"/>
    <col min="7" max="7" width="12.5703125" customWidth="1"/>
  </cols>
  <sheetData>
    <row r="1" spans="1:7" x14ac:dyDescent="0.25">
      <c r="A1" t="s">
        <v>290</v>
      </c>
    </row>
    <row r="2" spans="1:7" ht="15.75" thickBot="1" x14ac:dyDescent="0.3"/>
    <row r="3" spans="1:7" x14ac:dyDescent="0.25">
      <c r="A3" s="21" t="s">
        <v>291</v>
      </c>
      <c r="B3" s="21"/>
    </row>
    <row r="4" spans="1:7" x14ac:dyDescent="0.25">
      <c r="A4" s="19" t="s">
        <v>292</v>
      </c>
      <c r="B4" s="19">
        <v>0.58034505841999007</v>
      </c>
    </row>
    <row r="5" spans="1:7" x14ac:dyDescent="0.25">
      <c r="A5" s="19" t="s">
        <v>285</v>
      </c>
      <c r="B5" s="19">
        <v>0.33680038683250163</v>
      </c>
    </row>
    <row r="6" spans="1:7" x14ac:dyDescent="0.25">
      <c r="A6" s="19" t="s">
        <v>293</v>
      </c>
      <c r="B6" s="19">
        <v>0.29354823814766479</v>
      </c>
    </row>
    <row r="7" spans="1:7" x14ac:dyDescent="0.25">
      <c r="A7" s="19" t="s">
        <v>11</v>
      </c>
      <c r="B7" s="19">
        <v>2.4702510013005274</v>
      </c>
    </row>
    <row r="8" spans="1:7" ht="15.75" thickBot="1" x14ac:dyDescent="0.3">
      <c r="A8" s="20" t="s">
        <v>81</v>
      </c>
      <c r="B8" s="20">
        <v>50</v>
      </c>
    </row>
    <row r="10" spans="1:7" ht="15.75" thickBot="1" x14ac:dyDescent="0.3">
      <c r="A10" t="s">
        <v>294</v>
      </c>
    </row>
    <row r="11" spans="1:7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</row>
    <row r="12" spans="1:7" x14ac:dyDescent="0.25">
      <c r="A12" s="19" t="s">
        <v>222</v>
      </c>
      <c r="B12" s="19">
        <v>3</v>
      </c>
      <c r="C12" s="19">
        <v>142.5503595663921</v>
      </c>
      <c r="D12" s="19">
        <v>47.516786522130701</v>
      </c>
      <c r="E12" s="19">
        <v>7.7869053231701217</v>
      </c>
      <c r="F12" s="19">
        <v>2.6221319906024227E-4</v>
      </c>
    </row>
    <row r="13" spans="1:7" x14ac:dyDescent="0.25">
      <c r="A13" s="19" t="s">
        <v>295</v>
      </c>
      <c r="B13" s="19">
        <v>46</v>
      </c>
      <c r="C13" s="19">
        <v>280.69844043360786</v>
      </c>
      <c r="D13" s="19">
        <v>6.1021400094262574</v>
      </c>
      <c r="E13" s="19"/>
      <c r="F13" s="19"/>
    </row>
    <row r="14" spans="1:7" ht="15.75" thickBot="1" x14ac:dyDescent="0.3">
      <c r="A14" s="20" t="s">
        <v>1</v>
      </c>
      <c r="B14" s="20">
        <v>49</v>
      </c>
      <c r="C14" s="20">
        <v>423.24879999999996</v>
      </c>
      <c r="D14" s="20"/>
      <c r="E14" s="20"/>
      <c r="F14" s="20"/>
    </row>
    <row r="15" spans="1:7" ht="15.75" thickBot="1" x14ac:dyDescent="0.3"/>
    <row r="16" spans="1:7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</row>
    <row r="17" spans="1:7" x14ac:dyDescent="0.25">
      <c r="A17" s="19" t="s">
        <v>296</v>
      </c>
      <c r="B17" s="19">
        <v>0.43712521875191612</v>
      </c>
      <c r="C17" s="19">
        <v>3.9875336904973384</v>
      </c>
      <c r="D17" s="19">
        <v>0.10962295310347495</v>
      </c>
      <c r="E17" s="19">
        <v>0.91318525331884337</v>
      </c>
      <c r="F17" s="19">
        <v>-7.5893637973931281</v>
      </c>
      <c r="G17" s="19">
        <v>8.4636142348969603</v>
      </c>
    </row>
    <row r="18" spans="1:7" x14ac:dyDescent="0.25">
      <c r="A18" s="19" t="s">
        <v>144</v>
      </c>
      <c r="B18" s="19">
        <v>1.279369653049887</v>
      </c>
      <c r="C18" s="19">
        <v>0.3006729090126502</v>
      </c>
      <c r="D18" s="19">
        <v>4.255021369404651</v>
      </c>
      <c r="E18" s="19">
        <v>1.0162763056825428E-4</v>
      </c>
      <c r="F18" s="19">
        <v>0.67414647778402126</v>
      </c>
      <c r="G18" s="19">
        <v>1.8845928283157529</v>
      </c>
    </row>
    <row r="19" spans="1:7" x14ac:dyDescent="0.25">
      <c r="A19" s="19" t="s">
        <v>145</v>
      </c>
      <c r="B19" s="19">
        <v>3.6326923072065739E-2</v>
      </c>
      <c r="C19" s="19">
        <v>3.3602531929280269E-2</v>
      </c>
      <c r="D19" s="19">
        <v>1.0810769601683352</v>
      </c>
      <c r="E19" s="19">
        <v>0.28529815262504604</v>
      </c>
      <c r="F19" s="19">
        <v>-3.1311465560932131E-2</v>
      </c>
      <c r="G19" s="19">
        <v>0.10396531170506361</v>
      </c>
    </row>
    <row r="20" spans="1:7" ht="15.75" thickBot="1" x14ac:dyDescent="0.3">
      <c r="A20" s="20" t="s">
        <v>146</v>
      </c>
      <c r="B20" s="20">
        <v>1.4214989878583481E-3</v>
      </c>
      <c r="C20" s="20">
        <v>2.2421016620427178E-3</v>
      </c>
      <c r="D20" s="20">
        <v>0.63400291428501021</v>
      </c>
      <c r="E20" s="20">
        <v>0.52921921764794777</v>
      </c>
      <c r="F20" s="20">
        <v>-3.091617579997377E-3</v>
      </c>
      <c r="G20" s="20">
        <v>5.9346155557140736E-3</v>
      </c>
    </row>
    <row r="24" spans="1:7" x14ac:dyDescent="0.25">
      <c r="A24" t="s">
        <v>301</v>
      </c>
      <c r="F24" t="s">
        <v>305</v>
      </c>
    </row>
    <row r="25" spans="1:7" ht="15.75" thickBot="1" x14ac:dyDescent="0.3"/>
    <row r="26" spans="1:7" x14ac:dyDescent="0.25">
      <c r="A26" s="18" t="s">
        <v>302</v>
      </c>
      <c r="B26" s="18" t="s">
        <v>411</v>
      </c>
      <c r="C26" s="18" t="s">
        <v>303</v>
      </c>
      <c r="D26" s="18" t="s">
        <v>304</v>
      </c>
      <c r="F26" s="18" t="s">
        <v>306</v>
      </c>
      <c r="G26" s="18" t="s">
        <v>143</v>
      </c>
    </row>
    <row r="27" spans="1:7" x14ac:dyDescent="0.25">
      <c r="A27" s="19">
        <v>1</v>
      </c>
      <c r="B27" s="19">
        <v>15.168482465280009</v>
      </c>
      <c r="C27" s="19">
        <v>0.53151753471999008</v>
      </c>
      <c r="D27" s="19">
        <v>0.22207293714662787</v>
      </c>
      <c r="F27" s="19">
        <v>1</v>
      </c>
      <c r="G27" s="19">
        <v>7.6</v>
      </c>
    </row>
    <row r="28" spans="1:7" x14ac:dyDescent="0.25">
      <c r="A28" s="19">
        <v>2</v>
      </c>
      <c r="B28" s="19">
        <v>12.770194096327922</v>
      </c>
      <c r="C28" s="19">
        <v>-4.3701940963279213</v>
      </c>
      <c r="D28" s="19">
        <v>-1.8259074733699368</v>
      </c>
      <c r="F28" s="19">
        <v>3</v>
      </c>
      <c r="G28" s="19">
        <v>8.1</v>
      </c>
    </row>
    <row r="29" spans="1:7" x14ac:dyDescent="0.25">
      <c r="A29" s="19">
        <v>3</v>
      </c>
      <c r="B29" s="19">
        <v>12.453734351399657</v>
      </c>
      <c r="C29" s="19">
        <v>2.2462656486003425</v>
      </c>
      <c r="D29" s="19">
        <v>0.93851054313578841</v>
      </c>
      <c r="F29" s="19">
        <v>5</v>
      </c>
      <c r="G29" s="19">
        <v>8.4</v>
      </c>
    </row>
    <row r="30" spans="1:7" x14ac:dyDescent="0.25">
      <c r="A30" s="19">
        <v>4</v>
      </c>
      <c r="B30" s="19">
        <v>14.998941387354511</v>
      </c>
      <c r="C30" s="19">
        <v>2.3010586126454893</v>
      </c>
      <c r="D30" s="19">
        <v>0.96140354979244669</v>
      </c>
      <c r="F30" s="19">
        <v>7</v>
      </c>
      <c r="G30" s="19">
        <v>8.6999999999999993</v>
      </c>
    </row>
    <row r="31" spans="1:7" x14ac:dyDescent="0.25">
      <c r="A31" s="19">
        <v>5</v>
      </c>
      <c r="B31" s="19">
        <v>10.360946134637627</v>
      </c>
      <c r="C31" s="19">
        <v>2.9390538653623732</v>
      </c>
      <c r="D31" s="19">
        <v>1.2279638613559833</v>
      </c>
      <c r="F31" s="19">
        <v>9</v>
      </c>
      <c r="G31" s="19">
        <v>9.1</v>
      </c>
    </row>
    <row r="32" spans="1:7" x14ac:dyDescent="0.25">
      <c r="A32" s="19">
        <v>6</v>
      </c>
      <c r="B32" s="19">
        <v>11.483693052508372</v>
      </c>
      <c r="C32" s="19">
        <v>-8.3693052508371224E-2</v>
      </c>
      <c r="D32" s="19">
        <v>-3.4967730648984632E-2</v>
      </c>
      <c r="F32" s="19">
        <v>11</v>
      </c>
      <c r="G32" s="19">
        <v>9.3000000000000007</v>
      </c>
    </row>
    <row r="33" spans="1:7" x14ac:dyDescent="0.25">
      <c r="A33" s="19">
        <v>7</v>
      </c>
      <c r="B33" s="19">
        <v>11.79470492807466</v>
      </c>
      <c r="C33" s="19">
        <v>-2.4947049280746594</v>
      </c>
      <c r="D33" s="19">
        <v>-1.0423107696410505</v>
      </c>
      <c r="F33" s="19">
        <v>13</v>
      </c>
      <c r="G33" s="19">
        <v>9.4</v>
      </c>
    </row>
    <row r="34" spans="1:7" x14ac:dyDescent="0.25">
      <c r="A34" s="19">
        <v>8</v>
      </c>
      <c r="B34" s="19">
        <v>14.733447771089935</v>
      </c>
      <c r="C34" s="19">
        <v>-4.733447771089935</v>
      </c>
      <c r="D34" s="19">
        <v>-1.9776782150938266</v>
      </c>
      <c r="F34" s="19">
        <v>15</v>
      </c>
      <c r="G34" s="19">
        <v>9.6</v>
      </c>
    </row>
    <row r="35" spans="1:7" x14ac:dyDescent="0.25">
      <c r="A35" s="19">
        <v>9</v>
      </c>
      <c r="B35" s="19">
        <v>13.702989401864992</v>
      </c>
      <c r="C35" s="19">
        <v>-0.5029894018649923</v>
      </c>
      <c r="D35" s="19">
        <v>-0.21015361964423146</v>
      </c>
      <c r="F35" s="19">
        <v>17</v>
      </c>
      <c r="G35" s="19">
        <v>9.6</v>
      </c>
    </row>
    <row r="36" spans="1:7" x14ac:dyDescent="0.25">
      <c r="A36" s="19">
        <v>10</v>
      </c>
      <c r="B36" s="19">
        <v>13.876437321067451</v>
      </c>
      <c r="C36" s="19">
        <v>0.82356267893254831</v>
      </c>
      <c r="D36" s="19">
        <v>0.34409209685103892</v>
      </c>
      <c r="F36" s="19">
        <v>19</v>
      </c>
      <c r="G36" s="19">
        <v>10</v>
      </c>
    </row>
    <row r="37" spans="1:7" x14ac:dyDescent="0.25">
      <c r="A37" s="19">
        <v>11</v>
      </c>
      <c r="B37" s="19">
        <v>9.0671031505498636</v>
      </c>
      <c r="C37" s="19">
        <v>3.2896849450136045E-2</v>
      </c>
      <c r="D37" s="19">
        <v>1.3744607662117428E-2</v>
      </c>
      <c r="F37" s="19">
        <v>21</v>
      </c>
      <c r="G37" s="19">
        <v>10</v>
      </c>
    </row>
    <row r="38" spans="1:7" x14ac:dyDescent="0.25">
      <c r="A38" s="19">
        <v>12</v>
      </c>
      <c r="B38" s="19">
        <v>12.913696631816233</v>
      </c>
      <c r="C38" s="19">
        <v>-0.31369663181623331</v>
      </c>
      <c r="D38" s="19">
        <v>-0.13106535128165592</v>
      </c>
      <c r="F38" s="19">
        <v>23</v>
      </c>
      <c r="G38" s="19">
        <v>10.199999999999999</v>
      </c>
    </row>
    <row r="39" spans="1:7" x14ac:dyDescent="0.25">
      <c r="A39" s="19">
        <v>13</v>
      </c>
      <c r="B39" s="19">
        <v>13.409129334359276</v>
      </c>
      <c r="C39" s="19">
        <v>-1.2091293343592771</v>
      </c>
      <c r="D39" s="19">
        <v>-0.50518540806517076</v>
      </c>
      <c r="F39" s="19">
        <v>25</v>
      </c>
      <c r="G39" s="19">
        <v>10.4</v>
      </c>
    </row>
    <row r="40" spans="1:7" x14ac:dyDescent="0.25">
      <c r="A40" s="19">
        <v>14</v>
      </c>
      <c r="B40" s="19">
        <v>14.343063758629301</v>
      </c>
      <c r="C40" s="19">
        <v>-1.243063758629301</v>
      </c>
      <c r="D40" s="19">
        <v>-0.51936352407406972</v>
      </c>
      <c r="F40" s="19">
        <v>27</v>
      </c>
      <c r="G40" s="19">
        <v>10.6</v>
      </c>
    </row>
    <row r="41" spans="1:7" x14ac:dyDescent="0.25">
      <c r="A41" s="19">
        <v>15</v>
      </c>
      <c r="B41" s="19">
        <v>10.801749432233862</v>
      </c>
      <c r="C41" s="19">
        <v>0.69825056776613792</v>
      </c>
      <c r="D41" s="19">
        <v>0.29173553894099774</v>
      </c>
      <c r="F41" s="19">
        <v>29</v>
      </c>
      <c r="G41" s="19">
        <v>10.8</v>
      </c>
    </row>
    <row r="42" spans="1:7" x14ac:dyDescent="0.25">
      <c r="A42" s="19">
        <v>16</v>
      </c>
      <c r="B42" s="19">
        <v>13.386495433605791</v>
      </c>
      <c r="C42" s="19">
        <v>-2.0864954336057906</v>
      </c>
      <c r="D42" s="19">
        <v>-0.87175707105874778</v>
      </c>
      <c r="F42" s="19">
        <v>31</v>
      </c>
      <c r="G42" s="19">
        <v>11.3</v>
      </c>
    </row>
    <row r="43" spans="1:7" x14ac:dyDescent="0.25">
      <c r="A43" s="19">
        <v>17</v>
      </c>
      <c r="B43" s="19">
        <v>13.717687401385909</v>
      </c>
      <c r="C43" s="19">
        <v>3.5823125986140916</v>
      </c>
      <c r="D43" s="19">
        <v>1.4967233037207281</v>
      </c>
      <c r="F43" s="19">
        <v>33</v>
      </c>
      <c r="G43" s="19">
        <v>11.3</v>
      </c>
    </row>
    <row r="44" spans="1:7" x14ac:dyDescent="0.25">
      <c r="A44" s="19">
        <v>18</v>
      </c>
      <c r="B44" s="19">
        <v>16.495289411657392</v>
      </c>
      <c r="C44" s="19">
        <v>0.80471058834260845</v>
      </c>
      <c r="D44" s="19">
        <v>0.33621551921213227</v>
      </c>
      <c r="F44" s="19">
        <v>35</v>
      </c>
      <c r="G44" s="19">
        <v>11.3</v>
      </c>
    </row>
    <row r="45" spans="1:7" x14ac:dyDescent="0.25">
      <c r="A45" s="19">
        <v>19</v>
      </c>
      <c r="B45" s="19">
        <v>12.166437679535267</v>
      </c>
      <c r="C45" s="19">
        <v>0.13356232046473338</v>
      </c>
      <c r="D45" s="19">
        <v>5.5803571585550903E-2</v>
      </c>
      <c r="F45" s="19">
        <v>37</v>
      </c>
      <c r="G45" s="19">
        <v>11.4</v>
      </c>
    </row>
    <row r="46" spans="1:7" x14ac:dyDescent="0.25">
      <c r="A46" s="19">
        <v>20</v>
      </c>
      <c r="B46" s="19">
        <v>13.887597669367663</v>
      </c>
      <c r="C46" s="19">
        <v>-5.7875976693676634</v>
      </c>
      <c r="D46" s="19">
        <v>-2.4181117827778729</v>
      </c>
      <c r="F46" s="19">
        <v>39</v>
      </c>
      <c r="G46" s="19">
        <v>11.5</v>
      </c>
    </row>
    <row r="47" spans="1:7" x14ac:dyDescent="0.25">
      <c r="A47" s="19">
        <v>21</v>
      </c>
      <c r="B47" s="19">
        <v>10.32299043884211</v>
      </c>
      <c r="C47" s="19">
        <v>-0.32299043884211009</v>
      </c>
      <c r="D47" s="19">
        <v>-0.13494838973042075</v>
      </c>
      <c r="F47" s="19">
        <v>41</v>
      </c>
      <c r="G47" s="19">
        <v>11.7</v>
      </c>
    </row>
    <row r="48" spans="1:7" x14ac:dyDescent="0.25">
      <c r="A48" s="19">
        <v>22</v>
      </c>
      <c r="B48" s="19">
        <v>13.615527563643827</v>
      </c>
      <c r="C48" s="19">
        <v>0.78447243635617347</v>
      </c>
      <c r="D48" s="19">
        <v>0.32775983231477501</v>
      </c>
      <c r="F48" s="19">
        <v>43</v>
      </c>
      <c r="G48" s="19">
        <v>12</v>
      </c>
    </row>
    <row r="49" spans="1:7" x14ac:dyDescent="0.25">
      <c r="A49" s="19">
        <v>23</v>
      </c>
      <c r="B49" s="19">
        <v>10.734985254448009</v>
      </c>
      <c r="C49" s="19">
        <v>-1.1349852544480097</v>
      </c>
      <c r="D49" s="19">
        <v>-0.47420732639830038</v>
      </c>
      <c r="F49" s="19">
        <v>45</v>
      </c>
      <c r="G49" s="19">
        <v>12.1</v>
      </c>
    </row>
    <row r="50" spans="1:7" x14ac:dyDescent="0.25">
      <c r="A50" s="19">
        <v>24</v>
      </c>
      <c r="B50" s="19">
        <v>16.613871588317885</v>
      </c>
      <c r="C50" s="19">
        <v>4.5861284116821146</v>
      </c>
      <c r="D50" s="19">
        <v>1.9161268255249209</v>
      </c>
      <c r="F50" s="19">
        <v>47</v>
      </c>
      <c r="G50" s="19">
        <v>12.2</v>
      </c>
    </row>
    <row r="51" spans="1:7" x14ac:dyDescent="0.25">
      <c r="A51" s="19">
        <v>25</v>
      </c>
      <c r="B51" s="19">
        <v>13.711013366979067</v>
      </c>
      <c r="C51" s="19">
        <v>-0.31101336697906667</v>
      </c>
      <c r="D51" s="19">
        <v>-0.12994425843973156</v>
      </c>
      <c r="F51" s="19">
        <v>49</v>
      </c>
      <c r="G51" s="19">
        <v>12.3</v>
      </c>
    </row>
    <row r="52" spans="1:7" x14ac:dyDescent="0.25">
      <c r="A52" s="19">
        <v>26</v>
      </c>
      <c r="B52" s="19">
        <v>11.55256440695972</v>
      </c>
      <c r="C52" s="19">
        <v>3.2474355930402812</v>
      </c>
      <c r="D52" s="19">
        <v>1.3568085965797467</v>
      </c>
      <c r="F52" s="19">
        <v>51</v>
      </c>
      <c r="G52" s="19">
        <v>12.5</v>
      </c>
    </row>
    <row r="53" spans="1:7" x14ac:dyDescent="0.25">
      <c r="A53" s="19">
        <v>27</v>
      </c>
      <c r="B53" s="19">
        <v>11.350737524842538</v>
      </c>
      <c r="C53" s="19">
        <v>-0.55073752484253724</v>
      </c>
      <c r="D53" s="19">
        <v>-0.23010322660959318</v>
      </c>
      <c r="F53" s="19">
        <v>53</v>
      </c>
      <c r="G53" s="19">
        <v>12.6</v>
      </c>
    </row>
    <row r="54" spans="1:7" x14ac:dyDescent="0.25">
      <c r="A54" s="19">
        <v>28</v>
      </c>
      <c r="B54" s="19">
        <v>12.630597532474958</v>
      </c>
      <c r="C54" s="19">
        <v>-1.3305975324749575</v>
      </c>
      <c r="D54" s="19">
        <v>-0.55593594358544907</v>
      </c>
      <c r="F54" s="19">
        <v>55</v>
      </c>
      <c r="G54" s="19">
        <v>13.1</v>
      </c>
    </row>
    <row r="55" spans="1:7" x14ac:dyDescent="0.25">
      <c r="A55" s="19">
        <v>29</v>
      </c>
      <c r="B55" s="19">
        <v>11.905207608821607</v>
      </c>
      <c r="C55" s="19">
        <v>-4.3052076088216076</v>
      </c>
      <c r="D55" s="19">
        <v>-1.7987555184246073</v>
      </c>
      <c r="F55" s="19">
        <v>57</v>
      </c>
      <c r="G55" s="19">
        <v>13.2</v>
      </c>
    </row>
    <row r="56" spans="1:7" x14ac:dyDescent="0.25">
      <c r="A56" s="19">
        <v>30</v>
      </c>
      <c r="B56" s="19">
        <v>10.703770804947251</v>
      </c>
      <c r="C56" s="19">
        <v>-2.0037708049472513</v>
      </c>
      <c r="D56" s="19">
        <v>-0.8371939568423109</v>
      </c>
      <c r="F56" s="19">
        <v>59</v>
      </c>
      <c r="G56" s="19">
        <v>13.3</v>
      </c>
    </row>
    <row r="57" spans="1:7" x14ac:dyDescent="0.25">
      <c r="A57" s="19">
        <v>31</v>
      </c>
      <c r="B57" s="19">
        <v>11.852963983075886</v>
      </c>
      <c r="C57" s="19">
        <v>5.247036016924115</v>
      </c>
      <c r="D57" s="19">
        <v>2.1922601296800797</v>
      </c>
      <c r="F57" s="19">
        <v>61</v>
      </c>
      <c r="G57" s="19">
        <v>13.4</v>
      </c>
    </row>
    <row r="58" spans="1:7" x14ac:dyDescent="0.25">
      <c r="A58" s="19">
        <v>32</v>
      </c>
      <c r="B58" s="19">
        <v>10.857452575591561</v>
      </c>
      <c r="C58" s="19">
        <v>2.7425474244084391</v>
      </c>
      <c r="D58" s="19">
        <v>1.1458616546360114</v>
      </c>
      <c r="F58" s="19">
        <v>63</v>
      </c>
      <c r="G58" s="19">
        <v>13.4</v>
      </c>
    </row>
    <row r="59" spans="1:7" x14ac:dyDescent="0.25">
      <c r="A59" s="19">
        <v>33</v>
      </c>
      <c r="B59" s="19">
        <v>14.148922758102401</v>
      </c>
      <c r="C59" s="19">
        <v>0.45107724189759857</v>
      </c>
      <c r="D59" s="19">
        <v>0.18846423954944688</v>
      </c>
      <c r="F59" s="19">
        <v>65</v>
      </c>
      <c r="G59" s="19">
        <v>13.6</v>
      </c>
    </row>
    <row r="60" spans="1:7" x14ac:dyDescent="0.25">
      <c r="A60" s="19">
        <v>34</v>
      </c>
      <c r="B60" s="19">
        <v>11.379935658704408</v>
      </c>
      <c r="C60" s="19">
        <v>0.62006434129559196</v>
      </c>
      <c r="D60" s="19">
        <v>0.25906861109284568</v>
      </c>
      <c r="F60" s="19">
        <v>67</v>
      </c>
      <c r="G60" s="19">
        <v>13.6</v>
      </c>
    </row>
    <row r="61" spans="1:7" x14ac:dyDescent="0.25">
      <c r="A61" s="19">
        <v>35</v>
      </c>
      <c r="B61" s="19">
        <v>13.983290890156367</v>
      </c>
      <c r="C61" s="19">
        <v>-0.58329089015636626</v>
      </c>
      <c r="D61" s="19">
        <v>-0.24370432342582071</v>
      </c>
      <c r="F61" s="19">
        <v>69</v>
      </c>
      <c r="G61" s="19">
        <v>14.4</v>
      </c>
    </row>
    <row r="62" spans="1:7" x14ac:dyDescent="0.25">
      <c r="A62" s="19">
        <v>36</v>
      </c>
      <c r="B62" s="19">
        <v>14.22089410117899</v>
      </c>
      <c r="C62" s="19">
        <v>1.6791058988210104</v>
      </c>
      <c r="D62" s="19">
        <v>0.70154595920875906</v>
      </c>
      <c r="F62" s="19">
        <v>71</v>
      </c>
      <c r="G62" s="19">
        <v>14.6</v>
      </c>
    </row>
    <row r="63" spans="1:7" x14ac:dyDescent="0.25">
      <c r="A63" s="19">
        <v>37</v>
      </c>
      <c r="B63" s="19">
        <v>11.157006478778396</v>
      </c>
      <c r="C63" s="19">
        <v>2.4429935212216041</v>
      </c>
      <c r="D63" s="19">
        <v>1.0207052660523646</v>
      </c>
      <c r="F63" s="19">
        <v>73</v>
      </c>
      <c r="G63" s="19">
        <v>14.7</v>
      </c>
    </row>
    <row r="64" spans="1:7" x14ac:dyDescent="0.25">
      <c r="A64" s="19">
        <v>38</v>
      </c>
      <c r="B64" s="19">
        <v>13.855600457391626</v>
      </c>
      <c r="C64" s="19">
        <v>-1.7556004573916262</v>
      </c>
      <c r="D64" s="19">
        <v>-0.73350609257756794</v>
      </c>
      <c r="F64" s="19">
        <v>75</v>
      </c>
      <c r="G64" s="19">
        <v>14.7</v>
      </c>
    </row>
    <row r="65" spans="1:7" x14ac:dyDescent="0.25">
      <c r="A65" s="19">
        <v>39</v>
      </c>
      <c r="B65" s="19">
        <v>11.778733948462614</v>
      </c>
      <c r="C65" s="19">
        <v>-7.8733948462614833E-2</v>
      </c>
      <c r="D65" s="19">
        <v>-3.2895771157305742E-2</v>
      </c>
      <c r="F65" s="19">
        <v>77</v>
      </c>
      <c r="G65" s="19">
        <v>14.8</v>
      </c>
    </row>
    <row r="66" spans="1:7" x14ac:dyDescent="0.25">
      <c r="A66" s="19">
        <v>40</v>
      </c>
      <c r="B66" s="19">
        <v>14.801806207135078</v>
      </c>
      <c r="C66" s="19">
        <v>0.89819379286492129</v>
      </c>
      <c r="D66" s="19">
        <v>0.37527366583204691</v>
      </c>
      <c r="F66" s="19">
        <v>79</v>
      </c>
      <c r="G66" s="19">
        <v>15.5</v>
      </c>
    </row>
    <row r="67" spans="1:7" x14ac:dyDescent="0.25">
      <c r="A67" s="19">
        <v>41</v>
      </c>
      <c r="B67" s="19">
        <v>12.708957171550267</v>
      </c>
      <c r="C67" s="19">
        <v>-0.20895717155026716</v>
      </c>
      <c r="D67" s="19">
        <v>-8.730423700596382E-2</v>
      </c>
      <c r="F67" s="19">
        <v>81</v>
      </c>
      <c r="G67" s="19">
        <v>15.7</v>
      </c>
    </row>
    <row r="68" spans="1:7" x14ac:dyDescent="0.25">
      <c r="A68" s="19">
        <v>42</v>
      </c>
      <c r="B68" s="19">
        <v>15.558122806587869</v>
      </c>
      <c r="C68" s="19">
        <v>-5.8122806587869391E-2</v>
      </c>
      <c r="D68" s="19">
        <v>-2.4284245638242882E-2</v>
      </c>
      <c r="F68" s="19">
        <v>83</v>
      </c>
      <c r="G68" s="19">
        <v>15.7</v>
      </c>
    </row>
    <row r="69" spans="1:7" x14ac:dyDescent="0.25">
      <c r="A69" s="19">
        <v>43</v>
      </c>
      <c r="B69" s="19">
        <v>12.088470187680537</v>
      </c>
      <c r="C69" s="19">
        <v>3.7115298123194638</v>
      </c>
      <c r="D69" s="19">
        <v>1.5507114495540968</v>
      </c>
      <c r="F69" s="19">
        <v>85</v>
      </c>
      <c r="G69" s="19">
        <v>15.8</v>
      </c>
    </row>
    <row r="70" spans="1:7" x14ac:dyDescent="0.25">
      <c r="A70" s="19">
        <v>44</v>
      </c>
      <c r="B70" s="19">
        <v>10.671011249440653</v>
      </c>
      <c r="C70" s="19">
        <v>-1.0710112494406534</v>
      </c>
      <c r="D70" s="19">
        <v>-0.44747839599621864</v>
      </c>
      <c r="F70" s="19">
        <v>87</v>
      </c>
      <c r="G70" s="19">
        <v>15.9</v>
      </c>
    </row>
    <row r="71" spans="1:7" x14ac:dyDescent="0.25">
      <c r="A71" s="19">
        <v>45</v>
      </c>
      <c r="B71" s="19">
        <v>11.15258597785637</v>
      </c>
      <c r="C71" s="19">
        <v>-0.55258597785637065</v>
      </c>
      <c r="D71" s="19">
        <v>-0.2308755273581955</v>
      </c>
      <c r="F71" s="19">
        <v>89</v>
      </c>
      <c r="G71" s="19">
        <v>17</v>
      </c>
    </row>
    <row r="72" spans="1:7" x14ac:dyDescent="0.25">
      <c r="A72" s="19">
        <v>46</v>
      </c>
      <c r="B72" s="19">
        <v>12.557052100872401</v>
      </c>
      <c r="C72" s="19">
        <v>-2.3570521008724015</v>
      </c>
      <c r="D72" s="19">
        <v>-0.98479814654490605</v>
      </c>
      <c r="F72" s="19">
        <v>91</v>
      </c>
      <c r="G72" s="19">
        <v>17.100000000000001</v>
      </c>
    </row>
    <row r="73" spans="1:7" x14ac:dyDescent="0.25">
      <c r="A73" s="19">
        <v>47</v>
      </c>
      <c r="B73" s="19">
        <v>9.9856930226674407</v>
      </c>
      <c r="C73" s="19">
        <v>1.31430697733256</v>
      </c>
      <c r="D73" s="19">
        <v>0.54912959912472081</v>
      </c>
      <c r="F73" s="19">
        <v>93</v>
      </c>
      <c r="G73" s="19">
        <v>17.3</v>
      </c>
    </row>
    <row r="74" spans="1:7" x14ac:dyDescent="0.25">
      <c r="A74" s="19">
        <v>48</v>
      </c>
      <c r="B74" s="19">
        <v>13.729451814140557</v>
      </c>
      <c r="C74" s="19">
        <v>3.2705481858594432</v>
      </c>
      <c r="D74" s="19">
        <v>1.3664652514164104</v>
      </c>
      <c r="F74" s="19">
        <v>95</v>
      </c>
      <c r="G74" s="19">
        <v>17.3</v>
      </c>
    </row>
    <row r="75" spans="1:7" x14ac:dyDescent="0.25">
      <c r="A75" s="19">
        <v>49</v>
      </c>
      <c r="B75" s="19">
        <v>12.296174498038839</v>
      </c>
      <c r="C75" s="19">
        <v>-1.8961744980388389</v>
      </c>
      <c r="D75" s="19">
        <v>-0.79223922564257931</v>
      </c>
      <c r="F75" s="19">
        <v>97</v>
      </c>
      <c r="G75" s="19">
        <v>17.3</v>
      </c>
    </row>
    <row r="76" spans="1:7" ht="15.75" thickBot="1" x14ac:dyDescent="0.3">
      <c r="A76" s="20">
        <v>50</v>
      </c>
      <c r="B76" s="20">
        <v>13.142787209565174</v>
      </c>
      <c r="C76" s="20">
        <v>-3.742787209565174</v>
      </c>
      <c r="D76" s="20">
        <v>-1.5637710789369179</v>
      </c>
      <c r="F76" s="20">
        <v>99</v>
      </c>
      <c r="G76" s="20">
        <v>21.2</v>
      </c>
    </row>
  </sheetData>
  <sortState ref="G27:G76">
    <sortCondition ref="G27"/>
  </sortState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G74"/>
  <sheetViews>
    <sheetView workbookViewId="0"/>
  </sheetViews>
  <sheetFormatPr defaultRowHeight="15" x14ac:dyDescent="0.25"/>
  <cols>
    <col min="1" max="1" width="17.42578125" customWidth="1"/>
    <col min="2" max="2" width="16.85546875" customWidth="1"/>
    <col min="3" max="3" width="12.5703125" customWidth="1"/>
    <col min="4" max="4" width="17.28515625" customWidth="1"/>
    <col min="6" max="7" width="12.140625" customWidth="1"/>
  </cols>
  <sheetData>
    <row r="1" spans="1:7" x14ac:dyDescent="0.25">
      <c r="A1" t="s">
        <v>290</v>
      </c>
    </row>
    <row r="2" spans="1:7" ht="15.75" thickBot="1" x14ac:dyDescent="0.3"/>
    <row r="3" spans="1:7" x14ac:dyDescent="0.25">
      <c r="A3" s="21" t="s">
        <v>291</v>
      </c>
      <c r="B3" s="21"/>
    </row>
    <row r="4" spans="1:7" x14ac:dyDescent="0.25">
      <c r="A4" s="19" t="s">
        <v>292</v>
      </c>
      <c r="B4" s="19">
        <v>0.56442956793415189</v>
      </c>
    </row>
    <row r="5" spans="1:7" x14ac:dyDescent="0.25">
      <c r="A5" s="19" t="s">
        <v>285</v>
      </c>
      <c r="B5" s="19">
        <v>0.31858073715833335</v>
      </c>
    </row>
    <row r="6" spans="1:7" x14ac:dyDescent="0.25">
      <c r="A6" s="19" t="s">
        <v>293</v>
      </c>
      <c r="B6" s="19">
        <v>0.30438450251579863</v>
      </c>
    </row>
    <row r="7" spans="1:7" x14ac:dyDescent="0.25">
      <c r="A7" s="19" t="s">
        <v>11</v>
      </c>
      <c r="B7" s="19">
        <v>2.4512321956459466</v>
      </c>
    </row>
    <row r="8" spans="1:7" ht="15.75" thickBot="1" x14ac:dyDescent="0.3">
      <c r="A8" s="20" t="s">
        <v>81</v>
      </c>
      <c r="B8" s="20">
        <v>50</v>
      </c>
    </row>
    <row r="10" spans="1:7" ht="15.75" thickBot="1" x14ac:dyDescent="0.3">
      <c r="A10" t="s">
        <v>294</v>
      </c>
    </row>
    <row r="11" spans="1:7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</row>
    <row r="12" spans="1:7" x14ac:dyDescent="0.25">
      <c r="A12" s="19" t="s">
        <v>222</v>
      </c>
      <c r="B12" s="19">
        <v>1</v>
      </c>
      <c r="C12" s="19">
        <v>134.83891470537998</v>
      </c>
      <c r="D12" s="19">
        <v>134.83891470537998</v>
      </c>
      <c r="E12" s="19">
        <v>22.441213827489335</v>
      </c>
      <c r="F12" s="19">
        <v>1.9607327286956678E-5</v>
      </c>
    </row>
    <row r="13" spans="1:7" x14ac:dyDescent="0.25">
      <c r="A13" s="19" t="s">
        <v>295</v>
      </c>
      <c r="B13" s="19">
        <v>48</v>
      </c>
      <c r="C13" s="19">
        <v>288.40988529461998</v>
      </c>
      <c r="D13" s="19">
        <v>6.0085392769712493</v>
      </c>
      <c r="E13" s="19"/>
      <c r="F13" s="19"/>
    </row>
    <row r="14" spans="1:7" ht="15.75" thickBot="1" x14ac:dyDescent="0.3">
      <c r="A14" s="20" t="s">
        <v>1</v>
      </c>
      <c r="B14" s="20">
        <v>49</v>
      </c>
      <c r="C14" s="20">
        <v>423.24879999999996</v>
      </c>
      <c r="D14" s="20"/>
      <c r="E14" s="20"/>
      <c r="F14" s="20"/>
    </row>
    <row r="15" spans="1:7" ht="15.75" thickBot="1" x14ac:dyDescent="0.3"/>
    <row r="16" spans="1:7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</row>
    <row r="17" spans="1:7" x14ac:dyDescent="0.25">
      <c r="A17" s="19" t="s">
        <v>296</v>
      </c>
      <c r="B17" s="19">
        <v>4.2690992314261393</v>
      </c>
      <c r="C17" s="19">
        <v>1.8197942130118463</v>
      </c>
      <c r="D17" s="19">
        <v>2.3459241714812227</v>
      </c>
      <c r="E17" s="19">
        <v>2.3158321935178951E-2</v>
      </c>
      <c r="F17" s="19">
        <v>0.61015773502108672</v>
      </c>
      <c r="G17" s="19">
        <v>7.928040727831192</v>
      </c>
    </row>
    <row r="18" spans="1:7" ht="15.75" thickBot="1" x14ac:dyDescent="0.3">
      <c r="A18" s="20" t="s">
        <v>144</v>
      </c>
      <c r="B18" s="20">
        <v>1.2390777113578131</v>
      </c>
      <c r="C18" s="20">
        <v>0.26156243574638349</v>
      </c>
      <c r="D18" s="20">
        <v>4.7372158307902028</v>
      </c>
      <c r="E18" s="20">
        <v>1.9607327286956929E-5</v>
      </c>
      <c r="F18" s="20">
        <v>0.71317118675727975</v>
      </c>
      <c r="G18" s="20">
        <v>1.7649842359583463</v>
      </c>
    </row>
    <row r="22" spans="1:7" x14ac:dyDescent="0.25">
      <c r="A22" t="s">
        <v>301</v>
      </c>
      <c r="F22" t="s">
        <v>305</v>
      </c>
    </row>
    <row r="23" spans="1:7" ht="15.75" thickBot="1" x14ac:dyDescent="0.3"/>
    <row r="24" spans="1:7" x14ac:dyDescent="0.25">
      <c r="A24" s="18" t="s">
        <v>302</v>
      </c>
      <c r="B24" s="18" t="s">
        <v>411</v>
      </c>
      <c r="C24" s="18" t="s">
        <v>303</v>
      </c>
      <c r="D24" s="18" t="s">
        <v>304</v>
      </c>
      <c r="F24" s="18" t="s">
        <v>306</v>
      </c>
      <c r="G24" s="18" t="s">
        <v>143</v>
      </c>
    </row>
    <row r="25" spans="1:7" x14ac:dyDescent="0.25">
      <c r="A25" s="19">
        <v>1</v>
      </c>
      <c r="B25" s="19">
        <v>15.420798633646458</v>
      </c>
      <c r="C25" s="19">
        <v>0.27920136635354176</v>
      </c>
      <c r="D25" s="19">
        <v>0.11508282346329814</v>
      </c>
      <c r="F25" s="19">
        <v>1</v>
      </c>
      <c r="G25" s="19">
        <v>7.6</v>
      </c>
    </row>
    <row r="26" spans="1:7" x14ac:dyDescent="0.25">
      <c r="A26" s="19">
        <v>2</v>
      </c>
      <c r="B26" s="19">
        <v>12.81873543979505</v>
      </c>
      <c r="C26" s="19">
        <v>-4.41873543979505</v>
      </c>
      <c r="D26" s="19">
        <v>-1.8213397634488406</v>
      </c>
      <c r="F26" s="19">
        <v>3</v>
      </c>
      <c r="G26" s="19">
        <v>8.1</v>
      </c>
    </row>
    <row r="27" spans="1:7" x14ac:dyDescent="0.25">
      <c r="A27" s="19">
        <v>3</v>
      </c>
      <c r="B27" s="19">
        <v>12.199196584116144</v>
      </c>
      <c r="C27" s="19">
        <v>2.5008034158838548</v>
      </c>
      <c r="D27" s="19">
        <v>1.0307955214737214</v>
      </c>
      <c r="F27" s="19">
        <v>5</v>
      </c>
      <c r="G27" s="19">
        <v>8.4</v>
      </c>
    </row>
    <row r="28" spans="1:7" x14ac:dyDescent="0.25">
      <c r="A28" s="19">
        <v>4</v>
      </c>
      <c r="B28" s="19">
        <v>14.80125977796755</v>
      </c>
      <c r="C28" s="19">
        <v>2.4987402220324508</v>
      </c>
      <c r="D28" s="19">
        <v>1.0299451023770219</v>
      </c>
      <c r="F28" s="19">
        <v>7</v>
      </c>
      <c r="G28" s="19">
        <v>8.6999999999999993</v>
      </c>
    </row>
    <row r="29" spans="1:7" x14ac:dyDescent="0.25">
      <c r="A29" s="19">
        <v>5</v>
      </c>
      <c r="B29" s="19">
        <v>10.464487788215205</v>
      </c>
      <c r="C29" s="19">
        <v>2.8355122117847955</v>
      </c>
      <c r="D29" s="19">
        <v>1.168757716191299</v>
      </c>
      <c r="F29" s="19">
        <v>9</v>
      </c>
      <c r="G29" s="19">
        <v>9.1</v>
      </c>
    </row>
    <row r="30" spans="1:7" x14ac:dyDescent="0.25">
      <c r="A30" s="19">
        <v>6</v>
      </c>
      <c r="B30" s="19">
        <v>11.331842186165673</v>
      </c>
      <c r="C30" s="19">
        <v>6.8157813834327285E-2</v>
      </c>
      <c r="D30" s="19">
        <v>2.8093679338259177E-2</v>
      </c>
      <c r="F30" s="19">
        <v>11</v>
      </c>
      <c r="G30" s="19">
        <v>9.3000000000000007</v>
      </c>
    </row>
    <row r="31" spans="1:7" x14ac:dyDescent="0.25">
      <c r="A31" s="19">
        <v>7</v>
      </c>
      <c r="B31" s="19">
        <v>11.951381041844581</v>
      </c>
      <c r="C31" s="19">
        <v>-2.65138104184458</v>
      </c>
      <c r="D31" s="19">
        <v>-1.0928614725551276</v>
      </c>
      <c r="F31" s="19">
        <v>13</v>
      </c>
      <c r="G31" s="19">
        <v>9.4</v>
      </c>
    </row>
    <row r="32" spans="1:7" x14ac:dyDescent="0.25">
      <c r="A32" s="19">
        <v>8</v>
      </c>
      <c r="B32" s="19">
        <v>14.55344423569599</v>
      </c>
      <c r="C32" s="19">
        <v>-4.5534442356959897</v>
      </c>
      <c r="D32" s="19">
        <v>-1.8768648089745521</v>
      </c>
      <c r="F32" s="19">
        <v>15</v>
      </c>
      <c r="G32" s="19">
        <v>9.6</v>
      </c>
    </row>
    <row r="33" spans="1:7" x14ac:dyDescent="0.25">
      <c r="A33" s="19">
        <v>9</v>
      </c>
      <c r="B33" s="19">
        <v>13.314366524338174</v>
      </c>
      <c r="C33" s="19">
        <v>-0.11436652433817507</v>
      </c>
      <c r="D33" s="19">
        <v>-4.7140251147106293E-2</v>
      </c>
      <c r="F33" s="19">
        <v>17</v>
      </c>
      <c r="G33" s="19">
        <v>9.6</v>
      </c>
    </row>
    <row r="34" spans="1:7" x14ac:dyDescent="0.25">
      <c r="A34" s="19">
        <v>10</v>
      </c>
      <c r="B34" s="19">
        <v>14.305628693424424</v>
      </c>
      <c r="C34" s="19">
        <v>0.39437130657557518</v>
      </c>
      <c r="D34" s="19">
        <v>0.16255423118580817</v>
      </c>
      <c r="F34" s="19">
        <v>19</v>
      </c>
      <c r="G34" s="19">
        <v>10</v>
      </c>
    </row>
    <row r="35" spans="1:7" x14ac:dyDescent="0.25">
      <c r="A35" s="19">
        <v>11</v>
      </c>
      <c r="B35" s="19">
        <v>11.207934415029893</v>
      </c>
      <c r="C35" s="19">
        <v>-2.1079344150298933</v>
      </c>
      <c r="D35" s="19">
        <v>-0.86886051929243557</v>
      </c>
      <c r="F35" s="19">
        <v>21</v>
      </c>
      <c r="G35" s="19">
        <v>10</v>
      </c>
    </row>
    <row r="36" spans="1:7" x14ac:dyDescent="0.25">
      <c r="A36" s="19">
        <v>12</v>
      </c>
      <c r="B36" s="19">
        <v>12.694827668659268</v>
      </c>
      <c r="C36" s="19">
        <v>-9.4827668659268838E-2</v>
      </c>
      <c r="D36" s="19">
        <v>-3.9086613343904682E-2</v>
      </c>
      <c r="F36" s="19">
        <v>23</v>
      </c>
      <c r="G36" s="19">
        <v>10.199999999999999</v>
      </c>
    </row>
    <row r="37" spans="1:7" x14ac:dyDescent="0.25">
      <c r="A37" s="19">
        <v>13</v>
      </c>
      <c r="B37" s="19">
        <v>13.314366524338174</v>
      </c>
      <c r="C37" s="19">
        <v>-1.1143665243381751</v>
      </c>
      <c r="D37" s="19">
        <v>-0.45932599710643396</v>
      </c>
      <c r="F37" s="19">
        <v>25</v>
      </c>
      <c r="G37" s="19">
        <v>10.4</v>
      </c>
    </row>
    <row r="38" spans="1:7" x14ac:dyDescent="0.25">
      <c r="A38" s="19">
        <v>14</v>
      </c>
      <c r="B38" s="19">
        <v>14.181720922288644</v>
      </c>
      <c r="C38" s="19">
        <v>-1.0817209222886444</v>
      </c>
      <c r="D38" s="19">
        <v>-0.44586994527335683</v>
      </c>
      <c r="F38" s="19">
        <v>27</v>
      </c>
      <c r="G38" s="19">
        <v>10.6</v>
      </c>
    </row>
    <row r="39" spans="1:7" x14ac:dyDescent="0.25">
      <c r="A39" s="19">
        <v>15</v>
      </c>
      <c r="B39" s="19">
        <v>10.588395559350985</v>
      </c>
      <c r="C39" s="19">
        <v>0.91160444064901469</v>
      </c>
      <c r="D39" s="19">
        <v>0.37575035638874976</v>
      </c>
      <c r="F39" s="19">
        <v>29</v>
      </c>
      <c r="G39" s="19">
        <v>10.8</v>
      </c>
    </row>
    <row r="40" spans="1:7" x14ac:dyDescent="0.25">
      <c r="A40" s="19">
        <v>16</v>
      </c>
      <c r="B40" s="19">
        <v>13.066550982066612</v>
      </c>
      <c r="C40" s="19">
        <v>-1.7665509820666117</v>
      </c>
      <c r="D40" s="19">
        <v>-0.72814713431830924</v>
      </c>
      <c r="F40" s="19">
        <v>31</v>
      </c>
      <c r="G40" s="19">
        <v>11.3</v>
      </c>
    </row>
    <row r="41" spans="1:7" x14ac:dyDescent="0.25">
      <c r="A41" s="19">
        <v>17</v>
      </c>
      <c r="B41" s="19">
        <v>13.562182066609738</v>
      </c>
      <c r="C41" s="19">
        <v>3.7378179333902626</v>
      </c>
      <c r="D41" s="19">
        <v>1.5406752731346181</v>
      </c>
      <c r="F41" s="19">
        <v>33</v>
      </c>
      <c r="G41" s="19">
        <v>11.3</v>
      </c>
    </row>
    <row r="42" spans="1:7" x14ac:dyDescent="0.25">
      <c r="A42" s="19">
        <v>18</v>
      </c>
      <c r="B42" s="19">
        <v>16.535968573868487</v>
      </c>
      <c r="C42" s="19">
        <v>0.76403142613151331</v>
      </c>
      <c r="D42" s="19">
        <v>0.3149228633163868</v>
      </c>
      <c r="F42" s="19">
        <v>35</v>
      </c>
      <c r="G42" s="19">
        <v>11.3</v>
      </c>
    </row>
    <row r="43" spans="1:7" x14ac:dyDescent="0.25">
      <c r="A43" s="19">
        <v>19</v>
      </c>
      <c r="B43" s="19">
        <v>12.075288812980361</v>
      </c>
      <c r="C43" s="19">
        <v>0.22471118701963988</v>
      </c>
      <c r="D43" s="19">
        <v>9.2622748247096251E-2</v>
      </c>
      <c r="F43" s="19">
        <v>37</v>
      </c>
      <c r="G43" s="19">
        <v>11.4</v>
      </c>
    </row>
    <row r="44" spans="1:7" x14ac:dyDescent="0.25">
      <c r="A44" s="19">
        <v>20</v>
      </c>
      <c r="B44" s="19">
        <v>14.181720922288644</v>
      </c>
      <c r="C44" s="19">
        <v>-6.0817209222886444</v>
      </c>
      <c r="D44" s="19">
        <v>-2.5067986750699953</v>
      </c>
      <c r="F44" s="19">
        <v>39</v>
      </c>
      <c r="G44" s="19">
        <v>11.5</v>
      </c>
    </row>
    <row r="45" spans="1:7" x14ac:dyDescent="0.25">
      <c r="A45" s="19">
        <v>21</v>
      </c>
      <c r="B45" s="19">
        <v>10.216672245943641</v>
      </c>
      <c r="C45" s="19">
        <v>-0.21667224594364143</v>
      </c>
      <c r="D45" s="19">
        <v>-8.9309211322962753E-2</v>
      </c>
      <c r="F45" s="19">
        <v>41</v>
      </c>
      <c r="G45" s="19">
        <v>11.7</v>
      </c>
    </row>
    <row r="46" spans="1:7" x14ac:dyDescent="0.25">
      <c r="A46" s="19">
        <v>22</v>
      </c>
      <c r="B46" s="19">
        <v>13.438274295473956</v>
      </c>
      <c r="C46" s="19">
        <v>0.96172570452604411</v>
      </c>
      <c r="D46" s="19">
        <v>0.39640962692832743</v>
      </c>
      <c r="F46" s="19">
        <v>43</v>
      </c>
      <c r="G46" s="19">
        <v>12</v>
      </c>
    </row>
    <row r="47" spans="1:7" x14ac:dyDescent="0.25">
      <c r="A47" s="19">
        <v>23</v>
      </c>
      <c r="B47" s="19">
        <v>10.712303330486767</v>
      </c>
      <c r="C47" s="19">
        <v>-1.1123033304867675</v>
      </c>
      <c r="D47" s="19">
        <v>-0.45847557800973288</v>
      </c>
      <c r="F47" s="19">
        <v>45</v>
      </c>
      <c r="G47" s="19">
        <v>12.1</v>
      </c>
    </row>
    <row r="48" spans="1:7" x14ac:dyDescent="0.25">
      <c r="A48" s="19">
        <v>24</v>
      </c>
      <c r="B48" s="19">
        <v>17.403322971818959</v>
      </c>
      <c r="C48" s="19">
        <v>3.7966770281810405</v>
      </c>
      <c r="D48" s="19">
        <v>1.5649361530274455</v>
      </c>
      <c r="F48" s="19">
        <v>47</v>
      </c>
      <c r="G48" s="19">
        <v>12.2</v>
      </c>
    </row>
    <row r="49" spans="1:7" x14ac:dyDescent="0.25">
      <c r="A49" s="19">
        <v>25</v>
      </c>
      <c r="B49" s="19">
        <v>13.438274295473956</v>
      </c>
      <c r="C49" s="19">
        <v>-3.8274295473955888E-2</v>
      </c>
      <c r="D49" s="19">
        <v>-1.5776119031000228E-2</v>
      </c>
      <c r="F49" s="19">
        <v>49</v>
      </c>
      <c r="G49" s="19">
        <v>12.3</v>
      </c>
    </row>
    <row r="50" spans="1:7" x14ac:dyDescent="0.25">
      <c r="A50" s="19">
        <v>26</v>
      </c>
      <c r="B50" s="19">
        <v>11.455749957301455</v>
      </c>
      <c r="C50" s="19">
        <v>3.3442500426985458</v>
      </c>
      <c r="D50" s="19">
        <v>1.3784521985242135</v>
      </c>
      <c r="F50" s="19">
        <v>51</v>
      </c>
      <c r="G50" s="19">
        <v>12.5</v>
      </c>
    </row>
    <row r="51" spans="1:7" x14ac:dyDescent="0.25">
      <c r="A51" s="19">
        <v>27</v>
      </c>
      <c r="B51" s="19">
        <v>11.207934415029893</v>
      </c>
      <c r="C51" s="19">
        <v>-0.40793441502989225</v>
      </c>
      <c r="D51" s="19">
        <v>-0.16814475116157812</v>
      </c>
      <c r="F51" s="19">
        <v>53</v>
      </c>
      <c r="G51" s="19">
        <v>12.6</v>
      </c>
    </row>
    <row r="52" spans="1:7" x14ac:dyDescent="0.25">
      <c r="A52" s="19">
        <v>28</v>
      </c>
      <c r="B52" s="19">
        <v>12.199196584116144</v>
      </c>
      <c r="C52" s="19">
        <v>-0.89919658411614378</v>
      </c>
      <c r="D52" s="19">
        <v>-0.37063601478799207</v>
      </c>
      <c r="F52" s="19">
        <v>55</v>
      </c>
      <c r="G52" s="19">
        <v>13.1</v>
      </c>
    </row>
    <row r="53" spans="1:7" x14ac:dyDescent="0.25">
      <c r="A53" s="19">
        <v>29</v>
      </c>
      <c r="B53" s="19">
        <v>11.827473270708799</v>
      </c>
      <c r="C53" s="19">
        <v>-4.2274732707087992</v>
      </c>
      <c r="D53" s="19">
        <v>-1.7425042236102253</v>
      </c>
      <c r="F53" s="19">
        <v>57</v>
      </c>
      <c r="G53" s="19">
        <v>13.2</v>
      </c>
    </row>
    <row r="54" spans="1:7" x14ac:dyDescent="0.25">
      <c r="A54" s="19">
        <v>30</v>
      </c>
      <c r="B54" s="19">
        <v>11.084026643894111</v>
      </c>
      <c r="C54" s="19">
        <v>-2.3840266438941118</v>
      </c>
      <c r="D54" s="19">
        <v>-0.98266180060040687</v>
      </c>
      <c r="F54" s="19">
        <v>59</v>
      </c>
      <c r="G54" s="19">
        <v>13.3</v>
      </c>
    </row>
    <row r="55" spans="1:7" x14ac:dyDescent="0.25">
      <c r="A55" s="19">
        <v>31</v>
      </c>
      <c r="B55" s="19">
        <v>11.455749957301455</v>
      </c>
      <c r="C55" s="19">
        <v>5.6442500426985465</v>
      </c>
      <c r="D55" s="19">
        <v>2.3264794142306675</v>
      </c>
      <c r="F55" s="19">
        <v>61</v>
      </c>
      <c r="G55" s="19">
        <v>13.4</v>
      </c>
    </row>
    <row r="56" spans="1:7" x14ac:dyDescent="0.25">
      <c r="A56" s="19">
        <v>32</v>
      </c>
      <c r="B56" s="19">
        <v>11.207934415029893</v>
      </c>
      <c r="C56" s="19">
        <v>2.3920655849701067</v>
      </c>
      <c r="D56" s="19">
        <v>0.98597533752453892</v>
      </c>
      <c r="F56" s="19">
        <v>63</v>
      </c>
      <c r="G56" s="19">
        <v>13.4</v>
      </c>
    </row>
    <row r="57" spans="1:7" x14ac:dyDescent="0.25">
      <c r="A57" s="19">
        <v>33</v>
      </c>
      <c r="B57" s="19">
        <v>14.305628693424424</v>
      </c>
      <c r="C57" s="19">
        <v>0.29437130657557553</v>
      </c>
      <c r="D57" s="19">
        <v>0.12133565658987554</v>
      </c>
      <c r="F57" s="19">
        <v>65</v>
      </c>
      <c r="G57" s="19">
        <v>13.6</v>
      </c>
    </row>
    <row r="58" spans="1:7" x14ac:dyDescent="0.25">
      <c r="A58" s="19">
        <v>34</v>
      </c>
      <c r="B58" s="19">
        <v>11.455749957301455</v>
      </c>
      <c r="C58" s="19">
        <v>0.54425004269854504</v>
      </c>
      <c r="D58" s="19">
        <v>0.22433210983809573</v>
      </c>
      <c r="F58" s="19">
        <v>67</v>
      </c>
      <c r="G58" s="19">
        <v>13.6</v>
      </c>
    </row>
    <row r="59" spans="1:7" x14ac:dyDescent="0.25">
      <c r="A59" s="19">
        <v>35</v>
      </c>
      <c r="B59" s="19">
        <v>13.933905380017082</v>
      </c>
      <c r="C59" s="19">
        <v>-0.53390538001708165</v>
      </c>
      <c r="D59" s="19">
        <v>-0.22006818733403913</v>
      </c>
      <c r="F59" s="19">
        <v>69</v>
      </c>
      <c r="G59" s="19">
        <v>14.4</v>
      </c>
    </row>
    <row r="60" spans="1:7" x14ac:dyDescent="0.25">
      <c r="A60" s="19">
        <v>36</v>
      </c>
      <c r="B60" s="19">
        <v>14.181720922288644</v>
      </c>
      <c r="C60" s="19">
        <v>1.7182790777113564</v>
      </c>
      <c r="D60" s="19">
        <v>0.70825014341276105</v>
      </c>
      <c r="F60" s="19">
        <v>71</v>
      </c>
      <c r="G60" s="19">
        <v>14.6</v>
      </c>
    </row>
    <row r="61" spans="1:7" x14ac:dyDescent="0.25">
      <c r="A61" s="19">
        <v>37</v>
      </c>
      <c r="B61" s="19">
        <v>11.084026643894111</v>
      </c>
      <c r="C61" s="19">
        <v>2.5159733561058886</v>
      </c>
      <c r="D61" s="19">
        <v>1.0370483546002989</v>
      </c>
      <c r="F61" s="19">
        <v>73</v>
      </c>
      <c r="G61" s="19">
        <v>14.7</v>
      </c>
    </row>
    <row r="62" spans="1:7" x14ac:dyDescent="0.25">
      <c r="A62" s="19">
        <v>38</v>
      </c>
      <c r="B62" s="19">
        <v>13.686089837745518</v>
      </c>
      <c r="C62" s="19">
        <v>-1.5860898377455186</v>
      </c>
      <c r="D62" s="19">
        <v>-0.65376362292964563</v>
      </c>
      <c r="F62" s="19">
        <v>75</v>
      </c>
      <c r="G62" s="19">
        <v>14.7</v>
      </c>
    </row>
    <row r="63" spans="1:7" x14ac:dyDescent="0.25">
      <c r="A63" s="19">
        <v>39</v>
      </c>
      <c r="B63" s="19">
        <v>11.827473270708799</v>
      </c>
      <c r="C63" s="19">
        <v>-0.12747327070879955</v>
      </c>
      <c r="D63" s="19">
        <v>-5.2542665176981855E-2</v>
      </c>
      <c r="F63" s="19">
        <v>77</v>
      </c>
      <c r="G63" s="19">
        <v>14.8</v>
      </c>
    </row>
    <row r="64" spans="1:7" x14ac:dyDescent="0.25">
      <c r="A64" s="19">
        <v>40</v>
      </c>
      <c r="B64" s="19">
        <v>14.67735200683177</v>
      </c>
      <c r="C64" s="19">
        <v>1.0226479931682295</v>
      </c>
      <c r="D64" s="19">
        <v>0.42152092591785612</v>
      </c>
      <c r="F64" s="19">
        <v>79</v>
      </c>
      <c r="G64" s="19">
        <v>15.5</v>
      </c>
    </row>
    <row r="65" spans="1:7" x14ac:dyDescent="0.25">
      <c r="A65" s="19">
        <v>41</v>
      </c>
      <c r="B65" s="19">
        <v>12.81873543979505</v>
      </c>
      <c r="C65" s="19">
        <v>-0.31873543979505037</v>
      </c>
      <c r="D65" s="19">
        <v>-0.13137820501559722</v>
      </c>
      <c r="F65" s="19">
        <v>81</v>
      </c>
      <c r="G65" s="19">
        <v>15.7</v>
      </c>
    </row>
    <row r="66" spans="1:7" x14ac:dyDescent="0.25">
      <c r="A66" s="19">
        <v>42</v>
      </c>
      <c r="B66" s="19">
        <v>15.049075320239112</v>
      </c>
      <c r="C66" s="19">
        <v>0.45092467976088813</v>
      </c>
      <c r="D66" s="19">
        <v>0.18586472549871261</v>
      </c>
      <c r="F66" s="19">
        <v>83</v>
      </c>
      <c r="G66" s="19">
        <v>15.7</v>
      </c>
    </row>
    <row r="67" spans="1:7" x14ac:dyDescent="0.25">
      <c r="A67" s="19">
        <v>43</v>
      </c>
      <c r="B67" s="19">
        <v>11.951381041844581</v>
      </c>
      <c r="C67" s="19">
        <v>3.84861895815542</v>
      </c>
      <c r="D67" s="19">
        <v>1.5863458761805023</v>
      </c>
      <c r="F67" s="19">
        <v>85</v>
      </c>
      <c r="G67" s="19">
        <v>15.8</v>
      </c>
    </row>
    <row r="68" spans="1:7" x14ac:dyDescent="0.25">
      <c r="A68" s="19">
        <v>44</v>
      </c>
      <c r="B68" s="19">
        <v>10.588395559350985</v>
      </c>
      <c r="C68" s="19">
        <v>-0.98839555935098566</v>
      </c>
      <c r="D68" s="19">
        <v>-0.40740256093397298</v>
      </c>
      <c r="F68" s="19">
        <v>87</v>
      </c>
      <c r="G68" s="19">
        <v>15.9</v>
      </c>
    </row>
    <row r="69" spans="1:7" x14ac:dyDescent="0.25">
      <c r="A69" s="19">
        <v>45</v>
      </c>
      <c r="B69" s="19">
        <v>11.084026643894111</v>
      </c>
      <c r="C69" s="19">
        <v>-0.48402664389411143</v>
      </c>
      <c r="D69" s="19">
        <v>-0.19950888327768418</v>
      </c>
      <c r="F69" s="19">
        <v>89</v>
      </c>
      <c r="G69" s="19">
        <v>17</v>
      </c>
    </row>
    <row r="70" spans="1:7" x14ac:dyDescent="0.25">
      <c r="A70" s="19">
        <v>46</v>
      </c>
      <c r="B70" s="19">
        <v>13.066550982066612</v>
      </c>
      <c r="C70" s="19">
        <v>-2.8665509820666131</v>
      </c>
      <c r="D70" s="19">
        <v>-1.1815514548735702</v>
      </c>
      <c r="F70" s="19">
        <v>91</v>
      </c>
      <c r="G70" s="19">
        <v>17.100000000000001</v>
      </c>
    </row>
    <row r="71" spans="1:7" x14ac:dyDescent="0.25">
      <c r="A71" s="19">
        <v>47</v>
      </c>
      <c r="B71" s="19">
        <v>10.092764474807861</v>
      </c>
      <c r="C71" s="19">
        <v>1.2072355251921394</v>
      </c>
      <c r="D71" s="19">
        <v>0.49760527549992267</v>
      </c>
      <c r="F71" s="19">
        <v>93</v>
      </c>
      <c r="G71" s="19">
        <v>17.3</v>
      </c>
    </row>
    <row r="72" spans="1:7" x14ac:dyDescent="0.25">
      <c r="A72" s="19">
        <v>48</v>
      </c>
      <c r="B72" s="19">
        <v>13.438274295473956</v>
      </c>
      <c r="C72" s="19">
        <v>3.5617257045260438</v>
      </c>
      <c r="D72" s="19">
        <v>1.4680925664225792</v>
      </c>
      <c r="F72" s="19">
        <v>95</v>
      </c>
      <c r="G72" s="19">
        <v>17.3</v>
      </c>
    </row>
    <row r="73" spans="1:7" x14ac:dyDescent="0.25">
      <c r="A73" s="19">
        <v>49</v>
      </c>
      <c r="B73" s="19">
        <v>12.199196584116144</v>
      </c>
      <c r="C73" s="19">
        <v>-1.7991965841161441</v>
      </c>
      <c r="D73" s="19">
        <v>-0.74160318615138709</v>
      </c>
      <c r="F73" s="19">
        <v>97</v>
      </c>
      <c r="G73" s="19">
        <v>17.3</v>
      </c>
    </row>
    <row r="74" spans="1:7" ht="15.75" thickBot="1" x14ac:dyDescent="0.3">
      <c r="A74" s="20">
        <v>50</v>
      </c>
      <c r="B74" s="20">
        <v>12.94264321093083</v>
      </c>
      <c r="C74" s="20">
        <v>-3.5426432109308301</v>
      </c>
      <c r="D74" s="20">
        <v>-1.4602270345652721</v>
      </c>
      <c r="F74" s="20">
        <v>99</v>
      </c>
      <c r="G74" s="20">
        <v>21.2</v>
      </c>
    </row>
  </sheetData>
  <sortState ref="G25:G74">
    <sortCondition ref="G25"/>
  </sortState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G36"/>
  <sheetViews>
    <sheetView workbookViewId="0"/>
  </sheetViews>
  <sheetFormatPr defaultRowHeight="15" x14ac:dyDescent="0.25"/>
  <cols>
    <col min="1" max="1" width="17.7109375" customWidth="1"/>
    <col min="2" max="2" width="14.5703125" customWidth="1"/>
    <col min="3" max="3" width="13.42578125" customWidth="1"/>
    <col min="4" max="4" width="17" customWidth="1"/>
    <col min="6" max="6" width="13.28515625" customWidth="1"/>
    <col min="7" max="7" width="11.140625" customWidth="1"/>
  </cols>
  <sheetData>
    <row r="1" spans="1:7" x14ac:dyDescent="0.25">
      <c r="A1" t="s">
        <v>290</v>
      </c>
    </row>
    <row r="2" spans="1:7" ht="15.75" thickBot="1" x14ac:dyDescent="0.3"/>
    <row r="3" spans="1:7" x14ac:dyDescent="0.25">
      <c r="A3" s="21" t="s">
        <v>291</v>
      </c>
      <c r="B3" s="21"/>
    </row>
    <row r="4" spans="1:7" x14ac:dyDescent="0.25">
      <c r="A4" s="19" t="s">
        <v>292</v>
      </c>
      <c r="B4" s="19">
        <v>0.92233072739359667</v>
      </c>
    </row>
    <row r="5" spans="1:7" x14ac:dyDescent="0.25">
      <c r="A5" s="19" t="s">
        <v>285</v>
      </c>
      <c r="B5" s="19">
        <v>0.85069397069440122</v>
      </c>
    </row>
    <row r="6" spans="1:7" x14ac:dyDescent="0.25">
      <c r="A6" s="19" t="s">
        <v>293</v>
      </c>
      <c r="B6" s="19">
        <v>0.81336746336800148</v>
      </c>
    </row>
    <row r="7" spans="1:7" x14ac:dyDescent="0.25">
      <c r="A7" s="19" t="s">
        <v>11</v>
      </c>
      <c r="B7" s="19">
        <v>5.8880844651320681</v>
      </c>
    </row>
    <row r="8" spans="1:7" ht="15.75" thickBot="1" x14ac:dyDescent="0.3">
      <c r="A8" s="20" t="s">
        <v>81</v>
      </c>
      <c r="B8" s="20">
        <v>11</v>
      </c>
    </row>
    <row r="10" spans="1:7" ht="15.75" thickBot="1" x14ac:dyDescent="0.3">
      <c r="A10" t="s">
        <v>294</v>
      </c>
    </row>
    <row r="11" spans="1:7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</row>
    <row r="12" spans="1:7" x14ac:dyDescent="0.25">
      <c r="A12" s="19" t="s">
        <v>222</v>
      </c>
      <c r="B12" s="19">
        <v>2</v>
      </c>
      <c r="C12" s="19">
        <v>1580.2800542881264</v>
      </c>
      <c r="D12" s="19">
        <v>790.1400271440632</v>
      </c>
      <c r="E12" s="19">
        <v>22.790612667173818</v>
      </c>
      <c r="F12" s="19">
        <v>4.9694621069852531E-4</v>
      </c>
    </row>
    <row r="13" spans="1:7" x14ac:dyDescent="0.25">
      <c r="A13" s="19" t="s">
        <v>295</v>
      </c>
      <c r="B13" s="19">
        <v>8</v>
      </c>
      <c r="C13" s="19">
        <v>277.35630934823678</v>
      </c>
      <c r="D13" s="19">
        <v>34.669538668529597</v>
      </c>
      <c r="E13" s="19"/>
      <c r="F13" s="19"/>
    </row>
    <row r="14" spans="1:7" ht="15.75" thickBot="1" x14ac:dyDescent="0.3">
      <c r="A14" s="20" t="s">
        <v>1</v>
      </c>
      <c r="B14" s="20">
        <v>10</v>
      </c>
      <c r="C14" s="20">
        <v>1857.6363636363631</v>
      </c>
      <c r="D14" s="20"/>
      <c r="E14" s="20"/>
      <c r="F14" s="20"/>
    </row>
    <row r="15" spans="1:7" ht="15.75" thickBot="1" x14ac:dyDescent="0.3"/>
    <row r="16" spans="1:7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</row>
    <row r="17" spans="1:7" x14ac:dyDescent="0.25">
      <c r="A17" s="19" t="s">
        <v>296</v>
      </c>
      <c r="B17" s="19">
        <v>1.7514036585681438</v>
      </c>
      <c r="C17" s="19">
        <v>6.9602026710152867</v>
      </c>
      <c r="D17" s="19">
        <v>0.25163112934363246</v>
      </c>
      <c r="E17" s="19">
        <v>0.80766962414536592</v>
      </c>
      <c r="F17" s="19">
        <v>-14.298852482652197</v>
      </c>
      <c r="G17" s="19">
        <v>17.801659799788485</v>
      </c>
    </row>
    <row r="18" spans="1:7" x14ac:dyDescent="0.25">
      <c r="A18" s="19" t="s">
        <v>382</v>
      </c>
      <c r="B18" s="19">
        <v>4.8952883645113721</v>
      </c>
      <c r="C18" s="19">
        <v>0.82022977846272815</v>
      </c>
      <c r="D18" s="19">
        <v>5.9681914666474372</v>
      </c>
      <c r="E18" s="19">
        <v>3.3508360543825895E-4</v>
      </c>
      <c r="F18" s="19">
        <v>3.003835103558723</v>
      </c>
      <c r="G18" s="19">
        <v>6.7867416254640212</v>
      </c>
    </row>
    <row r="19" spans="1:7" ht="15.75" thickBot="1" x14ac:dyDescent="0.3">
      <c r="A19" s="20" t="s">
        <v>383</v>
      </c>
      <c r="B19" s="20">
        <v>3.7584154829361673</v>
      </c>
      <c r="C19" s="20">
        <v>0.75651098735033695</v>
      </c>
      <c r="D19" s="20">
        <v>4.9680910730720971</v>
      </c>
      <c r="E19" s="20">
        <v>1.0957202090976618E-3</v>
      </c>
      <c r="F19" s="20">
        <v>2.013898017778903</v>
      </c>
      <c r="G19" s="20">
        <v>5.5029329480934317</v>
      </c>
    </row>
    <row r="23" spans="1:7" x14ac:dyDescent="0.25">
      <c r="A23" t="s">
        <v>301</v>
      </c>
      <c r="F23" t="s">
        <v>305</v>
      </c>
    </row>
    <row r="24" spans="1:7" ht="15.75" thickBot="1" x14ac:dyDescent="0.3"/>
    <row r="25" spans="1:7" x14ac:dyDescent="0.25">
      <c r="A25" s="18" t="s">
        <v>302</v>
      </c>
      <c r="B25" s="18" t="s">
        <v>384</v>
      </c>
      <c r="C25" s="18" t="s">
        <v>303</v>
      </c>
      <c r="D25" s="18" t="s">
        <v>304</v>
      </c>
      <c r="F25" s="18" t="s">
        <v>306</v>
      </c>
      <c r="G25" s="18" t="s">
        <v>376</v>
      </c>
    </row>
    <row r="26" spans="1:7" x14ac:dyDescent="0.25">
      <c r="A26" s="19">
        <v>1</v>
      </c>
      <c r="B26" s="19">
        <v>54.81049962482858</v>
      </c>
      <c r="C26" s="19">
        <v>10.18950037517142</v>
      </c>
      <c r="D26" s="19">
        <v>1.934790136806559</v>
      </c>
      <c r="F26" s="19">
        <v>4.5454545454545459</v>
      </c>
      <c r="G26" s="19">
        <v>25</v>
      </c>
    </row>
    <row r="27" spans="1:7" x14ac:dyDescent="0.25">
      <c r="A27" s="19">
        <v>2</v>
      </c>
      <c r="B27" s="19">
        <v>42.746177132655433</v>
      </c>
      <c r="C27" s="19">
        <v>-4.7461771326554327</v>
      </c>
      <c r="D27" s="19">
        <v>-0.90120774971207374</v>
      </c>
      <c r="F27" s="19">
        <v>13.636363636363637</v>
      </c>
      <c r="G27" s="19">
        <v>33</v>
      </c>
    </row>
    <row r="28" spans="1:7" x14ac:dyDescent="0.25">
      <c r="A28" s="19">
        <v>3</v>
      </c>
      <c r="B28" s="19">
        <v>56.295169344614344</v>
      </c>
      <c r="C28" s="19">
        <v>-5.2951693446143437</v>
      </c>
      <c r="D28" s="19">
        <v>-1.005450811469049</v>
      </c>
      <c r="F28" s="19">
        <v>22.72727272727273</v>
      </c>
      <c r="G28" s="19">
        <v>38</v>
      </c>
    </row>
    <row r="29" spans="1:7" x14ac:dyDescent="0.25">
      <c r="A29" s="19">
        <v>4</v>
      </c>
      <c r="B29" s="19">
        <v>44.672126057595285</v>
      </c>
      <c r="C29" s="19">
        <v>-6.6721260575952854</v>
      </c>
      <c r="D29" s="19">
        <v>-1.2669084069343504</v>
      </c>
      <c r="F29" s="19">
        <v>31.81818181818182</v>
      </c>
      <c r="G29" s="19">
        <v>38</v>
      </c>
    </row>
    <row r="30" spans="1:7" x14ac:dyDescent="0.25">
      <c r="A30" s="19">
        <v>5</v>
      </c>
      <c r="B30" s="19">
        <v>57.084245387978996</v>
      </c>
      <c r="C30" s="19">
        <v>-2.0842453879789957</v>
      </c>
      <c r="D30" s="19">
        <v>-0.39575811088563606</v>
      </c>
      <c r="F30" s="19">
        <v>40.909090909090914</v>
      </c>
      <c r="G30" s="19">
        <v>43</v>
      </c>
    </row>
    <row r="31" spans="1:7" x14ac:dyDescent="0.25">
      <c r="A31" s="19">
        <v>6</v>
      </c>
      <c r="B31" s="19">
        <v>41.261507412869676</v>
      </c>
      <c r="C31" s="19">
        <v>1.7384925871303238</v>
      </c>
      <c r="D31" s="19">
        <v>0.33010630419987413</v>
      </c>
      <c r="F31" s="19">
        <v>50.000000000000007</v>
      </c>
      <c r="G31" s="19">
        <v>49</v>
      </c>
    </row>
    <row r="32" spans="1:7" x14ac:dyDescent="0.25">
      <c r="A32" s="19">
        <v>7</v>
      </c>
      <c r="B32" s="19">
        <v>21.332557116613632</v>
      </c>
      <c r="C32" s="19">
        <v>3.6674428833863679</v>
      </c>
      <c r="D32" s="19">
        <v>0.69637686410684085</v>
      </c>
      <c r="F32" s="19">
        <v>59.090909090909093</v>
      </c>
      <c r="G32" s="19">
        <v>51</v>
      </c>
    </row>
    <row r="33" spans="1:7" x14ac:dyDescent="0.25">
      <c r="A33" s="19">
        <v>8</v>
      </c>
      <c r="B33" s="19">
        <v>34.092473285207895</v>
      </c>
      <c r="C33" s="19">
        <v>-1.0924732852078947</v>
      </c>
      <c r="D33" s="19">
        <v>-0.20743966427395458</v>
      </c>
      <c r="F33" s="19">
        <v>68.181818181818187</v>
      </c>
      <c r="G33" s="19">
        <v>51</v>
      </c>
    </row>
    <row r="34" spans="1:7" x14ac:dyDescent="0.25">
      <c r="A34" s="19">
        <v>9</v>
      </c>
      <c r="B34" s="19">
        <v>67.222618955212283</v>
      </c>
      <c r="C34" s="19">
        <v>3.7773810447877167</v>
      </c>
      <c r="D34" s="19">
        <v>0.71725200641080289</v>
      </c>
      <c r="F34" s="19">
        <v>77.27272727272728</v>
      </c>
      <c r="G34" s="19">
        <v>55</v>
      </c>
    </row>
    <row r="35" spans="1:7" x14ac:dyDescent="0.25">
      <c r="A35" s="19">
        <v>10</v>
      </c>
      <c r="B35" s="19">
        <v>46.156795777381042</v>
      </c>
      <c r="C35" s="19">
        <v>4.843204222618958</v>
      </c>
      <c r="D35" s="19">
        <v>0.91963132788101942</v>
      </c>
      <c r="F35" s="19">
        <v>86.363636363636374</v>
      </c>
      <c r="G35" s="19">
        <v>65</v>
      </c>
    </row>
    <row r="36" spans="1:7" ht="15.75" thickBot="1" x14ac:dyDescent="0.3">
      <c r="A36" s="20">
        <v>11</v>
      </c>
      <c r="B36" s="20">
        <v>53.325829905042831</v>
      </c>
      <c r="C36" s="20">
        <v>-4.3258299050428306</v>
      </c>
      <c r="D36" s="20">
        <v>-0.82139189613003172</v>
      </c>
      <c r="F36" s="20">
        <v>95.454545454545467</v>
      </c>
      <c r="G36" s="20">
        <v>71</v>
      </c>
    </row>
  </sheetData>
  <sortState ref="G26:G36">
    <sortCondition ref="G26"/>
  </sortState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AQ68"/>
  <sheetViews>
    <sheetView workbookViewId="0"/>
  </sheetViews>
  <sheetFormatPr defaultRowHeight="15" x14ac:dyDescent="0.25"/>
  <cols>
    <col min="1" max="3" width="7.5703125" customWidth="1"/>
    <col min="4" max="4" width="6.5703125" customWidth="1"/>
    <col min="5" max="5" width="17.85546875" customWidth="1"/>
    <col min="6" max="6" width="13" customWidth="1"/>
    <col min="7" max="11" width="13.42578125" customWidth="1"/>
    <col min="14" max="14" width="17" customWidth="1"/>
    <col min="15" max="15" width="14" customWidth="1"/>
    <col min="17" max="17" width="14.28515625" customWidth="1"/>
    <col min="18" max="18" width="12.85546875" customWidth="1"/>
  </cols>
  <sheetData>
    <row r="1" spans="1:18" x14ac:dyDescent="0.25">
      <c r="A1" s="1" t="s">
        <v>414</v>
      </c>
      <c r="E1" t="s">
        <v>419</v>
      </c>
    </row>
    <row r="3" spans="1:18" x14ac:dyDescent="0.25">
      <c r="A3" s="131" t="s">
        <v>382</v>
      </c>
      <c r="B3" s="131" t="s">
        <v>383</v>
      </c>
      <c r="C3" s="131" t="s">
        <v>376</v>
      </c>
      <c r="E3" t="s">
        <v>290</v>
      </c>
      <c r="N3" t="s">
        <v>737</v>
      </c>
    </row>
    <row r="4" spans="1:18" ht="15.75" thickBot="1" x14ac:dyDescent="0.3">
      <c r="A4" s="95">
        <v>7</v>
      </c>
      <c r="B4" s="95">
        <v>5</v>
      </c>
      <c r="C4" s="95">
        <v>65</v>
      </c>
    </row>
    <row r="5" spans="1:18" x14ac:dyDescent="0.25">
      <c r="A5" s="95">
        <v>3</v>
      </c>
      <c r="B5" s="95">
        <v>7</v>
      </c>
      <c r="C5" s="95">
        <v>38</v>
      </c>
      <c r="E5" s="21" t="s">
        <v>291</v>
      </c>
      <c r="F5" s="21"/>
      <c r="N5" s="131" t="s">
        <v>376</v>
      </c>
      <c r="O5" s="160" t="s">
        <v>384</v>
      </c>
      <c r="Q5" s="1315" t="s">
        <v>444</v>
      </c>
      <c r="R5" s="1315"/>
    </row>
    <row r="6" spans="1:18" x14ac:dyDescent="0.25">
      <c r="A6" s="95">
        <v>5</v>
      </c>
      <c r="B6" s="95">
        <v>8</v>
      </c>
      <c r="C6" s="95">
        <v>51</v>
      </c>
      <c r="E6" s="19" t="s">
        <v>292</v>
      </c>
      <c r="F6">
        <f>SQRT(F7)</f>
        <v>0.92233072739359589</v>
      </c>
      <c r="N6" s="95">
        <f>C4</f>
        <v>65</v>
      </c>
      <c r="O6" s="19">
        <f>F26</f>
        <v>54.810499624828537</v>
      </c>
      <c r="Q6" t="s">
        <v>415</v>
      </c>
      <c r="R6">
        <f>CORREL(C4:C14,A4:A14)</f>
        <v>0.62453892636382968</v>
      </c>
    </row>
    <row r="7" spans="1:18" x14ac:dyDescent="0.25">
      <c r="A7" s="95">
        <v>8</v>
      </c>
      <c r="B7" s="95">
        <v>1</v>
      </c>
      <c r="C7" s="95">
        <v>38</v>
      </c>
      <c r="E7" s="19" t="s">
        <v>285</v>
      </c>
      <c r="F7">
        <f>G14/G16</f>
        <v>0.85069397069439978</v>
      </c>
      <c r="N7" s="95">
        <f t="shared" ref="N7:N16" si="0">C5</f>
        <v>38</v>
      </c>
      <c r="O7" s="19">
        <f t="shared" ref="O7:O16" si="1">F27</f>
        <v>42.746177132655433</v>
      </c>
      <c r="Q7" t="s">
        <v>416</v>
      </c>
      <c r="R7">
        <f>CORREL(C4:C14,B4:B14)</f>
        <v>0.43118646126661814</v>
      </c>
    </row>
    <row r="8" spans="1:18" x14ac:dyDescent="0.25">
      <c r="A8" s="95">
        <v>9</v>
      </c>
      <c r="B8" s="95">
        <v>3</v>
      </c>
      <c r="C8" s="95">
        <v>55</v>
      </c>
      <c r="E8" s="19" t="s">
        <v>293</v>
      </c>
      <c r="F8">
        <f>1-(1-F7)*(F10-1)/(F10-F14-1)</f>
        <v>0.8133674633679997</v>
      </c>
      <c r="N8" s="95">
        <f t="shared" si="0"/>
        <v>51</v>
      </c>
      <c r="O8" s="19">
        <f t="shared" si="1"/>
        <v>56.295169344614322</v>
      </c>
      <c r="Q8" t="s">
        <v>417</v>
      </c>
      <c r="R8">
        <f>CORREL(A4:A14,B4:B14)</f>
        <v>-0.33394197307213463</v>
      </c>
    </row>
    <row r="9" spans="1:18" x14ac:dyDescent="0.25">
      <c r="A9" s="95">
        <v>5</v>
      </c>
      <c r="B9" s="95">
        <v>4</v>
      </c>
      <c r="C9" s="95">
        <v>43</v>
      </c>
      <c r="E9" s="19" t="s">
        <v>11</v>
      </c>
      <c r="F9">
        <f>SQRT(H15)</f>
        <v>5.8880844651320965</v>
      </c>
      <c r="N9" s="95">
        <f t="shared" si="0"/>
        <v>38</v>
      </c>
      <c r="O9" s="19">
        <f t="shared" si="1"/>
        <v>44.672126057595207</v>
      </c>
    </row>
    <row r="10" spans="1:18" ht="15.75" thickBot="1" x14ac:dyDescent="0.3">
      <c r="A10" s="95">
        <v>4</v>
      </c>
      <c r="B10" s="95">
        <v>0</v>
      </c>
      <c r="C10" s="95">
        <v>25</v>
      </c>
      <c r="E10" s="20" t="s">
        <v>81</v>
      </c>
      <c r="F10" s="20">
        <f>COUNT(A4:A14)</f>
        <v>11</v>
      </c>
      <c r="N10" s="95">
        <f t="shared" si="0"/>
        <v>55</v>
      </c>
      <c r="O10" s="19">
        <f t="shared" si="1"/>
        <v>57.08424538797891</v>
      </c>
      <c r="Q10" t="s">
        <v>292</v>
      </c>
      <c r="R10">
        <f>SQRT((R6^2+R7^2-2*R6*R7*R8)/(1-R8^2))</f>
        <v>0.92233072739359701</v>
      </c>
    </row>
    <row r="11" spans="1:18" x14ac:dyDescent="0.25">
      <c r="A11" s="95">
        <v>2</v>
      </c>
      <c r="B11" s="95">
        <v>6</v>
      </c>
      <c r="C11" s="95">
        <v>33</v>
      </c>
      <c r="N11" s="95">
        <f t="shared" si="0"/>
        <v>43</v>
      </c>
      <c r="O11" s="19">
        <f t="shared" si="1"/>
        <v>41.261507412869634</v>
      </c>
    </row>
    <row r="12" spans="1:18" ht="15.75" thickBot="1" x14ac:dyDescent="0.3">
      <c r="A12" s="95">
        <v>8</v>
      </c>
      <c r="B12" s="95">
        <v>7</v>
      </c>
      <c r="C12" s="95">
        <v>71</v>
      </c>
      <c r="E12" t="s">
        <v>294</v>
      </c>
      <c r="N12" s="95">
        <f t="shared" si="0"/>
        <v>25</v>
      </c>
      <c r="O12" s="19">
        <f t="shared" si="1"/>
        <v>21.332557116613586</v>
      </c>
    </row>
    <row r="13" spans="1:18" x14ac:dyDescent="0.25">
      <c r="A13" s="95">
        <v>6</v>
      </c>
      <c r="B13" s="95">
        <v>4</v>
      </c>
      <c r="C13" s="95">
        <v>51</v>
      </c>
      <c r="E13" s="18"/>
      <c r="F13" s="18" t="s">
        <v>60</v>
      </c>
      <c r="G13" s="18" t="s">
        <v>219</v>
      </c>
      <c r="H13" s="18" t="s">
        <v>240</v>
      </c>
      <c r="I13" s="18" t="s">
        <v>135</v>
      </c>
      <c r="J13" s="18" t="s">
        <v>297</v>
      </c>
      <c r="N13" s="95">
        <f t="shared" si="0"/>
        <v>33</v>
      </c>
      <c r="O13" s="19">
        <f t="shared" si="1"/>
        <v>34.092473285207895</v>
      </c>
    </row>
    <row r="14" spans="1:18" x14ac:dyDescent="0.25">
      <c r="A14" s="130">
        <v>9</v>
      </c>
      <c r="B14" s="130">
        <v>2</v>
      </c>
      <c r="C14" s="130">
        <v>49</v>
      </c>
      <c r="E14" s="19" t="s">
        <v>222</v>
      </c>
      <c r="F14">
        <f>COUNT(A4:B4)</f>
        <v>2</v>
      </c>
      <c r="G14" s="19">
        <f>DEVSQ('Mult Reg 2'!M4:M14)</f>
        <v>1580.2800542881239</v>
      </c>
      <c r="H14" s="19">
        <f>G14/F14</f>
        <v>790.14002714406195</v>
      </c>
      <c r="I14" s="19">
        <f>H14/H15</f>
        <v>22.790612667173569</v>
      </c>
      <c r="J14">
        <f>FDIST(I14,F14,F15)</f>
        <v>4.9694621069854385E-4</v>
      </c>
      <c r="N14" s="95">
        <f t="shared" si="0"/>
        <v>71</v>
      </c>
      <c r="O14" s="19">
        <f t="shared" si="1"/>
        <v>67.222618955212241</v>
      </c>
    </row>
    <row r="15" spans="1:18" x14ac:dyDescent="0.25">
      <c r="E15" s="19" t="s">
        <v>295</v>
      </c>
      <c r="F15" s="19">
        <f>F16-F14</f>
        <v>8</v>
      </c>
      <c r="G15" s="19">
        <f>G16-G14</f>
        <v>277.35630934823939</v>
      </c>
      <c r="H15" s="19">
        <f>G15/F15</f>
        <v>34.669538668529924</v>
      </c>
      <c r="I15" s="19"/>
      <c r="J15" s="19"/>
      <c r="N15" s="95">
        <f t="shared" si="0"/>
        <v>51</v>
      </c>
      <c r="O15" s="19">
        <f t="shared" si="1"/>
        <v>46.156795777380999</v>
      </c>
    </row>
    <row r="16" spans="1:18" ht="15.75" thickBot="1" x14ac:dyDescent="0.3">
      <c r="E16" s="20" t="s">
        <v>1</v>
      </c>
      <c r="F16" s="20">
        <f>F10-1</f>
        <v>10</v>
      </c>
      <c r="G16" s="20">
        <f>DEVSQ(C4:C14)</f>
        <v>1857.6363636363633</v>
      </c>
      <c r="H16" s="20"/>
      <c r="I16" s="20"/>
      <c r="J16" s="20"/>
      <c r="N16" s="162">
        <f t="shared" si="0"/>
        <v>49</v>
      </c>
      <c r="O16" s="163">
        <f t="shared" si="1"/>
        <v>53.325829905042738</v>
      </c>
    </row>
    <row r="17" spans="5:43" ht="15.75" thickBot="1" x14ac:dyDescent="0.3">
      <c r="N17" s="39" t="s">
        <v>292</v>
      </c>
      <c r="O17">
        <f>CORREL(N6:N16,O6:O16)</f>
        <v>0.92233072739359689</v>
      </c>
    </row>
    <row r="18" spans="5:43" x14ac:dyDescent="0.25">
      <c r="E18" s="18"/>
      <c r="F18" s="18" t="s">
        <v>298</v>
      </c>
      <c r="G18" s="18" t="s">
        <v>11</v>
      </c>
      <c r="H18" s="18" t="s">
        <v>85</v>
      </c>
      <c r="I18" s="18" t="s">
        <v>119</v>
      </c>
      <c r="J18" s="18" t="s">
        <v>299</v>
      </c>
      <c r="K18" s="18" t="s">
        <v>300</v>
      </c>
    </row>
    <row r="19" spans="5:43" ht="18.75" x14ac:dyDescent="0.35">
      <c r="E19" s="19" t="s">
        <v>296</v>
      </c>
      <c r="F19" s="19">
        <f>'Mult Reg 2'!K4</f>
        <v>1.7514036585681367</v>
      </c>
      <c r="G19" s="19">
        <f>SQRT($H$15*'Mult Reg 2'!E17)</f>
        <v>6.9602026710153257</v>
      </c>
      <c r="H19" s="19">
        <f>F19/G19</f>
        <v>0.25163112934363002</v>
      </c>
      <c r="I19" s="19">
        <f>TDIST(ABS(H19),$F$15,2)</f>
        <v>0.8076696241453678</v>
      </c>
      <c r="J19" s="19">
        <f>F19-TINV(0.05,$F$15)*G19</f>
        <v>-14.298852482652293</v>
      </c>
      <c r="K19" s="19">
        <f>F19+TINV(0.05,$F$15)*G19</f>
        <v>17.801659799788567</v>
      </c>
      <c r="N19" s="189" t="s">
        <v>443</v>
      </c>
      <c r="O19">
        <f>G16*(1-F7)</f>
        <v>277.35630934823951</v>
      </c>
    </row>
    <row r="20" spans="5:43" x14ac:dyDescent="0.25">
      <c r="E20" s="19" t="s">
        <v>382</v>
      </c>
      <c r="F20" s="19">
        <f>'Mult Reg 2'!K5</f>
        <v>4.8952883645113623</v>
      </c>
      <c r="G20" s="19">
        <f>SQRT($H$15*'Mult Reg 2'!F18)</f>
        <v>0.82022977846273259</v>
      </c>
      <c r="H20" s="19">
        <f>F20/G20</f>
        <v>5.9681914666473928</v>
      </c>
      <c r="I20" s="19">
        <f>TDIST(ABS(H20),$F$15,2)</f>
        <v>3.3508360543827521E-4</v>
      </c>
      <c r="J20" s="19">
        <f>F20-TINV(0.05,$F$15)*G20</f>
        <v>3.003835103558703</v>
      </c>
      <c r="K20" s="19">
        <f>F20+TINV(0.05,$F$15)*G20</f>
        <v>6.7867416254640212</v>
      </c>
    </row>
    <row r="21" spans="5:43" ht="15.75" thickBot="1" x14ac:dyDescent="0.3">
      <c r="E21" s="20" t="s">
        <v>383</v>
      </c>
      <c r="F21" s="20">
        <f>'Mult Reg 2'!K6</f>
        <v>3.7584154829361722</v>
      </c>
      <c r="G21" s="20">
        <f>SQRT($H$15*'Mult Reg 2'!G19)</f>
        <v>0.75651098735034072</v>
      </c>
      <c r="H21" s="20">
        <f>F21/G21</f>
        <v>4.9680910730720793</v>
      </c>
      <c r="I21" s="20">
        <f>TDIST(ABS(H21),$F$15,2)</f>
        <v>1.0957202090976868E-3</v>
      </c>
      <c r="J21" s="20">
        <f>F21-TINV(0.05,$F$15)*G21</f>
        <v>2.0138980177788994</v>
      </c>
      <c r="K21" s="20">
        <f>F21+TINV(0.05,$F$15)*G21</f>
        <v>5.502932948093445</v>
      </c>
    </row>
    <row r="23" spans="5:43" x14ac:dyDescent="0.25">
      <c r="E23" t="s">
        <v>301</v>
      </c>
      <c r="J23" t="s">
        <v>305</v>
      </c>
      <c r="AC23" t="s">
        <v>70</v>
      </c>
    </row>
    <row r="24" spans="5:43" ht="15.75" thickBot="1" x14ac:dyDescent="0.3"/>
    <row r="25" spans="5:43" x14ac:dyDescent="0.25">
      <c r="E25" s="18" t="s">
        <v>302</v>
      </c>
      <c r="F25" s="18" t="s">
        <v>384</v>
      </c>
      <c r="G25" s="18" t="s">
        <v>303</v>
      </c>
      <c r="H25" s="18" t="s">
        <v>420</v>
      </c>
      <c r="J25" s="18" t="s">
        <v>306</v>
      </c>
      <c r="K25" s="18" t="s">
        <v>376</v>
      </c>
      <c r="AC25" t="s">
        <v>22</v>
      </c>
      <c r="AD25">
        <f>COUNT(C4:C14)</f>
        <v>11</v>
      </c>
      <c r="AE25">
        <f>2*AD25</f>
        <v>22</v>
      </c>
    </row>
    <row r="26" spans="5:43" x14ac:dyDescent="0.25">
      <c r="E26" s="19">
        <v>1</v>
      </c>
      <c r="F26" s="19">
        <f>$F$19+A4*$F$20+B4*$F$21</f>
        <v>54.810499624828537</v>
      </c>
      <c r="G26" s="19">
        <f>C4-F26</f>
        <v>10.189500375171463</v>
      </c>
      <c r="H26" s="19">
        <f>G26/STDEV($G$26:$G$36)</f>
        <v>1.9347901368065681</v>
      </c>
      <c r="J26">
        <f>100/(2*$E$36)</f>
        <v>4.5454545454545459</v>
      </c>
      <c r="K26" s="19">
        <f t="array" ref="K26:K36">[1]!QSORT(C4:C14)</f>
        <v>25</v>
      </c>
      <c r="AC26" t="s">
        <v>10</v>
      </c>
      <c r="AD26">
        <f>AVERAGE(C4:C14)</f>
        <v>47.18181818181818</v>
      </c>
    </row>
    <row r="27" spans="5:43" x14ac:dyDescent="0.25">
      <c r="E27" s="19">
        <v>2</v>
      </c>
      <c r="F27" s="19">
        <f t="shared" ref="F27:F36" si="2">$F$19+A5*$F$20+B5*$F$21</f>
        <v>42.746177132655433</v>
      </c>
      <c r="G27" s="19">
        <f t="shared" ref="G27:G36" si="3">C5-F27</f>
        <v>-4.7461771326554327</v>
      </c>
      <c r="H27" s="19">
        <f t="shared" ref="H27:H36" si="4">G27/STDEV($G$26:$G$36)</f>
        <v>-0.90120774971207429</v>
      </c>
      <c r="J27">
        <f>J26+100/$E$36</f>
        <v>13.636363636363637</v>
      </c>
      <c r="K27" s="19">
        <v>33</v>
      </c>
      <c r="AC27" t="s">
        <v>58</v>
      </c>
      <c r="AD27">
        <f>STDEV(C4:C14)</f>
        <v>13.629513430920284</v>
      </c>
      <c r="AP27" t="s">
        <v>733</v>
      </c>
    </row>
    <row r="28" spans="5:43" x14ac:dyDescent="0.25">
      <c r="E28" s="19">
        <v>3</v>
      </c>
      <c r="F28" s="19">
        <f t="shared" si="2"/>
        <v>56.295169344614322</v>
      </c>
      <c r="G28" s="19">
        <f t="shared" si="3"/>
        <v>-5.2951693446143224</v>
      </c>
      <c r="H28" s="19">
        <f t="shared" si="4"/>
        <v>-1.0054508114690455</v>
      </c>
      <c r="J28">
        <f t="shared" ref="J28:J36" si="5">J27+100/$E$36</f>
        <v>22.727272727272727</v>
      </c>
      <c r="K28" s="19">
        <v>38</v>
      </c>
    </row>
    <row r="29" spans="5:43" x14ac:dyDescent="0.25">
      <c r="E29" s="19">
        <v>4</v>
      </c>
      <c r="F29" s="19">
        <f t="shared" si="2"/>
        <v>44.672126057595207</v>
      </c>
      <c r="G29" s="19">
        <f t="shared" si="3"/>
        <v>-6.6721260575952073</v>
      </c>
      <c r="H29" s="19">
        <f t="shared" si="4"/>
        <v>-1.2669084069343362</v>
      </c>
      <c r="J29">
        <f t="shared" si="5"/>
        <v>31.81818181818182</v>
      </c>
      <c r="K29" s="19">
        <v>38</v>
      </c>
      <c r="AC29" t="s">
        <v>71</v>
      </c>
      <c r="AD29" t="s">
        <v>72</v>
      </c>
      <c r="AE29" t="s">
        <v>217</v>
      </c>
      <c r="AF29" t="s">
        <v>73</v>
      </c>
      <c r="AP29" t="s">
        <v>217</v>
      </c>
      <c r="AQ29" t="s">
        <v>72</v>
      </c>
    </row>
    <row r="30" spans="5:43" x14ac:dyDescent="0.25">
      <c r="E30" s="19">
        <v>5</v>
      </c>
      <c r="F30" s="19">
        <f t="shared" si="2"/>
        <v>57.08424538797891</v>
      </c>
      <c r="G30" s="19">
        <f t="shared" si="3"/>
        <v>-2.0842453879789105</v>
      </c>
      <c r="H30" s="19">
        <f t="shared" si="4"/>
        <v>-0.39575811088562007</v>
      </c>
      <c r="J30">
        <f t="shared" si="5"/>
        <v>40.909090909090914</v>
      </c>
      <c r="K30" s="19">
        <v>43</v>
      </c>
      <c r="AC30">
        <v>1</v>
      </c>
      <c r="AD30">
        <v>25</v>
      </c>
      <c r="AE30">
        <f t="shared" ref="AE30:AE40" si="6">NORMSINV(AC30/AE$25)</f>
        <v>-1.6906216295848977</v>
      </c>
      <c r="AF30">
        <f t="shared" ref="AF30:AF40" si="7">STANDARDIZE(AD30,AD$26,AD$27)</f>
        <v>-1.6274842307646806</v>
      </c>
      <c r="AP30">
        <f t="shared" ref="AP30:AP40" si="8">AE30</f>
        <v>-1.6906216295848977</v>
      </c>
      <c r="AQ30">
        <f t="shared" ref="AQ30:AQ40" si="9">AD30</f>
        <v>25</v>
      </c>
    </row>
    <row r="31" spans="5:43" x14ac:dyDescent="0.25">
      <c r="E31" s="19">
        <v>6</v>
      </c>
      <c r="F31" s="19">
        <f t="shared" si="2"/>
        <v>41.261507412869634</v>
      </c>
      <c r="G31" s="19">
        <f t="shared" si="3"/>
        <v>1.7384925871303665</v>
      </c>
      <c r="H31" s="19">
        <f t="shared" si="4"/>
        <v>0.33010630419988235</v>
      </c>
      <c r="J31">
        <f t="shared" si="5"/>
        <v>50.000000000000007</v>
      </c>
      <c r="K31" s="19">
        <v>49</v>
      </c>
      <c r="AC31">
        <f>AC30+2</f>
        <v>3</v>
      </c>
      <c r="AD31">
        <v>33</v>
      </c>
      <c r="AE31">
        <f t="shared" si="6"/>
        <v>-1.096803562093513</v>
      </c>
      <c r="AF31">
        <f t="shared" si="7"/>
        <v>-1.0405227049151236</v>
      </c>
      <c r="AP31">
        <f t="shared" si="8"/>
        <v>-1.096803562093513</v>
      </c>
      <c r="AQ31">
        <f t="shared" si="9"/>
        <v>33</v>
      </c>
    </row>
    <row r="32" spans="5:43" x14ac:dyDescent="0.25">
      <c r="E32" s="19">
        <v>7</v>
      </c>
      <c r="F32" s="19">
        <f t="shared" si="2"/>
        <v>21.332557116613586</v>
      </c>
      <c r="G32" s="19">
        <f t="shared" si="3"/>
        <v>3.6674428833864141</v>
      </c>
      <c r="H32" s="19">
        <f t="shared" si="4"/>
        <v>0.69637686410685007</v>
      </c>
      <c r="J32">
        <f t="shared" si="5"/>
        <v>59.090909090909101</v>
      </c>
      <c r="K32" s="19">
        <v>51</v>
      </c>
      <c r="AC32">
        <f t="shared" ref="AC32:AC40" si="10">AC31+2</f>
        <v>5</v>
      </c>
      <c r="AD32">
        <v>38</v>
      </c>
      <c r="AE32">
        <f t="shared" si="6"/>
        <v>-0.74785859476330196</v>
      </c>
      <c r="AF32">
        <f t="shared" si="7"/>
        <v>-0.67367175125915046</v>
      </c>
      <c r="AP32">
        <f t="shared" si="8"/>
        <v>-0.74785859476330196</v>
      </c>
      <c r="AQ32">
        <f t="shared" si="9"/>
        <v>38</v>
      </c>
    </row>
    <row r="33" spans="5:43" x14ac:dyDescent="0.25">
      <c r="E33" s="19">
        <v>8</v>
      </c>
      <c r="F33" s="19">
        <f t="shared" si="2"/>
        <v>34.092473285207895</v>
      </c>
      <c r="G33" s="19">
        <f t="shared" si="3"/>
        <v>-1.0924732852078947</v>
      </c>
      <c r="H33" s="19">
        <f t="shared" si="4"/>
        <v>-0.20743966427395469</v>
      </c>
      <c r="J33">
        <f t="shared" si="5"/>
        <v>68.181818181818187</v>
      </c>
      <c r="K33" s="19">
        <v>51</v>
      </c>
      <c r="AC33">
        <f t="shared" si="10"/>
        <v>7</v>
      </c>
      <c r="AD33">
        <v>38</v>
      </c>
      <c r="AE33">
        <f t="shared" si="6"/>
        <v>-0.47278912099226744</v>
      </c>
      <c r="AF33">
        <f t="shared" si="7"/>
        <v>-0.67367175125915046</v>
      </c>
      <c r="AP33">
        <f t="shared" si="8"/>
        <v>-0.47278912099226744</v>
      </c>
      <c r="AQ33">
        <f t="shared" si="9"/>
        <v>38</v>
      </c>
    </row>
    <row r="34" spans="5:43" x14ac:dyDescent="0.25">
      <c r="E34" s="19">
        <v>9</v>
      </c>
      <c r="F34" s="19">
        <f t="shared" si="2"/>
        <v>67.222618955212241</v>
      </c>
      <c r="G34" s="19">
        <f t="shared" si="3"/>
        <v>3.7773810447877594</v>
      </c>
      <c r="H34" s="19">
        <f t="shared" si="4"/>
        <v>0.71725200641081133</v>
      </c>
      <c r="J34">
        <f t="shared" si="5"/>
        <v>77.27272727272728</v>
      </c>
      <c r="K34" s="19">
        <v>55</v>
      </c>
      <c r="AC34">
        <f t="shared" si="10"/>
        <v>9</v>
      </c>
      <c r="AD34">
        <v>43</v>
      </c>
      <c r="AE34">
        <f t="shared" si="6"/>
        <v>-0.22988411757923208</v>
      </c>
      <c r="AF34">
        <f t="shared" si="7"/>
        <v>-0.30682079760317738</v>
      </c>
      <c r="AP34">
        <f t="shared" si="8"/>
        <v>-0.22988411757923208</v>
      </c>
      <c r="AQ34">
        <f t="shared" si="9"/>
        <v>43</v>
      </c>
    </row>
    <row r="35" spans="5:43" x14ac:dyDescent="0.25">
      <c r="E35" s="19">
        <v>10</v>
      </c>
      <c r="F35" s="19">
        <f t="shared" si="2"/>
        <v>46.156795777380999</v>
      </c>
      <c r="G35" s="19">
        <f t="shared" si="3"/>
        <v>4.8432042226190006</v>
      </c>
      <c r="H35" s="19">
        <f t="shared" si="4"/>
        <v>0.91963132788102797</v>
      </c>
      <c r="J35">
        <f t="shared" si="5"/>
        <v>86.363636363636374</v>
      </c>
      <c r="K35" s="19">
        <v>65</v>
      </c>
      <c r="AC35">
        <f t="shared" si="10"/>
        <v>11</v>
      </c>
      <c r="AD35">
        <v>49</v>
      </c>
      <c r="AE35">
        <f t="shared" si="6"/>
        <v>0</v>
      </c>
      <c r="AF35">
        <f t="shared" si="7"/>
        <v>0.13340034678399038</v>
      </c>
      <c r="AP35">
        <f t="shared" si="8"/>
        <v>0</v>
      </c>
      <c r="AQ35">
        <f t="shared" si="9"/>
        <v>49</v>
      </c>
    </row>
    <row r="36" spans="5:43" ht="15.75" thickBot="1" x14ac:dyDescent="0.3">
      <c r="E36" s="20">
        <v>11</v>
      </c>
      <c r="F36" s="20">
        <f t="shared" si="2"/>
        <v>53.325829905042738</v>
      </c>
      <c r="G36" s="20">
        <f t="shared" si="3"/>
        <v>-4.3258299050427382</v>
      </c>
      <c r="H36" s="20">
        <f t="shared" si="4"/>
        <v>-0.82139189613001462</v>
      </c>
      <c r="J36" s="20">
        <f t="shared" si="5"/>
        <v>95.454545454545467</v>
      </c>
      <c r="K36" s="20">
        <v>71</v>
      </c>
      <c r="AC36">
        <f t="shared" si="10"/>
        <v>13</v>
      </c>
      <c r="AD36">
        <v>51</v>
      </c>
      <c r="AE36">
        <f t="shared" si="6"/>
        <v>0.22988411757923222</v>
      </c>
      <c r="AF36">
        <f t="shared" si="7"/>
        <v>0.28014072824637959</v>
      </c>
      <c r="AP36">
        <f t="shared" si="8"/>
        <v>0.22988411757923222</v>
      </c>
      <c r="AQ36">
        <f t="shared" si="9"/>
        <v>51</v>
      </c>
    </row>
    <row r="37" spans="5:43" x14ac:dyDescent="0.25">
      <c r="AC37">
        <f t="shared" si="10"/>
        <v>15</v>
      </c>
      <c r="AD37">
        <v>51</v>
      </c>
      <c r="AE37">
        <f t="shared" si="6"/>
        <v>0.47278912099226728</v>
      </c>
      <c r="AF37">
        <f t="shared" si="7"/>
        <v>0.28014072824637959</v>
      </c>
      <c r="AP37">
        <f t="shared" si="8"/>
        <v>0.47278912099226728</v>
      </c>
      <c r="AQ37">
        <f t="shared" si="9"/>
        <v>51</v>
      </c>
    </row>
    <row r="38" spans="5:43" x14ac:dyDescent="0.25">
      <c r="AC38">
        <f t="shared" si="10"/>
        <v>17</v>
      </c>
      <c r="AD38">
        <v>55</v>
      </c>
      <c r="AE38">
        <f t="shared" si="6"/>
        <v>0.74785859476330196</v>
      </c>
      <c r="AF38">
        <f t="shared" si="7"/>
        <v>0.57362149117115813</v>
      </c>
      <c r="AP38">
        <f t="shared" si="8"/>
        <v>0.74785859476330196</v>
      </c>
      <c r="AQ38">
        <f t="shared" si="9"/>
        <v>55</v>
      </c>
    </row>
    <row r="39" spans="5:43" x14ac:dyDescent="0.25">
      <c r="F39" t="s">
        <v>732</v>
      </c>
      <c r="AC39">
        <f t="shared" si="10"/>
        <v>19</v>
      </c>
      <c r="AD39">
        <v>65</v>
      </c>
      <c r="AE39">
        <f t="shared" si="6"/>
        <v>1.096803562093513</v>
      </c>
      <c r="AF39">
        <f t="shared" si="7"/>
        <v>1.3073233984831043</v>
      </c>
      <c r="AP39">
        <f t="shared" si="8"/>
        <v>1.096803562093513</v>
      </c>
      <c r="AQ39">
        <f t="shared" si="9"/>
        <v>65</v>
      </c>
    </row>
    <row r="40" spans="5:43" x14ac:dyDescent="0.25">
      <c r="AC40">
        <f t="shared" si="10"/>
        <v>21</v>
      </c>
      <c r="AD40">
        <v>71</v>
      </c>
      <c r="AE40">
        <f t="shared" si="6"/>
        <v>1.6906216295848984</v>
      </c>
      <c r="AF40">
        <f t="shared" si="7"/>
        <v>1.7475445428702721</v>
      </c>
      <c r="AP40">
        <f t="shared" si="8"/>
        <v>1.6906216295848984</v>
      </c>
      <c r="AQ40">
        <f t="shared" si="9"/>
        <v>71</v>
      </c>
    </row>
    <row r="41" spans="5:43" x14ac:dyDescent="0.25">
      <c r="F41" s="131" t="s">
        <v>382</v>
      </c>
      <c r="G41" s="131" t="s">
        <v>303</v>
      </c>
      <c r="I41" s="131" t="s">
        <v>383</v>
      </c>
      <c r="J41" s="131" t="s">
        <v>303</v>
      </c>
    </row>
    <row r="42" spans="5:43" x14ac:dyDescent="0.25">
      <c r="F42" s="318">
        <f>A4</f>
        <v>7</v>
      </c>
      <c r="G42">
        <f>G26</f>
        <v>10.189500375171463</v>
      </c>
      <c r="I42" s="318">
        <f>B4</f>
        <v>5</v>
      </c>
      <c r="J42">
        <f>G42</f>
        <v>10.189500375171463</v>
      </c>
    </row>
    <row r="43" spans="5:43" x14ac:dyDescent="0.25">
      <c r="F43" s="318">
        <f t="shared" ref="F43:F52" si="11">A5</f>
        <v>3</v>
      </c>
      <c r="G43">
        <f t="shared" ref="G43:G52" si="12">G27</f>
        <v>-4.7461771326554327</v>
      </c>
      <c r="I43" s="318">
        <f t="shared" ref="I43:I52" si="13">B5</f>
        <v>7</v>
      </c>
      <c r="J43">
        <f t="shared" ref="J43:J52" si="14">G43</f>
        <v>-4.7461771326554327</v>
      </c>
    </row>
    <row r="44" spans="5:43" x14ac:dyDescent="0.25">
      <c r="F44" s="318">
        <f t="shared" si="11"/>
        <v>5</v>
      </c>
      <c r="G44">
        <f t="shared" si="12"/>
        <v>-5.2951693446143224</v>
      </c>
      <c r="I44" s="318">
        <f t="shared" si="13"/>
        <v>8</v>
      </c>
      <c r="J44">
        <f t="shared" si="14"/>
        <v>-5.2951693446143224</v>
      </c>
    </row>
    <row r="45" spans="5:43" x14ac:dyDescent="0.25">
      <c r="F45" s="318">
        <f t="shared" si="11"/>
        <v>8</v>
      </c>
      <c r="G45">
        <f t="shared" si="12"/>
        <v>-6.6721260575952073</v>
      </c>
      <c r="I45" s="318">
        <f t="shared" si="13"/>
        <v>1</v>
      </c>
      <c r="J45">
        <f t="shared" si="14"/>
        <v>-6.6721260575952073</v>
      </c>
    </row>
    <row r="46" spans="5:43" x14ac:dyDescent="0.25">
      <c r="F46" s="318">
        <f t="shared" si="11"/>
        <v>9</v>
      </c>
      <c r="G46">
        <f t="shared" si="12"/>
        <v>-2.0842453879789105</v>
      </c>
      <c r="I46" s="318">
        <f t="shared" si="13"/>
        <v>3</v>
      </c>
      <c r="J46">
        <f t="shared" si="14"/>
        <v>-2.0842453879789105</v>
      </c>
    </row>
    <row r="47" spans="5:43" x14ac:dyDescent="0.25">
      <c r="F47" s="318">
        <f t="shared" si="11"/>
        <v>5</v>
      </c>
      <c r="G47">
        <f t="shared" si="12"/>
        <v>1.7384925871303665</v>
      </c>
      <c r="I47" s="318">
        <f t="shared" si="13"/>
        <v>4</v>
      </c>
      <c r="J47">
        <f t="shared" si="14"/>
        <v>1.7384925871303665</v>
      </c>
    </row>
    <row r="48" spans="5:43" x14ac:dyDescent="0.25">
      <c r="F48" s="318">
        <f t="shared" si="11"/>
        <v>4</v>
      </c>
      <c r="G48">
        <f t="shared" si="12"/>
        <v>3.6674428833864141</v>
      </c>
      <c r="I48" s="318">
        <f t="shared" si="13"/>
        <v>0</v>
      </c>
      <c r="J48">
        <f t="shared" si="14"/>
        <v>3.6674428833864141</v>
      </c>
    </row>
    <row r="49" spans="6:12" x14ac:dyDescent="0.25">
      <c r="F49" s="318">
        <f t="shared" si="11"/>
        <v>2</v>
      </c>
      <c r="G49">
        <f t="shared" si="12"/>
        <v>-1.0924732852078947</v>
      </c>
      <c r="I49" s="318">
        <f t="shared" si="13"/>
        <v>6</v>
      </c>
      <c r="J49">
        <f t="shared" si="14"/>
        <v>-1.0924732852078947</v>
      </c>
    </row>
    <row r="50" spans="6:12" x14ac:dyDescent="0.25">
      <c r="F50" s="318">
        <f t="shared" si="11"/>
        <v>8</v>
      </c>
      <c r="G50">
        <f t="shared" si="12"/>
        <v>3.7773810447877594</v>
      </c>
      <c r="I50" s="318">
        <f t="shared" si="13"/>
        <v>7</v>
      </c>
      <c r="J50">
        <f t="shared" si="14"/>
        <v>3.7773810447877594</v>
      </c>
    </row>
    <row r="51" spans="6:12" x14ac:dyDescent="0.25">
      <c r="F51" s="318">
        <f t="shared" si="11"/>
        <v>6</v>
      </c>
      <c r="G51">
        <f t="shared" si="12"/>
        <v>4.8432042226190006</v>
      </c>
      <c r="I51" s="318">
        <f t="shared" si="13"/>
        <v>4</v>
      </c>
      <c r="J51">
        <f t="shared" si="14"/>
        <v>4.8432042226190006</v>
      </c>
    </row>
    <row r="52" spans="6:12" x14ac:dyDescent="0.25">
      <c r="F52" s="319">
        <f t="shared" si="11"/>
        <v>9</v>
      </c>
      <c r="G52" s="341">
        <f t="shared" si="12"/>
        <v>-4.3258299050427382</v>
      </c>
      <c r="I52" s="319">
        <f t="shared" si="13"/>
        <v>2</v>
      </c>
      <c r="J52" s="341">
        <f t="shared" si="14"/>
        <v>-4.3258299050427382</v>
      </c>
    </row>
    <row r="55" spans="6:12" x14ac:dyDescent="0.25">
      <c r="F55" t="s">
        <v>735</v>
      </c>
    </row>
    <row r="57" spans="6:12" x14ac:dyDescent="0.25">
      <c r="F57" s="131" t="s">
        <v>382</v>
      </c>
      <c r="G57" s="131" t="s">
        <v>376</v>
      </c>
      <c r="H57" s="131" t="s">
        <v>736</v>
      </c>
      <c r="J57" s="131" t="s">
        <v>383</v>
      </c>
      <c r="K57" s="131" t="s">
        <v>376</v>
      </c>
      <c r="L57" s="131" t="s">
        <v>736</v>
      </c>
    </row>
    <row r="58" spans="6:12" x14ac:dyDescent="0.25">
      <c r="F58" s="318">
        <f>A4</f>
        <v>7</v>
      </c>
      <c r="G58" s="318">
        <f>C4</f>
        <v>65</v>
      </c>
      <c r="H58">
        <f>F26</f>
        <v>54.810499624828537</v>
      </c>
      <c r="J58" s="318">
        <f t="shared" ref="J58:J68" si="15">B4</f>
        <v>5</v>
      </c>
      <c r="K58" s="318">
        <f t="shared" ref="K58:K68" si="16">C4</f>
        <v>65</v>
      </c>
      <c r="L58">
        <f>H58</f>
        <v>54.810499624828537</v>
      </c>
    </row>
    <row r="59" spans="6:12" x14ac:dyDescent="0.25">
      <c r="F59" s="318">
        <f t="shared" ref="F59:F68" si="17">A5</f>
        <v>3</v>
      </c>
      <c r="G59" s="318">
        <f t="shared" ref="G59:G68" si="18">C5</f>
        <v>38</v>
      </c>
      <c r="H59">
        <f t="shared" ref="H59:H68" si="19">F27</f>
        <v>42.746177132655433</v>
      </c>
      <c r="J59" s="318">
        <f t="shared" si="15"/>
        <v>7</v>
      </c>
      <c r="K59" s="318">
        <f t="shared" si="16"/>
        <v>38</v>
      </c>
      <c r="L59">
        <f t="shared" ref="L59:L68" si="20">H59</f>
        <v>42.746177132655433</v>
      </c>
    </row>
    <row r="60" spans="6:12" x14ac:dyDescent="0.25">
      <c r="F60" s="318">
        <f t="shared" si="17"/>
        <v>5</v>
      </c>
      <c r="G60" s="318">
        <f t="shared" si="18"/>
        <v>51</v>
      </c>
      <c r="H60">
        <f t="shared" si="19"/>
        <v>56.295169344614322</v>
      </c>
      <c r="J60" s="318">
        <f t="shared" si="15"/>
        <v>8</v>
      </c>
      <c r="K60" s="318">
        <f t="shared" si="16"/>
        <v>51</v>
      </c>
      <c r="L60">
        <f t="shared" si="20"/>
        <v>56.295169344614322</v>
      </c>
    </row>
    <row r="61" spans="6:12" x14ac:dyDescent="0.25">
      <c r="F61" s="318">
        <f t="shared" si="17"/>
        <v>8</v>
      </c>
      <c r="G61" s="318">
        <f t="shared" si="18"/>
        <v>38</v>
      </c>
      <c r="H61">
        <f t="shared" si="19"/>
        <v>44.672126057595207</v>
      </c>
      <c r="J61" s="318">
        <f t="shared" si="15"/>
        <v>1</v>
      </c>
      <c r="K61" s="318">
        <f t="shared" si="16"/>
        <v>38</v>
      </c>
      <c r="L61">
        <f t="shared" si="20"/>
        <v>44.672126057595207</v>
      </c>
    </row>
    <row r="62" spans="6:12" x14ac:dyDescent="0.25">
      <c r="F62" s="318">
        <f t="shared" si="17"/>
        <v>9</v>
      </c>
      <c r="G62" s="318">
        <f t="shared" si="18"/>
        <v>55</v>
      </c>
      <c r="H62">
        <f t="shared" si="19"/>
        <v>57.08424538797891</v>
      </c>
      <c r="J62" s="318">
        <f t="shared" si="15"/>
        <v>3</v>
      </c>
      <c r="K62" s="318">
        <f t="shared" si="16"/>
        <v>55</v>
      </c>
      <c r="L62">
        <f t="shared" si="20"/>
        <v>57.08424538797891</v>
      </c>
    </row>
    <row r="63" spans="6:12" x14ac:dyDescent="0.25">
      <c r="F63" s="318">
        <f t="shared" si="17"/>
        <v>5</v>
      </c>
      <c r="G63" s="318">
        <f t="shared" si="18"/>
        <v>43</v>
      </c>
      <c r="H63">
        <f t="shared" si="19"/>
        <v>41.261507412869634</v>
      </c>
      <c r="J63" s="318">
        <f t="shared" si="15"/>
        <v>4</v>
      </c>
      <c r="K63" s="318">
        <f t="shared" si="16"/>
        <v>43</v>
      </c>
      <c r="L63">
        <f t="shared" si="20"/>
        <v>41.261507412869634</v>
      </c>
    </row>
    <row r="64" spans="6:12" x14ac:dyDescent="0.25">
      <c r="F64" s="318">
        <f t="shared" si="17"/>
        <v>4</v>
      </c>
      <c r="G64" s="318">
        <f t="shared" si="18"/>
        <v>25</v>
      </c>
      <c r="H64">
        <f t="shared" si="19"/>
        <v>21.332557116613586</v>
      </c>
      <c r="J64" s="318">
        <f t="shared" si="15"/>
        <v>0</v>
      </c>
      <c r="K64" s="318">
        <f t="shared" si="16"/>
        <v>25</v>
      </c>
      <c r="L64">
        <f t="shared" si="20"/>
        <v>21.332557116613586</v>
      </c>
    </row>
    <row r="65" spans="6:12" x14ac:dyDescent="0.25">
      <c r="F65" s="318">
        <f t="shared" si="17"/>
        <v>2</v>
      </c>
      <c r="G65" s="318">
        <f t="shared" si="18"/>
        <v>33</v>
      </c>
      <c r="H65">
        <f t="shared" si="19"/>
        <v>34.092473285207895</v>
      </c>
      <c r="J65" s="318">
        <f t="shared" si="15"/>
        <v>6</v>
      </c>
      <c r="K65" s="318">
        <f t="shared" si="16"/>
        <v>33</v>
      </c>
      <c r="L65">
        <f t="shared" si="20"/>
        <v>34.092473285207895</v>
      </c>
    </row>
    <row r="66" spans="6:12" x14ac:dyDescent="0.25">
      <c r="F66" s="318">
        <f t="shared" si="17"/>
        <v>8</v>
      </c>
      <c r="G66" s="318">
        <f t="shared" si="18"/>
        <v>71</v>
      </c>
      <c r="H66">
        <f t="shared" si="19"/>
        <v>67.222618955212241</v>
      </c>
      <c r="J66" s="318">
        <f t="shared" si="15"/>
        <v>7</v>
      </c>
      <c r="K66" s="318">
        <f t="shared" si="16"/>
        <v>71</v>
      </c>
      <c r="L66">
        <f t="shared" si="20"/>
        <v>67.222618955212241</v>
      </c>
    </row>
    <row r="67" spans="6:12" x14ac:dyDescent="0.25">
      <c r="F67" s="318">
        <f t="shared" si="17"/>
        <v>6</v>
      </c>
      <c r="G67" s="318">
        <f t="shared" si="18"/>
        <v>51</v>
      </c>
      <c r="H67">
        <f t="shared" si="19"/>
        <v>46.156795777380999</v>
      </c>
      <c r="J67" s="318">
        <f t="shared" si="15"/>
        <v>4</v>
      </c>
      <c r="K67" s="318">
        <f t="shared" si="16"/>
        <v>51</v>
      </c>
      <c r="L67">
        <f t="shared" si="20"/>
        <v>46.156795777380999</v>
      </c>
    </row>
    <row r="68" spans="6:12" x14ac:dyDescent="0.25">
      <c r="F68" s="319">
        <f t="shared" si="17"/>
        <v>9</v>
      </c>
      <c r="G68" s="319">
        <f t="shared" si="18"/>
        <v>49</v>
      </c>
      <c r="H68" s="341">
        <f t="shared" si="19"/>
        <v>53.325829905042738</v>
      </c>
      <c r="J68" s="319">
        <f t="shared" si="15"/>
        <v>2</v>
      </c>
      <c r="K68" s="319">
        <f t="shared" si="16"/>
        <v>49</v>
      </c>
      <c r="L68" s="341">
        <f t="shared" si="20"/>
        <v>53.325829905042738</v>
      </c>
    </row>
  </sheetData>
  <mergeCells count="1">
    <mergeCell ref="Q5:R5"/>
  </mergeCells>
  <pageMargins left="0.7" right="0.7" top="0.75" bottom="0.75" header="0.3" footer="0.3"/>
  <ignoredErrors>
    <ignoredError sqref="F14" formulaRange="1"/>
  </ignoredError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K21"/>
  <sheetViews>
    <sheetView workbookViewId="0"/>
  </sheetViews>
  <sheetFormatPr defaultRowHeight="15" x14ac:dyDescent="0.25"/>
  <cols>
    <col min="1" max="3" width="7.5703125" customWidth="1"/>
    <col min="4" max="4" width="6.5703125" customWidth="1"/>
    <col min="5" max="5" width="17.85546875" customWidth="1"/>
    <col min="6" max="6" width="13" customWidth="1"/>
    <col min="7" max="11" width="13.42578125" customWidth="1"/>
  </cols>
  <sheetData>
    <row r="1" spans="1:10" x14ac:dyDescent="0.25">
      <c r="A1" s="1" t="s">
        <v>414</v>
      </c>
      <c r="E1" t="s">
        <v>2324</v>
      </c>
    </row>
    <row r="3" spans="1:10" x14ac:dyDescent="0.25">
      <c r="A3" s="131" t="s">
        <v>382</v>
      </c>
      <c r="B3" s="131" t="s">
        <v>383</v>
      </c>
      <c r="C3" s="131" t="s">
        <v>376</v>
      </c>
      <c r="E3" t="s">
        <v>290</v>
      </c>
    </row>
    <row r="4" spans="1:10" ht="15.75" thickBot="1" x14ac:dyDescent="0.3">
      <c r="A4" s="569">
        <v>7</v>
      </c>
      <c r="B4" s="569">
        <v>5</v>
      </c>
      <c r="C4" s="569">
        <v>65</v>
      </c>
    </row>
    <row r="5" spans="1:10" x14ac:dyDescent="0.25">
      <c r="A5" s="569">
        <v>3</v>
      </c>
      <c r="B5" s="569">
        <v>7</v>
      </c>
      <c r="C5" s="569">
        <v>38</v>
      </c>
      <c r="E5" s="21" t="s">
        <v>291</v>
      </c>
      <c r="F5" s="21"/>
    </row>
    <row r="6" spans="1:10" x14ac:dyDescent="0.25">
      <c r="A6" s="569">
        <v>5</v>
      </c>
      <c r="B6" s="569">
        <v>8</v>
      </c>
      <c r="C6" s="569">
        <v>51</v>
      </c>
      <c r="E6" s="19" t="s">
        <v>292</v>
      </c>
      <c r="F6">
        <f>[1]!MultipleR(A4:B14,C4:C14)</f>
        <v>0.92233072739359667</v>
      </c>
    </row>
    <row r="7" spans="1:10" x14ac:dyDescent="0.25">
      <c r="A7" s="569">
        <v>8</v>
      </c>
      <c r="B7" s="569">
        <v>1</v>
      </c>
      <c r="C7" s="569">
        <v>38</v>
      </c>
      <c r="E7" s="19" t="s">
        <v>285</v>
      </c>
      <c r="F7">
        <f>[1]!RSquare(A4:B14,C4:C14)</f>
        <v>0.85069397069440122</v>
      </c>
    </row>
    <row r="8" spans="1:10" x14ac:dyDescent="0.25">
      <c r="A8" s="569">
        <v>9</v>
      </c>
      <c r="B8" s="569">
        <v>3</v>
      </c>
      <c r="C8" s="569">
        <v>55</v>
      </c>
      <c r="E8" s="19" t="s">
        <v>293</v>
      </c>
      <c r="F8">
        <f>[1]!AdjRSquare(A4:B14,C4:C14)</f>
        <v>0.81336746336800148</v>
      </c>
    </row>
    <row r="9" spans="1:10" x14ac:dyDescent="0.25">
      <c r="A9" s="569">
        <v>5</v>
      </c>
      <c r="B9" s="569">
        <v>4</v>
      </c>
      <c r="C9" s="569">
        <v>43</v>
      </c>
      <c r="E9" s="19" t="s">
        <v>11</v>
      </c>
      <c r="F9">
        <f>[1]!regse(A4:B14,C4:C14)</f>
        <v>5.8880844651320681</v>
      </c>
    </row>
    <row r="10" spans="1:10" ht="15.75" thickBot="1" x14ac:dyDescent="0.3">
      <c r="A10" s="569">
        <v>4</v>
      </c>
      <c r="B10" s="569">
        <v>0</v>
      </c>
      <c r="C10" s="569">
        <v>25</v>
      </c>
      <c r="E10" s="20" t="s">
        <v>81</v>
      </c>
      <c r="F10" s="20">
        <f>COUNT(A4:A14)</f>
        <v>11</v>
      </c>
    </row>
    <row r="11" spans="1:10" x14ac:dyDescent="0.25">
      <c r="A11" s="569">
        <v>2</v>
      </c>
      <c r="B11" s="569">
        <v>6</v>
      </c>
      <c r="C11" s="569">
        <v>33</v>
      </c>
    </row>
    <row r="12" spans="1:10" ht="15.75" thickBot="1" x14ac:dyDescent="0.3">
      <c r="A12" s="569">
        <v>8</v>
      </c>
      <c r="B12" s="569">
        <v>7</v>
      </c>
      <c r="C12" s="569">
        <v>71</v>
      </c>
      <c r="E12" t="s">
        <v>294</v>
      </c>
    </row>
    <row r="13" spans="1:10" x14ac:dyDescent="0.25">
      <c r="A13" s="569">
        <v>6</v>
      </c>
      <c r="B13" s="569">
        <v>4</v>
      </c>
      <c r="C13" s="569">
        <v>51</v>
      </c>
      <c r="E13" s="571"/>
      <c r="F13" s="571" t="s">
        <v>60</v>
      </c>
      <c r="G13" s="571" t="s">
        <v>219</v>
      </c>
      <c r="H13" s="571" t="s">
        <v>240</v>
      </c>
      <c r="I13" s="571" t="s">
        <v>135</v>
      </c>
      <c r="J13" s="571" t="s">
        <v>297</v>
      </c>
    </row>
    <row r="14" spans="1:10" x14ac:dyDescent="0.25">
      <c r="A14" s="570">
        <v>9</v>
      </c>
      <c r="B14" s="570">
        <v>2</v>
      </c>
      <c r="C14" s="570">
        <v>49</v>
      </c>
      <c r="E14" s="19" t="s">
        <v>222</v>
      </c>
      <c r="F14">
        <f>[1]!dfreg(A4:B14)</f>
        <v>2</v>
      </c>
      <c r="G14" s="19">
        <f>[1]!SSReg(A4:B14,C4:C14)</f>
        <v>1580.2800542881264</v>
      </c>
      <c r="H14" s="19">
        <f>[1]!mSReg(A4:B14,C4:C14)</f>
        <v>790.1400271440632</v>
      </c>
      <c r="I14" s="19">
        <f>[1]!RegF(A4:B14,C4:C14)</f>
        <v>22.790612667173818</v>
      </c>
      <c r="J14">
        <f>[1]!regtest(A4:B14,C4:C14)</f>
        <v>4.9694621069852531E-4</v>
      </c>
    </row>
    <row r="15" spans="1:10" x14ac:dyDescent="0.25">
      <c r="E15" s="19" t="s">
        <v>295</v>
      </c>
      <c r="F15" s="19">
        <f>[1]!dfres(A4:B14)</f>
        <v>8</v>
      </c>
      <c r="G15" s="19">
        <f>[1]!ssres(A4:B14,C4:C14)</f>
        <v>277.35630934823678</v>
      </c>
      <c r="H15" s="19">
        <f>[1]!MSRes(A4:B14,C4:C14)</f>
        <v>34.669538668529597</v>
      </c>
      <c r="I15" s="19"/>
      <c r="J15" s="19"/>
    </row>
    <row r="16" spans="1:10" ht="15.75" thickBot="1" x14ac:dyDescent="0.3">
      <c r="E16" s="20" t="s">
        <v>1</v>
      </c>
      <c r="F16" s="20">
        <f>[1]!dfregtot(A4:B14)</f>
        <v>10</v>
      </c>
      <c r="G16" s="20">
        <f>[1]!SSRegTot(C4:C14)</f>
        <v>1857.6363636363633</v>
      </c>
      <c r="H16" s="20"/>
      <c r="I16" s="20"/>
      <c r="J16" s="20"/>
    </row>
    <row r="17" spans="5:11" ht="15.75" thickBot="1" x14ac:dyDescent="0.3"/>
    <row r="18" spans="5:11" x14ac:dyDescent="0.25">
      <c r="E18" s="571"/>
      <c r="F18" s="571" t="s">
        <v>298</v>
      </c>
      <c r="G18" s="571" t="s">
        <v>11</v>
      </c>
      <c r="H18" s="571" t="s">
        <v>85</v>
      </c>
      <c r="I18" s="571" t="s">
        <v>119</v>
      </c>
      <c r="J18" s="571" t="s">
        <v>299</v>
      </c>
      <c r="K18" s="571" t="s">
        <v>300</v>
      </c>
    </row>
    <row r="19" spans="5:11" x14ac:dyDescent="0.25">
      <c r="E19" s="19" t="s">
        <v>296</v>
      </c>
      <c r="F19" s="19">
        <f t="array" ref="F19:F21">[1]!RegCoeff(A4:B14,C4:C14)</f>
        <v>1.7514036585681438</v>
      </c>
      <c r="G19" s="19">
        <f t="array" ref="G19:G21">[1]!RegCoeffSE(A4:B14,C4:C14)</f>
        <v>6.9602026710152867</v>
      </c>
      <c r="H19" s="19">
        <f>F19/G19</f>
        <v>0.25163112934363246</v>
      </c>
      <c r="I19" s="19">
        <f>TDIST(ABS(H19),$F$15,2)</f>
        <v>0.80766962414536592</v>
      </c>
      <c r="J19" s="19">
        <f>F19-TINV(0.05,$F$15)*G19</f>
        <v>-14.298852482652197</v>
      </c>
      <c r="K19" s="19">
        <f>F19+TINV(0.05,$F$15)*G19</f>
        <v>17.801659799788485</v>
      </c>
    </row>
    <row r="20" spans="5:11" x14ac:dyDescent="0.25">
      <c r="E20" s="19" t="s">
        <v>382</v>
      </c>
      <c r="F20" s="19">
        <v>4.8952883645113721</v>
      </c>
      <c r="G20" s="19">
        <v>0.82022977846272815</v>
      </c>
      <c r="H20" s="19">
        <f>F20/G20</f>
        <v>5.9681914666474372</v>
      </c>
      <c r="I20" s="19">
        <f>TDIST(ABS(H20),$F$15,2)</f>
        <v>3.3508360543825895E-4</v>
      </c>
      <c r="J20" s="19">
        <f>F20-TINV(0.05,$F$15)*G20</f>
        <v>3.003835103558723</v>
      </c>
      <c r="K20" s="19">
        <f>F20+TINV(0.05,$F$15)*G20</f>
        <v>6.7867416254640212</v>
      </c>
    </row>
    <row r="21" spans="5:11" ht="15.75" thickBot="1" x14ac:dyDescent="0.3">
      <c r="E21" s="20" t="s">
        <v>383</v>
      </c>
      <c r="F21" s="20">
        <v>3.7584154829361673</v>
      </c>
      <c r="G21" s="20">
        <v>0.75651098735033695</v>
      </c>
      <c r="H21" s="20">
        <f>F21/G21</f>
        <v>4.9680910730720971</v>
      </c>
      <c r="I21" s="20">
        <f>TDIST(ABS(H21),$F$15,2)</f>
        <v>1.0957202090976618E-3</v>
      </c>
      <c r="J21" s="20">
        <f>F21-TINV(0.05,$F$15)*G21</f>
        <v>2.013898017778903</v>
      </c>
      <c r="K21" s="20">
        <f>F21+TINV(0.05,$F$15)*G21</f>
        <v>5.5029329480934317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/>
  <dimension ref="A1:L21"/>
  <sheetViews>
    <sheetView workbookViewId="0"/>
  </sheetViews>
  <sheetFormatPr defaultRowHeight="15" x14ac:dyDescent="0.25"/>
  <cols>
    <col min="1" max="3" width="7.5703125" customWidth="1"/>
    <col min="4" max="4" width="6.5703125" customWidth="1"/>
    <col min="5" max="5" width="17.28515625" customWidth="1"/>
  </cols>
  <sheetData>
    <row r="1" spans="1:11" x14ac:dyDescent="0.25">
      <c r="A1" s="1" t="s">
        <v>2325</v>
      </c>
    </row>
    <row r="3" spans="1:11" x14ac:dyDescent="0.25">
      <c r="A3" s="131" t="s">
        <v>382</v>
      </c>
      <c r="B3" s="131" t="s">
        <v>383</v>
      </c>
      <c r="C3" s="131" t="s">
        <v>376</v>
      </c>
      <c r="E3" t="s">
        <v>1593</v>
      </c>
    </row>
    <row r="4" spans="1:11" x14ac:dyDescent="0.25">
      <c r="A4" s="735">
        <v>7</v>
      </c>
      <c r="B4" s="735">
        <v>5</v>
      </c>
      <c r="C4" s="735">
        <v>65</v>
      </c>
    </row>
    <row r="5" spans="1:11" ht="15.75" thickBot="1" x14ac:dyDescent="0.3">
      <c r="A5" s="735">
        <v>3</v>
      </c>
      <c r="B5" s="735">
        <v>7</v>
      </c>
      <c r="C5" s="735">
        <v>38</v>
      </c>
      <c r="E5" s="743" t="s">
        <v>1598</v>
      </c>
      <c r="F5" s="743"/>
      <c r="H5" s="743"/>
      <c r="I5" s="743"/>
    </row>
    <row r="6" spans="1:11" ht="15.75" thickTop="1" x14ac:dyDescent="0.25">
      <c r="A6" s="735">
        <v>5</v>
      </c>
      <c r="B6" s="735">
        <v>8</v>
      </c>
      <c r="C6" s="735">
        <v>51</v>
      </c>
      <c r="E6" t="s">
        <v>292</v>
      </c>
      <c r="F6">
        <f>SQRT(F7)</f>
        <v>0.92233072739359656</v>
      </c>
      <c r="H6" t="s">
        <v>774</v>
      </c>
      <c r="I6">
        <f>F10*LN(G15/F10)+2*(F14+1)</f>
        <v>41.501484943438328</v>
      </c>
    </row>
    <row r="7" spans="1:11" x14ac:dyDescent="0.25">
      <c r="A7" s="735">
        <v>8</v>
      </c>
      <c r="B7" s="735">
        <v>1</v>
      </c>
      <c r="C7" s="735">
        <v>38</v>
      </c>
      <c r="E7" t="s">
        <v>285</v>
      </c>
      <c r="F7">
        <f>G14/G16</f>
        <v>0.85069397069440089</v>
      </c>
      <c r="H7" t="s">
        <v>775</v>
      </c>
      <c r="I7">
        <f>I6+2*(F14+2)*(F14+3)/(F10-F14-3)</f>
        <v>48.168151610104992</v>
      </c>
    </row>
    <row r="8" spans="1:11" x14ac:dyDescent="0.25">
      <c r="A8" s="735">
        <v>9</v>
      </c>
      <c r="B8" s="735">
        <v>3</v>
      </c>
      <c r="C8" s="735">
        <v>55</v>
      </c>
      <c r="E8" t="s">
        <v>293</v>
      </c>
      <c r="F8">
        <f>1-(1-F7)*(F10-1)/(F10-F14-1)</f>
        <v>0.81336746336800114</v>
      </c>
      <c r="H8" s="762" t="s">
        <v>2661</v>
      </c>
      <c r="I8" s="762">
        <f>F10*LN(G15/F10)+(F14+1)*LN(F10)</f>
        <v>42.695170761833438</v>
      </c>
    </row>
    <row r="9" spans="1:11" x14ac:dyDescent="0.25">
      <c r="A9" s="735">
        <v>5</v>
      </c>
      <c r="B9" s="735">
        <v>4</v>
      </c>
      <c r="C9" s="735">
        <v>43</v>
      </c>
      <c r="E9" t="s">
        <v>11</v>
      </c>
      <c r="F9">
        <f>SQRT(H15)</f>
        <v>5.8880844651320743</v>
      </c>
    </row>
    <row r="10" spans="1:11" x14ac:dyDescent="0.25">
      <c r="A10" s="735">
        <v>4</v>
      </c>
      <c r="B10" s="735">
        <v>0</v>
      </c>
      <c r="C10" s="735">
        <v>25</v>
      </c>
      <c r="E10" s="762" t="s">
        <v>81</v>
      </c>
      <c r="F10" s="762">
        <f>COUNT(C4:C14)</f>
        <v>11</v>
      </c>
    </row>
    <row r="11" spans="1:11" x14ac:dyDescent="0.25">
      <c r="A11" s="735">
        <v>2</v>
      </c>
      <c r="B11" s="735">
        <v>6</v>
      </c>
      <c r="C11" s="735">
        <v>33</v>
      </c>
    </row>
    <row r="12" spans="1:11" ht="15.75" thickBot="1" x14ac:dyDescent="0.3">
      <c r="A12" s="735">
        <v>8</v>
      </c>
      <c r="B12" s="735">
        <v>7</v>
      </c>
      <c r="C12" s="735">
        <v>71</v>
      </c>
      <c r="E12" t="s">
        <v>294</v>
      </c>
      <c r="I12" s="1244" t="s">
        <v>34</v>
      </c>
      <c r="J12" s="1244">
        <v>0.05</v>
      </c>
    </row>
    <row r="13" spans="1:11" ht="15.75" thickTop="1" x14ac:dyDescent="0.25">
      <c r="A13" s="735">
        <v>6</v>
      </c>
      <c r="B13" s="735">
        <v>4</v>
      </c>
      <c r="C13" s="735">
        <v>51</v>
      </c>
      <c r="E13" s="826"/>
      <c r="F13" s="826" t="s">
        <v>60</v>
      </c>
      <c r="G13" s="826" t="s">
        <v>219</v>
      </c>
      <c r="H13" s="826" t="s">
        <v>240</v>
      </c>
      <c r="I13" s="826" t="s">
        <v>135</v>
      </c>
      <c r="J13" s="826" t="s">
        <v>67</v>
      </c>
      <c r="K13" s="826" t="s">
        <v>527</v>
      </c>
    </row>
    <row r="14" spans="1:11" x14ac:dyDescent="0.25">
      <c r="A14" s="737">
        <v>9</v>
      </c>
      <c r="B14" s="737">
        <v>2</v>
      </c>
      <c r="C14" s="737">
        <v>49</v>
      </c>
      <c r="E14" t="s">
        <v>222</v>
      </c>
      <c r="F14">
        <f>COUNT(A4:B4)</f>
        <v>2</v>
      </c>
      <c r="G14">
        <f>DEVSQ(MMULT([1]!DESIGN(A4:B14),F19:F21))</f>
        <v>1580.2800542881259</v>
      </c>
      <c r="H14">
        <f>G14/F14</f>
        <v>790.14002714406297</v>
      </c>
      <c r="I14">
        <f>H14/H15</f>
        <v>22.790612667173765</v>
      </c>
      <c r="J14">
        <f>FDIST(I14,F14,F15)</f>
        <v>4.9694621069852922E-4</v>
      </c>
      <c r="K14" s="1244" t="str">
        <f>IF(J14&lt;J12,"yes","no")</f>
        <v>yes</v>
      </c>
    </row>
    <row r="15" spans="1:11" x14ac:dyDescent="0.25">
      <c r="E15" t="s">
        <v>295</v>
      </c>
      <c r="F15">
        <f>F16-F14</f>
        <v>8</v>
      </c>
      <c r="G15">
        <f>G16-G14</f>
        <v>277.35630934823735</v>
      </c>
      <c r="H15">
        <f>G15/F15</f>
        <v>34.669538668529668</v>
      </c>
    </row>
    <row r="16" spans="1:11" x14ac:dyDescent="0.25">
      <c r="E16" s="762" t="s">
        <v>1</v>
      </c>
      <c r="F16" s="762">
        <f>F10-1</f>
        <v>10</v>
      </c>
      <c r="G16" s="762">
        <f>DEVSQ(C4:C14)</f>
        <v>1857.6363636363633</v>
      </c>
      <c r="H16" s="762"/>
      <c r="I16" s="762"/>
      <c r="J16" s="762"/>
      <c r="K16" s="762"/>
    </row>
    <row r="17" spans="5:12" ht="15.75" thickBot="1" x14ac:dyDescent="0.3"/>
    <row r="18" spans="5:12" ht="15.75" thickTop="1" x14ac:dyDescent="0.25">
      <c r="E18" s="826"/>
      <c r="F18" s="826" t="s">
        <v>1592</v>
      </c>
      <c r="G18" s="826" t="s">
        <v>1000</v>
      </c>
      <c r="H18" s="826" t="s">
        <v>61</v>
      </c>
      <c r="I18" s="826" t="s">
        <v>67</v>
      </c>
      <c r="J18" s="826" t="s">
        <v>29</v>
      </c>
      <c r="K18" s="826" t="s">
        <v>30</v>
      </c>
      <c r="L18" s="826" t="s">
        <v>2649</v>
      </c>
    </row>
    <row r="19" spans="5:12" x14ac:dyDescent="0.25">
      <c r="E19" t="s">
        <v>296</v>
      </c>
      <c r="F19">
        <f t="array" ref="F19:G21">[1]!RegCoeff(A4:B14,C4:C14)</f>
        <v>1.7514036585681438</v>
      </c>
      <c r="G19">
        <v>6.9602026710152867</v>
      </c>
      <c r="H19">
        <f>F19/G19</f>
        <v>0.25163112934363246</v>
      </c>
      <c r="I19">
        <f>TDIST(ABS(H19),$F$15,2)</f>
        <v>0.80766962414536592</v>
      </c>
      <c r="J19">
        <f>F19-TINV(J$12,$F$15)*G19</f>
        <v>-14.298852482652197</v>
      </c>
      <c r="K19">
        <f>F19+TINV(J$12,$F$15)*G19</f>
        <v>17.801659799788485</v>
      </c>
    </row>
    <row r="20" spans="5:12" x14ac:dyDescent="0.25">
      <c r="E20" t="str">
        <f t="array" ref="E20:E21">TRANSPOSE(A3:B3)</f>
        <v>Color</v>
      </c>
      <c r="F20">
        <v>4.8952883645113721</v>
      </c>
      <c r="G20">
        <v>0.82022977846272815</v>
      </c>
      <c r="H20">
        <f>F20/G20</f>
        <v>5.9681914666474372</v>
      </c>
      <c r="I20">
        <f>TDIST(ABS(H20),$F$15,2)</f>
        <v>3.3508360543825895E-4</v>
      </c>
      <c r="J20">
        <f>F20-TINV(J$12,$F$15)*G20</f>
        <v>3.003835103558723</v>
      </c>
      <c r="K20">
        <f>F20+TINV(J$12,$F$15)*G20</f>
        <v>6.7867416254640212</v>
      </c>
      <c r="L20">
        <f>[1]!VIF(A4:B14,1)</f>
        <v>1.1255142435768064</v>
      </c>
    </row>
    <row r="21" spans="5:12" x14ac:dyDescent="0.25">
      <c r="E21" s="762" t="str">
        <v>Quality</v>
      </c>
      <c r="F21" s="762">
        <v>3.7584154829361673</v>
      </c>
      <c r="G21" s="762">
        <v>0.75651098735033695</v>
      </c>
      <c r="H21" s="762">
        <f>F21/G21</f>
        <v>4.9680910730720971</v>
      </c>
      <c r="I21" s="762">
        <f>TDIST(ABS(H21),$F$15,2)</f>
        <v>1.0957202090976618E-3</v>
      </c>
      <c r="J21" s="762">
        <f>F21-TINV(J$12,$F$15)*G21</f>
        <v>2.013898017778903</v>
      </c>
      <c r="K21" s="762">
        <f>F21+TINV(J$12,$F$15)*G21</f>
        <v>5.5029329480934317</v>
      </c>
      <c r="L21" s="762">
        <f>[1]!VIF(A4:B14,2)</f>
        <v>1.1255142435768064</v>
      </c>
    </row>
  </sheetData>
  <pageMargins left="0.7" right="0.7" top="0.75" bottom="0.75" header="0.3" footer="0.3"/>
  <pageSetup paperSize="9" orientation="portrait" verticalDpi="0" r:id="rId1"/>
  <ignoredErrors>
    <ignoredError sqref="F14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0"/>
  <dimension ref="A1:S45"/>
  <sheetViews>
    <sheetView workbookViewId="0">
      <selection activeCell="K8" sqref="K8"/>
    </sheetView>
  </sheetViews>
  <sheetFormatPr defaultRowHeight="15" x14ac:dyDescent="0.25"/>
  <cols>
    <col min="1" max="1" width="6.5703125" customWidth="1"/>
    <col min="6" max="6" width="7.140625" customWidth="1"/>
    <col min="12" max="12" width="17" customWidth="1"/>
    <col min="13" max="13" width="10.140625" customWidth="1"/>
    <col min="14" max="14" width="12.5703125" customWidth="1"/>
    <col min="15" max="15" width="11" customWidth="1"/>
  </cols>
  <sheetData>
    <row r="1" spans="1:19" x14ac:dyDescent="0.25">
      <c r="A1" s="1" t="s">
        <v>2367</v>
      </c>
      <c r="L1" t="s">
        <v>1593</v>
      </c>
    </row>
    <row r="3" spans="1:19" ht="15.75" thickBot="1" x14ac:dyDescent="0.3">
      <c r="A3" s="13" t="s">
        <v>2</v>
      </c>
      <c r="B3" s="13" t="s">
        <v>2368</v>
      </c>
      <c r="C3" s="13" t="s">
        <v>620</v>
      </c>
      <c r="D3" s="13" t="s">
        <v>3</v>
      </c>
      <c r="F3" s="13" t="s">
        <v>2</v>
      </c>
      <c r="G3" s="13" t="s">
        <v>2372</v>
      </c>
      <c r="H3" s="13" t="s">
        <v>2373</v>
      </c>
      <c r="I3" s="13" t="s">
        <v>2374</v>
      </c>
      <c r="J3" s="13" t="s">
        <v>3</v>
      </c>
      <c r="L3" s="743" t="s">
        <v>1598</v>
      </c>
      <c r="M3" s="743"/>
      <c r="O3" s="743"/>
      <c r="P3" s="743"/>
    </row>
    <row r="4" spans="1:19" ht="15.75" thickTop="1" x14ac:dyDescent="0.25">
      <c r="A4" s="869">
        <v>20</v>
      </c>
      <c r="B4" s="881" t="s">
        <v>2369</v>
      </c>
      <c r="C4" s="881" t="s">
        <v>130</v>
      </c>
      <c r="D4" s="870">
        <v>45000</v>
      </c>
      <c r="F4" s="869">
        <v>20</v>
      </c>
      <c r="G4" s="881">
        <v>1</v>
      </c>
      <c r="H4" s="881">
        <v>0</v>
      </c>
      <c r="I4" s="881">
        <v>1</v>
      </c>
      <c r="J4" s="870">
        <v>45000</v>
      </c>
      <c r="L4" t="s">
        <v>292</v>
      </c>
      <c r="M4">
        <f>SQRT(M5)</f>
        <v>0.93963765590915804</v>
      </c>
      <c r="O4" t="s">
        <v>774</v>
      </c>
      <c r="P4">
        <f>M8*LN(N13/M8)+2*(M12+1)</f>
        <v>274.49469937246005</v>
      </c>
    </row>
    <row r="5" spans="1:19" x14ac:dyDescent="0.25">
      <c r="A5" s="532">
        <v>25</v>
      </c>
      <c r="B5" s="25" t="s">
        <v>2370</v>
      </c>
      <c r="C5" s="25" t="s">
        <v>130</v>
      </c>
      <c r="D5" s="533">
        <v>39000</v>
      </c>
      <c r="F5" s="532">
        <v>25</v>
      </c>
      <c r="G5" s="25">
        <v>0</v>
      </c>
      <c r="H5" s="25">
        <v>1</v>
      </c>
      <c r="I5" s="25">
        <v>1</v>
      </c>
      <c r="J5" s="533">
        <v>39000</v>
      </c>
      <c r="L5" t="s">
        <v>285</v>
      </c>
      <c r="M5">
        <f>N12/N14</f>
        <v>0.88291892440245734</v>
      </c>
      <c r="O5" t="s">
        <v>775</v>
      </c>
      <c r="P5">
        <f>P4+2*(M12+2)*(M12+3)/(M8-M12-3)</f>
        <v>283.82803270579336</v>
      </c>
    </row>
    <row r="6" spans="1:19" x14ac:dyDescent="0.25">
      <c r="A6" s="532">
        <v>45</v>
      </c>
      <c r="B6" s="25" t="s">
        <v>2371</v>
      </c>
      <c r="C6" s="25" t="s">
        <v>130</v>
      </c>
      <c r="D6" s="533">
        <v>56000</v>
      </c>
      <c r="F6" s="532">
        <v>45</v>
      </c>
      <c r="G6" s="25">
        <v>0</v>
      </c>
      <c r="H6" s="25">
        <v>0</v>
      </c>
      <c r="I6" s="25">
        <v>1</v>
      </c>
      <c r="J6" s="533">
        <v>56000</v>
      </c>
      <c r="L6" t="s">
        <v>293</v>
      </c>
      <c r="M6">
        <f>1-(1-M5)*(M8-1)/(M8-M12-1)</f>
        <v>0.84034398782153275</v>
      </c>
      <c r="O6" s="762" t="s">
        <v>2661</v>
      </c>
      <c r="P6" s="762">
        <f>M8*LN(N13/M8)+(M12+1)*LN(M8)</f>
        <v>278.35764298365893</v>
      </c>
    </row>
    <row r="7" spans="1:19" x14ac:dyDescent="0.25">
      <c r="A7" s="532">
        <v>35</v>
      </c>
      <c r="B7" s="25" t="s">
        <v>2369</v>
      </c>
      <c r="C7" s="25" t="s">
        <v>108</v>
      </c>
      <c r="D7" s="533">
        <v>49000</v>
      </c>
      <c r="F7" s="532">
        <v>35</v>
      </c>
      <c r="G7" s="25">
        <v>1</v>
      </c>
      <c r="H7" s="25">
        <v>0</v>
      </c>
      <c r="I7" s="25">
        <v>0</v>
      </c>
      <c r="J7" s="533">
        <v>49000</v>
      </c>
      <c r="L7" t="s">
        <v>11</v>
      </c>
      <c r="M7">
        <f>SQRT(O13)</f>
        <v>4688.2097873177909</v>
      </c>
    </row>
    <row r="8" spans="1:19" x14ac:dyDescent="0.25">
      <c r="A8" s="532">
        <v>50</v>
      </c>
      <c r="B8" s="25" t="s">
        <v>2370</v>
      </c>
      <c r="C8" s="25" t="s">
        <v>108</v>
      </c>
      <c r="D8" s="533">
        <v>41000</v>
      </c>
      <c r="F8" s="532">
        <v>50</v>
      </c>
      <c r="G8" s="25">
        <v>0</v>
      </c>
      <c r="H8" s="25">
        <v>1</v>
      </c>
      <c r="I8" s="25">
        <v>0</v>
      </c>
      <c r="J8" s="533">
        <v>41000</v>
      </c>
      <c r="L8" s="762" t="s">
        <v>81</v>
      </c>
      <c r="M8" s="762">
        <f>COUNT(J4:J19)</f>
        <v>16</v>
      </c>
    </row>
    <row r="9" spans="1:19" x14ac:dyDescent="0.25">
      <c r="A9" s="532">
        <v>55</v>
      </c>
      <c r="B9" s="25" t="s">
        <v>2371</v>
      </c>
      <c r="C9" s="25" t="s">
        <v>108</v>
      </c>
      <c r="D9" s="533">
        <v>42000</v>
      </c>
      <c r="F9" s="532">
        <v>55</v>
      </c>
      <c r="G9" s="25">
        <v>0</v>
      </c>
      <c r="H9" s="25">
        <v>0</v>
      </c>
      <c r="I9" s="25">
        <v>0</v>
      </c>
      <c r="J9" s="533">
        <v>42000</v>
      </c>
    </row>
    <row r="10" spans="1:19" ht="15.75" thickBot="1" x14ac:dyDescent="0.3">
      <c r="A10" s="532">
        <v>39</v>
      </c>
      <c r="B10" s="25" t="s">
        <v>2369</v>
      </c>
      <c r="C10" s="25" t="s">
        <v>130</v>
      </c>
      <c r="D10" s="533">
        <v>58000</v>
      </c>
      <c r="F10" s="532">
        <v>39</v>
      </c>
      <c r="G10" s="25">
        <v>1</v>
      </c>
      <c r="H10" s="25">
        <v>0</v>
      </c>
      <c r="I10" s="25">
        <v>1</v>
      </c>
      <c r="J10" s="533">
        <v>58000</v>
      </c>
      <c r="L10" t="s">
        <v>294</v>
      </c>
      <c r="P10" s="1244" t="s">
        <v>34</v>
      </c>
      <c r="Q10" s="1244">
        <v>0.05</v>
      </c>
    </row>
    <row r="11" spans="1:19" ht="15.75" thickTop="1" x14ac:dyDescent="0.25">
      <c r="A11" s="532">
        <v>48</v>
      </c>
      <c r="B11" s="25" t="s">
        <v>2370</v>
      </c>
      <c r="C11" s="25" t="s">
        <v>130</v>
      </c>
      <c r="D11" s="533">
        <v>55000</v>
      </c>
      <c r="F11" s="532">
        <v>48</v>
      </c>
      <c r="G11" s="25">
        <v>0</v>
      </c>
      <c r="H11" s="25">
        <v>1</v>
      </c>
      <c r="I11" s="25">
        <v>1</v>
      </c>
      <c r="J11" s="533">
        <v>55000</v>
      </c>
      <c r="L11" s="826"/>
      <c r="M11" s="826" t="s">
        <v>60</v>
      </c>
      <c r="N11" s="826" t="s">
        <v>219</v>
      </c>
      <c r="O11" s="826" t="s">
        <v>240</v>
      </c>
      <c r="P11" s="826" t="s">
        <v>135</v>
      </c>
      <c r="Q11" s="826" t="s">
        <v>67</v>
      </c>
      <c r="R11" s="826" t="s">
        <v>527</v>
      </c>
    </row>
    <row r="12" spans="1:19" x14ac:dyDescent="0.25">
      <c r="A12" s="532">
        <v>30</v>
      </c>
      <c r="B12" s="25" t="s">
        <v>2371</v>
      </c>
      <c r="C12" s="25" t="s">
        <v>130</v>
      </c>
      <c r="D12" s="533">
        <v>46000</v>
      </c>
      <c r="F12" s="532">
        <v>30</v>
      </c>
      <c r="G12" s="25">
        <v>0</v>
      </c>
      <c r="H12" s="25">
        <v>0</v>
      </c>
      <c r="I12" s="25">
        <v>1</v>
      </c>
      <c r="J12" s="533">
        <v>46000</v>
      </c>
      <c r="L12" t="s">
        <v>222</v>
      </c>
      <c r="M12">
        <f>COUNT(F4:I4)</f>
        <v>4</v>
      </c>
      <c r="N12">
        <f>DEVSQ(MMULT([1]!DESIGN(F4:I19),M17:M21))</f>
        <v>1823227578.8910744</v>
      </c>
      <c r="O12">
        <f>N12/M12</f>
        <v>455806894.7227686</v>
      </c>
      <c r="P12">
        <f>O12/O13</f>
        <v>20.73799740662545</v>
      </c>
      <c r="Q12">
        <f>FDIST(P12,M12,M13)</f>
        <v>4.408409692181053E-5</v>
      </c>
      <c r="R12" s="1244" t="str">
        <f>IF(Q12&lt;Q10,"yes","no")</f>
        <v>yes</v>
      </c>
    </row>
    <row r="13" spans="1:19" x14ac:dyDescent="0.25">
      <c r="A13" s="532">
        <v>27</v>
      </c>
      <c r="B13" s="25" t="s">
        <v>2369</v>
      </c>
      <c r="C13" s="25" t="s">
        <v>108</v>
      </c>
      <c r="D13" s="533">
        <v>42000</v>
      </c>
      <c r="F13" s="532">
        <v>27</v>
      </c>
      <c r="G13" s="25">
        <v>1</v>
      </c>
      <c r="H13" s="25">
        <v>0</v>
      </c>
      <c r="I13" s="25">
        <v>0</v>
      </c>
      <c r="J13" s="533">
        <v>42000</v>
      </c>
      <c r="L13" t="s">
        <v>295</v>
      </c>
      <c r="M13">
        <f>M14-M12</f>
        <v>11</v>
      </c>
      <c r="N13">
        <f>N14-N12</f>
        <v>241772421.10892558</v>
      </c>
      <c r="O13">
        <f>N13/M13</f>
        <v>21979311.009902325</v>
      </c>
    </row>
    <row r="14" spans="1:19" x14ac:dyDescent="0.25">
      <c r="A14" s="532">
        <v>47</v>
      </c>
      <c r="B14" s="25" t="s">
        <v>2370</v>
      </c>
      <c r="C14" s="25" t="s">
        <v>108</v>
      </c>
      <c r="D14" s="533">
        <v>37000</v>
      </c>
      <c r="F14" s="532">
        <v>47</v>
      </c>
      <c r="G14" s="25">
        <v>0</v>
      </c>
      <c r="H14" s="25">
        <v>1</v>
      </c>
      <c r="I14" s="25">
        <v>0</v>
      </c>
      <c r="J14" s="533">
        <v>37000</v>
      </c>
      <c r="L14" s="762" t="s">
        <v>1</v>
      </c>
      <c r="M14" s="762">
        <f>M8-1</f>
        <v>15</v>
      </c>
      <c r="N14" s="762">
        <f>DEVSQ(J4:J19)</f>
        <v>2065000000</v>
      </c>
      <c r="O14" s="762"/>
      <c r="P14" s="762"/>
      <c r="Q14" s="762"/>
      <c r="R14" s="762"/>
    </row>
    <row r="15" spans="1:19" ht="15.75" thickBot="1" x14ac:dyDescent="0.3">
      <c r="A15" s="532">
        <v>21</v>
      </c>
      <c r="B15" s="25" t="s">
        <v>2371</v>
      </c>
      <c r="C15" s="25" t="s">
        <v>108</v>
      </c>
      <c r="D15" s="533">
        <v>25000</v>
      </c>
      <c r="F15" s="532">
        <v>21</v>
      </c>
      <c r="G15" s="25">
        <v>0</v>
      </c>
      <c r="H15" s="25">
        <v>0</v>
      </c>
      <c r="I15" s="25">
        <v>0</v>
      </c>
      <c r="J15" s="533">
        <v>25000</v>
      </c>
    </row>
    <row r="16" spans="1:19" ht="15.75" thickTop="1" x14ac:dyDescent="0.25">
      <c r="A16" s="532">
        <v>48</v>
      </c>
      <c r="B16" s="25" t="s">
        <v>2369</v>
      </c>
      <c r="C16" s="25" t="s">
        <v>130</v>
      </c>
      <c r="D16" s="533">
        <v>75000</v>
      </c>
      <c r="F16" s="532">
        <v>48</v>
      </c>
      <c r="G16" s="25">
        <v>1</v>
      </c>
      <c r="H16" s="25">
        <v>0</v>
      </c>
      <c r="I16" s="25">
        <v>1</v>
      </c>
      <c r="J16" s="533">
        <v>75000</v>
      </c>
      <c r="L16" s="826"/>
      <c r="M16" s="826" t="s">
        <v>1592</v>
      </c>
      <c r="N16" s="826" t="s">
        <v>1000</v>
      </c>
      <c r="O16" s="826" t="s">
        <v>61</v>
      </c>
      <c r="P16" s="826" t="s">
        <v>67</v>
      </c>
      <c r="Q16" s="826" t="s">
        <v>29</v>
      </c>
      <c r="R16" s="826" t="s">
        <v>30</v>
      </c>
      <c r="S16" s="826" t="s">
        <v>2649</v>
      </c>
    </row>
    <row r="17" spans="1:19" x14ac:dyDescent="0.25">
      <c r="A17" s="532">
        <v>24</v>
      </c>
      <c r="B17" s="25" t="s">
        <v>2371</v>
      </c>
      <c r="C17" s="25" t="s">
        <v>130</v>
      </c>
      <c r="D17" s="533">
        <v>43000</v>
      </c>
      <c r="F17" s="532">
        <v>24</v>
      </c>
      <c r="G17" s="25">
        <v>0</v>
      </c>
      <c r="H17" s="25">
        <v>0</v>
      </c>
      <c r="I17" s="25">
        <v>1</v>
      </c>
      <c r="J17" s="533">
        <v>43000</v>
      </c>
      <c r="L17" t="s">
        <v>296</v>
      </c>
      <c r="M17">
        <f t="array" ref="M17:N21">[1]!RegCoeff(F4:I19,J4:J19)</f>
        <v>13994.703836424957</v>
      </c>
      <c r="N17">
        <v>4506.4962103634234</v>
      </c>
      <c r="O17">
        <f>M17/N17</f>
        <v>3.1054511494410781</v>
      </c>
      <c r="P17">
        <f>TDIST(ABS(O17),$M$13,2)</f>
        <v>1.0006342124514856E-2</v>
      </c>
      <c r="Q17">
        <f>M17-TINV(Q$10,$M$13)*N17</f>
        <v>4075.9725534058562</v>
      </c>
      <c r="R17">
        <f>M17+TINV(Q$10,$M$13)*N17</f>
        <v>23913.435119444057</v>
      </c>
    </row>
    <row r="18" spans="1:19" x14ac:dyDescent="0.25">
      <c r="A18" s="532">
        <v>28</v>
      </c>
      <c r="B18" s="25" t="s">
        <v>2371</v>
      </c>
      <c r="C18" s="25" t="s">
        <v>108</v>
      </c>
      <c r="D18" s="533">
        <v>40000</v>
      </c>
      <c r="F18" s="532">
        <v>28</v>
      </c>
      <c r="G18" s="25">
        <v>0</v>
      </c>
      <c r="H18" s="25">
        <v>0</v>
      </c>
      <c r="I18" s="25">
        <v>0</v>
      </c>
      <c r="J18" s="533">
        <v>40000</v>
      </c>
      <c r="L18" t="str">
        <f t="array" ref="L18:L21">TRANSPOSE(F3:I3)</f>
        <v>Age</v>
      </c>
      <c r="M18">
        <v>625.61188401723814</v>
      </c>
      <c r="N18">
        <v>112.01746868616311</v>
      </c>
      <c r="O18">
        <f>M18/N18</f>
        <v>5.5849493061658197</v>
      </c>
      <c r="P18">
        <f>TDIST(ABS(O18),$M$13,2)</f>
        <v>1.6395518215612888E-4</v>
      </c>
      <c r="Q18">
        <f>M18-TINV(Q$10,$M$13)*N18</f>
        <v>379.06309776796331</v>
      </c>
      <c r="R18">
        <f>M18+TINV(Q$10,$M$13)*N18</f>
        <v>872.16067026651297</v>
      </c>
      <c r="S18">
        <f>[1]!VIF(F4:I19,1)</f>
        <v>1.1405086249297358</v>
      </c>
    </row>
    <row r="19" spans="1:19" x14ac:dyDescent="0.25">
      <c r="A19" s="409">
        <v>40</v>
      </c>
      <c r="B19" s="880" t="s">
        <v>2370</v>
      </c>
      <c r="C19" s="880" t="s">
        <v>108</v>
      </c>
      <c r="D19" s="417">
        <v>31000</v>
      </c>
      <c r="F19" s="409">
        <v>40</v>
      </c>
      <c r="G19" s="880">
        <v>0</v>
      </c>
      <c r="H19" s="880">
        <v>1</v>
      </c>
      <c r="I19" s="880">
        <v>0</v>
      </c>
      <c r="J19" s="417">
        <v>31000</v>
      </c>
      <c r="L19" t="str">
        <v>Party 1</v>
      </c>
      <c r="M19">
        <v>10453.101578602213</v>
      </c>
      <c r="N19">
        <v>2848.8238400619825</v>
      </c>
      <c r="O19">
        <f>M19/N19</f>
        <v>3.6692692021191391</v>
      </c>
      <c r="P19">
        <f>TDIST(ABS(O19),$M$13,2)</f>
        <v>3.6943350833835765E-3</v>
      </c>
      <c r="Q19">
        <f>M19-TINV(Q$10,$M$13)*N19</f>
        <v>4182.8825829105144</v>
      </c>
      <c r="R19">
        <f>M19+TINV(Q$10,$M$13)*N19</f>
        <v>16723.32057429391</v>
      </c>
      <c r="S19">
        <f>[1]!VIF(F4:I19,2)</f>
        <v>1.2692869721402475</v>
      </c>
    </row>
    <row r="20" spans="1:19" x14ac:dyDescent="0.25">
      <c r="L20" t="str">
        <v>Party 2</v>
      </c>
      <c r="M20">
        <v>-5141.4115686090799</v>
      </c>
      <c r="N20">
        <v>2985.1823269142724</v>
      </c>
      <c r="O20">
        <f>M20/N20</f>
        <v>-1.7223107353458245</v>
      </c>
      <c r="P20">
        <f>TDIST(ABS(O20),$M$13,2)</f>
        <v>0.11297337213571668</v>
      </c>
      <c r="Q20">
        <f>M20-TINV(Q$10,$M$13)*N20</f>
        <v>-11711.753570315219</v>
      </c>
      <c r="R20">
        <f>M20+TINV(Q$10,$M$13)*N20</f>
        <v>1428.930433097059</v>
      </c>
      <c r="S20">
        <f>[1]!VIF(F4:I19,3)</f>
        <v>1.3937033889786707</v>
      </c>
    </row>
    <row r="21" spans="1:19" x14ac:dyDescent="0.25">
      <c r="A21" s="13" t="s">
        <v>2</v>
      </c>
      <c r="B21" s="13" t="s">
        <v>2368</v>
      </c>
      <c r="C21" s="13" t="s">
        <v>620</v>
      </c>
      <c r="D21" s="13" t="s">
        <v>3</v>
      </c>
      <c r="F21" s="13" t="s">
        <v>2</v>
      </c>
      <c r="G21" s="13" t="s">
        <v>2372</v>
      </c>
      <c r="H21" s="13" t="s">
        <v>2373</v>
      </c>
      <c r="I21" s="13" t="s">
        <v>2374</v>
      </c>
      <c r="J21" s="13" t="s">
        <v>3</v>
      </c>
      <c r="L21" s="762" t="str">
        <v>Gender 1</v>
      </c>
      <c r="M21" s="762">
        <v>13677.521508650299</v>
      </c>
      <c r="N21" s="762">
        <v>2384.7867074809001</v>
      </c>
      <c r="O21" s="762">
        <f>M21/N21</f>
        <v>5.7353227715270814</v>
      </c>
      <c r="P21" s="762">
        <f>TDIST(ABS(O21),$M$13,2)</f>
        <v>1.3117399625872458E-4</v>
      </c>
      <c r="Q21" s="762">
        <f>M21-TINV(Q$10,$M$13)*N21</f>
        <v>8428.6413555010404</v>
      </c>
      <c r="R21" s="762">
        <f>M21+TINV(Q$10,$M$13)*N21</f>
        <v>18926.401661799558</v>
      </c>
      <c r="S21" s="762">
        <f>[1]!VIF(F4:I19,4)</f>
        <v>1.0350110861282869</v>
      </c>
    </row>
    <row r="22" spans="1:19" x14ac:dyDescent="0.25">
      <c r="A22" s="869">
        <v>25</v>
      </c>
      <c r="B22" s="1051" t="s">
        <v>2370</v>
      </c>
      <c r="C22" s="1051" t="s">
        <v>108</v>
      </c>
      <c r="D22" s="876" t="s">
        <v>2366</v>
      </c>
      <c r="F22" s="869">
        <v>25</v>
      </c>
      <c r="G22" s="1051">
        <v>0</v>
      </c>
      <c r="H22" s="1051">
        <v>1</v>
      </c>
      <c r="I22" s="1051">
        <v>0</v>
      </c>
      <c r="J22" s="1053">
        <f t="array" ref="J22:J23">TREND(J4:J19,F4:I19,F22:I23)</f>
        <v>24493.58936824683</v>
      </c>
    </row>
    <row r="23" spans="1:19" x14ac:dyDescent="0.25">
      <c r="A23" s="409">
        <v>40</v>
      </c>
      <c r="B23" s="1052" t="s">
        <v>2371</v>
      </c>
      <c r="C23" s="1052" t="s">
        <v>130</v>
      </c>
      <c r="D23" s="878" t="s">
        <v>2366</v>
      </c>
      <c r="F23" s="409">
        <v>40</v>
      </c>
      <c r="G23" s="1052">
        <v>0</v>
      </c>
      <c r="H23" s="1052">
        <v>0</v>
      </c>
      <c r="I23" s="1052">
        <v>1</v>
      </c>
      <c r="J23" s="1054">
        <v>52696.700705764786</v>
      </c>
    </row>
    <row r="24" spans="1:19" x14ac:dyDescent="0.25">
      <c r="A24" s="7"/>
      <c r="B24" s="26"/>
      <c r="C24" s="26"/>
      <c r="D24" s="25"/>
      <c r="F24" s="7"/>
      <c r="G24" s="26"/>
      <c r="H24" s="26"/>
      <c r="I24" s="26"/>
      <c r="J24" s="7"/>
    </row>
    <row r="25" spans="1:19" x14ac:dyDescent="0.25">
      <c r="L25" t="s">
        <v>1593</v>
      </c>
    </row>
    <row r="27" spans="1:19" ht="15.75" thickBot="1" x14ac:dyDescent="0.3">
      <c r="F27" s="13" t="s">
        <v>2</v>
      </c>
      <c r="G27" s="13" t="s">
        <v>2372</v>
      </c>
      <c r="H27" s="13" t="s">
        <v>2373</v>
      </c>
      <c r="I27" s="13" t="s">
        <v>2374</v>
      </c>
      <c r="J27" s="13" t="s">
        <v>3</v>
      </c>
      <c r="L27" s="743" t="s">
        <v>1598</v>
      </c>
      <c r="M27" s="743"/>
      <c r="O27" s="743"/>
      <c r="P27" s="743"/>
    </row>
    <row r="28" spans="1:19" ht="15.75" thickTop="1" x14ac:dyDescent="0.25">
      <c r="F28" s="869">
        <v>20</v>
      </c>
      <c r="G28" s="881">
        <v>1</v>
      </c>
      <c r="H28" s="881">
        <v>0</v>
      </c>
      <c r="I28" s="881">
        <v>1</v>
      </c>
      <c r="J28" s="870">
        <v>45000</v>
      </c>
      <c r="L28" t="s">
        <v>292</v>
      </c>
      <c r="M28">
        <f>SQRT(M29)</f>
        <v>0.93963765590915804</v>
      </c>
      <c r="O28" t="s">
        <v>774</v>
      </c>
      <c r="P28">
        <f>M32*LN(N37/M32)+2*(M36+1)</f>
        <v>274.49469937246005</v>
      </c>
    </row>
    <row r="29" spans="1:19" x14ac:dyDescent="0.25">
      <c r="F29" s="532">
        <v>25</v>
      </c>
      <c r="G29" s="25">
        <v>0</v>
      </c>
      <c r="H29" s="25">
        <v>1</v>
      </c>
      <c r="I29" s="25">
        <v>1</v>
      </c>
      <c r="J29" s="533">
        <v>39000</v>
      </c>
      <c r="L29" t="s">
        <v>285</v>
      </c>
      <c r="M29">
        <f>N36/N38</f>
        <v>0.88291892440245734</v>
      </c>
      <c r="O29" t="s">
        <v>775</v>
      </c>
      <c r="P29">
        <f>P28+2*(M36+2)*(M36+3)/(M32-M36-3)</f>
        <v>283.82803270579336</v>
      </c>
    </row>
    <row r="30" spans="1:19" x14ac:dyDescent="0.25">
      <c r="F30" s="532">
        <v>45</v>
      </c>
      <c r="G30" s="25">
        <v>-1</v>
      </c>
      <c r="H30" s="25">
        <v>-1</v>
      </c>
      <c r="I30" s="25">
        <v>1</v>
      </c>
      <c r="J30" s="533">
        <v>56000</v>
      </c>
      <c r="L30" t="s">
        <v>293</v>
      </c>
      <c r="M30">
        <f>1-(1-M29)*(M32-1)/(M32-M36-1)</f>
        <v>0.84034398782153275</v>
      </c>
      <c r="O30" s="762" t="s">
        <v>2661</v>
      </c>
      <c r="P30" s="762">
        <f>M32*LN(N37/M32)+(M36+1)*LN(M32)</f>
        <v>278.35764298365893</v>
      </c>
    </row>
    <row r="31" spans="1:19" x14ac:dyDescent="0.25">
      <c r="F31" s="532">
        <v>35</v>
      </c>
      <c r="G31" s="25">
        <v>1</v>
      </c>
      <c r="H31" s="25">
        <v>0</v>
      </c>
      <c r="I31" s="25">
        <v>-1</v>
      </c>
      <c r="J31" s="533">
        <v>49000</v>
      </c>
      <c r="L31" t="s">
        <v>11</v>
      </c>
      <c r="M31">
        <f>SQRT(O37)</f>
        <v>4688.2097873177909</v>
      </c>
    </row>
    <row r="32" spans="1:19" x14ac:dyDescent="0.25">
      <c r="F32" s="532">
        <v>50</v>
      </c>
      <c r="G32" s="25">
        <v>0</v>
      </c>
      <c r="H32" s="25">
        <v>1</v>
      </c>
      <c r="I32" s="25">
        <v>-1</v>
      </c>
      <c r="J32" s="533">
        <v>41000</v>
      </c>
      <c r="L32" s="762" t="s">
        <v>81</v>
      </c>
      <c r="M32" s="762">
        <f>COUNT(J28:J43)</f>
        <v>16</v>
      </c>
    </row>
    <row r="33" spans="6:19" x14ac:dyDescent="0.25">
      <c r="F33" s="532">
        <v>55</v>
      </c>
      <c r="G33" s="25">
        <v>-1</v>
      </c>
      <c r="H33" s="25">
        <v>-1</v>
      </c>
      <c r="I33" s="25">
        <v>-1</v>
      </c>
      <c r="J33" s="533">
        <v>42000</v>
      </c>
    </row>
    <row r="34" spans="6:19" ht="15.75" thickBot="1" x14ac:dyDescent="0.3">
      <c r="F34" s="532">
        <v>39</v>
      </c>
      <c r="G34" s="25">
        <v>1</v>
      </c>
      <c r="H34" s="25">
        <v>0</v>
      </c>
      <c r="I34" s="25">
        <v>1</v>
      </c>
      <c r="J34" s="533">
        <v>58000</v>
      </c>
      <c r="L34" t="s">
        <v>294</v>
      </c>
      <c r="P34" s="1244" t="s">
        <v>34</v>
      </c>
      <c r="Q34" s="1244">
        <v>0.05</v>
      </c>
    </row>
    <row r="35" spans="6:19" ht="15.75" thickTop="1" x14ac:dyDescent="0.25">
      <c r="F35" s="532">
        <v>48</v>
      </c>
      <c r="G35" s="25">
        <v>0</v>
      </c>
      <c r="H35" s="25">
        <v>1</v>
      </c>
      <c r="I35" s="25">
        <v>1</v>
      </c>
      <c r="J35" s="533">
        <v>55000</v>
      </c>
      <c r="L35" s="826"/>
      <c r="M35" s="826" t="s">
        <v>60</v>
      </c>
      <c r="N35" s="826" t="s">
        <v>219</v>
      </c>
      <c r="O35" s="826" t="s">
        <v>240</v>
      </c>
      <c r="P35" s="826" t="s">
        <v>135</v>
      </c>
      <c r="Q35" s="826" t="s">
        <v>67</v>
      </c>
      <c r="R35" s="826" t="s">
        <v>527</v>
      </c>
    </row>
    <row r="36" spans="6:19" x14ac:dyDescent="0.25">
      <c r="F36" s="532">
        <v>30</v>
      </c>
      <c r="G36" s="25">
        <v>-1</v>
      </c>
      <c r="H36" s="25">
        <v>-1</v>
      </c>
      <c r="I36" s="25">
        <v>1</v>
      </c>
      <c r="J36" s="533">
        <v>46000</v>
      </c>
      <c r="L36" t="s">
        <v>222</v>
      </c>
      <c r="M36">
        <f>COUNT(F28:I28)</f>
        <v>4</v>
      </c>
      <c r="N36">
        <f>DEVSQ(MMULT([1]!DESIGN(F28:I43),M41:M45))</f>
        <v>1823227578.8910744</v>
      </c>
      <c r="O36">
        <f>N36/M36</f>
        <v>455806894.7227686</v>
      </c>
      <c r="P36">
        <f>O36/O37</f>
        <v>20.73799740662545</v>
      </c>
      <c r="Q36">
        <f>FDIST(P36,M36,M37)</f>
        <v>4.408409692181053E-5</v>
      </c>
      <c r="R36" s="1244" t="str">
        <f>IF(Q36&lt;Q34,"yes","no")</f>
        <v>yes</v>
      </c>
    </row>
    <row r="37" spans="6:19" x14ac:dyDescent="0.25">
      <c r="F37" s="532">
        <v>27</v>
      </c>
      <c r="G37" s="25">
        <v>1</v>
      </c>
      <c r="H37" s="25">
        <v>0</v>
      </c>
      <c r="I37" s="25">
        <v>-1</v>
      </c>
      <c r="J37" s="533">
        <v>42000</v>
      </c>
      <c r="L37" t="s">
        <v>295</v>
      </c>
      <c r="M37">
        <f>M38-M36</f>
        <v>11</v>
      </c>
      <c r="N37">
        <f>N38-N36</f>
        <v>241772421.10892558</v>
      </c>
      <c r="O37">
        <f>N37/M37</f>
        <v>21979311.009902325</v>
      </c>
    </row>
    <row r="38" spans="6:19" x14ac:dyDescent="0.25">
      <c r="F38" s="532">
        <v>47</v>
      </c>
      <c r="G38" s="25">
        <v>0</v>
      </c>
      <c r="H38" s="25">
        <v>1</v>
      </c>
      <c r="I38" s="25">
        <v>-1</v>
      </c>
      <c r="J38" s="533">
        <v>37000</v>
      </c>
      <c r="L38" s="762" t="s">
        <v>1</v>
      </c>
      <c r="M38" s="762">
        <f>M32-1</f>
        <v>15</v>
      </c>
      <c r="N38" s="762">
        <f>DEVSQ(J28:J43)</f>
        <v>2065000000</v>
      </c>
      <c r="O38" s="762"/>
      <c r="P38" s="762"/>
      <c r="Q38" s="762"/>
      <c r="R38" s="762"/>
    </row>
    <row r="39" spans="6:19" ht="15.75" thickBot="1" x14ac:dyDescent="0.3">
      <c r="F39" s="532">
        <v>21</v>
      </c>
      <c r="G39" s="25">
        <v>-1</v>
      </c>
      <c r="H39" s="25">
        <v>-1</v>
      </c>
      <c r="I39" s="25">
        <v>-1</v>
      </c>
      <c r="J39" s="533">
        <v>25000</v>
      </c>
    </row>
    <row r="40" spans="6:19" ht="15.75" thickTop="1" x14ac:dyDescent="0.25">
      <c r="F40" s="532">
        <v>48</v>
      </c>
      <c r="G40" s="25">
        <v>1</v>
      </c>
      <c r="H40" s="25">
        <v>0</v>
      </c>
      <c r="I40" s="25">
        <v>1</v>
      </c>
      <c r="J40" s="533">
        <v>75000</v>
      </c>
      <c r="L40" s="826"/>
      <c r="M40" s="826" t="s">
        <v>1592</v>
      </c>
      <c r="N40" s="826" t="s">
        <v>1000</v>
      </c>
      <c r="O40" s="826" t="s">
        <v>61</v>
      </c>
      <c r="P40" s="826" t="s">
        <v>67</v>
      </c>
      <c r="Q40" s="826" t="s">
        <v>29</v>
      </c>
      <c r="R40" s="826" t="s">
        <v>30</v>
      </c>
      <c r="S40" s="826" t="s">
        <v>2649</v>
      </c>
    </row>
    <row r="41" spans="6:19" x14ac:dyDescent="0.25">
      <c r="F41" s="532">
        <v>24</v>
      </c>
      <c r="G41" s="25">
        <v>-1</v>
      </c>
      <c r="H41" s="25">
        <v>-1</v>
      </c>
      <c r="I41" s="25">
        <v>1</v>
      </c>
      <c r="J41" s="533">
        <v>43000</v>
      </c>
      <c r="L41" t="s">
        <v>296</v>
      </c>
      <c r="M41">
        <f t="array" ref="M41:N45">[1]!RegCoeff(F28:I43,J28:J43)</f>
        <v>22604.027927414485</v>
      </c>
      <c r="N41">
        <v>4259.2928779760678</v>
      </c>
      <c r="O41">
        <f>M41/N41</f>
        <v>5.3069907552719116</v>
      </c>
      <c r="P41">
        <f>TDIST(ABS(O41),$M$37,2)</f>
        <v>2.4971858553746298E-4</v>
      </c>
      <c r="Q41">
        <f>M41-TINV(Q$34,$M$37)*N41</f>
        <v>13229.387510505154</v>
      </c>
      <c r="R41">
        <f>M41+TINV(Q$34,$M$37)*N41</f>
        <v>31978.668344323814</v>
      </c>
    </row>
    <row r="42" spans="6:19" x14ac:dyDescent="0.25">
      <c r="F42" s="532">
        <v>28</v>
      </c>
      <c r="G42" s="25">
        <v>-1</v>
      </c>
      <c r="H42" s="25">
        <v>-1</v>
      </c>
      <c r="I42" s="25">
        <v>-1</v>
      </c>
      <c r="J42" s="533">
        <v>40000</v>
      </c>
      <c r="L42" t="str">
        <f t="array" ref="L42:L45">TRANSPOSE(F27:I27)</f>
        <v>Age</v>
      </c>
      <c r="M42">
        <v>625.61188401723814</v>
      </c>
      <c r="N42">
        <v>112.01746868616311</v>
      </c>
      <c r="O42">
        <f>M42/N42</f>
        <v>5.5849493061658197</v>
      </c>
      <c r="P42">
        <f>TDIST(ABS(O42),$M$37,2)</f>
        <v>1.6395518215612888E-4</v>
      </c>
      <c r="Q42">
        <f>M42-TINV(Q$34,$M$37)*N42</f>
        <v>379.06309776796331</v>
      </c>
      <c r="R42">
        <f>M42+TINV(Q$34,$M$37)*N42</f>
        <v>872.16067026651297</v>
      </c>
      <c r="S42">
        <f>[1]!VIF(F28:I43,1)</f>
        <v>1.1405086249297356</v>
      </c>
    </row>
    <row r="43" spans="6:19" x14ac:dyDescent="0.25">
      <c r="F43" s="409">
        <v>40</v>
      </c>
      <c r="G43" s="880">
        <v>0</v>
      </c>
      <c r="H43" s="880">
        <v>1</v>
      </c>
      <c r="I43" s="880">
        <v>-1</v>
      </c>
      <c r="J43" s="417">
        <v>31000</v>
      </c>
      <c r="L43" t="str">
        <v>Party 1</v>
      </c>
      <c r="M43">
        <v>8682.5382419378329</v>
      </c>
      <c r="N43">
        <v>1728.1785713815102</v>
      </c>
      <c r="O43">
        <f>M43/N43</f>
        <v>5.0240978482894798</v>
      </c>
      <c r="P43">
        <f>TDIST(ABS(O43),$M$37,2)</f>
        <v>3.875358751520777E-4</v>
      </c>
      <c r="Q43">
        <f>M43-TINV(Q$34,$M$37)*N43</f>
        <v>4878.8428523387611</v>
      </c>
      <c r="R43">
        <f>M43+TINV(Q$34,$M$37)*N43</f>
        <v>12486.233631536905</v>
      </c>
      <c r="S43">
        <f>[1]!VIF(F28:I43,2)</f>
        <v>1.4862135729494135</v>
      </c>
    </row>
    <row r="44" spans="6:19" x14ac:dyDescent="0.25">
      <c r="L44" t="str">
        <v>Party 2</v>
      </c>
      <c r="M44">
        <v>-6911.9749052734569</v>
      </c>
      <c r="N44">
        <v>1803.2673842188542</v>
      </c>
      <c r="O44">
        <f>M44/N44</f>
        <v>-3.8330282939529852</v>
      </c>
      <c r="P44">
        <f>TDIST(ABS(O44),$M$37,2)</f>
        <v>2.7798129389449118E-3</v>
      </c>
      <c r="Q44">
        <f>M44-TINV(Q$34,$M$37)*N44</f>
        <v>-10880.939657616422</v>
      </c>
      <c r="R44">
        <f>M44+TINV(Q$34,$M$37)*N44</f>
        <v>-2943.010152930492</v>
      </c>
      <c r="S44">
        <f>[1]!VIF(F28:I43,3)</f>
        <v>1.6181703786871351</v>
      </c>
    </row>
    <row r="45" spans="6:19" x14ac:dyDescent="0.25">
      <c r="L45" s="762" t="str">
        <v>Gender 1</v>
      </c>
      <c r="M45" s="762">
        <v>6838.7607543251488</v>
      </c>
      <c r="N45" s="762">
        <v>1192.3933537404498</v>
      </c>
      <c r="O45" s="762">
        <f>M45/N45</f>
        <v>5.7353227715270823</v>
      </c>
      <c r="P45" s="762">
        <f>TDIST(ABS(O45),$M$37,2)</f>
        <v>1.3117399625872423E-4</v>
      </c>
      <c r="Q45" s="762">
        <f>M45-TINV(Q$34,$M$37)*N45</f>
        <v>4214.3206777505193</v>
      </c>
      <c r="R45" s="762">
        <f>M45+TINV(Q$34,$M$37)*N45</f>
        <v>9463.2008308997792</v>
      </c>
      <c r="S45" s="762">
        <f>[1]!VIF(F28:I43,4)</f>
        <v>1.0350110861282869</v>
      </c>
    </row>
  </sheetData>
  <pageMargins left="0.7" right="0.7" top="0.75" bottom="0.75" header="0.3" footer="0.3"/>
  <ignoredErrors>
    <ignoredError sqref="M12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F14"/>
  <sheetViews>
    <sheetView workbookViewId="0"/>
  </sheetViews>
  <sheetFormatPr defaultRowHeight="15" x14ac:dyDescent="0.25"/>
  <sheetData>
    <row r="1" spans="1:6" x14ac:dyDescent="0.25">
      <c r="A1" s="1" t="s">
        <v>445</v>
      </c>
    </row>
    <row r="3" spans="1:6" x14ac:dyDescent="0.25">
      <c r="A3" s="131" t="s">
        <v>382</v>
      </c>
      <c r="B3" s="131" t="s">
        <v>383</v>
      </c>
      <c r="C3" s="131" t="s">
        <v>376</v>
      </c>
      <c r="E3" s="132" t="s">
        <v>31</v>
      </c>
      <c r="F3" s="164">
        <f>COUNT(A4:A14)</f>
        <v>11</v>
      </c>
    </row>
    <row r="4" spans="1:6" x14ac:dyDescent="0.25">
      <c r="A4" s="95">
        <v>7</v>
      </c>
      <c r="B4" s="95">
        <v>5</v>
      </c>
      <c r="C4" s="95">
        <v>65</v>
      </c>
      <c r="E4" s="53" t="s">
        <v>56</v>
      </c>
      <c r="F4" s="165">
        <f>COUNT(A4:B4)</f>
        <v>2</v>
      </c>
    </row>
    <row r="5" spans="1:6" x14ac:dyDescent="0.25">
      <c r="A5" s="95">
        <v>3</v>
      </c>
      <c r="B5" s="95">
        <v>7</v>
      </c>
      <c r="C5" s="95">
        <v>38</v>
      </c>
      <c r="E5" s="53" t="s">
        <v>285</v>
      </c>
      <c r="F5" s="165">
        <f>'Mult Reg 6'!O17^2</f>
        <v>0.85069397069440156</v>
      </c>
    </row>
    <row r="6" spans="1:6" x14ac:dyDescent="0.25">
      <c r="A6" s="95">
        <v>5</v>
      </c>
      <c r="B6" s="95">
        <v>8</v>
      </c>
      <c r="C6" s="95">
        <v>51</v>
      </c>
      <c r="E6" s="53" t="s">
        <v>421</v>
      </c>
      <c r="F6" s="165">
        <f>F4</f>
        <v>2</v>
      </c>
    </row>
    <row r="7" spans="1:6" x14ac:dyDescent="0.25">
      <c r="A7" s="95">
        <v>8</v>
      </c>
      <c r="B7" s="95">
        <v>1</v>
      </c>
      <c r="C7" s="95">
        <v>38</v>
      </c>
      <c r="E7" s="53" t="s">
        <v>422</v>
      </c>
      <c r="F7" s="165">
        <f>F3-F4-1</f>
        <v>8</v>
      </c>
    </row>
    <row r="8" spans="1:6" x14ac:dyDescent="0.25">
      <c r="A8" s="95">
        <v>9</v>
      </c>
      <c r="B8" s="95">
        <v>3</v>
      </c>
      <c r="C8" s="95">
        <v>55</v>
      </c>
      <c r="E8" s="248" t="s">
        <v>48</v>
      </c>
      <c r="F8" s="165">
        <v>0.05</v>
      </c>
    </row>
    <row r="9" spans="1:6" x14ac:dyDescent="0.25">
      <c r="A9" s="95">
        <v>5</v>
      </c>
      <c r="B9" s="95">
        <v>4</v>
      </c>
      <c r="C9" s="95">
        <v>43</v>
      </c>
      <c r="E9" s="53" t="s">
        <v>135</v>
      </c>
      <c r="F9" s="165">
        <f>F7*F5/(F4*(1-F5))</f>
        <v>22.790612667173878</v>
      </c>
    </row>
    <row r="10" spans="1:6" x14ac:dyDescent="0.25">
      <c r="A10" s="95">
        <v>4</v>
      </c>
      <c r="B10" s="95">
        <v>0</v>
      </c>
      <c r="C10" s="95">
        <v>25</v>
      </c>
      <c r="E10" t="s">
        <v>67</v>
      </c>
      <c r="F10" s="165">
        <f>FDIST(F9,F6,F7)</f>
        <v>4.9694621069852087E-4</v>
      </c>
    </row>
    <row r="11" spans="1:6" x14ac:dyDescent="0.25">
      <c r="A11" s="95">
        <v>2</v>
      </c>
      <c r="B11" s="95">
        <v>6</v>
      </c>
      <c r="C11" s="95">
        <v>33</v>
      </c>
      <c r="E11" s="53" t="s">
        <v>246</v>
      </c>
      <c r="F11" s="165">
        <f>FINV(F8,F6,F7)</f>
        <v>4.4589701075245118</v>
      </c>
    </row>
    <row r="12" spans="1:6" x14ac:dyDescent="0.25">
      <c r="A12" s="95">
        <v>8</v>
      </c>
      <c r="B12" s="95">
        <v>7</v>
      </c>
      <c r="C12" s="95">
        <v>71</v>
      </c>
      <c r="E12" s="53" t="s">
        <v>527</v>
      </c>
      <c r="F12" s="166" t="str">
        <f>IF(F10&lt;F8,"yes","no")</f>
        <v>yes</v>
      </c>
    </row>
    <row r="13" spans="1:6" x14ac:dyDescent="0.25">
      <c r="A13" s="95">
        <v>6</v>
      </c>
      <c r="B13" s="95">
        <v>4</v>
      </c>
      <c r="C13" s="95">
        <v>51</v>
      </c>
    </row>
    <row r="14" spans="1:6" x14ac:dyDescent="0.25">
      <c r="A14" s="130">
        <v>9</v>
      </c>
      <c r="B14" s="130">
        <v>2</v>
      </c>
      <c r="C14" s="130">
        <v>49</v>
      </c>
    </row>
  </sheetData>
  <pageMargins left="0.7" right="0.7" top="0.75" bottom="0.75" header="0.3" footer="0.3"/>
  <ignoredErrors>
    <ignoredError sqref="F4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1"/>
  <dimension ref="A1:T58"/>
  <sheetViews>
    <sheetView workbookViewId="0"/>
  </sheetViews>
  <sheetFormatPr defaultRowHeight="15" x14ac:dyDescent="0.25"/>
  <cols>
    <col min="1" max="1" width="13.140625" customWidth="1"/>
    <col min="2" max="5" width="10.28515625" customWidth="1"/>
    <col min="7" max="7" width="17.7109375" customWidth="1"/>
    <col min="10" max="12" width="9.28515625" bestFit="1" customWidth="1"/>
    <col min="13" max="13" width="9.28515625" customWidth="1"/>
    <col min="15" max="15" width="9.140625" customWidth="1"/>
    <col min="19" max="19" width="11.7109375" customWidth="1"/>
  </cols>
  <sheetData>
    <row r="1" spans="1:20" x14ac:dyDescent="0.25">
      <c r="A1" s="1" t="s">
        <v>2245</v>
      </c>
    </row>
    <row r="3" spans="1:20" x14ac:dyDescent="0.25">
      <c r="A3" s="59"/>
      <c r="B3" s="60" t="s">
        <v>143</v>
      </c>
      <c r="C3" s="60" t="s">
        <v>144</v>
      </c>
      <c r="D3" s="60" t="s">
        <v>145</v>
      </c>
      <c r="E3" s="60" t="s">
        <v>146</v>
      </c>
      <c r="G3" t="s">
        <v>1593</v>
      </c>
      <c r="O3" t="s">
        <v>2250</v>
      </c>
      <c r="S3" t="s">
        <v>2137</v>
      </c>
    </row>
    <row r="4" spans="1:20" x14ac:dyDescent="0.25">
      <c r="A4" s="58" t="s">
        <v>151</v>
      </c>
      <c r="B4" s="61">
        <v>15.7</v>
      </c>
      <c r="C4" s="62">
        <v>9</v>
      </c>
      <c r="D4" s="63">
        <v>71.027177760140717</v>
      </c>
      <c r="E4" s="64">
        <v>448</v>
      </c>
    </row>
    <row r="5" spans="1:20" ht="15.75" thickBot="1" x14ac:dyDescent="0.3">
      <c r="A5" s="58" t="s">
        <v>152</v>
      </c>
      <c r="B5" s="61">
        <v>8.4</v>
      </c>
      <c r="C5" s="62">
        <v>6.9</v>
      </c>
      <c r="D5" s="63">
        <v>70.62318863808899</v>
      </c>
      <c r="E5" s="64">
        <v>661.2</v>
      </c>
      <c r="G5" s="743" t="s">
        <v>1598</v>
      </c>
      <c r="H5" s="743"/>
      <c r="J5" t="s">
        <v>2249</v>
      </c>
      <c r="P5" s="1019" t="s">
        <v>2251</v>
      </c>
      <c r="Q5" s="1019" t="s">
        <v>1740</v>
      </c>
    </row>
    <row r="6" spans="1:20" ht="15.75" thickTop="1" x14ac:dyDescent="0.25">
      <c r="A6" s="58" t="s">
        <v>153</v>
      </c>
      <c r="B6" s="61">
        <v>14.7</v>
      </c>
      <c r="C6" s="62">
        <v>6.4</v>
      </c>
      <c r="D6" s="63">
        <v>86.505696765320337</v>
      </c>
      <c r="E6" s="64">
        <v>482.7</v>
      </c>
      <c r="G6" t="s">
        <v>292</v>
      </c>
      <c r="H6">
        <f>SQRT(H7)</f>
        <v>0.58034505841999051</v>
      </c>
      <c r="J6" s="869">
        <f t="array" ref="J6:M9">[1]!CORE(C4:E53)</f>
        <v>2.6057128988009484</v>
      </c>
      <c r="K6" s="827">
        <v>-0.119788887417389</v>
      </c>
      <c r="L6" s="827">
        <v>-1.9497850497721299E-2</v>
      </c>
      <c r="M6" s="870">
        <v>-4.1572695969407583E-4</v>
      </c>
      <c r="O6" t="s">
        <v>106</v>
      </c>
      <c r="P6" s="869">
        <v>0.05</v>
      </c>
      <c r="Q6" s="870">
        <f>P6</f>
        <v>0.05</v>
      </c>
      <c r="S6" t="str">
        <f t="array" ref="S6:T12">[1]!RegPred(O20:O22,C4:E53,B4:B53,TRUE)</f>
        <v>pred</v>
      </c>
      <c r="T6" s="868">
        <v>12.867466231009725</v>
      </c>
    </row>
    <row r="7" spans="1:20" x14ac:dyDescent="0.25">
      <c r="A7" s="58" t="s">
        <v>154</v>
      </c>
      <c r="B7" s="61">
        <v>17.3</v>
      </c>
      <c r="C7" s="62">
        <v>8.5</v>
      </c>
      <c r="D7" s="63">
        <v>80.783955956979611</v>
      </c>
      <c r="E7" s="64">
        <v>529.4</v>
      </c>
      <c r="G7" t="s">
        <v>285</v>
      </c>
      <c r="H7">
        <f>I14/I16</f>
        <v>0.33680038683250224</v>
      </c>
      <c r="J7" s="532">
        <v>-0.11978888741738723</v>
      </c>
      <c r="K7" s="7">
        <v>1.4815162889490837E-2</v>
      </c>
      <c r="L7" s="7">
        <v>4.0139129913020012E-4</v>
      </c>
      <c r="M7" s="533">
        <v>-3.5093390713043337E-5</v>
      </c>
      <c r="O7" t="s">
        <v>2252</v>
      </c>
      <c r="P7" s="532">
        <f>SUMPRODUCT(H19:H22,O19:O22)</f>
        <v>12.867466231009725</v>
      </c>
      <c r="Q7" s="533">
        <f>P7</f>
        <v>12.867466231009725</v>
      </c>
      <c r="S7" t="str">
        <v>se-conf</v>
      </c>
      <c r="T7" s="503">
        <v>0.35903209023339222</v>
      </c>
    </row>
    <row r="8" spans="1:20" x14ac:dyDescent="0.25">
      <c r="A8" s="58" t="s">
        <v>155</v>
      </c>
      <c r="B8" s="61">
        <v>13.3</v>
      </c>
      <c r="C8" s="62">
        <v>5</v>
      </c>
      <c r="D8" s="63">
        <v>76.640052174481781</v>
      </c>
      <c r="E8" s="64">
        <v>522.6</v>
      </c>
      <c r="G8" t="s">
        <v>293</v>
      </c>
      <c r="H8">
        <f>1-(1-H7)*(H10-1)/(H10-H14-1)</f>
        <v>0.2935482381476654</v>
      </c>
      <c r="J8" s="532">
        <v>-1.9497850497721406E-2</v>
      </c>
      <c r="K8" s="7">
        <v>4.0139129913021812E-4</v>
      </c>
      <c r="L8" s="7">
        <v>1.8503838822348992E-4</v>
      </c>
      <c r="M8" s="533">
        <v>3.9009315856594328E-6</v>
      </c>
      <c r="O8" t="s">
        <v>2253</v>
      </c>
      <c r="P8" s="532">
        <f>J15</f>
        <v>6.102140009426253</v>
      </c>
      <c r="Q8" s="533">
        <f>P8</f>
        <v>6.102140009426253</v>
      </c>
      <c r="S8" t="str">
        <v>lower-conf</v>
      </c>
      <c r="T8" s="503">
        <v>12.144772116708086</v>
      </c>
    </row>
    <row r="9" spans="1:20" x14ac:dyDescent="0.25">
      <c r="A9" s="58" t="s">
        <v>156</v>
      </c>
      <c r="B9" s="61">
        <v>11.4</v>
      </c>
      <c r="C9" s="62">
        <v>5.7</v>
      </c>
      <c r="D9" s="63">
        <v>89.734092175332663</v>
      </c>
      <c r="E9" s="64">
        <v>347.8</v>
      </c>
      <c r="G9" t="s">
        <v>11</v>
      </c>
      <c r="H9">
        <f>SQRT(J15)</f>
        <v>2.4702510013005265</v>
      </c>
      <c r="J9" s="409">
        <v>-4.1572695969408705E-4</v>
      </c>
      <c r="K9" s="762">
        <v>-3.5093390713042477E-5</v>
      </c>
      <c r="L9" s="762">
        <v>3.9009315856594972E-6</v>
      </c>
      <c r="M9" s="417">
        <v>8.2381260593320462E-7</v>
      </c>
      <c r="O9" s="17" t="s">
        <v>2246</v>
      </c>
      <c r="P9" s="532">
        <f>H15</f>
        <v>46</v>
      </c>
      <c r="Q9" s="533">
        <f>P9</f>
        <v>46</v>
      </c>
      <c r="S9" t="str">
        <v>upper-conf</v>
      </c>
      <c r="T9" s="503">
        <v>13.590160345311364</v>
      </c>
    </row>
    <row r="10" spans="1:20" x14ac:dyDescent="0.25">
      <c r="A10" s="58" t="s">
        <v>157</v>
      </c>
      <c r="B10" s="61">
        <v>9.3000000000000007</v>
      </c>
      <c r="C10" s="62">
        <v>6.2</v>
      </c>
      <c r="D10" s="63">
        <v>84.278652322083644</v>
      </c>
      <c r="E10" s="64">
        <v>256</v>
      </c>
      <c r="G10" s="762" t="s">
        <v>81</v>
      </c>
      <c r="H10" s="762">
        <f>COUNT(B4:B53)</f>
        <v>50</v>
      </c>
      <c r="O10" s="17" t="s">
        <v>68</v>
      </c>
      <c r="P10" s="532">
        <f>TINV(P6,P9)</f>
        <v>2.0128955989194299</v>
      </c>
      <c r="Q10" s="533">
        <f>P10</f>
        <v>2.0128955989194299</v>
      </c>
      <c r="S10" t="str">
        <v>se-pred</v>
      </c>
      <c r="T10" s="503">
        <v>2.4962059312571983</v>
      </c>
    </row>
    <row r="11" spans="1:20" x14ac:dyDescent="0.25">
      <c r="A11" s="58" t="s">
        <v>158</v>
      </c>
      <c r="B11" s="70">
        <v>10</v>
      </c>
      <c r="C11" s="62">
        <v>8.3000000000000007</v>
      </c>
      <c r="D11" s="63">
        <v>74.266056727126113</v>
      </c>
      <c r="E11" s="64">
        <v>689.2</v>
      </c>
      <c r="O11" s="17" t="s">
        <v>425</v>
      </c>
      <c r="P11" s="532">
        <f t="array" ref="P11">SQRT(P8*MMULT(TRANSPOSE(O19:O22),MMULT(J6:M9,O19:O22)))</f>
        <v>0.35903209023339094</v>
      </c>
      <c r="Q11" s="533">
        <f t="array" ref="Q11">SQRT(P8*(1+MMULT(TRANSPOSE(O19:O22),MMULT(J6:M9,O19:O22))))</f>
        <v>2.4962059312571974</v>
      </c>
      <c r="S11" t="str">
        <v>lower-pred</v>
      </c>
      <c r="T11" s="503">
        <v>7.8428642979855336</v>
      </c>
    </row>
    <row r="12" spans="1:20" ht="15.75" thickBot="1" x14ac:dyDescent="0.3">
      <c r="A12" s="58" t="s">
        <v>159</v>
      </c>
      <c r="B12" s="61">
        <v>13.2</v>
      </c>
      <c r="C12" s="62">
        <v>7.3</v>
      </c>
      <c r="D12" s="63">
        <v>79.811068541941054</v>
      </c>
      <c r="E12" s="64">
        <v>722.6</v>
      </c>
      <c r="G12" t="s">
        <v>294</v>
      </c>
      <c r="K12" s="1019" t="s">
        <v>34</v>
      </c>
      <c r="L12" s="1019">
        <v>0.05</v>
      </c>
      <c r="O12" s="17" t="s">
        <v>29</v>
      </c>
      <c r="P12" s="532">
        <f>P7-P11*P10</f>
        <v>12.14477211670809</v>
      </c>
      <c r="Q12" s="533">
        <f>Q7-Q11*Q10</f>
        <v>7.8428642979855354</v>
      </c>
      <c r="S12" t="str">
        <v>upper-pred</v>
      </c>
      <c r="T12" s="420">
        <v>17.892068164033915</v>
      </c>
    </row>
    <row r="13" spans="1:20" ht="15.75" thickTop="1" x14ac:dyDescent="0.25">
      <c r="A13" s="58" t="s">
        <v>160</v>
      </c>
      <c r="B13" s="61">
        <v>14.7</v>
      </c>
      <c r="C13" s="62">
        <v>8.1</v>
      </c>
      <c r="D13" s="63">
        <v>65.387718279566343</v>
      </c>
      <c r="E13" s="64">
        <v>493.2</v>
      </c>
      <c r="G13" s="826"/>
      <c r="H13" s="826" t="s">
        <v>60</v>
      </c>
      <c r="I13" s="826" t="s">
        <v>219</v>
      </c>
      <c r="J13" s="826" t="s">
        <v>240</v>
      </c>
      <c r="K13" s="826" t="s">
        <v>135</v>
      </c>
      <c r="L13" s="826" t="s">
        <v>67</v>
      </c>
      <c r="M13" s="826" t="s">
        <v>527</v>
      </c>
      <c r="O13" s="17" t="s">
        <v>30</v>
      </c>
      <c r="P13" s="409">
        <f>P7+P11*P10</f>
        <v>13.590160345311361</v>
      </c>
      <c r="Q13" s="417">
        <f>Q7+Q11*Q10</f>
        <v>17.892068164033915</v>
      </c>
    </row>
    <row r="14" spans="1:20" x14ac:dyDescent="0.25">
      <c r="A14" s="58" t="s">
        <v>161</v>
      </c>
      <c r="B14" s="61">
        <v>9.1</v>
      </c>
      <c r="C14" s="62">
        <v>5.6</v>
      </c>
      <c r="D14" s="63">
        <v>29.667333748383395</v>
      </c>
      <c r="E14" s="64">
        <v>272.8</v>
      </c>
      <c r="G14" t="s">
        <v>222</v>
      </c>
      <c r="H14">
        <f>COUNT(C4:E4)</f>
        <v>3</v>
      </c>
      <c r="I14">
        <f>DEVSQ(MMULT([1]!DESIGN(C4:E53),H19:H22))</f>
        <v>142.55035956639236</v>
      </c>
      <c r="J14">
        <f>I14/H14</f>
        <v>47.516786522130786</v>
      </c>
      <c r="K14">
        <f>J14/J15</f>
        <v>7.7869053231701413</v>
      </c>
      <c r="L14">
        <f>FDIST(K14,H14,H15)</f>
        <v>2.6221319906023728E-4</v>
      </c>
      <c r="M14" s="1019" t="str">
        <f>IF(L14&lt;L12,"yes","no")</f>
        <v>yes</v>
      </c>
    </row>
    <row r="15" spans="1:20" x14ac:dyDescent="0.25">
      <c r="A15" s="58" t="s">
        <v>162</v>
      </c>
      <c r="B15" s="61">
        <v>12.6</v>
      </c>
      <c r="C15" s="62">
        <v>6.8</v>
      </c>
      <c r="D15" s="63">
        <v>94.600660447193093</v>
      </c>
      <c r="E15" s="64">
        <v>239.4</v>
      </c>
      <c r="G15" t="s">
        <v>295</v>
      </c>
      <c r="H15">
        <f>H16-H14</f>
        <v>46</v>
      </c>
      <c r="I15">
        <f>I16-I14</f>
        <v>280.69844043360763</v>
      </c>
      <c r="J15">
        <f>I15/H15</f>
        <v>6.102140009426253</v>
      </c>
    </row>
    <row r="16" spans="1:20" x14ac:dyDescent="0.25">
      <c r="A16" s="58" t="s">
        <v>163</v>
      </c>
      <c r="B16" s="61">
        <v>12.2</v>
      </c>
      <c r="C16" s="62">
        <v>7.3</v>
      </c>
      <c r="D16" s="63">
        <v>79.13310968601246</v>
      </c>
      <c r="E16" s="64">
        <v>533.20000000000005</v>
      </c>
      <c r="G16" s="762" t="s">
        <v>1</v>
      </c>
      <c r="H16" s="762">
        <f>H10-1</f>
        <v>49</v>
      </c>
      <c r="I16" s="762">
        <f>DEVSQ(B4:B53)</f>
        <v>423.24879999999996</v>
      </c>
      <c r="J16" s="762"/>
      <c r="K16" s="762"/>
      <c r="L16" s="762"/>
      <c r="M16" s="762"/>
    </row>
    <row r="17" spans="1:15" ht="15.75" thickBot="1" x14ac:dyDescent="0.3">
      <c r="A17" s="58" t="s">
        <v>164</v>
      </c>
      <c r="B17" s="61">
        <v>13.1</v>
      </c>
      <c r="C17" s="62">
        <v>8</v>
      </c>
      <c r="D17" s="63">
        <v>88.000000627274659</v>
      </c>
      <c r="E17" s="64">
        <v>333.6</v>
      </c>
    </row>
    <row r="18" spans="1:15" ht="15.75" thickTop="1" x14ac:dyDescent="0.25">
      <c r="A18" s="58" t="s">
        <v>165</v>
      </c>
      <c r="B18" s="61">
        <v>11.5</v>
      </c>
      <c r="C18" s="62">
        <v>5.0999999999999996</v>
      </c>
      <c r="D18" s="63">
        <v>94.170464820794294</v>
      </c>
      <c r="E18" s="64">
        <v>294.7</v>
      </c>
      <c r="G18" s="826"/>
      <c r="H18" s="826" t="s">
        <v>1592</v>
      </c>
      <c r="I18" s="826" t="s">
        <v>1000</v>
      </c>
      <c r="J18" s="826" t="s">
        <v>61</v>
      </c>
      <c r="K18" s="826" t="s">
        <v>67</v>
      </c>
      <c r="L18" s="826" t="s">
        <v>29</v>
      </c>
      <c r="M18" s="826" t="s">
        <v>30</v>
      </c>
      <c r="O18" s="826" t="s">
        <v>2082</v>
      </c>
    </row>
    <row r="19" spans="1:15" x14ac:dyDescent="0.25">
      <c r="A19" s="58" t="s">
        <v>166</v>
      </c>
      <c r="B19" s="61">
        <v>11.3</v>
      </c>
      <c r="C19" s="62">
        <v>7.1</v>
      </c>
      <c r="D19" s="63">
        <v>88.703716524620162</v>
      </c>
      <c r="E19" s="64">
        <v>452.7</v>
      </c>
      <c r="G19" t="s">
        <v>296</v>
      </c>
      <c r="H19">
        <f t="array" ref="H19:I22">[1]!RegCoeff(C4:E53,B4:B53)</f>
        <v>0.43712521875191612</v>
      </c>
      <c r="I19">
        <v>3.9875336904973384</v>
      </c>
      <c r="J19">
        <f>H19/I19</f>
        <v>0.10962295310347495</v>
      </c>
      <c r="K19">
        <f>TDIST(ABS(J19),$H$15,2)</f>
        <v>0.91318525331884337</v>
      </c>
      <c r="L19">
        <f>H19-TINV(L$12,$H$15)*I19</f>
        <v>-7.5893637973931281</v>
      </c>
      <c r="M19">
        <f>H19+TINV(L$12,$H$15)*I19</f>
        <v>8.4636142348969603</v>
      </c>
      <c r="O19">
        <v>1</v>
      </c>
    </row>
    <row r="20" spans="1:15" x14ac:dyDescent="0.25">
      <c r="A20" s="58" t="s">
        <v>167</v>
      </c>
      <c r="B20" s="61">
        <v>17.3</v>
      </c>
      <c r="C20" s="62">
        <v>7.5</v>
      </c>
      <c r="D20" s="63">
        <v>89.904327345935869</v>
      </c>
      <c r="E20" s="64">
        <v>295</v>
      </c>
      <c r="G20" t="str">
        <f t="array" ref="G20:G22">TRANSPOSE(C3:E3)</f>
        <v>Infant Mort</v>
      </c>
      <c r="H20">
        <v>1.279369653049887</v>
      </c>
      <c r="I20">
        <v>0.3006729090126502</v>
      </c>
      <c r="J20">
        <f>H20/I20</f>
        <v>4.255021369404651</v>
      </c>
      <c r="K20">
        <f>TDIST(ABS(J20),$H$15,2)</f>
        <v>1.0162763056825428E-4</v>
      </c>
      <c r="L20">
        <f>H20-TINV(L$12,$H$15)*I20</f>
        <v>0.67414647778402126</v>
      </c>
      <c r="M20">
        <f>H20+TINV(L$12,$H$15)*I20</f>
        <v>1.8845928283157529</v>
      </c>
      <c r="O20">
        <v>7</v>
      </c>
    </row>
    <row r="21" spans="1:15" x14ac:dyDescent="0.25">
      <c r="A21" s="58" t="s">
        <v>168</v>
      </c>
      <c r="B21" s="61">
        <v>17.3</v>
      </c>
      <c r="C21" s="62">
        <v>9.9</v>
      </c>
      <c r="D21" s="63">
        <v>64.839543701408999</v>
      </c>
      <c r="E21" s="64">
        <v>729.5</v>
      </c>
      <c r="G21" t="str">
        <v>White</v>
      </c>
      <c r="H21">
        <v>3.6326923072065739E-2</v>
      </c>
      <c r="I21">
        <v>3.3602531929280269E-2</v>
      </c>
      <c r="J21">
        <f>H21/I21</f>
        <v>1.0810769601683352</v>
      </c>
      <c r="K21">
        <f>TDIST(ABS(J21),$H$15,2)</f>
        <v>0.28529815262504604</v>
      </c>
      <c r="L21">
        <f>H21-TINV(L$12,$H$15)*I21</f>
        <v>-3.1311465560932131E-2</v>
      </c>
      <c r="M21">
        <f>H21+TINV(L$12,$H$15)*I21</f>
        <v>0.10396531170506361</v>
      </c>
      <c r="O21">
        <v>80</v>
      </c>
    </row>
    <row r="22" spans="1:15" x14ac:dyDescent="0.25">
      <c r="A22" s="58" t="s">
        <v>169</v>
      </c>
      <c r="B22" s="61">
        <v>12.3</v>
      </c>
      <c r="C22" s="62">
        <v>6.3</v>
      </c>
      <c r="D22" s="63">
        <v>96.389852756187835</v>
      </c>
      <c r="E22" s="64">
        <v>118</v>
      </c>
      <c r="G22" s="762" t="str">
        <v>Crime</v>
      </c>
      <c r="H22" s="762">
        <v>1.4214989878583481E-3</v>
      </c>
      <c r="I22" s="762">
        <v>2.2421016620427178E-3</v>
      </c>
      <c r="J22" s="762">
        <f>H22/I22</f>
        <v>0.63400291428501021</v>
      </c>
      <c r="K22" s="762">
        <f>TDIST(ABS(J22),$H$15,2)</f>
        <v>0.52921921764794777</v>
      </c>
      <c r="L22" s="762">
        <f>H22-TINV(L$12,$H$15)*I22</f>
        <v>-3.091617579997377E-3</v>
      </c>
      <c r="M22" s="762">
        <f>H22+TINV(L$12,$H$15)*I22</f>
        <v>5.9346155557140736E-3</v>
      </c>
      <c r="O22" s="762">
        <v>400</v>
      </c>
    </row>
    <row r="23" spans="1:15" x14ac:dyDescent="0.25">
      <c r="A23" s="58" t="s">
        <v>170</v>
      </c>
      <c r="B23" s="61">
        <v>8.1</v>
      </c>
      <c r="C23" s="62">
        <v>8</v>
      </c>
      <c r="D23" s="63">
        <v>63.398020838196281</v>
      </c>
      <c r="E23" s="64">
        <v>641.9</v>
      </c>
      <c r="N23" s="1019"/>
    </row>
    <row r="24" spans="1:15" x14ac:dyDescent="0.25">
      <c r="A24" s="58" t="s">
        <v>171</v>
      </c>
      <c r="B24" s="70">
        <v>10</v>
      </c>
      <c r="C24" s="62">
        <v>4.8</v>
      </c>
      <c r="D24" s="63">
        <v>86.203669547721617</v>
      </c>
      <c r="E24" s="64">
        <v>431.5</v>
      </c>
    </row>
    <row r="25" spans="1:15" x14ac:dyDescent="0.25">
      <c r="A25" s="58" t="s">
        <v>172</v>
      </c>
      <c r="B25" s="61">
        <v>14.4</v>
      </c>
      <c r="C25" s="62">
        <v>7.4</v>
      </c>
      <c r="D25" s="63">
        <v>81.183409037427396</v>
      </c>
      <c r="E25" s="64">
        <v>536</v>
      </c>
    </row>
    <row r="26" spans="1:15" x14ac:dyDescent="0.25">
      <c r="A26" s="58" t="s">
        <v>173</v>
      </c>
      <c r="B26" s="61">
        <v>9.6</v>
      </c>
      <c r="C26" s="62">
        <v>5.2</v>
      </c>
      <c r="D26" s="63">
        <v>89.045556531854984</v>
      </c>
      <c r="E26" s="64">
        <v>288.7</v>
      </c>
    </row>
    <row r="27" spans="1:15" x14ac:dyDescent="0.25">
      <c r="A27" s="58" t="s">
        <v>174</v>
      </c>
      <c r="B27" s="61">
        <v>21.2</v>
      </c>
      <c r="C27" s="62">
        <v>10.6</v>
      </c>
      <c r="D27" s="63">
        <v>60.598179144073846</v>
      </c>
      <c r="E27" s="64">
        <v>291.3</v>
      </c>
    </row>
    <row r="28" spans="1:15" x14ac:dyDescent="0.25">
      <c r="A28" s="58" t="s">
        <v>175</v>
      </c>
      <c r="B28" s="61">
        <v>13.4</v>
      </c>
      <c r="C28" s="62">
        <v>7.4</v>
      </c>
      <c r="D28" s="63">
        <v>85.028888093842554</v>
      </c>
      <c r="E28" s="64">
        <v>504.9</v>
      </c>
    </row>
    <row r="29" spans="1:15" x14ac:dyDescent="0.25">
      <c r="A29" s="58" t="s">
        <v>176</v>
      </c>
      <c r="B29" s="61">
        <v>14.8</v>
      </c>
      <c r="C29" s="62">
        <v>5.8</v>
      </c>
      <c r="D29" s="63">
        <v>90.467729264863962</v>
      </c>
      <c r="E29" s="64">
        <v>287.5</v>
      </c>
    </row>
    <row r="30" spans="1:15" x14ac:dyDescent="0.25">
      <c r="A30" s="58" t="s">
        <v>177</v>
      </c>
      <c r="B30" s="61">
        <v>10.8</v>
      </c>
      <c r="C30" s="62">
        <v>5.6</v>
      </c>
      <c r="D30" s="63">
        <v>91.372477335833381</v>
      </c>
      <c r="E30" s="64">
        <v>302.39999999999998</v>
      </c>
    </row>
    <row r="31" spans="1:15" x14ac:dyDescent="0.25">
      <c r="A31" s="58" t="s">
        <v>178</v>
      </c>
      <c r="B31" s="61">
        <v>11.3</v>
      </c>
      <c r="C31" s="62">
        <v>6.4</v>
      </c>
      <c r="D31" s="63">
        <v>80.891227371165002</v>
      </c>
      <c r="E31" s="64">
        <v>750.6</v>
      </c>
    </row>
    <row r="32" spans="1:15" x14ac:dyDescent="0.25">
      <c r="A32" s="58" t="s">
        <v>179</v>
      </c>
      <c r="B32" s="61">
        <v>7.6</v>
      </c>
      <c r="C32" s="62">
        <v>6.1</v>
      </c>
      <c r="D32" s="63">
        <v>95.487186970145373</v>
      </c>
      <c r="E32" s="64">
        <v>137.30000000000001</v>
      </c>
    </row>
    <row r="33" spans="1:5" x14ac:dyDescent="0.25">
      <c r="A33" s="58" t="s">
        <v>180</v>
      </c>
      <c r="B33" s="61">
        <v>8.6999999999999993</v>
      </c>
      <c r="C33" s="62">
        <v>5.5</v>
      </c>
      <c r="D33" s="63">
        <v>76.032117342828414</v>
      </c>
      <c r="E33" s="64">
        <v>329.3</v>
      </c>
    </row>
    <row r="34" spans="1:5" x14ac:dyDescent="0.25">
      <c r="A34" s="58" t="s">
        <v>181</v>
      </c>
      <c r="B34" s="61">
        <v>17.100000000000001</v>
      </c>
      <c r="C34" s="62">
        <v>5.8</v>
      </c>
      <c r="D34" s="63">
        <v>83.996520785584835</v>
      </c>
      <c r="E34" s="64">
        <v>664.2</v>
      </c>
    </row>
    <row r="35" spans="1:5" x14ac:dyDescent="0.25">
      <c r="A35" s="58" t="s">
        <v>182</v>
      </c>
      <c r="B35" s="61">
        <v>13.6</v>
      </c>
      <c r="C35" s="62">
        <v>5.6</v>
      </c>
      <c r="D35" s="63">
        <v>73.422529169257928</v>
      </c>
      <c r="E35" s="64">
        <v>414.1</v>
      </c>
    </row>
    <row r="36" spans="1:5" x14ac:dyDescent="0.25">
      <c r="A36" s="58" t="s">
        <v>183</v>
      </c>
      <c r="B36" s="61">
        <v>14.6</v>
      </c>
      <c r="C36" s="62">
        <v>8.1</v>
      </c>
      <c r="D36" s="63">
        <v>73.937344387272134</v>
      </c>
      <c r="E36" s="64">
        <v>466.4</v>
      </c>
    </row>
    <row r="37" spans="1:5" x14ac:dyDescent="0.25">
      <c r="A37" s="58" t="s">
        <v>184</v>
      </c>
      <c r="B37" s="71">
        <v>12</v>
      </c>
      <c r="C37" s="62">
        <v>5.8</v>
      </c>
      <c r="D37" s="63">
        <v>91.393509706444945</v>
      </c>
      <c r="E37" s="64">
        <v>142.4</v>
      </c>
    </row>
    <row r="38" spans="1:5" x14ac:dyDescent="0.25">
      <c r="A38" s="58" t="s">
        <v>185</v>
      </c>
      <c r="B38" s="61">
        <v>13.4</v>
      </c>
      <c r="C38" s="62">
        <v>7.8</v>
      </c>
      <c r="D38" s="63">
        <v>84.764237226305966</v>
      </c>
      <c r="E38" s="64">
        <v>343.2</v>
      </c>
    </row>
    <row r="39" spans="1:5" x14ac:dyDescent="0.25">
      <c r="A39" s="58" t="s">
        <v>186</v>
      </c>
      <c r="B39" s="61">
        <v>15.9</v>
      </c>
      <c r="C39" s="62">
        <v>8</v>
      </c>
      <c r="D39" s="63">
        <v>78.141238608693655</v>
      </c>
      <c r="E39" s="64">
        <v>499.6</v>
      </c>
    </row>
    <row r="40" spans="1:5" x14ac:dyDescent="0.25">
      <c r="A40" s="58" t="s">
        <v>187</v>
      </c>
      <c r="B40" s="61">
        <v>13.6</v>
      </c>
      <c r="C40" s="62">
        <v>5.5</v>
      </c>
      <c r="D40" s="63">
        <v>90.140446325387984</v>
      </c>
      <c r="E40" s="64">
        <v>287.60000000000002</v>
      </c>
    </row>
    <row r="41" spans="1:5" x14ac:dyDescent="0.25">
      <c r="A41" s="58" t="s">
        <v>188</v>
      </c>
      <c r="B41" s="61">
        <v>12.1</v>
      </c>
      <c r="C41" s="62">
        <v>7.6</v>
      </c>
      <c r="D41" s="63">
        <v>85.424563507935517</v>
      </c>
      <c r="E41" s="64">
        <v>416.5</v>
      </c>
    </row>
    <row r="42" spans="1:5" x14ac:dyDescent="0.25">
      <c r="A42" s="58" t="s">
        <v>189</v>
      </c>
      <c r="B42" s="61">
        <v>11.7</v>
      </c>
      <c r="C42" s="62">
        <v>6.1</v>
      </c>
      <c r="D42" s="63">
        <v>88.483880668602993</v>
      </c>
      <c r="E42" s="64">
        <v>227.3</v>
      </c>
    </row>
    <row r="43" spans="1:5" x14ac:dyDescent="0.25">
      <c r="A43" s="58" t="s">
        <v>190</v>
      </c>
      <c r="B43" s="61">
        <v>15.7</v>
      </c>
      <c r="C43" s="62">
        <v>8.4</v>
      </c>
      <c r="D43" s="63">
        <v>68.748136077503446</v>
      </c>
      <c r="E43" s="64">
        <v>788.3</v>
      </c>
    </row>
    <row r="44" spans="1:5" x14ac:dyDescent="0.25">
      <c r="A44" s="58" t="s">
        <v>191</v>
      </c>
      <c r="B44" s="61">
        <v>12.5</v>
      </c>
      <c r="C44" s="62">
        <v>6.9</v>
      </c>
      <c r="D44" s="63">
        <v>88.189790025789804</v>
      </c>
      <c r="E44" s="64">
        <v>169.2</v>
      </c>
    </row>
    <row r="45" spans="1:5" x14ac:dyDescent="0.25">
      <c r="A45" s="58" t="s">
        <v>192</v>
      </c>
      <c r="B45" s="61">
        <v>15.5</v>
      </c>
      <c r="C45" s="62">
        <v>8.6999999999999993</v>
      </c>
      <c r="D45" s="63">
        <v>80.371971305033981</v>
      </c>
      <c r="E45" s="64">
        <v>753.3</v>
      </c>
    </row>
    <row r="46" spans="1:5" x14ac:dyDescent="0.25">
      <c r="A46" s="58" t="s">
        <v>193</v>
      </c>
      <c r="B46" s="61">
        <v>15.8</v>
      </c>
      <c r="C46" s="62">
        <v>6.2</v>
      </c>
      <c r="D46" s="63">
        <v>82.402677784750395</v>
      </c>
      <c r="E46" s="64">
        <v>510.6</v>
      </c>
    </row>
    <row r="47" spans="1:5" x14ac:dyDescent="0.25">
      <c r="A47" s="58" t="s">
        <v>194</v>
      </c>
      <c r="B47" s="61">
        <v>9.6</v>
      </c>
      <c r="C47" s="62">
        <v>5.0999999999999996</v>
      </c>
      <c r="D47" s="63">
        <v>92.915461931338129</v>
      </c>
      <c r="E47" s="64">
        <v>234.8</v>
      </c>
    </row>
    <row r="48" spans="1:5" x14ac:dyDescent="0.25">
      <c r="A48" s="58" t="s">
        <v>195</v>
      </c>
      <c r="B48" s="61">
        <v>10.6</v>
      </c>
      <c r="C48" s="62">
        <v>5.5</v>
      </c>
      <c r="D48" s="63">
        <v>96.408807764739961</v>
      </c>
      <c r="E48" s="64">
        <v>124.3</v>
      </c>
    </row>
    <row r="49" spans="1:5" x14ac:dyDescent="0.25">
      <c r="A49" s="58" t="s">
        <v>196</v>
      </c>
      <c r="B49" s="61">
        <v>10.199999999999999</v>
      </c>
      <c r="C49" s="62">
        <v>7.1</v>
      </c>
      <c r="D49" s="63">
        <v>73.031896017666924</v>
      </c>
      <c r="E49" s="64">
        <v>269.7</v>
      </c>
    </row>
    <row r="50" spans="1:5" x14ac:dyDescent="0.25">
      <c r="A50" s="58" t="s">
        <v>197</v>
      </c>
      <c r="B50" s="61">
        <v>11.3</v>
      </c>
      <c r="C50" s="62">
        <v>4.7</v>
      </c>
      <c r="D50" s="63">
        <v>84.290902250404002</v>
      </c>
      <c r="E50" s="64">
        <v>333.1</v>
      </c>
    </row>
    <row r="51" spans="1:5" x14ac:dyDescent="0.25">
      <c r="A51" s="58" t="s">
        <v>198</v>
      </c>
      <c r="B51" s="71">
        <v>17</v>
      </c>
      <c r="C51" s="62">
        <v>7.4</v>
      </c>
      <c r="D51" s="63">
        <v>94.524786328554711</v>
      </c>
      <c r="E51" s="64">
        <v>275.2</v>
      </c>
    </row>
    <row r="52" spans="1:5" x14ac:dyDescent="0.25">
      <c r="A52" s="58" t="s">
        <v>199</v>
      </c>
      <c r="B52" s="61">
        <v>10.4</v>
      </c>
      <c r="C52" s="62">
        <v>6.4</v>
      </c>
      <c r="D52" s="63">
        <v>89.673695670212709</v>
      </c>
      <c r="E52" s="64">
        <v>290.89999999999998</v>
      </c>
    </row>
    <row r="53" spans="1:5" x14ac:dyDescent="0.25">
      <c r="A53" s="72" t="s">
        <v>200</v>
      </c>
      <c r="B53" s="73">
        <v>9.4</v>
      </c>
      <c r="C53" s="74">
        <v>7</v>
      </c>
      <c r="D53" s="75">
        <v>93.867286940458214</v>
      </c>
      <c r="E53" s="76">
        <v>239.3</v>
      </c>
    </row>
    <row r="54" spans="1:5" x14ac:dyDescent="0.25">
      <c r="A54" s="58"/>
      <c r="B54" s="58"/>
      <c r="C54" s="58"/>
      <c r="D54" s="58"/>
      <c r="E54" s="58"/>
    </row>
    <row r="55" spans="1:5" x14ac:dyDescent="0.25">
      <c r="A55" s="58" t="s">
        <v>201</v>
      </c>
      <c r="B55" s="58"/>
      <c r="C55" s="58"/>
      <c r="D55" s="58"/>
      <c r="E55" s="58"/>
    </row>
    <row r="56" spans="1:5" x14ac:dyDescent="0.25">
      <c r="A56" s="58" t="s">
        <v>202</v>
      </c>
      <c r="B56" s="58"/>
      <c r="C56" s="58"/>
      <c r="D56" s="58"/>
      <c r="E56" s="58"/>
    </row>
    <row r="57" spans="1:5" x14ac:dyDescent="0.25">
      <c r="A57" s="58" t="s">
        <v>203</v>
      </c>
      <c r="B57" s="58"/>
      <c r="C57" s="58"/>
      <c r="D57" s="58"/>
      <c r="E57" s="58"/>
    </row>
    <row r="58" spans="1:5" x14ac:dyDescent="0.25">
      <c r="A58" s="58" t="s">
        <v>204</v>
      </c>
      <c r="B58" s="58"/>
      <c r="C58" s="58"/>
      <c r="D58" s="58"/>
      <c r="E58" s="58"/>
    </row>
  </sheetData>
  <pageMargins left="0.7" right="0.7" top="0.75" bottom="0.75" header="0.3" footer="0.3"/>
  <ignoredErrors>
    <ignoredError sqref="H14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2"/>
  <dimension ref="A1:Q23"/>
  <sheetViews>
    <sheetView workbookViewId="0"/>
  </sheetViews>
  <sheetFormatPr defaultRowHeight="15" x14ac:dyDescent="0.25"/>
  <cols>
    <col min="1" max="1" width="10.42578125" customWidth="1"/>
    <col min="2" max="2" width="10.28515625" customWidth="1"/>
    <col min="4" max="4" width="17.7109375" customWidth="1"/>
    <col min="7" max="9" width="9.28515625" bestFit="1" customWidth="1"/>
    <col min="10" max="10" width="9.28515625" customWidth="1"/>
    <col min="12" max="12" width="9.140625" customWidth="1"/>
    <col min="16" max="16" width="12" customWidth="1"/>
  </cols>
  <sheetData>
    <row r="1" spans="1:17" x14ac:dyDescent="0.25">
      <c r="A1" s="1" t="s">
        <v>2254</v>
      </c>
    </row>
    <row r="3" spans="1:17" x14ac:dyDescent="0.25">
      <c r="A3" s="861" t="s">
        <v>227</v>
      </c>
      <c r="B3" s="861" t="s">
        <v>228</v>
      </c>
      <c r="D3" t="s">
        <v>1593</v>
      </c>
      <c r="L3" t="s">
        <v>2250</v>
      </c>
      <c r="P3" t="s">
        <v>2137</v>
      </c>
    </row>
    <row r="4" spans="1:17" x14ac:dyDescent="0.25">
      <c r="A4" s="1020">
        <v>5</v>
      </c>
      <c r="B4" s="864">
        <v>80</v>
      </c>
    </row>
    <row r="5" spans="1:17" ht="15.75" thickBot="1" x14ac:dyDescent="0.3">
      <c r="A5" s="1020">
        <v>23</v>
      </c>
      <c r="B5" s="1020">
        <v>78</v>
      </c>
      <c r="D5" s="743" t="s">
        <v>1598</v>
      </c>
      <c r="E5" s="743"/>
      <c r="G5" t="s">
        <v>2249</v>
      </c>
      <c r="M5" s="1019" t="s">
        <v>2251</v>
      </c>
      <c r="N5" s="1019" t="s">
        <v>1740</v>
      </c>
    </row>
    <row r="6" spans="1:17" ht="15.75" thickTop="1" x14ac:dyDescent="0.25">
      <c r="A6" s="1020">
        <v>25</v>
      </c>
      <c r="B6" s="1020">
        <v>60</v>
      </c>
      <c r="D6" t="s">
        <v>292</v>
      </c>
      <c r="E6">
        <f>SQRT(E7)</f>
        <v>0.71343017438658085</v>
      </c>
      <c r="G6" s="869">
        <f t="array" ref="G6:H7">[1]!CORE(A4:A18)</f>
        <v>0.23997666850862656</v>
      </c>
      <c r="H6" s="870">
        <v>-8.9335052495855619E-3</v>
      </c>
      <c r="L6" t="s">
        <v>106</v>
      </c>
      <c r="M6" s="869">
        <v>0.05</v>
      </c>
      <c r="N6" s="870">
        <f>M6</f>
        <v>0.05</v>
      </c>
      <c r="P6" t="str">
        <f t="array" ref="P6:Q12">[1]!RegPred(L20,A4:A18,B4:B18,TRUE)</f>
        <v>pred</v>
      </c>
      <c r="Q6" s="868">
        <v>73.156413090194633</v>
      </c>
    </row>
    <row r="7" spans="1:17" x14ac:dyDescent="0.25">
      <c r="A7" s="1020">
        <v>48</v>
      </c>
      <c r="B7" s="1020">
        <v>53</v>
      </c>
      <c r="D7" t="s">
        <v>285</v>
      </c>
      <c r="E7">
        <f>F14/F16</f>
        <v>0.50898261372526721</v>
      </c>
      <c r="G7" s="409">
        <v>-8.9335052495855601E-3</v>
      </c>
      <c r="H7" s="417">
        <v>4.6048996131884334E-4</v>
      </c>
      <c r="L7" t="s">
        <v>2252</v>
      </c>
      <c r="M7" s="532">
        <f>SUMPRODUCT(E19:E20,L19:L20)</f>
        <v>73.156413090194633</v>
      </c>
      <c r="N7" s="533">
        <f>M7</f>
        <v>73.156413090194633</v>
      </c>
      <c r="P7" t="str">
        <v>se-conf</v>
      </c>
      <c r="Q7" s="503">
        <v>2.061612706892928</v>
      </c>
    </row>
    <row r="8" spans="1:17" x14ac:dyDescent="0.25">
      <c r="A8" s="101">
        <v>17</v>
      </c>
      <c r="B8" s="1020">
        <v>85</v>
      </c>
      <c r="D8" t="s">
        <v>293</v>
      </c>
      <c r="E8">
        <f>1-(1-E7)*(E10-1)/(E10-E14-1)</f>
        <v>0.47121204555028773</v>
      </c>
      <c r="L8" t="s">
        <v>2253</v>
      </c>
      <c r="M8" s="532">
        <f>G15</f>
        <v>63.595564655152053</v>
      </c>
      <c r="N8" s="533">
        <f>M8</f>
        <v>63.595564655152053</v>
      </c>
      <c r="P8" t="str">
        <v>lower-conf</v>
      </c>
      <c r="Q8" s="503">
        <v>68.702569616457737</v>
      </c>
    </row>
    <row r="9" spans="1:17" x14ac:dyDescent="0.25">
      <c r="A9" s="101">
        <v>8</v>
      </c>
      <c r="B9" s="1020">
        <v>84</v>
      </c>
      <c r="D9" t="s">
        <v>11</v>
      </c>
      <c r="E9">
        <f>SQRT(G15)</f>
        <v>7.9746827306891683</v>
      </c>
      <c r="L9" s="17" t="s">
        <v>2246</v>
      </c>
      <c r="M9" s="532">
        <f>E15</f>
        <v>13</v>
      </c>
      <c r="N9" s="533">
        <f>M9</f>
        <v>13</v>
      </c>
      <c r="P9" t="str">
        <v>upper-conf</v>
      </c>
      <c r="Q9" s="503">
        <v>77.610256563931529</v>
      </c>
    </row>
    <row r="10" spans="1:17" x14ac:dyDescent="0.25">
      <c r="A10" s="1020">
        <v>4</v>
      </c>
      <c r="B10" s="1020">
        <v>73</v>
      </c>
      <c r="D10" s="762" t="s">
        <v>81</v>
      </c>
      <c r="E10" s="762">
        <f>COUNT(B4:B18)</f>
        <v>15</v>
      </c>
      <c r="L10" s="17" t="s">
        <v>68</v>
      </c>
      <c r="M10" s="532">
        <f>TINV(M6,M9)</f>
        <v>2.1603686564627926</v>
      </c>
      <c r="N10" s="533">
        <f>M10</f>
        <v>2.1603686564627926</v>
      </c>
      <c r="P10" t="str">
        <v>se-pred</v>
      </c>
      <c r="Q10" s="503">
        <v>8.2368569010499648</v>
      </c>
    </row>
    <row r="11" spans="1:17" x14ac:dyDescent="0.25">
      <c r="A11" s="1020">
        <v>26</v>
      </c>
      <c r="B11" s="1020">
        <v>79</v>
      </c>
      <c r="L11" s="17" t="s">
        <v>425</v>
      </c>
      <c r="M11" s="532">
        <f t="array" ref="M11">SQRT(M8*MMULT(TRANSPOSE(L19:L20),MMULT(G6:H7,L19:L20)))</f>
        <v>2.061612706892928</v>
      </c>
      <c r="N11" s="533">
        <f t="array" ref="N11">SQRT(M8*(1+MMULT(TRANSPOSE(L19:L20),MMULT(G6:H7,L19:L20))))</f>
        <v>8.2368569010499648</v>
      </c>
      <c r="P11" t="str">
        <v>lower-pred</v>
      </c>
      <c r="Q11" s="503">
        <v>55.36176561339704</v>
      </c>
    </row>
    <row r="12" spans="1:17" ht="15.75" thickBot="1" x14ac:dyDescent="0.3">
      <c r="A12" s="1020">
        <v>11</v>
      </c>
      <c r="B12" s="1020">
        <v>81</v>
      </c>
      <c r="D12" t="s">
        <v>294</v>
      </c>
      <c r="H12" s="1019" t="s">
        <v>34</v>
      </c>
      <c r="I12" s="1019">
        <v>0.05</v>
      </c>
      <c r="L12" s="17" t="s">
        <v>29</v>
      </c>
      <c r="M12" s="532">
        <f>M7-M11*M10</f>
        <v>68.702569616457737</v>
      </c>
      <c r="N12" s="533">
        <f>N7-N11*N10</f>
        <v>55.36176561339704</v>
      </c>
      <c r="P12" t="str">
        <v>upper-pred</v>
      </c>
      <c r="Q12" s="420">
        <v>90.951060566992226</v>
      </c>
    </row>
    <row r="13" spans="1:17" ht="15.75" thickTop="1" x14ac:dyDescent="0.25">
      <c r="A13" s="1020">
        <v>19</v>
      </c>
      <c r="B13" s="1020">
        <v>75</v>
      </c>
      <c r="D13" s="826"/>
      <c r="E13" s="826" t="s">
        <v>60</v>
      </c>
      <c r="F13" s="826" t="s">
        <v>219</v>
      </c>
      <c r="G13" s="826" t="s">
        <v>240</v>
      </c>
      <c r="H13" s="826" t="s">
        <v>135</v>
      </c>
      <c r="I13" s="826" t="s">
        <v>67</v>
      </c>
      <c r="J13" s="826" t="s">
        <v>527</v>
      </c>
      <c r="L13" s="17" t="s">
        <v>30</v>
      </c>
      <c r="M13" s="409">
        <f>M7+M11*M10</f>
        <v>77.610256563931529</v>
      </c>
      <c r="N13" s="417">
        <f>N7+N11*N10</f>
        <v>90.951060566992226</v>
      </c>
    </row>
    <row r="14" spans="1:17" x14ac:dyDescent="0.25">
      <c r="A14" s="1020">
        <v>14</v>
      </c>
      <c r="B14" s="1020">
        <v>68</v>
      </c>
      <c r="D14" t="s">
        <v>222</v>
      </c>
      <c r="E14">
        <f>COUNT(A4)</f>
        <v>1</v>
      </c>
      <c r="F14">
        <f>DEVSQ(MMULT([1]!DESIGN(A4:A18),E19:E20))</f>
        <v>856.99099281635665</v>
      </c>
      <c r="G14">
        <f>F14/E14</f>
        <v>856.99099281635665</v>
      </c>
      <c r="H14">
        <f>G14/G15</f>
        <v>13.475640910862317</v>
      </c>
      <c r="I14">
        <f>FDIST(H14,E14,E15)</f>
        <v>2.822342990071234E-3</v>
      </c>
      <c r="J14" s="1019" t="str">
        <f>IF(I14&lt;I12,"yes","no")</f>
        <v>yes</v>
      </c>
    </row>
    <row r="15" spans="1:17" x14ac:dyDescent="0.25">
      <c r="A15" s="1020">
        <v>35</v>
      </c>
      <c r="B15" s="1020">
        <v>72</v>
      </c>
      <c r="D15" t="s">
        <v>295</v>
      </c>
      <c r="E15">
        <f>E16-E14</f>
        <v>13</v>
      </c>
      <c r="F15">
        <f>F16-F14</f>
        <v>826.7423405169767</v>
      </c>
      <c r="G15">
        <f>F15/E15</f>
        <v>63.595564655152053</v>
      </c>
    </row>
    <row r="16" spans="1:17" x14ac:dyDescent="0.25">
      <c r="A16" s="1020">
        <v>29</v>
      </c>
      <c r="B16" s="1020">
        <v>58</v>
      </c>
      <c r="D16" s="762" t="s">
        <v>1</v>
      </c>
      <c r="E16" s="762">
        <f>E10-1</f>
        <v>14</v>
      </c>
      <c r="F16" s="762">
        <f>DEVSQ(B4:B18)</f>
        <v>1683.7333333333333</v>
      </c>
      <c r="G16" s="762"/>
      <c r="H16" s="762"/>
      <c r="I16" s="762"/>
      <c r="J16" s="762"/>
    </row>
    <row r="17" spans="1:12" ht="15.75" thickBot="1" x14ac:dyDescent="0.3">
      <c r="A17" s="1020">
        <v>4</v>
      </c>
      <c r="B17" s="1020">
        <v>92</v>
      </c>
    </row>
    <row r="18" spans="1:12" ht="15.75" thickTop="1" x14ac:dyDescent="0.25">
      <c r="A18" s="860">
        <v>23</v>
      </c>
      <c r="B18" s="860">
        <v>65</v>
      </c>
      <c r="D18" s="826"/>
      <c r="E18" s="826" t="s">
        <v>1592</v>
      </c>
      <c r="F18" s="826" t="s">
        <v>1000</v>
      </c>
      <c r="G18" s="826" t="s">
        <v>61</v>
      </c>
      <c r="H18" s="826" t="s">
        <v>67</v>
      </c>
      <c r="I18" s="826" t="s">
        <v>29</v>
      </c>
      <c r="J18" s="826" t="s">
        <v>30</v>
      </c>
      <c r="L18" s="826" t="s">
        <v>2082</v>
      </c>
    </row>
    <row r="19" spans="1:12" x14ac:dyDescent="0.25">
      <c r="D19" t="s">
        <v>296</v>
      </c>
      <c r="E19">
        <f t="array" ref="E19:F20">[1]!RegCoeff(A4:A18,B4:B18)</f>
        <v>85.720421194817945</v>
      </c>
      <c r="F19">
        <v>3.9065908075799731</v>
      </c>
      <c r="G19">
        <f>E19/F19</f>
        <v>21.942513413100315</v>
      </c>
      <c r="H19">
        <f>TDIST(ABS(G19),$E$15,2)</f>
        <v>1.1757939257001413E-11</v>
      </c>
      <c r="I19">
        <f>E19-TINV(I$12,$E$15)*F19</f>
        <v>77.280744860496497</v>
      </c>
      <c r="J19">
        <f>E19+TINV(I$12,$E$15)*F19</f>
        <v>94.160097529139392</v>
      </c>
      <c r="L19">
        <v>1</v>
      </c>
    </row>
    <row r="20" spans="1:12" x14ac:dyDescent="0.25">
      <c r="D20" s="762" t="str">
        <f t="array" ref="D20">TRANSPOSE(A3)</f>
        <v>Cig (x)</v>
      </c>
      <c r="E20" s="762">
        <v>-0.62820040523116594</v>
      </c>
      <c r="F20" s="762">
        <v>0.17112895461639729</v>
      </c>
      <c r="G20" s="762">
        <f>E20/F20</f>
        <v>-3.6709182653475567</v>
      </c>
      <c r="H20" s="762">
        <f>TDIST(ABS(G20),$E$15,2)</f>
        <v>2.822342990071231E-3</v>
      </c>
      <c r="I20" s="762">
        <f>E20-TINV(I$12,$E$15)*F20</f>
        <v>-0.99790203499767438</v>
      </c>
      <c r="J20" s="762">
        <f>E20+TINV(I$12,$E$15)*F20</f>
        <v>-0.25849877546465749</v>
      </c>
      <c r="L20" s="762">
        <v>20</v>
      </c>
    </row>
    <row r="23" spans="1:12" x14ac:dyDescent="0.25">
      <c r="K23" s="10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W38"/>
  <sheetViews>
    <sheetView workbookViewId="0"/>
  </sheetViews>
  <sheetFormatPr defaultRowHeight="15" x14ac:dyDescent="0.25"/>
  <cols>
    <col min="1" max="1" width="11" customWidth="1"/>
    <col min="2" max="6" width="9.5703125" customWidth="1"/>
    <col min="7" max="7" width="11.42578125" customWidth="1"/>
    <col min="8" max="11" width="10.28515625" customWidth="1"/>
    <col min="12" max="12" width="5.140625" customWidth="1"/>
    <col min="14" max="14" width="6.140625" customWidth="1"/>
    <col min="17" max="17" width="16.7109375" customWidth="1"/>
  </cols>
  <sheetData>
    <row r="1" spans="1:23" x14ac:dyDescent="0.25">
      <c r="A1" s="1" t="s">
        <v>1934</v>
      </c>
      <c r="G1" t="s">
        <v>2682</v>
      </c>
      <c r="Q1" t="s">
        <v>1593</v>
      </c>
    </row>
    <row r="3" spans="1:23" ht="15.75" thickBot="1" x14ac:dyDescent="0.3">
      <c r="A3" s="1257"/>
      <c r="B3" s="1258" t="s">
        <v>146</v>
      </c>
      <c r="C3" s="1258" t="s">
        <v>147</v>
      </c>
      <c r="D3" s="1258" t="s">
        <v>148</v>
      </c>
      <c r="E3" s="1258" t="s">
        <v>149</v>
      </c>
      <c r="F3" s="1259"/>
      <c r="H3" s="1259" t="s">
        <v>146</v>
      </c>
      <c r="I3" s="1259" t="s">
        <v>147</v>
      </c>
      <c r="J3" s="1259" t="s">
        <v>148</v>
      </c>
      <c r="K3" s="1259" t="s">
        <v>149</v>
      </c>
      <c r="Q3" s="743" t="s">
        <v>1598</v>
      </c>
      <c r="R3" s="743"/>
    </row>
    <row r="4" spans="1:23" ht="15.75" thickTop="1" x14ac:dyDescent="0.25">
      <c r="A4" s="58" t="s">
        <v>151</v>
      </c>
      <c r="B4" s="64">
        <v>448</v>
      </c>
      <c r="C4" s="65">
        <v>218.17340830567619</v>
      </c>
      <c r="D4" s="66">
        <v>1.81</v>
      </c>
      <c r="E4" s="67">
        <v>22</v>
      </c>
      <c r="F4" s="67"/>
      <c r="G4" s="157" t="str">
        <f t="array" ref="G4:G7">TRANSPOSE(H3:K3)</f>
        <v>Crime</v>
      </c>
      <c r="H4" s="1226">
        <f t="array" ref="H4:K7">[1]!CORR(B4:E18)</f>
        <v>1.0000000000000022</v>
      </c>
      <c r="I4" s="827">
        <v>-0.11780396951337134</v>
      </c>
      <c r="J4" s="827">
        <v>0.28597832302953752</v>
      </c>
      <c r="K4" s="1249">
        <v>-0.17269079507972765</v>
      </c>
      <c r="Q4" t="s">
        <v>292</v>
      </c>
      <c r="R4">
        <f>SQRT(R5)</f>
        <v>0.32139046567490148</v>
      </c>
    </row>
    <row r="5" spans="1:23" x14ac:dyDescent="0.25">
      <c r="A5" s="58" t="s">
        <v>152</v>
      </c>
      <c r="B5" s="64">
        <v>661.2</v>
      </c>
      <c r="C5" s="65">
        <v>228.45028196578826</v>
      </c>
      <c r="D5" s="66">
        <v>1.63</v>
      </c>
      <c r="E5" s="67">
        <v>27.3</v>
      </c>
      <c r="F5" s="67"/>
      <c r="G5" s="157" t="str">
        <v>Doctors</v>
      </c>
      <c r="H5" s="532">
        <v>-0.11780396951337134</v>
      </c>
      <c r="I5" s="7">
        <v>1.0000000000000095</v>
      </c>
      <c r="J5" s="7">
        <v>-0.72225854854921545</v>
      </c>
      <c r="K5" s="533">
        <v>0.75957108629114434</v>
      </c>
      <c r="Q5" t="s">
        <v>285</v>
      </c>
      <c r="R5">
        <f>S12/S14</f>
        <v>0.10329183142673003</v>
      </c>
    </row>
    <row r="6" spans="1:23" x14ac:dyDescent="0.25">
      <c r="A6" s="58" t="s">
        <v>153</v>
      </c>
      <c r="B6" s="64">
        <v>482.7</v>
      </c>
      <c r="C6" s="65">
        <v>209.66657175716827</v>
      </c>
      <c r="D6" s="66">
        <v>1.69</v>
      </c>
      <c r="E6" s="67">
        <v>25.1</v>
      </c>
      <c r="F6" s="67"/>
      <c r="G6" s="157" t="str">
        <v>Traf Deaths</v>
      </c>
      <c r="H6" s="532">
        <v>0.28597832302953752</v>
      </c>
      <c r="I6" s="7">
        <v>-0.72225854854921545</v>
      </c>
      <c r="J6" s="7">
        <v>1.0000000000000018</v>
      </c>
      <c r="K6" s="533">
        <v>-0.83212612958459586</v>
      </c>
      <c r="Q6" t="s">
        <v>293</v>
      </c>
      <c r="R6">
        <f>1-(1-R5)*(R8-1)/(R8-R12-1)</f>
        <v>-0.1412649418205254</v>
      </c>
    </row>
    <row r="7" spans="1:23" x14ac:dyDescent="0.25">
      <c r="A7" s="58" t="s">
        <v>154</v>
      </c>
      <c r="B7" s="64">
        <v>529.4</v>
      </c>
      <c r="C7" s="65">
        <v>203.42285988234826</v>
      </c>
      <c r="D7" s="66">
        <v>1.96</v>
      </c>
      <c r="E7" s="67">
        <v>18.8</v>
      </c>
      <c r="F7" s="67"/>
      <c r="G7" s="157" t="str">
        <v>University</v>
      </c>
      <c r="H7" s="409">
        <v>-0.17269079507972765</v>
      </c>
      <c r="I7" s="762">
        <v>0.75957108629114434</v>
      </c>
      <c r="J7" s="762">
        <v>-0.83212612958459586</v>
      </c>
      <c r="K7" s="417">
        <v>0.99999999999999534</v>
      </c>
      <c r="Q7" t="s">
        <v>11</v>
      </c>
      <c r="R7">
        <f>SQRT(T13)</f>
        <v>170.99492391048855</v>
      </c>
    </row>
    <row r="8" spans="1:23" x14ac:dyDescent="0.25">
      <c r="A8" s="58" t="s">
        <v>155</v>
      </c>
      <c r="B8" s="64">
        <v>522.6</v>
      </c>
      <c r="C8" s="65">
        <v>268.69056049813605</v>
      </c>
      <c r="D8" s="66">
        <v>1.21</v>
      </c>
      <c r="E8" s="67">
        <v>29.6</v>
      </c>
      <c r="F8" s="67"/>
      <c r="Q8" s="762" t="s">
        <v>81</v>
      </c>
      <c r="R8" s="762">
        <f>COUNT(B4:B18)</f>
        <v>15</v>
      </c>
    </row>
    <row r="9" spans="1:23" x14ac:dyDescent="0.25">
      <c r="A9" s="58" t="s">
        <v>156</v>
      </c>
      <c r="B9" s="64">
        <v>347.8</v>
      </c>
      <c r="C9" s="65">
        <v>259.68608874672964</v>
      </c>
      <c r="D9" s="66">
        <v>1.1399999999999999</v>
      </c>
      <c r="E9" s="67">
        <v>35.6</v>
      </c>
      <c r="F9" s="67"/>
      <c r="G9" t="s">
        <v>2683</v>
      </c>
      <c r="M9" t="s">
        <v>2684</v>
      </c>
      <c r="O9" t="s">
        <v>2685</v>
      </c>
    </row>
    <row r="10" spans="1:23" ht="15.75" thickBot="1" x14ac:dyDescent="0.3">
      <c r="A10" s="58" t="s">
        <v>157</v>
      </c>
      <c r="B10" s="64">
        <v>256</v>
      </c>
      <c r="C10" s="65">
        <v>376.3752669155395</v>
      </c>
      <c r="D10" s="66">
        <v>0.86</v>
      </c>
      <c r="E10" s="67">
        <v>35.6</v>
      </c>
      <c r="F10" s="67"/>
      <c r="Q10" t="s">
        <v>294</v>
      </c>
      <c r="U10" s="1256" t="s">
        <v>34</v>
      </c>
      <c r="V10" s="1256">
        <v>0.05</v>
      </c>
    </row>
    <row r="11" spans="1:23" ht="15.75" thickTop="1" x14ac:dyDescent="0.25">
      <c r="A11" s="58" t="s">
        <v>158</v>
      </c>
      <c r="B11" s="64">
        <v>689.2</v>
      </c>
      <c r="C11" s="65">
        <v>250.94175668510928</v>
      </c>
      <c r="D11" s="66">
        <v>1.23</v>
      </c>
      <c r="E11" s="67">
        <v>27.5</v>
      </c>
      <c r="F11" s="67"/>
      <c r="G11">
        <v>1</v>
      </c>
      <c r="H11" s="1226">
        <f t="array" ref="H11:K14">MINVERSE(H4:K7)</f>
        <v>1.1151900195033049</v>
      </c>
      <c r="I11" s="827">
        <v>-0.1549140319894671</v>
      </c>
      <c r="J11" s="827">
        <v>-0.56131011820261068</v>
      </c>
      <c r="K11" s="1249">
        <v>-0.1568295454636279</v>
      </c>
      <c r="M11" s="1193">
        <f t="array" ref="M11:M14">SQRT([1]!DIAG(H11:K14))</f>
        <v>1.0560255771065892</v>
      </c>
      <c r="O11" s="1193">
        <f t="array" ref="O11:O14">SQRT(INDEX(H11:K14,G11:G14,G11:G14))</f>
        <v>1.0560255771065892</v>
      </c>
      <c r="Q11" s="826"/>
      <c r="R11" s="826" t="s">
        <v>60</v>
      </c>
      <c r="S11" s="826" t="s">
        <v>219</v>
      </c>
      <c r="T11" s="826" t="s">
        <v>240</v>
      </c>
      <c r="U11" s="826" t="s">
        <v>135</v>
      </c>
      <c r="V11" s="826" t="s">
        <v>67</v>
      </c>
      <c r="W11" s="826" t="s">
        <v>527</v>
      </c>
    </row>
    <row r="12" spans="1:23" x14ac:dyDescent="0.25">
      <c r="A12" s="58" t="s">
        <v>159</v>
      </c>
      <c r="B12" s="64">
        <v>722.6</v>
      </c>
      <c r="C12" s="65">
        <v>247.86359820579941</v>
      </c>
      <c r="D12" s="66">
        <v>1.56</v>
      </c>
      <c r="E12" s="67">
        <v>25.8</v>
      </c>
      <c r="F12" s="67"/>
      <c r="G12">
        <f>G11+1</f>
        <v>2</v>
      </c>
      <c r="H12" s="532">
        <v>-0.1549140319894671</v>
      </c>
      <c r="I12" s="7">
        <v>2.5429579314242097</v>
      </c>
      <c r="J12" s="7">
        <v>0.81743278339081071</v>
      </c>
      <c r="K12" s="533">
        <v>-1.2781023674792826</v>
      </c>
      <c r="M12" s="503">
        <v>1.5946654606607022</v>
      </c>
      <c r="O12" s="503">
        <v>1.5946654606607022</v>
      </c>
      <c r="Q12" t="s">
        <v>222</v>
      </c>
      <c r="R12">
        <f>COUNT(C4:E4)</f>
        <v>3</v>
      </c>
      <c r="S12">
        <f>DEVSQ(MMULT([1]!DESIGN(C4:E18),R17:R20))</f>
        <v>37048.785298642004</v>
      </c>
      <c r="T12">
        <f>S12/R12</f>
        <v>12349.595099547334</v>
      </c>
      <c r="U12">
        <f>T12/T13</f>
        <v>0.42236340484546042</v>
      </c>
      <c r="V12">
        <f>FDIST(U12,R12,R13)</f>
        <v>0.74072411990851017</v>
      </c>
      <c r="W12" s="1256" t="str">
        <f>IF(V12&lt;V10,"yes","no")</f>
        <v>no</v>
      </c>
    </row>
    <row r="13" spans="1:23" x14ac:dyDescent="0.25">
      <c r="A13" s="58" t="s">
        <v>160</v>
      </c>
      <c r="B13" s="64">
        <v>493.2</v>
      </c>
      <c r="C13" s="65">
        <v>217.44570184044454</v>
      </c>
      <c r="D13" s="66">
        <v>1.46</v>
      </c>
      <c r="E13" s="67">
        <v>27.5</v>
      </c>
      <c r="F13" s="67"/>
      <c r="G13">
        <f>G12+1</f>
        <v>3</v>
      </c>
      <c r="H13" s="532">
        <v>-0.56131011820261079</v>
      </c>
      <c r="I13" s="7">
        <v>0.81743278339081071</v>
      </c>
      <c r="J13" s="7">
        <v>3.7507191541831473</v>
      </c>
      <c r="K13" s="533">
        <v>2.4032400150803861</v>
      </c>
      <c r="M13" s="503">
        <v>1.9366773490138069</v>
      </c>
      <c r="O13" s="503">
        <v>1.9366773490138069</v>
      </c>
      <c r="Q13" t="s">
        <v>295</v>
      </c>
      <c r="R13">
        <f>R14-R12</f>
        <v>11</v>
      </c>
      <c r="S13">
        <f>S14-S12</f>
        <v>321631.90403469146</v>
      </c>
      <c r="T13">
        <f>S13/R13</f>
        <v>29239.26400315377</v>
      </c>
    </row>
    <row r="14" spans="1:23" x14ac:dyDescent="0.25">
      <c r="A14" s="58" t="s">
        <v>161</v>
      </c>
      <c r="B14" s="64">
        <v>272.8</v>
      </c>
      <c r="C14" s="65">
        <v>316.98289278791503</v>
      </c>
      <c r="D14" s="66">
        <v>1.33</v>
      </c>
      <c r="E14" s="67">
        <v>29.1</v>
      </c>
      <c r="F14" s="67"/>
      <c r="G14">
        <f>G13+1</f>
        <v>4</v>
      </c>
      <c r="H14" s="409">
        <v>-0.15682954546362798</v>
      </c>
      <c r="I14" s="762">
        <v>-1.2781023674792831</v>
      </c>
      <c r="J14" s="762">
        <v>2.4032400150803861</v>
      </c>
      <c r="K14" s="417">
        <v>3.9435253969711019</v>
      </c>
      <c r="M14" s="420">
        <v>1.9858311602377232</v>
      </c>
      <c r="O14" s="420">
        <v>1.9858311602377232</v>
      </c>
      <c r="Q14" s="762" t="s">
        <v>1</v>
      </c>
      <c r="R14" s="762">
        <f>R8-1</f>
        <v>14</v>
      </c>
      <c r="S14" s="762">
        <f>DEVSQ(B4:B18)</f>
        <v>358680.68933333346</v>
      </c>
      <c r="T14" s="762"/>
      <c r="U14" s="762"/>
      <c r="V14" s="762"/>
      <c r="W14" s="762"/>
    </row>
    <row r="15" spans="1:23" ht="15.75" thickBot="1" x14ac:dyDescent="0.3">
      <c r="A15" s="58" t="s">
        <v>162</v>
      </c>
      <c r="B15" s="64">
        <v>239.4</v>
      </c>
      <c r="C15" s="65">
        <v>168.83390313104681</v>
      </c>
      <c r="D15" s="66">
        <v>1.6</v>
      </c>
      <c r="E15" s="67">
        <v>24</v>
      </c>
      <c r="F15" s="67"/>
    </row>
    <row r="16" spans="1:23" ht="15.75" thickTop="1" x14ac:dyDescent="0.25">
      <c r="A16" s="58" t="s">
        <v>163</v>
      </c>
      <c r="B16" s="64">
        <v>533.20000000000005</v>
      </c>
      <c r="C16" s="65">
        <v>280.15386787687231</v>
      </c>
      <c r="D16" s="66">
        <v>1.1599999999999999</v>
      </c>
      <c r="E16" s="67">
        <v>29.9</v>
      </c>
      <c r="F16" s="67"/>
      <c r="G16" t="s">
        <v>2686</v>
      </c>
      <c r="Q16" s="826"/>
      <c r="R16" s="826" t="s">
        <v>1592</v>
      </c>
      <c r="S16" s="826" t="s">
        <v>1000</v>
      </c>
      <c r="T16" s="826" t="s">
        <v>61</v>
      </c>
      <c r="U16" s="826" t="s">
        <v>67</v>
      </c>
      <c r="V16" s="826" t="s">
        <v>29</v>
      </c>
      <c r="W16" s="826" t="s">
        <v>30</v>
      </c>
    </row>
    <row r="17" spans="1:23" x14ac:dyDescent="0.25">
      <c r="A17" s="58" t="s">
        <v>164</v>
      </c>
      <c r="B17" s="64">
        <v>333.6</v>
      </c>
      <c r="C17" s="65">
        <v>216.93969975987483</v>
      </c>
      <c r="D17" s="66">
        <v>1.26</v>
      </c>
      <c r="E17" s="67">
        <v>22.9</v>
      </c>
      <c r="F17" s="67"/>
      <c r="M17" s="7"/>
      <c r="Q17" t="s">
        <v>296</v>
      </c>
      <c r="R17">
        <f t="array" ref="R17:R20">[1]!RegCoeff(C4:E18,B4:B18)</f>
        <v>-172.40238631410858</v>
      </c>
      <c r="S17">
        <f t="array" ref="S17:S20">[1]!RegCoeffSE(C4:E18,B4:B18)</f>
        <v>875.71093077723401</v>
      </c>
      <c r="T17">
        <f>R17/S17</f>
        <v>-0.19687134219175897</v>
      </c>
      <c r="U17">
        <f>TDIST(ABS(T17),$R$13,2)</f>
        <v>0.84751853430523649</v>
      </c>
      <c r="V17">
        <f>R17-TINV(V$10,$R$13)*S17</f>
        <v>-2099.8291494848368</v>
      </c>
      <c r="W17">
        <f>R17+TINV(V$10,$R$13)*S17</f>
        <v>1755.0243768566195</v>
      </c>
    </row>
    <row r="18" spans="1:23" x14ac:dyDescent="0.25">
      <c r="A18" s="1260" t="s">
        <v>165</v>
      </c>
      <c r="B18" s="1261">
        <v>294.7</v>
      </c>
      <c r="C18" s="1262">
        <v>189.28322428402873</v>
      </c>
      <c r="D18" s="1263">
        <v>1.42</v>
      </c>
      <c r="E18" s="1264">
        <v>24.3</v>
      </c>
      <c r="F18" s="67"/>
      <c r="H18" s="1259" t="s">
        <v>146</v>
      </c>
      <c r="I18" s="1259" t="s">
        <v>147</v>
      </c>
      <c r="J18" s="1259" t="s">
        <v>148</v>
      </c>
      <c r="K18" s="1259" t="s">
        <v>149</v>
      </c>
      <c r="Q18" t="str">
        <f t="array" ref="Q18:Q20">TRANSPOSE(C3:E3)</f>
        <v>Doctors</v>
      </c>
      <c r="R18">
        <v>0.42188127716614932</v>
      </c>
      <c r="S18">
        <v>1.3768980058323497</v>
      </c>
      <c r="T18">
        <f>R18/S18</f>
        <v>0.30639980258459126</v>
      </c>
      <c r="U18">
        <f>TDIST(ABS(T18),$R$13,2)</f>
        <v>0.76502179260912495</v>
      </c>
      <c r="V18">
        <f>R18-TINV(V$10,$R$13)*S18</f>
        <v>-2.6086508006306222</v>
      </c>
      <c r="W18">
        <f>R18+TINV(V$10,$R$13)*S18</f>
        <v>3.4524133549629212</v>
      </c>
    </row>
    <row r="19" spans="1:23" x14ac:dyDescent="0.25">
      <c r="F19" s="67"/>
      <c r="G19" s="157" t="str">
        <f t="array" ref="G19:G22">TRANSPOSE(H18:K18)</f>
        <v>Crime</v>
      </c>
      <c r="H19" s="1226">
        <f t="array" ref="H19:K22">-H11:K14/MMULT(M11:M14,TRANSPOSE(M11:M14))</f>
        <v>-1.0000000000000002</v>
      </c>
      <c r="I19" s="827">
        <v>9.1991295025738676E-2</v>
      </c>
      <c r="J19" s="827">
        <v>0.27445500859456695</v>
      </c>
      <c r="K19" s="1249">
        <v>7.4784419296570037E-2</v>
      </c>
      <c r="Q19" t="str">
        <v>Traf Deaths</v>
      </c>
      <c r="R19">
        <v>276.59301566076613</v>
      </c>
      <c r="S19">
        <v>292.19187446066275</v>
      </c>
      <c r="T19">
        <f>R19/S19</f>
        <v>0.9466143306391066</v>
      </c>
      <c r="U19">
        <f>TDIST(ABS(T19),$R$13,2)</f>
        <v>0.36416630135989658</v>
      </c>
      <c r="V19">
        <f>R19-TINV(V$10,$R$13)*S19</f>
        <v>-366.51696392651161</v>
      </c>
      <c r="W19">
        <f>R19+TINV(V$10,$R$13)*S19</f>
        <v>919.70299524804386</v>
      </c>
    </row>
    <row r="20" spans="1:23" x14ac:dyDescent="0.25">
      <c r="A20" s="1265" t="s">
        <v>2687</v>
      </c>
      <c r="G20" s="157" t="str">
        <v>Doctors</v>
      </c>
      <c r="H20" s="532">
        <v>9.1991295025738676E-2</v>
      </c>
      <c r="I20" s="7">
        <v>-1</v>
      </c>
      <c r="J20" s="7">
        <v>-0.2646824769843063</v>
      </c>
      <c r="K20" s="533">
        <v>0.40360239104286094</v>
      </c>
      <c r="Q20" s="762" t="str">
        <v>University</v>
      </c>
      <c r="R20" s="762">
        <v>4.8750086383661575</v>
      </c>
      <c r="S20" s="762">
        <v>19.599729210148634</v>
      </c>
      <c r="T20" s="762">
        <f>R20/S20</f>
        <v>0.24872836691243183</v>
      </c>
      <c r="U20" s="762">
        <f>TDIST(ABS(T20),$R$13,2)</f>
        <v>0.80815367872204369</v>
      </c>
      <c r="V20" s="762">
        <f>R20-TINV(V$10,$R$13)*S20</f>
        <v>-38.263704494985589</v>
      </c>
      <c r="W20" s="762">
        <f>R20+TINV(V$10,$R$13)*S20</f>
        <v>48.013721771717911</v>
      </c>
    </row>
    <row r="21" spans="1:23" x14ac:dyDescent="0.25">
      <c r="G21" s="157" t="str">
        <v>Traf Deaths</v>
      </c>
      <c r="H21" s="532">
        <v>0.27445500859456701</v>
      </c>
      <c r="I21" s="7">
        <v>-0.2646824769843063</v>
      </c>
      <c r="J21" s="7">
        <v>-1.0000000000000002</v>
      </c>
      <c r="K21" s="533">
        <v>-0.62488133464072371</v>
      </c>
    </row>
    <row r="22" spans="1:23" x14ac:dyDescent="0.25">
      <c r="B22" s="1193">
        <f t="array" ref="B22">INDEX(-H11:K14/(M11:M12*TRANSPOSE(M11:M14)),1,2)</f>
        <v>9.1991295025738676E-2</v>
      </c>
      <c r="G22" s="157" t="str">
        <v>University</v>
      </c>
      <c r="H22" s="409">
        <v>7.4784419296570079E-2</v>
      </c>
      <c r="I22" s="762">
        <v>0.40360239104286111</v>
      </c>
      <c r="J22" s="762">
        <v>-0.62488133464072371</v>
      </c>
      <c r="K22" s="417">
        <v>-1</v>
      </c>
      <c r="Q22" t="s">
        <v>2688</v>
      </c>
    </row>
    <row r="23" spans="1:23" x14ac:dyDescent="0.25">
      <c r="B23" s="420">
        <f t="array" ref="B23">[1]!PCorrel(B4:E18,1,2)</f>
        <v>9.1991295025738676E-2</v>
      </c>
    </row>
    <row r="24" spans="1:23" x14ac:dyDescent="0.25">
      <c r="G24" t="s">
        <v>2689</v>
      </c>
      <c r="Q24" s="16" t="s">
        <v>2690</v>
      </c>
      <c r="S24" s="1193">
        <f>[1]!RSquare(C4:E18,B4:B18)</f>
        <v>0.10329183142673019</v>
      </c>
    </row>
    <row r="25" spans="1:23" x14ac:dyDescent="0.25">
      <c r="Q25" s="16" t="s">
        <v>2691</v>
      </c>
      <c r="S25" s="503">
        <f>[1]!RSquare(B4:E18,1)</f>
        <v>0.10329183142672999</v>
      </c>
    </row>
    <row r="26" spans="1:23" x14ac:dyDescent="0.25">
      <c r="H26" s="1259" t="s">
        <v>146</v>
      </c>
      <c r="I26" s="1259" t="s">
        <v>147</v>
      </c>
      <c r="J26" s="1259" t="s">
        <v>148</v>
      </c>
      <c r="K26" s="1259" t="s">
        <v>149</v>
      </c>
      <c r="Q26" s="16" t="s">
        <v>2692</v>
      </c>
      <c r="S26" s="420">
        <f>1-1/H11</f>
        <v>0.10329183142672804</v>
      </c>
    </row>
    <row r="27" spans="1:23" x14ac:dyDescent="0.25">
      <c r="G27" s="157" t="s">
        <v>146</v>
      </c>
      <c r="H27" s="1226">
        <f t="array" ref="H27:K30">-H11:K14/(M11:M14*TRANSPOSE(M11:M14))</f>
        <v>-1.0000000000000002</v>
      </c>
      <c r="I27" s="827">
        <v>9.1991295025738676E-2</v>
      </c>
      <c r="J27" s="827">
        <v>0.27445500859456695</v>
      </c>
      <c r="K27" s="1249">
        <v>7.4784419296570037E-2</v>
      </c>
    </row>
    <row r="28" spans="1:23" x14ac:dyDescent="0.25">
      <c r="G28" s="157" t="s">
        <v>147</v>
      </c>
      <c r="H28" s="532">
        <v>9.1991295025738676E-2</v>
      </c>
      <c r="I28" s="7">
        <v>-1</v>
      </c>
      <c r="J28" s="7">
        <v>-0.2646824769843063</v>
      </c>
      <c r="K28" s="533">
        <v>0.40360239104286094</v>
      </c>
    </row>
    <row r="29" spans="1:23" x14ac:dyDescent="0.25">
      <c r="G29" s="157" t="s">
        <v>148</v>
      </c>
      <c r="H29" s="532">
        <v>0.27445500859456701</v>
      </c>
      <c r="I29" s="7">
        <v>-0.2646824769843063</v>
      </c>
      <c r="J29" s="7">
        <v>-1.0000000000000002</v>
      </c>
      <c r="K29" s="533">
        <v>-0.62488133464072371</v>
      </c>
    </row>
    <row r="30" spans="1:23" x14ac:dyDescent="0.25">
      <c r="G30" s="157" t="s">
        <v>149</v>
      </c>
      <c r="H30" s="409">
        <v>7.4784419296570079E-2</v>
      </c>
      <c r="I30" s="762">
        <v>0.40360239104286111</v>
      </c>
      <c r="J30" s="762">
        <v>-0.62488133464072371</v>
      </c>
      <c r="K30" s="417">
        <v>-1</v>
      </c>
    </row>
    <row r="32" spans="1:23" x14ac:dyDescent="0.25">
      <c r="G32" s="1266" t="s">
        <v>2693</v>
      </c>
    </row>
    <row r="34" spans="7:11" x14ac:dyDescent="0.25">
      <c r="H34" s="1259" t="s">
        <v>146</v>
      </c>
      <c r="I34" s="1259" t="s">
        <v>147</v>
      </c>
      <c r="J34" s="1259" t="s">
        <v>148</v>
      </c>
      <c r="K34" s="1259" t="s">
        <v>149</v>
      </c>
    </row>
    <row r="35" spans="7:11" x14ac:dyDescent="0.25">
      <c r="G35" s="157" t="s">
        <v>146</v>
      </c>
      <c r="H35" s="1226">
        <f t="array" ref="H35:K38">[1]!PCorr(B4:E18)</f>
        <v>1</v>
      </c>
      <c r="I35" s="827">
        <v>9.1991295025738676E-2</v>
      </c>
      <c r="J35" s="827">
        <v>0.2744550085945669</v>
      </c>
      <c r="K35" s="1249">
        <v>7.4784419296570037E-2</v>
      </c>
    </row>
    <row r="36" spans="7:11" x14ac:dyDescent="0.25">
      <c r="G36" s="157" t="s">
        <v>147</v>
      </c>
      <c r="H36" s="532">
        <v>9.1991295025738676E-2</v>
      </c>
      <c r="I36" s="7">
        <v>1</v>
      </c>
      <c r="J36" s="7">
        <v>-0.2646824769843063</v>
      </c>
      <c r="K36" s="533">
        <v>0.40360239104286094</v>
      </c>
    </row>
    <row r="37" spans="7:11" x14ac:dyDescent="0.25">
      <c r="G37" s="157" t="s">
        <v>148</v>
      </c>
      <c r="H37" s="532">
        <v>0.27445500859456695</v>
      </c>
      <c r="I37" s="7">
        <v>-0.2646824769843063</v>
      </c>
      <c r="J37" s="7">
        <v>1</v>
      </c>
      <c r="K37" s="533">
        <v>-0.6248813346407236</v>
      </c>
    </row>
    <row r="38" spans="7:11" x14ac:dyDescent="0.25">
      <c r="G38" s="157" t="s">
        <v>149</v>
      </c>
      <c r="H38" s="409">
        <v>7.4784419296570079E-2</v>
      </c>
      <c r="I38" s="762">
        <v>0.40360239104286111</v>
      </c>
      <c r="J38" s="762">
        <v>-0.6248813346407236</v>
      </c>
      <c r="K38" s="417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0"/>
  <dimension ref="A1:P21"/>
  <sheetViews>
    <sheetView workbookViewId="0"/>
  </sheetViews>
  <sheetFormatPr defaultRowHeight="15" x14ac:dyDescent="0.25"/>
  <cols>
    <col min="5" max="5" width="16.85546875" customWidth="1"/>
    <col min="14" max="14" width="9.140625" customWidth="1"/>
    <col min="15" max="15" width="3.28515625" customWidth="1"/>
    <col min="16" max="16" width="29.85546875" customWidth="1"/>
  </cols>
  <sheetData>
    <row r="1" spans="1:16" s="1" customFormat="1" x14ac:dyDescent="0.25">
      <c r="A1" s="1" t="s">
        <v>2271</v>
      </c>
    </row>
    <row r="3" spans="1:16" x14ac:dyDescent="0.25">
      <c r="A3" s="131" t="s">
        <v>382</v>
      </c>
      <c r="B3" s="131" t="s">
        <v>383</v>
      </c>
      <c r="C3" s="131" t="s">
        <v>376</v>
      </c>
      <c r="E3" t="s">
        <v>1593</v>
      </c>
      <c r="M3" t="s">
        <v>31</v>
      </c>
      <c r="N3" s="868">
        <f>COUNT(A4:A14)</f>
        <v>11</v>
      </c>
      <c r="P3" t="str">
        <f>[1]!FTEXT(N3)</f>
        <v>=COUNT(A4:A14)</v>
      </c>
    </row>
    <row r="4" spans="1:16" x14ac:dyDescent="0.25">
      <c r="A4" s="1027">
        <v>7</v>
      </c>
      <c r="B4" s="1027">
        <v>5</v>
      </c>
      <c r="C4" s="1027">
        <v>65</v>
      </c>
      <c r="M4" t="s">
        <v>56</v>
      </c>
      <c r="N4" s="503">
        <f>COUNTA(A3:B3)</f>
        <v>2</v>
      </c>
      <c r="P4" t="str">
        <f>[1]!FTEXT(N4)</f>
        <v>=COUNTA(A3:B3)</v>
      </c>
    </row>
    <row r="5" spans="1:16" ht="15.75" thickBot="1" x14ac:dyDescent="0.3">
      <c r="A5" s="1027">
        <v>3</v>
      </c>
      <c r="B5" s="1027">
        <v>7</v>
      </c>
      <c r="C5" s="1027">
        <v>38</v>
      </c>
      <c r="E5" s="743" t="s">
        <v>1598</v>
      </c>
      <c r="F5" s="743"/>
      <c r="M5" t="s">
        <v>2246</v>
      </c>
      <c r="N5" s="503">
        <f>N3-N4-1</f>
        <v>8</v>
      </c>
      <c r="P5" t="str">
        <f>[1]!FTEXT(N5)</f>
        <v>=N3-N4-1</v>
      </c>
    </row>
    <row r="6" spans="1:16" ht="15.75" thickTop="1" x14ac:dyDescent="0.25">
      <c r="A6" s="1027">
        <v>5</v>
      </c>
      <c r="B6" s="1027">
        <v>8</v>
      </c>
      <c r="C6" s="1027">
        <v>51</v>
      </c>
      <c r="E6" t="s">
        <v>292</v>
      </c>
      <c r="F6">
        <f>SQRT(F7)</f>
        <v>0.92233072739359656</v>
      </c>
      <c r="M6" t="s">
        <v>711</v>
      </c>
      <c r="N6" s="420">
        <f>N4</f>
        <v>2</v>
      </c>
      <c r="P6" t="str">
        <f>[1]!FTEXT(N6)</f>
        <v>=N4</v>
      </c>
    </row>
    <row r="7" spans="1:16" x14ac:dyDescent="0.25">
      <c r="A7" s="1027">
        <v>8</v>
      </c>
      <c r="B7" s="1027">
        <v>1</v>
      </c>
      <c r="C7" s="1027">
        <v>38</v>
      </c>
      <c r="E7" t="s">
        <v>285</v>
      </c>
      <c r="F7">
        <f>G14/G16</f>
        <v>0.85069397069440089</v>
      </c>
    </row>
    <row r="8" spans="1:16" x14ac:dyDescent="0.25">
      <c r="A8" s="1027">
        <v>9</v>
      </c>
      <c r="B8" s="1027">
        <v>3</v>
      </c>
      <c r="C8" s="1027">
        <v>55</v>
      </c>
      <c r="E8" t="s">
        <v>293</v>
      </c>
      <c r="F8">
        <f>1-(1-F7)*(F10-1)/(F10-F14-1)</f>
        <v>0.81336746336800114</v>
      </c>
      <c r="M8" t="s">
        <v>2268</v>
      </c>
      <c r="N8" s="868">
        <f>F7</f>
        <v>0.85069397069440089</v>
      </c>
      <c r="P8" t="str">
        <f>[1]!FTEXT(N8)</f>
        <v>=F7</v>
      </c>
    </row>
    <row r="9" spans="1:16" x14ac:dyDescent="0.25">
      <c r="A9" s="1027">
        <v>5</v>
      </c>
      <c r="B9" s="1027">
        <v>4</v>
      </c>
      <c r="C9" s="1027">
        <v>43</v>
      </c>
      <c r="E9" t="s">
        <v>11</v>
      </c>
      <c r="F9">
        <f>SQRT(H15)</f>
        <v>5.8880844651320743</v>
      </c>
      <c r="M9" t="s">
        <v>2269</v>
      </c>
      <c r="N9" s="503">
        <f>N8/(1-N8)</f>
        <v>5.6976531667934402</v>
      </c>
      <c r="P9" t="str">
        <f>[1]!FTEXT(N9)</f>
        <v>=N8/(1-N8)</v>
      </c>
    </row>
    <row r="10" spans="1:16" x14ac:dyDescent="0.25">
      <c r="A10" s="1027">
        <v>4</v>
      </c>
      <c r="B10" s="1027">
        <v>0</v>
      </c>
      <c r="C10" s="1027">
        <v>25</v>
      </c>
      <c r="E10" s="762" t="s">
        <v>81</v>
      </c>
      <c r="F10" s="762">
        <f>COUNT(C4:C14)</f>
        <v>11</v>
      </c>
      <c r="M10" s="30" t="s">
        <v>981</v>
      </c>
      <c r="N10" s="420">
        <f>N9*N3</f>
        <v>62.674184834727839</v>
      </c>
      <c r="P10" t="str">
        <f>[1]!FTEXT(N10)</f>
        <v>=N9*N3</v>
      </c>
    </row>
    <row r="11" spans="1:16" x14ac:dyDescent="0.25">
      <c r="A11" s="1027">
        <v>2</v>
      </c>
      <c r="B11" s="1027">
        <v>6</v>
      </c>
      <c r="C11" s="1027">
        <v>33</v>
      </c>
    </row>
    <row r="12" spans="1:16" ht="15.75" thickBot="1" x14ac:dyDescent="0.3">
      <c r="A12" s="1027">
        <v>8</v>
      </c>
      <c r="B12" s="1027">
        <v>7</v>
      </c>
      <c r="C12" s="1027">
        <v>71</v>
      </c>
      <c r="E12" t="s">
        <v>294</v>
      </c>
      <c r="I12" s="1027" t="s">
        <v>34</v>
      </c>
      <c r="J12" s="1027">
        <v>0.05</v>
      </c>
      <c r="M12" s="30" t="s">
        <v>48</v>
      </c>
      <c r="N12" s="868">
        <v>0.05</v>
      </c>
    </row>
    <row r="13" spans="1:16" ht="15.75" thickTop="1" x14ac:dyDescent="0.25">
      <c r="A13" s="1027">
        <v>6</v>
      </c>
      <c r="B13" s="1027">
        <v>4</v>
      </c>
      <c r="C13" s="1027">
        <v>51</v>
      </c>
      <c r="E13" s="826"/>
      <c r="F13" s="826" t="s">
        <v>60</v>
      </c>
      <c r="G13" s="826" t="s">
        <v>219</v>
      </c>
      <c r="H13" s="826" t="s">
        <v>240</v>
      </c>
      <c r="I13" s="826" t="s">
        <v>135</v>
      </c>
      <c r="J13" s="826" t="s">
        <v>67</v>
      </c>
      <c r="K13" s="826" t="s">
        <v>527</v>
      </c>
      <c r="M13" s="30" t="s">
        <v>246</v>
      </c>
      <c r="N13" s="503">
        <f>FINV(N12,N6,N5)</f>
        <v>4.4589701075245118</v>
      </c>
      <c r="P13" t="str">
        <f>[1]!FTEXT(N13)</f>
        <v>=FINV(N12,N6,N5)</v>
      </c>
    </row>
    <row r="14" spans="1:16" x14ac:dyDescent="0.25">
      <c r="A14" s="1028">
        <v>9</v>
      </c>
      <c r="B14" s="1028">
        <v>2</v>
      </c>
      <c r="C14" s="1028">
        <v>49</v>
      </c>
      <c r="E14" t="s">
        <v>222</v>
      </c>
      <c r="F14">
        <f>COUNT(A4:B4)</f>
        <v>2</v>
      </c>
      <c r="G14">
        <f>DEVSQ(MMULT([1]!DESIGN(A4:B14),F19:F21))</f>
        <v>1580.2800542881259</v>
      </c>
      <c r="H14">
        <f>G14/F14</f>
        <v>790.14002714406297</v>
      </c>
      <c r="I14">
        <f>H14/H15</f>
        <v>22.790612667173765</v>
      </c>
      <c r="J14">
        <f>FDIST(I14,F14,F15)</f>
        <v>4.9694621069852922E-4</v>
      </c>
      <c r="K14" s="1027" t="str">
        <f>IF(J14&lt;J12,"yes","no")</f>
        <v>yes</v>
      </c>
      <c r="M14" s="372" t="s">
        <v>1230</v>
      </c>
      <c r="N14" s="503">
        <f>[1]!NF_DIST(N13,N6,N5,N10,TRUE)</f>
        <v>3.3927163956342212E-5</v>
      </c>
      <c r="P14" t="str">
        <f>[1]!FTEXT(N14)</f>
        <v>=NF_DIST(N13,N6,N5,N10,TRUE)</v>
      </c>
    </row>
    <row r="15" spans="1:16" x14ac:dyDescent="0.25">
      <c r="E15" t="s">
        <v>295</v>
      </c>
      <c r="F15">
        <f>F16-F14</f>
        <v>8</v>
      </c>
      <c r="G15">
        <f>G16-G14</f>
        <v>277.35630934823735</v>
      </c>
      <c r="H15">
        <f>G15/F15</f>
        <v>34.669538668529668</v>
      </c>
      <c r="M15" s="372" t="s">
        <v>2089</v>
      </c>
      <c r="N15" s="420">
        <f>1-N14</f>
        <v>0.99996607283604366</v>
      </c>
      <c r="P15" t="str">
        <f>[1]!FTEXT(N15)</f>
        <v>=1-N14</v>
      </c>
    </row>
    <row r="16" spans="1:16" x14ac:dyDescent="0.25">
      <c r="E16" s="762" t="s">
        <v>1</v>
      </c>
      <c r="F16" s="762">
        <f>F10-1</f>
        <v>10</v>
      </c>
      <c r="G16" s="762">
        <f>DEVSQ(C4:C14)</f>
        <v>1857.6363636363633</v>
      </c>
      <c r="H16" s="762"/>
      <c r="I16" s="762"/>
      <c r="J16" s="762"/>
      <c r="K16" s="762"/>
    </row>
    <row r="17" spans="5:16" ht="15.75" thickBot="1" x14ac:dyDescent="0.3">
      <c r="M17" t="s">
        <v>1980</v>
      </c>
      <c r="N17" s="868">
        <f>G15</f>
        <v>277.35630934823735</v>
      </c>
      <c r="P17" t="str">
        <f>[1]!FTEXT(N17)</f>
        <v>=G15</v>
      </c>
    </row>
    <row r="18" spans="5:16" ht="15.75" thickTop="1" x14ac:dyDescent="0.25">
      <c r="E18" s="826"/>
      <c r="F18" s="826" t="s">
        <v>1592</v>
      </c>
      <c r="G18" s="826" t="s">
        <v>1000</v>
      </c>
      <c r="H18" s="826" t="s">
        <v>61</v>
      </c>
      <c r="I18" s="826" t="s">
        <v>67</v>
      </c>
      <c r="J18" s="826" t="s">
        <v>29</v>
      </c>
      <c r="K18" s="826" t="s">
        <v>30</v>
      </c>
      <c r="M18" s="371" t="s">
        <v>710</v>
      </c>
      <c r="N18" s="503">
        <f>G14</f>
        <v>1580.2800542881259</v>
      </c>
      <c r="P18" t="str">
        <f>[1]!FTEXT(N18)</f>
        <v>=G14</v>
      </c>
    </row>
    <row r="19" spans="5:16" x14ac:dyDescent="0.25">
      <c r="E19" t="s">
        <v>296</v>
      </c>
      <c r="F19">
        <f t="array" ref="F19:G21">[1]!RegCoeff(A4:B14,C4:C14)</f>
        <v>1.7514036585681438</v>
      </c>
      <c r="G19">
        <v>6.9602026710152867</v>
      </c>
      <c r="H19">
        <f>F19/G19</f>
        <v>0.25163112934363246</v>
      </c>
      <c r="I19">
        <f>TDIST(ABS(H19),$F$15,2)</f>
        <v>0.80766962414536592</v>
      </c>
      <c r="J19">
        <f>F19-TINV(J$12,$F$15)*G19</f>
        <v>-14.298852482652197</v>
      </c>
      <c r="K19">
        <f>F19+TINV(J$12,$F$15)*G19</f>
        <v>17.801659799788485</v>
      </c>
      <c r="M19" t="s">
        <v>2269</v>
      </c>
      <c r="N19" s="420">
        <f>N18/N17</f>
        <v>5.6976531667934411</v>
      </c>
      <c r="P19" t="str">
        <f>[1]!FTEXT(N19)</f>
        <v>=N18/N17</v>
      </c>
    </row>
    <row r="20" spans="5:16" x14ac:dyDescent="0.25">
      <c r="E20" t="str">
        <f t="array" ref="E20:E21">TRANSPOSE(A3:B3)</f>
        <v>Color</v>
      </c>
      <c r="F20">
        <v>4.8952883645113721</v>
      </c>
      <c r="G20">
        <v>0.82022977846272815</v>
      </c>
      <c r="H20">
        <f>F20/G20</f>
        <v>5.9681914666474372</v>
      </c>
      <c r="I20">
        <f>TDIST(ABS(H20),$F$15,2)</f>
        <v>3.3508360543825895E-4</v>
      </c>
      <c r="J20">
        <f>F20-TINV(J$12,$F$15)*G20</f>
        <v>3.003835103558723</v>
      </c>
      <c r="K20">
        <f>F20+TINV(J$12,$F$15)*G20</f>
        <v>6.7867416254640212</v>
      </c>
    </row>
    <row r="21" spans="5:16" x14ac:dyDescent="0.25">
      <c r="E21" s="762" t="str">
        <v>Quality</v>
      </c>
      <c r="F21" s="762">
        <v>3.7584154829361673</v>
      </c>
      <c r="G21" s="762">
        <v>0.75651098735033695</v>
      </c>
      <c r="H21" s="762">
        <f>F21/G21</f>
        <v>4.9680910730720971</v>
      </c>
      <c r="I21" s="762">
        <f>TDIST(ABS(H21),$F$15,2)</f>
        <v>1.0957202090976618E-3</v>
      </c>
      <c r="J21" s="762">
        <f>F21-TINV(J$12,$F$15)*G21</f>
        <v>2.013898017778903</v>
      </c>
      <c r="K21" s="762">
        <f>F21+TINV(J$12,$F$15)*G21</f>
        <v>5.5029329480934317</v>
      </c>
    </row>
  </sheetData>
  <pageMargins left="0.7" right="0.7" top="0.75" bottom="0.75" header="0.3" footer="0.3"/>
  <pageSetup paperSize="9"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1"/>
  <dimension ref="A1:W58"/>
  <sheetViews>
    <sheetView workbookViewId="0"/>
  </sheetViews>
  <sheetFormatPr defaultRowHeight="15" x14ac:dyDescent="0.25"/>
  <cols>
    <col min="1" max="1" width="13.140625" customWidth="1"/>
    <col min="2" max="2" width="8.7109375" customWidth="1"/>
    <col min="3" max="5" width="10.28515625" customWidth="1"/>
    <col min="6" max="6" width="5" customWidth="1"/>
    <col min="7" max="7" width="17.7109375" customWidth="1"/>
    <col min="10" max="12" width="9.28515625" bestFit="1" customWidth="1"/>
    <col min="13" max="13" width="9.28515625" customWidth="1"/>
    <col min="14" max="14" width="6.5703125" customWidth="1"/>
    <col min="17" max="17" width="3" customWidth="1"/>
    <col min="18" max="18" width="28.28515625" customWidth="1"/>
    <col min="20" max="20" width="11.42578125" customWidth="1"/>
    <col min="22" max="22" width="3.140625" customWidth="1"/>
    <col min="25" max="25" width="10.5703125" customWidth="1"/>
  </cols>
  <sheetData>
    <row r="1" spans="1:23" x14ac:dyDescent="0.25">
      <c r="A1" s="1" t="s">
        <v>2270</v>
      </c>
      <c r="T1" s="833" t="s">
        <v>2292</v>
      </c>
      <c r="V1" s="1043"/>
      <c r="W1" s="1043"/>
    </row>
    <row r="3" spans="1:23" x14ac:dyDescent="0.25">
      <c r="A3" s="59"/>
      <c r="B3" s="60" t="s">
        <v>143</v>
      </c>
      <c r="C3" s="60" t="s">
        <v>144</v>
      </c>
      <c r="D3" s="60" t="s">
        <v>145</v>
      </c>
      <c r="E3" s="60" t="s">
        <v>146</v>
      </c>
      <c r="G3" t="s">
        <v>1593</v>
      </c>
      <c r="O3" t="s">
        <v>31</v>
      </c>
      <c r="P3" s="868">
        <f>COUNT(B4:B53)</f>
        <v>50</v>
      </c>
      <c r="R3" t="str">
        <f>[1]!FTEXT(P3)</f>
        <v>=COUNT(B4:B53)</v>
      </c>
      <c r="T3" s="30" t="s">
        <v>135</v>
      </c>
      <c r="U3" s="1041">
        <f>K14</f>
        <v>7.7869053231701413</v>
      </c>
      <c r="W3" t="str">
        <f>[1]!FTEXT(U3)</f>
        <v>=K14</v>
      </c>
    </row>
    <row r="4" spans="1:23" x14ac:dyDescent="0.25">
      <c r="A4" s="58" t="s">
        <v>151</v>
      </c>
      <c r="B4" s="61">
        <v>15.7</v>
      </c>
      <c r="C4" s="62">
        <v>9</v>
      </c>
      <c r="D4" s="63">
        <v>71.027177760140717</v>
      </c>
      <c r="E4" s="64">
        <v>448</v>
      </c>
      <c r="O4" t="s">
        <v>56</v>
      </c>
      <c r="P4" s="503">
        <f>COUNTA(C3:E3)</f>
        <v>3</v>
      </c>
      <c r="R4" t="str">
        <f>[1]!FTEXT(P4)</f>
        <v>=COUNTA(C3:E3)</v>
      </c>
      <c r="T4" s="371" t="s">
        <v>711</v>
      </c>
      <c r="U4" s="503">
        <f>H14</f>
        <v>3</v>
      </c>
      <c r="W4" t="str">
        <f>[1]!FTEXT(U4)</f>
        <v>=H14</v>
      </c>
    </row>
    <row r="5" spans="1:23" ht="15.75" thickBot="1" x14ac:dyDescent="0.3">
      <c r="A5" s="58" t="s">
        <v>152</v>
      </c>
      <c r="B5" s="61">
        <v>8.4</v>
      </c>
      <c r="C5" s="62">
        <v>6.9</v>
      </c>
      <c r="D5" s="63">
        <v>70.62318863808899</v>
      </c>
      <c r="E5" s="64">
        <v>661.2</v>
      </c>
      <c r="G5" s="743" t="s">
        <v>1598</v>
      </c>
      <c r="H5" s="743"/>
      <c r="O5" t="s">
        <v>2246</v>
      </c>
      <c r="P5" s="503">
        <f>P3-P4-1</f>
        <v>46</v>
      </c>
      <c r="R5" t="str">
        <f>[1]!FTEXT(P5)</f>
        <v>=P3-P4-1</v>
      </c>
      <c r="T5" s="372" t="s">
        <v>2246</v>
      </c>
      <c r="U5" s="503">
        <f>H15</f>
        <v>46</v>
      </c>
      <c r="W5" t="str">
        <f>[1]!FTEXT(U5)</f>
        <v>=H15</v>
      </c>
    </row>
    <row r="6" spans="1:23" ht="15.75" thickTop="1" x14ac:dyDescent="0.25">
      <c r="A6" s="58" t="s">
        <v>153</v>
      </c>
      <c r="B6" s="61">
        <v>14.7</v>
      </c>
      <c r="C6" s="62">
        <v>6.4</v>
      </c>
      <c r="D6" s="63">
        <v>86.505696765320337</v>
      </c>
      <c r="E6" s="64">
        <v>482.7</v>
      </c>
      <c r="G6" t="s">
        <v>292</v>
      </c>
      <c r="H6">
        <f>SQRT(H7)</f>
        <v>0.58034505841999051</v>
      </c>
      <c r="O6" t="s">
        <v>711</v>
      </c>
      <c r="P6" s="420">
        <f>P4</f>
        <v>3</v>
      </c>
      <c r="R6" t="str">
        <f>[1]!FTEXT(P6)</f>
        <v>=P4</v>
      </c>
      <c r="T6" s="372" t="s">
        <v>710</v>
      </c>
      <c r="U6" s="503">
        <f>I14</f>
        <v>142.55035956639236</v>
      </c>
      <c r="W6" t="str">
        <f>[1]!FTEXT(U6)</f>
        <v>=I14</v>
      </c>
    </row>
    <row r="7" spans="1:23" x14ac:dyDescent="0.25">
      <c r="A7" s="58" t="s">
        <v>154</v>
      </c>
      <c r="B7" s="61">
        <v>17.3</v>
      </c>
      <c r="C7" s="62">
        <v>8.5</v>
      </c>
      <c r="D7" s="63">
        <v>80.783955956979611</v>
      </c>
      <c r="E7" s="64">
        <v>529.4</v>
      </c>
      <c r="G7" t="s">
        <v>285</v>
      </c>
      <c r="H7">
        <f>I14/I16</f>
        <v>0.33680038683250224</v>
      </c>
      <c r="T7" s="372" t="s">
        <v>1980</v>
      </c>
      <c r="U7" s="503">
        <f>I15</f>
        <v>280.69844043360763</v>
      </c>
      <c r="W7" t="str">
        <f>[1]!FTEXT(U7)</f>
        <v>=I15</v>
      </c>
    </row>
    <row r="8" spans="1:23" x14ac:dyDescent="0.25">
      <c r="A8" s="58" t="s">
        <v>155</v>
      </c>
      <c r="B8" s="61">
        <v>13.3</v>
      </c>
      <c r="C8" s="62">
        <v>5</v>
      </c>
      <c r="D8" s="63">
        <v>76.640052174481781</v>
      </c>
      <c r="E8" s="64">
        <v>522.6</v>
      </c>
      <c r="G8" t="s">
        <v>293</v>
      </c>
      <c r="H8">
        <f>1-(1-H7)*(H10-1)/(H10-H14-1)</f>
        <v>0.2935482381476654</v>
      </c>
      <c r="O8" t="s">
        <v>2268</v>
      </c>
      <c r="P8" s="868">
        <f>H7</f>
        <v>0.33680038683250224</v>
      </c>
      <c r="R8" t="str">
        <f>[1]!FTEXT(P8)</f>
        <v>=H7</v>
      </c>
      <c r="T8" s="372" t="s">
        <v>56</v>
      </c>
      <c r="U8" s="503">
        <f>U4</f>
        <v>3</v>
      </c>
      <c r="W8" t="str">
        <f>[1]!FTEXT(U8)</f>
        <v>=U4</v>
      </c>
    </row>
    <row r="9" spans="1:23" x14ac:dyDescent="0.25">
      <c r="A9" s="58" t="s">
        <v>156</v>
      </c>
      <c r="B9" s="61">
        <v>11.4</v>
      </c>
      <c r="C9" s="62">
        <v>5.7</v>
      </c>
      <c r="D9" s="63">
        <v>89.734092175332663</v>
      </c>
      <c r="E9" s="64">
        <v>347.8</v>
      </c>
      <c r="G9" t="s">
        <v>11</v>
      </c>
      <c r="H9">
        <f>SQRT(J15)</f>
        <v>2.4702510013005265</v>
      </c>
      <c r="O9" t="s">
        <v>2269</v>
      </c>
      <c r="P9" s="503">
        <f>P8/(1-P8)</f>
        <v>0.50784165151109628</v>
      </c>
      <c r="R9" t="str">
        <f>[1]!FTEXT(P9)</f>
        <v>=P8/(1-P8)</v>
      </c>
      <c r="T9" t="s">
        <v>31</v>
      </c>
      <c r="U9" s="503">
        <f>U4+U5+1</f>
        <v>50</v>
      </c>
      <c r="W9" t="str">
        <f>[1]!FTEXT(U9)</f>
        <v>=U4+U5+1</v>
      </c>
    </row>
    <row r="10" spans="1:23" x14ac:dyDescent="0.25">
      <c r="A10" s="58" t="s">
        <v>157</v>
      </c>
      <c r="B10" s="61">
        <v>9.3000000000000007</v>
      </c>
      <c r="C10" s="62">
        <v>6.2</v>
      </c>
      <c r="D10" s="63">
        <v>84.278652322083644</v>
      </c>
      <c r="E10" s="64">
        <v>256</v>
      </c>
      <c r="G10" s="762" t="s">
        <v>81</v>
      </c>
      <c r="H10" s="762">
        <f>COUNT(B4:B53)</f>
        <v>50</v>
      </c>
      <c r="O10" s="30" t="s">
        <v>981</v>
      </c>
      <c r="P10" s="420">
        <f>P9*P3</f>
        <v>25.392082575554813</v>
      </c>
      <c r="R10" t="str">
        <f>[1]!FTEXT(P10)</f>
        <v>=P9*P3</v>
      </c>
      <c r="T10" t="s">
        <v>106</v>
      </c>
      <c r="U10" s="1041">
        <v>0.05</v>
      </c>
    </row>
    <row r="11" spans="1:23" x14ac:dyDescent="0.25">
      <c r="A11" s="58" t="s">
        <v>158</v>
      </c>
      <c r="B11" s="70">
        <v>10</v>
      </c>
      <c r="C11" s="62">
        <v>8.3000000000000007</v>
      </c>
      <c r="D11" s="63">
        <v>74.266056727126113</v>
      </c>
      <c r="E11" s="64">
        <v>689.2</v>
      </c>
      <c r="T11" s="974" t="s">
        <v>981</v>
      </c>
      <c r="U11" s="503">
        <f>U14*U9/(1-U14)</f>
        <v>25.392082575554813</v>
      </c>
      <c r="W11" t="str">
        <f>[1]!FTEXT(U11)</f>
        <v>=U14*U9/(1-U14)</v>
      </c>
    </row>
    <row r="12" spans="1:23" ht="15.75" thickBot="1" x14ac:dyDescent="0.3">
      <c r="A12" s="58" t="s">
        <v>159</v>
      </c>
      <c r="B12" s="61">
        <v>13.2</v>
      </c>
      <c r="C12" s="62">
        <v>7.3</v>
      </c>
      <c r="D12" s="63">
        <v>79.811068541941054</v>
      </c>
      <c r="E12" s="64">
        <v>722.6</v>
      </c>
      <c r="G12" t="s">
        <v>294</v>
      </c>
      <c r="K12" s="1027" t="s">
        <v>34</v>
      </c>
      <c r="L12" s="1027">
        <v>0.05</v>
      </c>
      <c r="O12" s="30" t="s">
        <v>48</v>
      </c>
      <c r="P12" s="868">
        <v>0.05</v>
      </c>
      <c r="T12" s="974" t="s">
        <v>2293</v>
      </c>
      <c r="U12" s="503">
        <f>[1]!NF_NCP(1-U10/2,U4,U5,U3)</f>
        <v>5.3045349826425081</v>
      </c>
      <c r="W12" t="str">
        <f>[1]!FTEXT(U12)</f>
        <v>=NF_NCP(1-U10/2,U4,U5,U3)</v>
      </c>
    </row>
    <row r="13" spans="1:23" ht="15.75" thickTop="1" x14ac:dyDescent="0.25">
      <c r="A13" s="58" t="s">
        <v>160</v>
      </c>
      <c r="B13" s="61">
        <v>14.7</v>
      </c>
      <c r="C13" s="62">
        <v>8.1</v>
      </c>
      <c r="D13" s="63">
        <v>65.387718279566343</v>
      </c>
      <c r="E13" s="64">
        <v>493.2</v>
      </c>
      <c r="G13" s="826"/>
      <c r="H13" s="826" t="s">
        <v>60</v>
      </c>
      <c r="I13" s="826" t="s">
        <v>219</v>
      </c>
      <c r="J13" s="826" t="s">
        <v>240</v>
      </c>
      <c r="K13" s="826" t="s">
        <v>135</v>
      </c>
      <c r="L13" s="826" t="s">
        <v>67</v>
      </c>
      <c r="M13" s="826" t="s">
        <v>527</v>
      </c>
      <c r="O13" s="30" t="s">
        <v>246</v>
      </c>
      <c r="P13" s="503">
        <f>FINV(P12,P6,P5)</f>
        <v>2.8068449288062536</v>
      </c>
      <c r="R13" t="str">
        <f>[1]!FTEXT(P13)</f>
        <v>=FINV(P12,P6,P5)</v>
      </c>
      <c r="T13" s="974" t="s">
        <v>2294</v>
      </c>
      <c r="U13" s="420">
        <f>[1]!NF_NCP(U10/2,U4,U5,U3)</f>
        <v>46.761663658180623</v>
      </c>
      <c r="W13" t="str">
        <f>[1]!FTEXT(U13)</f>
        <v>=NF_NCP(U10/2,U4,U5,U3)</v>
      </c>
    </row>
    <row r="14" spans="1:23" x14ac:dyDescent="0.25">
      <c r="A14" s="58" t="s">
        <v>161</v>
      </c>
      <c r="B14" s="61">
        <v>9.1</v>
      </c>
      <c r="C14" s="62">
        <v>5.6</v>
      </c>
      <c r="D14" s="63">
        <v>29.667333748383395</v>
      </c>
      <c r="E14" s="64">
        <v>272.8</v>
      </c>
      <c r="G14" t="s">
        <v>222</v>
      </c>
      <c r="H14">
        <f>COUNT(C4:E4)</f>
        <v>3</v>
      </c>
      <c r="I14">
        <f>DEVSQ(MMULT([1]!DESIGN(C4:E53),H19:H22))</f>
        <v>142.55035956639236</v>
      </c>
      <c r="J14">
        <f>I14/H14</f>
        <v>47.516786522130786</v>
      </c>
      <c r="K14">
        <f>J14/J15</f>
        <v>7.7869053231701413</v>
      </c>
      <c r="L14">
        <f>FDIST(K14,H14,H15)</f>
        <v>2.6221319906023728E-4</v>
      </c>
      <c r="M14" s="1027" t="str">
        <f>IF(L14&lt;L12,"yes","no")</f>
        <v>yes</v>
      </c>
      <c r="O14" s="372" t="s">
        <v>1230</v>
      </c>
      <c r="P14" s="503">
        <f>[1]!NF_DIST(P13,P6,P5,P10,TRUE)</f>
        <v>1.0638726272823059E-2</v>
      </c>
      <c r="R14" t="str">
        <f>[1]!FTEXT(P14)</f>
        <v>=NF_DIST(P13,P6,P5,P10,TRUE)</v>
      </c>
      <c r="T14" s="974" t="s">
        <v>2300</v>
      </c>
      <c r="U14" s="1041">
        <f>H7</f>
        <v>0.33680038683250224</v>
      </c>
      <c r="W14" t="str">
        <f>[1]!FTEXT(U14)</f>
        <v>=H7</v>
      </c>
    </row>
    <row r="15" spans="1:23" x14ac:dyDescent="0.25">
      <c r="A15" s="58" t="s">
        <v>162</v>
      </c>
      <c r="B15" s="61">
        <v>12.6</v>
      </c>
      <c r="C15" s="62">
        <v>6.8</v>
      </c>
      <c r="D15" s="63">
        <v>94.600660447193093</v>
      </c>
      <c r="E15" s="64">
        <v>239.4</v>
      </c>
      <c r="G15" t="s">
        <v>295</v>
      </c>
      <c r="H15">
        <f>H16-H14</f>
        <v>46</v>
      </c>
      <c r="I15">
        <f>I16-I14</f>
        <v>280.69844043360763</v>
      </c>
      <c r="J15">
        <f>I15/H15</f>
        <v>6.102140009426253</v>
      </c>
      <c r="O15" s="372" t="s">
        <v>2089</v>
      </c>
      <c r="P15" s="420">
        <f>1-P14</f>
        <v>0.98936127372717697</v>
      </c>
      <c r="R15" t="str">
        <f>[1]!FTEXT(P15)</f>
        <v>=1-P14</v>
      </c>
      <c r="T15" s="974" t="s">
        <v>2301</v>
      </c>
      <c r="U15" s="503">
        <f>U12/(U9+U12)</f>
        <v>9.5915009217731453E-2</v>
      </c>
      <c r="W15" t="str">
        <f>[1]!FTEXT(U15)</f>
        <v>=U12/(U9+U12)</v>
      </c>
    </row>
    <row r="16" spans="1:23" x14ac:dyDescent="0.25">
      <c r="A16" s="58" t="s">
        <v>163</v>
      </c>
      <c r="B16" s="61">
        <v>12.2</v>
      </c>
      <c r="C16" s="62">
        <v>7.3</v>
      </c>
      <c r="D16" s="63">
        <v>79.13310968601246</v>
      </c>
      <c r="E16" s="64">
        <v>533.20000000000005</v>
      </c>
      <c r="G16" s="762" t="s">
        <v>1</v>
      </c>
      <c r="H16" s="762">
        <f>H10-1</f>
        <v>49</v>
      </c>
      <c r="I16" s="762">
        <f>DEVSQ(B4:B53)</f>
        <v>423.24879999999996</v>
      </c>
      <c r="J16" s="762"/>
      <c r="K16" s="762"/>
      <c r="L16" s="762"/>
      <c r="M16" s="762"/>
      <c r="T16" s="974" t="s">
        <v>2302</v>
      </c>
      <c r="U16" s="420">
        <f>U13/(U9+U13)</f>
        <v>0.48326642897925415</v>
      </c>
      <c r="W16" t="str">
        <f>[1]!FTEXT(U16)</f>
        <v>=U13/(U9+U13)</v>
      </c>
    </row>
    <row r="17" spans="1:23" ht="15.75" thickBot="1" x14ac:dyDescent="0.3">
      <c r="A17" s="58" t="s">
        <v>164</v>
      </c>
      <c r="B17" s="61">
        <v>13.1</v>
      </c>
      <c r="C17" s="62">
        <v>8</v>
      </c>
      <c r="D17" s="63">
        <v>88.000000627274659</v>
      </c>
      <c r="E17" s="64">
        <v>333.6</v>
      </c>
      <c r="O17" t="s">
        <v>1980</v>
      </c>
      <c r="P17" s="868">
        <f>I15</f>
        <v>280.69844043360763</v>
      </c>
      <c r="R17" t="str">
        <f>[1]!FTEXT(P17)</f>
        <v>=I15</v>
      </c>
      <c r="T17" s="974" t="s">
        <v>48</v>
      </c>
      <c r="U17" s="1041">
        <v>0.05</v>
      </c>
    </row>
    <row r="18" spans="1:23" ht="15.75" thickTop="1" x14ac:dyDescent="0.25">
      <c r="A18" s="58" t="s">
        <v>165</v>
      </c>
      <c r="B18" s="61">
        <v>11.5</v>
      </c>
      <c r="C18" s="62">
        <v>5.0999999999999996</v>
      </c>
      <c r="D18" s="63">
        <v>94.170464820794294</v>
      </c>
      <c r="E18" s="64">
        <v>294.7</v>
      </c>
      <c r="G18" s="826"/>
      <c r="H18" s="826" t="s">
        <v>1592</v>
      </c>
      <c r="I18" s="826" t="s">
        <v>1000</v>
      </c>
      <c r="J18" s="826" t="s">
        <v>61</v>
      </c>
      <c r="K18" s="826" t="s">
        <v>67</v>
      </c>
      <c r="L18" s="826" t="s">
        <v>29</v>
      </c>
      <c r="M18" s="826" t="s">
        <v>30</v>
      </c>
      <c r="O18" s="371" t="s">
        <v>710</v>
      </c>
      <c r="P18" s="503">
        <f>I14</f>
        <v>142.55035956639236</v>
      </c>
      <c r="R18" t="str">
        <f>[1]!FTEXT(P18)</f>
        <v>=I14</v>
      </c>
      <c r="T18" t="s">
        <v>2126</v>
      </c>
      <c r="U18" s="503">
        <f>[1]!REG_POWER(U14,U9,U8,2,U17)</f>
        <v>0.98936127372717697</v>
      </c>
      <c r="W18" t="str">
        <f>[1]!FTEXT(U18)</f>
        <v>=REG_POWER(U14,U9,U8,2,U17)</v>
      </c>
    </row>
    <row r="19" spans="1:23" x14ac:dyDescent="0.25">
      <c r="A19" s="58" t="s">
        <v>166</v>
      </c>
      <c r="B19" s="61">
        <v>11.3</v>
      </c>
      <c r="C19" s="62">
        <v>7.1</v>
      </c>
      <c r="D19" s="63">
        <v>88.703716524620162</v>
      </c>
      <c r="E19" s="64">
        <v>452.7</v>
      </c>
      <c r="G19" t="s">
        <v>296</v>
      </c>
      <c r="H19">
        <f t="array" ref="H19:I22">[1]!RegCoeff(C4:E53,B4:B53)</f>
        <v>0.43712521875191612</v>
      </c>
      <c r="I19">
        <v>3.9875336904973384</v>
      </c>
      <c r="J19">
        <f>H19/I19</f>
        <v>0.10962295310347495</v>
      </c>
      <c r="K19">
        <f>TDIST(ABS(J19),$H$15,2)</f>
        <v>0.91318525331884337</v>
      </c>
      <c r="L19">
        <f>H19-TINV(L$12,$H$15)*I19</f>
        <v>-7.5893637973931281</v>
      </c>
      <c r="M19">
        <f>H19+TINV(L$12,$H$15)*I19</f>
        <v>8.4636142348969603</v>
      </c>
      <c r="O19" t="s">
        <v>2269</v>
      </c>
      <c r="P19" s="420">
        <f>P18/P17</f>
        <v>0.50784165151109617</v>
      </c>
      <c r="R19" t="str">
        <f>[1]!FTEXT(P19)</f>
        <v>=P18/P17</v>
      </c>
      <c r="T19" t="s">
        <v>2290</v>
      </c>
      <c r="U19" s="503">
        <f>[1]!REG_POWER(U15,U9,U8,2,U17)</f>
        <v>0.43050099801528152</v>
      </c>
      <c r="W19" t="str">
        <f>[1]!FTEXT(U19)</f>
        <v>=REG_POWER(U15,U9,U8,2,U17)</v>
      </c>
    </row>
    <row r="20" spans="1:23" x14ac:dyDescent="0.25">
      <c r="A20" s="58" t="s">
        <v>167</v>
      </c>
      <c r="B20" s="61">
        <v>17.3</v>
      </c>
      <c r="C20" s="62">
        <v>7.5</v>
      </c>
      <c r="D20" s="63">
        <v>89.904327345935869</v>
      </c>
      <c r="E20" s="64">
        <v>295</v>
      </c>
      <c r="G20" t="str">
        <f t="array" ref="G20:G22">TRANSPOSE(C3:E3)</f>
        <v>Infant Mort</v>
      </c>
      <c r="H20">
        <v>1.279369653049887</v>
      </c>
      <c r="I20">
        <v>0.3006729090126502</v>
      </c>
      <c r="J20">
        <f>H20/I20</f>
        <v>4.255021369404651</v>
      </c>
      <c r="K20">
        <f>TDIST(ABS(J20),$H$15,2)</f>
        <v>1.0162763056825428E-4</v>
      </c>
      <c r="L20">
        <f>H20-TINV(L$12,$H$15)*I20</f>
        <v>0.67414647778402126</v>
      </c>
      <c r="M20">
        <f>H20+TINV(L$12,$H$15)*I20</f>
        <v>1.8845928283157529</v>
      </c>
      <c r="T20" t="s">
        <v>2291</v>
      </c>
      <c r="U20" s="420">
        <f>[1]!REG_POWER(U16,U9,U8,2,U17)</f>
        <v>0.99996525259383207</v>
      </c>
      <c r="W20" t="str">
        <f>[1]!FTEXT(U20)</f>
        <v>=REG_POWER(U16,U9,U8,2,U17)</v>
      </c>
    </row>
    <row r="21" spans="1:23" x14ac:dyDescent="0.25">
      <c r="A21" s="58" t="s">
        <v>168</v>
      </c>
      <c r="B21" s="61">
        <v>17.3</v>
      </c>
      <c r="C21" s="62">
        <v>9.9</v>
      </c>
      <c r="D21" s="63">
        <v>64.839543701408999</v>
      </c>
      <c r="E21" s="64">
        <v>729.5</v>
      </c>
      <c r="G21" t="str">
        <v>White</v>
      </c>
      <c r="H21">
        <v>3.6326923072065739E-2</v>
      </c>
      <c r="I21">
        <v>3.3602531929280269E-2</v>
      </c>
      <c r="J21">
        <f>H21/I21</f>
        <v>1.0810769601683352</v>
      </c>
      <c r="K21">
        <f>TDIST(ABS(J21),$H$15,2)</f>
        <v>0.28529815262504604</v>
      </c>
      <c r="L21">
        <f>H21-TINV(L$12,$H$15)*I21</f>
        <v>-3.1311465560932131E-2</v>
      </c>
      <c r="M21">
        <f>H21+TINV(L$12,$H$15)*I21</f>
        <v>0.10396531170506361</v>
      </c>
    </row>
    <row r="22" spans="1:23" x14ac:dyDescent="0.25">
      <c r="A22" s="58" t="s">
        <v>169</v>
      </c>
      <c r="B22" s="61">
        <v>12.3</v>
      </c>
      <c r="C22" s="62">
        <v>6.3</v>
      </c>
      <c r="D22" s="63">
        <v>96.389852756187835</v>
      </c>
      <c r="E22" s="64">
        <v>118</v>
      </c>
      <c r="G22" s="762" t="str">
        <v>Crime</v>
      </c>
      <c r="H22" s="762">
        <v>1.4214989878583481E-3</v>
      </c>
      <c r="I22" s="762">
        <v>2.2421016620427178E-3</v>
      </c>
      <c r="J22" s="762">
        <f>H22/I22</f>
        <v>0.63400291428501021</v>
      </c>
      <c r="K22" s="762">
        <f>TDIST(ABS(J22),$H$15,2)</f>
        <v>0.52921921764794777</v>
      </c>
      <c r="L22" s="762">
        <f>H22-TINV(L$12,$H$15)*I22</f>
        <v>-3.091617579997377E-3</v>
      </c>
      <c r="M22" s="762">
        <f>H22+TINV(L$12,$H$15)*I22</f>
        <v>5.9346155557140736E-3</v>
      </c>
    </row>
    <row r="23" spans="1:23" x14ac:dyDescent="0.25">
      <c r="A23" s="58" t="s">
        <v>170</v>
      </c>
      <c r="B23" s="61">
        <v>8.1</v>
      </c>
      <c r="C23" s="62">
        <v>8</v>
      </c>
      <c r="D23" s="63">
        <v>63.398020838196281</v>
      </c>
      <c r="E23" s="64">
        <v>641.9</v>
      </c>
    </row>
    <row r="24" spans="1:23" x14ac:dyDescent="0.25">
      <c r="A24" s="58" t="s">
        <v>171</v>
      </c>
      <c r="B24" s="70">
        <v>10</v>
      </c>
      <c r="C24" s="62">
        <v>4.8</v>
      </c>
      <c r="D24" s="63">
        <v>86.203669547721617</v>
      </c>
      <c r="E24" s="64">
        <v>431.5</v>
      </c>
    </row>
    <row r="25" spans="1:23" x14ac:dyDescent="0.25">
      <c r="A25" s="58" t="s">
        <v>172</v>
      </c>
      <c r="B25" s="61">
        <v>14.4</v>
      </c>
      <c r="C25" s="62">
        <v>7.4</v>
      </c>
      <c r="D25" s="63">
        <v>81.183409037427396</v>
      </c>
      <c r="E25" s="64">
        <v>536</v>
      </c>
    </row>
    <row r="26" spans="1:23" x14ac:dyDescent="0.25">
      <c r="A26" s="58" t="s">
        <v>173</v>
      </c>
      <c r="B26" s="61">
        <v>9.6</v>
      </c>
      <c r="C26" s="62">
        <v>5.2</v>
      </c>
      <c r="D26" s="63">
        <v>89.045556531854984</v>
      </c>
      <c r="E26" s="64">
        <v>288.7</v>
      </c>
    </row>
    <row r="27" spans="1:23" x14ac:dyDescent="0.25">
      <c r="A27" s="58" t="s">
        <v>174</v>
      </c>
      <c r="B27" s="61">
        <v>21.2</v>
      </c>
      <c r="C27" s="62">
        <v>10.6</v>
      </c>
      <c r="D27" s="63">
        <v>60.598179144073846</v>
      </c>
      <c r="E27" s="64">
        <v>291.3</v>
      </c>
    </row>
    <row r="28" spans="1:23" x14ac:dyDescent="0.25">
      <c r="A28" s="58" t="s">
        <v>175</v>
      </c>
      <c r="B28" s="61">
        <v>13.4</v>
      </c>
      <c r="C28" s="62">
        <v>7.4</v>
      </c>
      <c r="D28" s="63">
        <v>85.028888093842554</v>
      </c>
      <c r="E28" s="64">
        <v>504.9</v>
      </c>
    </row>
    <row r="29" spans="1:23" x14ac:dyDescent="0.25">
      <c r="A29" s="58" t="s">
        <v>176</v>
      </c>
      <c r="B29" s="61">
        <v>14.8</v>
      </c>
      <c r="C29" s="62">
        <v>5.8</v>
      </c>
      <c r="D29" s="63">
        <v>90.467729264863962</v>
      </c>
      <c r="E29" s="64">
        <v>287.5</v>
      </c>
    </row>
    <row r="30" spans="1:23" x14ac:dyDescent="0.25">
      <c r="A30" s="58" t="s">
        <v>177</v>
      </c>
      <c r="B30" s="61">
        <v>10.8</v>
      </c>
      <c r="C30" s="62">
        <v>5.6</v>
      </c>
      <c r="D30" s="63">
        <v>91.372477335833381</v>
      </c>
      <c r="E30" s="64">
        <v>302.39999999999998</v>
      </c>
    </row>
    <row r="31" spans="1:23" x14ac:dyDescent="0.25">
      <c r="A31" s="58" t="s">
        <v>178</v>
      </c>
      <c r="B31" s="61">
        <v>11.3</v>
      </c>
      <c r="C31" s="62">
        <v>6.4</v>
      </c>
      <c r="D31" s="63">
        <v>80.891227371165002</v>
      </c>
      <c r="E31" s="64">
        <v>750.6</v>
      </c>
    </row>
    <row r="32" spans="1:23" x14ac:dyDescent="0.25">
      <c r="A32" s="58" t="s">
        <v>179</v>
      </c>
      <c r="B32" s="61">
        <v>7.6</v>
      </c>
      <c r="C32" s="62">
        <v>6.1</v>
      </c>
      <c r="D32" s="63">
        <v>95.487186970145373</v>
      </c>
      <c r="E32" s="64">
        <v>137.30000000000001</v>
      </c>
    </row>
    <row r="33" spans="1:5" x14ac:dyDescent="0.25">
      <c r="A33" s="58" t="s">
        <v>180</v>
      </c>
      <c r="B33" s="61">
        <v>8.6999999999999993</v>
      </c>
      <c r="C33" s="62">
        <v>5.5</v>
      </c>
      <c r="D33" s="63">
        <v>76.032117342828414</v>
      </c>
      <c r="E33" s="64">
        <v>329.3</v>
      </c>
    </row>
    <row r="34" spans="1:5" x14ac:dyDescent="0.25">
      <c r="A34" s="58" t="s">
        <v>181</v>
      </c>
      <c r="B34" s="61">
        <v>17.100000000000001</v>
      </c>
      <c r="C34" s="62">
        <v>5.8</v>
      </c>
      <c r="D34" s="63">
        <v>83.996520785584835</v>
      </c>
      <c r="E34" s="64">
        <v>664.2</v>
      </c>
    </row>
    <row r="35" spans="1:5" x14ac:dyDescent="0.25">
      <c r="A35" s="58" t="s">
        <v>182</v>
      </c>
      <c r="B35" s="61">
        <v>13.6</v>
      </c>
      <c r="C35" s="62">
        <v>5.6</v>
      </c>
      <c r="D35" s="63">
        <v>73.422529169257928</v>
      </c>
      <c r="E35" s="64">
        <v>414.1</v>
      </c>
    </row>
    <row r="36" spans="1:5" x14ac:dyDescent="0.25">
      <c r="A36" s="58" t="s">
        <v>183</v>
      </c>
      <c r="B36" s="61">
        <v>14.6</v>
      </c>
      <c r="C36" s="62">
        <v>8.1</v>
      </c>
      <c r="D36" s="63">
        <v>73.937344387272134</v>
      </c>
      <c r="E36" s="64">
        <v>466.4</v>
      </c>
    </row>
    <row r="37" spans="1:5" x14ac:dyDescent="0.25">
      <c r="A37" s="58" t="s">
        <v>184</v>
      </c>
      <c r="B37" s="71">
        <v>12</v>
      </c>
      <c r="C37" s="62">
        <v>5.8</v>
      </c>
      <c r="D37" s="63">
        <v>91.393509706444945</v>
      </c>
      <c r="E37" s="64">
        <v>142.4</v>
      </c>
    </row>
    <row r="38" spans="1:5" x14ac:dyDescent="0.25">
      <c r="A38" s="58" t="s">
        <v>185</v>
      </c>
      <c r="B38" s="61">
        <v>13.4</v>
      </c>
      <c r="C38" s="62">
        <v>7.8</v>
      </c>
      <c r="D38" s="63">
        <v>84.764237226305966</v>
      </c>
      <c r="E38" s="64">
        <v>343.2</v>
      </c>
    </row>
    <row r="39" spans="1:5" x14ac:dyDescent="0.25">
      <c r="A39" s="58" t="s">
        <v>186</v>
      </c>
      <c r="B39" s="61">
        <v>15.9</v>
      </c>
      <c r="C39" s="62">
        <v>8</v>
      </c>
      <c r="D39" s="63">
        <v>78.141238608693655</v>
      </c>
      <c r="E39" s="64">
        <v>499.6</v>
      </c>
    </row>
    <row r="40" spans="1:5" x14ac:dyDescent="0.25">
      <c r="A40" s="58" t="s">
        <v>187</v>
      </c>
      <c r="B40" s="61">
        <v>13.6</v>
      </c>
      <c r="C40" s="62">
        <v>5.5</v>
      </c>
      <c r="D40" s="63">
        <v>90.140446325387984</v>
      </c>
      <c r="E40" s="64">
        <v>287.60000000000002</v>
      </c>
    </row>
    <row r="41" spans="1:5" x14ac:dyDescent="0.25">
      <c r="A41" s="58" t="s">
        <v>188</v>
      </c>
      <c r="B41" s="61">
        <v>12.1</v>
      </c>
      <c r="C41" s="62">
        <v>7.6</v>
      </c>
      <c r="D41" s="63">
        <v>85.424563507935517</v>
      </c>
      <c r="E41" s="64">
        <v>416.5</v>
      </c>
    </row>
    <row r="42" spans="1:5" x14ac:dyDescent="0.25">
      <c r="A42" s="58" t="s">
        <v>189</v>
      </c>
      <c r="B42" s="61">
        <v>11.7</v>
      </c>
      <c r="C42" s="62">
        <v>6.1</v>
      </c>
      <c r="D42" s="63">
        <v>88.483880668602993</v>
      </c>
      <c r="E42" s="64">
        <v>227.3</v>
      </c>
    </row>
    <row r="43" spans="1:5" x14ac:dyDescent="0.25">
      <c r="A43" s="58" t="s">
        <v>190</v>
      </c>
      <c r="B43" s="61">
        <v>15.7</v>
      </c>
      <c r="C43" s="62">
        <v>8.4</v>
      </c>
      <c r="D43" s="63">
        <v>68.748136077503446</v>
      </c>
      <c r="E43" s="64">
        <v>788.3</v>
      </c>
    </row>
    <row r="44" spans="1:5" x14ac:dyDescent="0.25">
      <c r="A44" s="58" t="s">
        <v>191</v>
      </c>
      <c r="B44" s="61">
        <v>12.5</v>
      </c>
      <c r="C44" s="62">
        <v>6.9</v>
      </c>
      <c r="D44" s="63">
        <v>88.189790025789804</v>
      </c>
      <c r="E44" s="64">
        <v>169.2</v>
      </c>
    </row>
    <row r="45" spans="1:5" x14ac:dyDescent="0.25">
      <c r="A45" s="58" t="s">
        <v>192</v>
      </c>
      <c r="B45" s="61">
        <v>15.5</v>
      </c>
      <c r="C45" s="62">
        <v>8.6999999999999993</v>
      </c>
      <c r="D45" s="63">
        <v>80.371971305033981</v>
      </c>
      <c r="E45" s="64">
        <v>753.3</v>
      </c>
    </row>
    <row r="46" spans="1:5" x14ac:dyDescent="0.25">
      <c r="A46" s="58" t="s">
        <v>193</v>
      </c>
      <c r="B46" s="61">
        <v>15.8</v>
      </c>
      <c r="C46" s="62">
        <v>6.2</v>
      </c>
      <c r="D46" s="63">
        <v>82.402677784750395</v>
      </c>
      <c r="E46" s="64">
        <v>510.6</v>
      </c>
    </row>
    <row r="47" spans="1:5" x14ac:dyDescent="0.25">
      <c r="A47" s="58" t="s">
        <v>194</v>
      </c>
      <c r="B47" s="61">
        <v>9.6</v>
      </c>
      <c r="C47" s="62">
        <v>5.0999999999999996</v>
      </c>
      <c r="D47" s="63">
        <v>92.915461931338129</v>
      </c>
      <c r="E47" s="64">
        <v>234.8</v>
      </c>
    </row>
    <row r="48" spans="1:5" x14ac:dyDescent="0.25">
      <c r="A48" s="58" t="s">
        <v>195</v>
      </c>
      <c r="B48" s="61">
        <v>10.6</v>
      </c>
      <c r="C48" s="62">
        <v>5.5</v>
      </c>
      <c r="D48" s="63">
        <v>96.408807764739961</v>
      </c>
      <c r="E48" s="64">
        <v>124.3</v>
      </c>
    </row>
    <row r="49" spans="1:5" x14ac:dyDescent="0.25">
      <c r="A49" s="58" t="s">
        <v>196</v>
      </c>
      <c r="B49" s="61">
        <v>10.199999999999999</v>
      </c>
      <c r="C49" s="62">
        <v>7.1</v>
      </c>
      <c r="D49" s="63">
        <v>73.031896017666924</v>
      </c>
      <c r="E49" s="64">
        <v>269.7</v>
      </c>
    </row>
    <row r="50" spans="1:5" x14ac:dyDescent="0.25">
      <c r="A50" s="58" t="s">
        <v>197</v>
      </c>
      <c r="B50" s="61">
        <v>11.3</v>
      </c>
      <c r="C50" s="62">
        <v>4.7</v>
      </c>
      <c r="D50" s="63">
        <v>84.290902250404002</v>
      </c>
      <c r="E50" s="64">
        <v>333.1</v>
      </c>
    </row>
    <row r="51" spans="1:5" x14ac:dyDescent="0.25">
      <c r="A51" s="58" t="s">
        <v>198</v>
      </c>
      <c r="B51" s="71">
        <v>17</v>
      </c>
      <c r="C51" s="62">
        <v>7.4</v>
      </c>
      <c r="D51" s="63">
        <v>94.524786328554711</v>
      </c>
      <c r="E51" s="64">
        <v>275.2</v>
      </c>
    </row>
    <row r="52" spans="1:5" x14ac:dyDescent="0.25">
      <c r="A52" s="58" t="s">
        <v>199</v>
      </c>
      <c r="B52" s="61">
        <v>10.4</v>
      </c>
      <c r="C52" s="62">
        <v>6.4</v>
      </c>
      <c r="D52" s="63">
        <v>89.673695670212709</v>
      </c>
      <c r="E52" s="64">
        <v>290.89999999999998</v>
      </c>
    </row>
    <row r="53" spans="1:5" x14ac:dyDescent="0.25">
      <c r="A53" s="72" t="s">
        <v>200</v>
      </c>
      <c r="B53" s="73">
        <v>9.4</v>
      </c>
      <c r="C53" s="74">
        <v>7</v>
      </c>
      <c r="D53" s="75">
        <v>93.867286940458214</v>
      </c>
      <c r="E53" s="76">
        <v>239.3</v>
      </c>
    </row>
    <row r="54" spans="1:5" x14ac:dyDescent="0.25">
      <c r="A54" s="58"/>
      <c r="B54" s="58"/>
      <c r="C54" s="58"/>
      <c r="D54" s="58"/>
      <c r="E54" s="58"/>
    </row>
    <row r="55" spans="1:5" x14ac:dyDescent="0.25">
      <c r="A55" s="58" t="s">
        <v>201</v>
      </c>
      <c r="B55" s="58"/>
      <c r="C55" s="58"/>
      <c r="D55" s="58"/>
      <c r="E55" s="58"/>
    </row>
    <row r="56" spans="1:5" x14ac:dyDescent="0.25">
      <c r="A56" s="58" t="s">
        <v>202</v>
      </c>
      <c r="B56" s="58"/>
      <c r="C56" s="58"/>
      <c r="D56" s="58"/>
      <c r="E56" s="58"/>
    </row>
    <row r="57" spans="1:5" x14ac:dyDescent="0.25">
      <c r="A57" s="58" t="s">
        <v>203</v>
      </c>
      <c r="B57" s="58"/>
      <c r="C57" s="58"/>
      <c r="D57" s="58"/>
      <c r="E57" s="58"/>
    </row>
    <row r="58" spans="1:5" x14ac:dyDescent="0.25">
      <c r="A58" s="58" t="s">
        <v>204</v>
      </c>
      <c r="B58" s="58"/>
      <c r="C58" s="58"/>
      <c r="D58" s="58"/>
      <c r="E58" s="58"/>
    </row>
  </sheetData>
  <pageMargins left="0.7" right="0.7" top="0.75" bottom="0.75" header="0.3" footer="0.3"/>
  <ignoredErrors>
    <ignoredError sqref="H14" formulaRange="1"/>
  </ignoredError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2"/>
  <dimension ref="A1:J18"/>
  <sheetViews>
    <sheetView workbookViewId="0"/>
  </sheetViews>
  <sheetFormatPr defaultRowHeight="15" x14ac:dyDescent="0.25"/>
  <cols>
    <col min="3" max="3" width="3.5703125" customWidth="1"/>
    <col min="4" max="4" width="28.140625" customWidth="1"/>
    <col min="7" max="7" width="11" customWidth="1"/>
    <col min="9" max="9" width="3.5703125" customWidth="1"/>
    <col min="10" max="10" width="33" customWidth="1"/>
  </cols>
  <sheetData>
    <row r="1" spans="1:10" x14ac:dyDescent="0.25">
      <c r="A1" s="1" t="s">
        <v>2272</v>
      </c>
    </row>
    <row r="3" spans="1:10" x14ac:dyDescent="0.25">
      <c r="A3" t="s">
        <v>31</v>
      </c>
      <c r="B3" s="868">
        <v>100</v>
      </c>
      <c r="D3" t="str">
        <f>[1]!FTEXT(B3)</f>
        <v>100</v>
      </c>
      <c r="G3" s="30" t="s">
        <v>48</v>
      </c>
      <c r="H3" s="868">
        <v>0.05</v>
      </c>
    </row>
    <row r="4" spans="1:10" x14ac:dyDescent="0.25">
      <c r="A4" t="s">
        <v>56</v>
      </c>
      <c r="B4" s="503">
        <v>10</v>
      </c>
      <c r="D4" t="str">
        <f>[1]!FTEXT(B4)</f>
        <v>10</v>
      </c>
      <c r="G4" t="s">
        <v>56</v>
      </c>
      <c r="H4" s="503">
        <v>8</v>
      </c>
    </row>
    <row r="5" spans="1:10" x14ac:dyDescent="0.25">
      <c r="A5" t="s">
        <v>2246</v>
      </c>
      <c r="B5" s="503">
        <f>B3-B4-1</f>
        <v>89</v>
      </c>
      <c r="D5" t="str">
        <f>[1]!FTEXT(B5)</f>
        <v>=B3-B4-1</v>
      </c>
      <c r="G5" t="s">
        <v>2268</v>
      </c>
      <c r="H5" s="503">
        <v>0.2</v>
      </c>
    </row>
    <row r="6" spans="1:10" x14ac:dyDescent="0.25">
      <c r="A6" t="s">
        <v>711</v>
      </c>
      <c r="B6" s="420">
        <f>B4</f>
        <v>10</v>
      </c>
      <c r="D6" t="str">
        <f>[1]!FTEXT(B6)</f>
        <v>=B4</v>
      </c>
      <c r="G6" s="372" t="s">
        <v>2089</v>
      </c>
      <c r="H6" s="420">
        <v>0.9</v>
      </c>
    </row>
    <row r="8" spans="1:10" x14ac:dyDescent="0.25">
      <c r="A8" t="s">
        <v>2268</v>
      </c>
      <c r="B8" s="868">
        <v>0.15</v>
      </c>
      <c r="G8" t="s">
        <v>31</v>
      </c>
      <c r="H8" s="868">
        <f>[1]!REG_SIZE(H5,H4,H6,2,H3)</f>
        <v>85</v>
      </c>
      <c r="J8" t="str">
        <f>[1]!FTEXT(H8)</f>
        <v>=REG_SIZE(H5,H4,H6,2,H3)</v>
      </c>
    </row>
    <row r="9" spans="1:10" x14ac:dyDescent="0.25">
      <c r="A9" t="s">
        <v>2269</v>
      </c>
      <c r="B9" s="503">
        <f>B8/(1-B8)</f>
        <v>0.17647058823529413</v>
      </c>
      <c r="D9" t="str">
        <f>[1]!FTEXT(B9)</f>
        <v>=B8/(1-B8)</v>
      </c>
      <c r="G9" t="s">
        <v>2269</v>
      </c>
      <c r="H9" s="503">
        <f>H5/(1-H5)</f>
        <v>0.25</v>
      </c>
      <c r="J9" t="str">
        <f>[1]!FTEXT(H9)</f>
        <v>=H5/(1-H5)</v>
      </c>
    </row>
    <row r="10" spans="1:10" x14ac:dyDescent="0.25">
      <c r="A10" s="30" t="s">
        <v>981</v>
      </c>
      <c r="B10" s="420">
        <f>B9*B3</f>
        <v>17.647058823529413</v>
      </c>
      <c r="D10" t="str">
        <f>[1]!FTEXT(B10)</f>
        <v>=B9*B3</v>
      </c>
      <c r="G10" s="30" t="s">
        <v>981</v>
      </c>
      <c r="H10" s="503">
        <f>H9*H8</f>
        <v>21.25</v>
      </c>
      <c r="J10" t="str">
        <f>[1]!FTEXT(H10)</f>
        <v>=H9*H8</v>
      </c>
    </row>
    <row r="11" spans="1:10" x14ac:dyDescent="0.25">
      <c r="G11" t="s">
        <v>2246</v>
      </c>
      <c r="H11" s="503">
        <f>H8-H4-1</f>
        <v>76</v>
      </c>
      <c r="J11" t="str">
        <f>[1]!FTEXT(H11)</f>
        <v>=H8-H4-1</v>
      </c>
    </row>
    <row r="12" spans="1:10" x14ac:dyDescent="0.25">
      <c r="A12" s="30" t="s">
        <v>48</v>
      </c>
      <c r="B12" s="868">
        <v>0.05</v>
      </c>
      <c r="G12" t="s">
        <v>711</v>
      </c>
      <c r="H12" s="503">
        <f>H4</f>
        <v>8</v>
      </c>
      <c r="J12" t="str">
        <f>[1]!FTEXT(H12)</f>
        <v>=H4</v>
      </c>
    </row>
    <row r="13" spans="1:10" x14ac:dyDescent="0.25">
      <c r="A13" s="30" t="s">
        <v>246</v>
      </c>
      <c r="B13" s="503">
        <f>FINV(B12,B6,B5)</f>
        <v>1.938791309452103</v>
      </c>
      <c r="D13" t="str">
        <f>[1]!FTEXT(B13)</f>
        <v>=FINV(B12,B6,B5)</v>
      </c>
      <c r="G13" s="30" t="s">
        <v>246</v>
      </c>
      <c r="H13" s="503">
        <f>FINV(H3,H12,H11)</f>
        <v>2.062738920780216</v>
      </c>
      <c r="J13" t="str">
        <f>[1]!FTEXT(H13)</f>
        <v>=FINV(H3,H12,H11)</v>
      </c>
    </row>
    <row r="14" spans="1:10" x14ac:dyDescent="0.25">
      <c r="A14" s="372" t="s">
        <v>1230</v>
      </c>
      <c r="B14" s="503">
        <f>[1]!NF_DIST(B13,B6,B5,B10,TRUE)</f>
        <v>0.20828223013686209</v>
      </c>
      <c r="D14" t="str">
        <f>[1]!FTEXT(B14)</f>
        <v>=NF_DIST(B13,B6,B5,B10,TRUE)</v>
      </c>
      <c r="G14" s="372" t="s">
        <v>2273</v>
      </c>
      <c r="H14" s="420">
        <f>1-[1]!NF_DIST(H13,H12,H11,H10,TRUE)</f>
        <v>0.90259417143290688</v>
      </c>
      <c r="J14" t="str">
        <f>[1]!FTEXT(H14)</f>
        <v>=1-NF_DIST(H13,H12,H11,H10,TRUE)</v>
      </c>
    </row>
    <row r="15" spans="1:10" x14ac:dyDescent="0.25">
      <c r="A15" s="372" t="s">
        <v>2089</v>
      </c>
      <c r="B15" s="420">
        <f>1-B14</f>
        <v>0.79171776986313791</v>
      </c>
      <c r="D15" t="str">
        <f>[1]!FTEXT(B15)</f>
        <v>=1-B14</v>
      </c>
    </row>
    <row r="18" spans="1:4" x14ac:dyDescent="0.25">
      <c r="A18" s="372" t="s">
        <v>2089</v>
      </c>
      <c r="B18" s="580">
        <f>[1]!REG_POWER(B8,B3,B4,2,B12)</f>
        <v>0.7917177698631378</v>
      </c>
      <c r="D18" t="str">
        <f>[1]!FTEXT(B18)</f>
        <v>=REG_POWER(B8,B3,B4,2,B12)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V43"/>
  <sheetViews>
    <sheetView zoomScaleNormal="100" workbookViewId="0"/>
  </sheetViews>
  <sheetFormatPr defaultRowHeight="15" x14ac:dyDescent="0.25"/>
  <cols>
    <col min="1" max="1" width="9.140625" style="17"/>
    <col min="2" max="7" width="7.140625" style="17" customWidth="1"/>
    <col min="8" max="8" width="13.5703125" style="17" customWidth="1"/>
    <col min="9" max="12" width="9.140625" style="17"/>
    <col min="13" max="13" width="17.28515625" style="17" customWidth="1"/>
    <col min="14" max="14" width="11.85546875" style="17" customWidth="1"/>
    <col min="15" max="15" width="14.28515625" style="17" customWidth="1"/>
    <col min="16" max="19" width="11.85546875" style="17" customWidth="1"/>
    <col min="20" max="20" width="9.140625" style="17"/>
    <col min="21" max="21" width="12.85546875" style="17" customWidth="1"/>
    <col min="22" max="16384" width="9.140625" style="17"/>
  </cols>
  <sheetData>
    <row r="1" spans="1:18" x14ac:dyDescent="0.25">
      <c r="A1" s="1" t="s">
        <v>426</v>
      </c>
    </row>
    <row r="2" spans="1:18" x14ac:dyDescent="0.25">
      <c r="I2" s="631" t="s">
        <v>429</v>
      </c>
      <c r="J2" s="631" t="s">
        <v>430</v>
      </c>
      <c r="K2" s="631" t="s">
        <v>432</v>
      </c>
      <c r="M2" s="1" t="s">
        <v>434</v>
      </c>
    </row>
    <row r="3" spans="1:18" x14ac:dyDescent="0.25">
      <c r="B3" s="1316" t="s">
        <v>427</v>
      </c>
      <c r="C3" s="1316"/>
      <c r="D3" s="1316"/>
      <c r="E3" s="1316"/>
      <c r="F3" s="1316"/>
      <c r="G3" s="1316"/>
      <c r="I3" s="257">
        <v>1</v>
      </c>
      <c r="J3" s="215">
        <f>I3^2</f>
        <v>1</v>
      </c>
      <c r="K3" s="215">
        <v>7</v>
      </c>
    </row>
    <row r="4" spans="1:18" x14ac:dyDescent="0.25">
      <c r="A4" s="190" t="s">
        <v>93</v>
      </c>
      <c r="B4" s="190">
        <v>1</v>
      </c>
      <c r="C4" s="190">
        <v>2</v>
      </c>
      <c r="D4" s="190">
        <v>3</v>
      </c>
      <c r="E4" s="190">
        <v>4</v>
      </c>
      <c r="F4" s="190">
        <v>5</v>
      </c>
      <c r="G4" s="190">
        <v>6</v>
      </c>
      <c r="I4" s="257">
        <v>2</v>
      </c>
      <c r="J4" s="215">
        <f t="shared" ref="J4:J32" si="0">I4^2</f>
        <v>4</v>
      </c>
      <c r="K4" s="215">
        <v>11</v>
      </c>
      <c r="M4" s="17" t="s">
        <v>290</v>
      </c>
    </row>
    <row r="5" spans="1:18" ht="15.75" thickBot="1" x14ac:dyDescent="0.3">
      <c r="A5" s="190">
        <v>1</v>
      </c>
      <c r="B5" s="632">
        <v>7</v>
      </c>
      <c r="C5" s="633">
        <v>11</v>
      </c>
      <c r="D5" s="633">
        <v>23</v>
      </c>
      <c r="E5" s="633">
        <v>59</v>
      </c>
      <c r="F5" s="633">
        <v>120</v>
      </c>
      <c r="G5" s="634">
        <v>180</v>
      </c>
      <c r="I5" s="257">
        <v>3</v>
      </c>
      <c r="J5" s="215">
        <f t="shared" si="0"/>
        <v>9</v>
      </c>
      <c r="K5" s="215">
        <v>23</v>
      </c>
    </row>
    <row r="6" spans="1:18" x14ac:dyDescent="0.25">
      <c r="A6" s="190">
        <v>2</v>
      </c>
      <c r="B6" s="49">
        <v>3</v>
      </c>
      <c r="C6" s="215">
        <v>8</v>
      </c>
      <c r="D6" s="215">
        <v>20</v>
      </c>
      <c r="E6" s="215">
        <v>48</v>
      </c>
      <c r="F6" s="215">
        <v>88</v>
      </c>
      <c r="G6" s="635">
        <v>140</v>
      </c>
      <c r="I6" s="257">
        <v>4</v>
      </c>
      <c r="J6" s="215">
        <f t="shared" si="0"/>
        <v>16</v>
      </c>
      <c r="K6" s="215">
        <v>59</v>
      </c>
      <c r="M6" s="21" t="s">
        <v>291</v>
      </c>
      <c r="N6" s="21"/>
    </row>
    <row r="7" spans="1:18" x14ac:dyDescent="0.25">
      <c r="A7" s="190">
        <v>3</v>
      </c>
      <c r="B7" s="49">
        <v>4</v>
      </c>
      <c r="C7" s="215">
        <v>11</v>
      </c>
      <c r="D7" s="215">
        <v>21</v>
      </c>
      <c r="E7" s="215">
        <v>58</v>
      </c>
      <c r="F7" s="215">
        <v>128</v>
      </c>
      <c r="G7" s="635">
        <v>195</v>
      </c>
      <c r="I7" s="257">
        <v>5</v>
      </c>
      <c r="J7" s="215">
        <f t="shared" si="0"/>
        <v>25</v>
      </c>
      <c r="K7" s="215">
        <v>120</v>
      </c>
      <c r="M7" s="636" t="s">
        <v>292</v>
      </c>
      <c r="N7" s="636">
        <v>0.97741197717339279</v>
      </c>
    </row>
    <row r="8" spans="1:18" x14ac:dyDescent="0.25">
      <c r="A8" s="190">
        <v>4</v>
      </c>
      <c r="B8" s="49">
        <v>5</v>
      </c>
      <c r="C8" s="215">
        <v>9</v>
      </c>
      <c r="D8" s="215">
        <v>16</v>
      </c>
      <c r="E8" s="215">
        <v>45</v>
      </c>
      <c r="F8" s="215">
        <v>111</v>
      </c>
      <c r="G8" s="635">
        <v>156</v>
      </c>
      <c r="I8" s="257">
        <v>6</v>
      </c>
      <c r="J8" s="215">
        <f t="shared" si="0"/>
        <v>36</v>
      </c>
      <c r="K8" s="215">
        <v>180</v>
      </c>
      <c r="M8" s="636" t="s">
        <v>285</v>
      </c>
      <c r="N8" s="636">
        <v>0.95533417312200086</v>
      </c>
    </row>
    <row r="9" spans="1:18" x14ac:dyDescent="0.25">
      <c r="A9" s="190">
        <v>5</v>
      </c>
      <c r="B9" s="637">
        <v>2</v>
      </c>
      <c r="C9" s="638">
        <v>5</v>
      </c>
      <c r="D9" s="638">
        <v>12</v>
      </c>
      <c r="E9" s="638">
        <v>38</v>
      </c>
      <c r="F9" s="638">
        <v>78</v>
      </c>
      <c r="G9" s="639">
        <v>145</v>
      </c>
      <c r="I9" s="257">
        <v>1</v>
      </c>
      <c r="J9" s="215">
        <f t="shared" si="0"/>
        <v>1</v>
      </c>
      <c r="K9" s="215">
        <v>3</v>
      </c>
      <c r="M9" s="636" t="s">
        <v>293</v>
      </c>
      <c r="N9" s="636">
        <v>0.9520255933532602</v>
      </c>
    </row>
    <row r="10" spans="1:18" x14ac:dyDescent="0.25">
      <c r="I10" s="257">
        <v>2</v>
      </c>
      <c r="J10" s="215">
        <f t="shared" si="0"/>
        <v>4</v>
      </c>
      <c r="K10" s="215">
        <v>8</v>
      </c>
      <c r="M10" s="636" t="s">
        <v>11</v>
      </c>
      <c r="N10" s="636">
        <v>13.217448784881009</v>
      </c>
    </row>
    <row r="11" spans="1:18" ht="15.75" thickBot="1" x14ac:dyDescent="0.3">
      <c r="I11" s="257">
        <v>3</v>
      </c>
      <c r="J11" s="215">
        <f t="shared" si="0"/>
        <v>9</v>
      </c>
      <c r="K11" s="215">
        <v>20</v>
      </c>
      <c r="M11" s="640" t="s">
        <v>81</v>
      </c>
      <c r="N11" s="640">
        <v>30</v>
      </c>
    </row>
    <row r="12" spans="1:18" x14ac:dyDescent="0.25">
      <c r="I12" s="257">
        <v>4</v>
      </c>
      <c r="J12" s="215">
        <f t="shared" si="0"/>
        <v>16</v>
      </c>
      <c r="K12" s="215">
        <v>48</v>
      </c>
    </row>
    <row r="13" spans="1:18" ht="15.75" thickBot="1" x14ac:dyDescent="0.3">
      <c r="I13" s="257">
        <v>5</v>
      </c>
      <c r="J13" s="215">
        <f t="shared" si="0"/>
        <v>25</v>
      </c>
      <c r="K13" s="215">
        <v>88</v>
      </c>
      <c r="M13" s="17" t="s">
        <v>294</v>
      </c>
    </row>
    <row r="14" spans="1:18" x14ac:dyDescent="0.25">
      <c r="I14" s="257">
        <v>6</v>
      </c>
      <c r="J14" s="215">
        <f t="shared" si="0"/>
        <v>36</v>
      </c>
      <c r="K14" s="215">
        <v>140</v>
      </c>
      <c r="M14" s="619"/>
      <c r="N14" s="619" t="s">
        <v>60</v>
      </c>
      <c r="O14" s="619" t="s">
        <v>219</v>
      </c>
      <c r="P14" s="619" t="s">
        <v>240</v>
      </c>
      <c r="Q14" s="619" t="s">
        <v>135</v>
      </c>
      <c r="R14" s="619" t="s">
        <v>297</v>
      </c>
    </row>
    <row r="15" spans="1:18" x14ac:dyDescent="0.25">
      <c r="I15" s="257">
        <v>1</v>
      </c>
      <c r="J15" s="215">
        <f t="shared" si="0"/>
        <v>1</v>
      </c>
      <c r="K15" s="215">
        <v>4</v>
      </c>
      <c r="M15" s="636" t="s">
        <v>222</v>
      </c>
      <c r="N15" s="636">
        <v>2</v>
      </c>
      <c r="O15" s="636">
        <v>100887.87428571429</v>
      </c>
      <c r="P15" s="636">
        <v>50443.937142857147</v>
      </c>
      <c r="Q15" s="636">
        <v>288.74448854096238</v>
      </c>
      <c r="R15" s="636">
        <v>5.9520642004325394E-19</v>
      </c>
    </row>
    <row r="16" spans="1:18" x14ac:dyDescent="0.25">
      <c r="I16" s="257">
        <v>2</v>
      </c>
      <c r="J16" s="215">
        <f t="shared" si="0"/>
        <v>4</v>
      </c>
      <c r="K16" s="215">
        <v>11</v>
      </c>
      <c r="M16" s="636" t="s">
        <v>295</v>
      </c>
      <c r="N16" s="636">
        <v>27</v>
      </c>
      <c r="O16" s="636">
        <v>4716.9257142857168</v>
      </c>
      <c r="P16" s="636">
        <v>174.70095238095249</v>
      </c>
      <c r="Q16" s="636"/>
      <c r="R16" s="636"/>
    </row>
    <row r="17" spans="9:22" ht="15.75" thickBot="1" x14ac:dyDescent="0.3">
      <c r="I17" s="257">
        <v>3</v>
      </c>
      <c r="J17" s="215">
        <f t="shared" si="0"/>
        <v>9</v>
      </c>
      <c r="K17" s="215">
        <v>21</v>
      </c>
      <c r="M17" s="640" t="s">
        <v>1</v>
      </c>
      <c r="N17" s="640">
        <v>29</v>
      </c>
      <c r="O17" s="640">
        <v>105604.80000000002</v>
      </c>
      <c r="P17" s="640"/>
      <c r="Q17" s="640"/>
      <c r="R17" s="640"/>
    </row>
    <row r="18" spans="9:22" ht="15.75" thickBot="1" x14ac:dyDescent="0.3">
      <c r="I18" s="257">
        <v>4</v>
      </c>
      <c r="J18" s="215">
        <f t="shared" si="0"/>
        <v>16</v>
      </c>
      <c r="K18" s="215">
        <v>58</v>
      </c>
    </row>
    <row r="19" spans="9:22" x14ac:dyDescent="0.25">
      <c r="I19" s="257">
        <v>5</v>
      </c>
      <c r="J19" s="215">
        <f t="shared" si="0"/>
        <v>25</v>
      </c>
      <c r="K19" s="215">
        <v>128</v>
      </c>
      <c r="M19" s="619"/>
      <c r="N19" s="619" t="s">
        <v>298</v>
      </c>
      <c r="O19" s="619" t="s">
        <v>11</v>
      </c>
      <c r="P19" s="619" t="s">
        <v>85</v>
      </c>
      <c r="Q19" s="619" t="s">
        <v>119</v>
      </c>
      <c r="R19" s="619" t="s">
        <v>299</v>
      </c>
      <c r="S19" s="619" t="s">
        <v>300</v>
      </c>
      <c r="U19" s="17" t="s">
        <v>429</v>
      </c>
      <c r="V19" s="642">
        <v>3</v>
      </c>
    </row>
    <row r="20" spans="9:22" x14ac:dyDescent="0.25">
      <c r="I20" s="257">
        <v>6</v>
      </c>
      <c r="J20" s="215">
        <f t="shared" si="0"/>
        <v>36</v>
      </c>
      <c r="K20" s="215">
        <v>195</v>
      </c>
      <c r="M20" s="636" t="s">
        <v>296</v>
      </c>
      <c r="N20" s="636">
        <v>21.920000000000073</v>
      </c>
      <c r="O20" s="636">
        <v>10.573959027904825</v>
      </c>
      <c r="P20" s="636">
        <v>2.0730173005354842</v>
      </c>
      <c r="Q20" s="636">
        <v>4.7839766500995397E-2</v>
      </c>
      <c r="R20" s="636">
        <v>0.22402818653273116</v>
      </c>
      <c r="S20" s="636">
        <v>43.615971813467411</v>
      </c>
      <c r="U20" s="17" t="s">
        <v>435</v>
      </c>
      <c r="V20" s="595">
        <f>N20+V19*N21+V19^2*N22</f>
        <v>20.78857142857143</v>
      </c>
    </row>
    <row r="21" spans="9:22" x14ac:dyDescent="0.25">
      <c r="I21" s="257">
        <v>1</v>
      </c>
      <c r="J21" s="215">
        <f t="shared" si="0"/>
        <v>1</v>
      </c>
      <c r="K21" s="215">
        <v>5</v>
      </c>
      <c r="M21" s="636" t="s">
        <v>429</v>
      </c>
      <c r="N21" s="636">
        <v>-24.548571428571464</v>
      </c>
      <c r="O21" s="636">
        <v>6.9177729301362048</v>
      </c>
      <c r="P21" s="636">
        <v>-3.5486234770195217</v>
      </c>
      <c r="Q21" s="636">
        <v>1.441195885607783E-3</v>
      </c>
      <c r="R21" s="636">
        <v>-38.742669032706175</v>
      </c>
      <c r="S21" s="636">
        <v>-10.354473824436754</v>
      </c>
    </row>
    <row r="22" spans="9:22" ht="15.75" thickBot="1" x14ac:dyDescent="0.3">
      <c r="I22" s="257">
        <v>2</v>
      </c>
      <c r="J22" s="215">
        <f t="shared" si="0"/>
        <v>4</v>
      </c>
      <c r="K22" s="215">
        <v>9</v>
      </c>
      <c r="M22" s="640" t="s">
        <v>430</v>
      </c>
      <c r="N22" s="640">
        <v>8.0571428571428605</v>
      </c>
      <c r="O22" s="640">
        <v>0.9674181925019163</v>
      </c>
      <c r="P22" s="640">
        <v>8.3285004557394657</v>
      </c>
      <c r="Q22" s="640">
        <v>6.1451920419363139E-9</v>
      </c>
      <c r="R22" s="640">
        <v>6.072164687569229</v>
      </c>
      <c r="S22" s="640">
        <v>10.042121026716492</v>
      </c>
    </row>
    <row r="23" spans="9:22" x14ac:dyDescent="0.25">
      <c r="I23" s="257">
        <v>3</v>
      </c>
      <c r="J23" s="215">
        <f t="shared" si="0"/>
        <v>9</v>
      </c>
      <c r="K23" s="215">
        <v>16</v>
      </c>
    </row>
    <row r="24" spans="9:22" x14ac:dyDescent="0.25">
      <c r="I24" s="257">
        <v>4</v>
      </c>
      <c r="J24" s="215">
        <f t="shared" si="0"/>
        <v>16</v>
      </c>
      <c r="K24" s="215">
        <v>45</v>
      </c>
      <c r="M24" s="1" t="s">
        <v>433</v>
      </c>
    </row>
    <row r="25" spans="9:22" x14ac:dyDescent="0.25">
      <c r="I25" s="257">
        <v>5</v>
      </c>
      <c r="J25" s="215">
        <f t="shared" si="0"/>
        <v>25</v>
      </c>
      <c r="K25" s="215">
        <v>111</v>
      </c>
    </row>
    <row r="26" spans="9:22" x14ac:dyDescent="0.25">
      <c r="I26" s="257">
        <v>6</v>
      </c>
      <c r="J26" s="215">
        <f t="shared" si="0"/>
        <v>36</v>
      </c>
      <c r="K26" s="215">
        <v>156</v>
      </c>
      <c r="M26" s="17" t="s">
        <v>290</v>
      </c>
    </row>
    <row r="27" spans="9:22" ht="15.75" thickBot="1" x14ac:dyDescent="0.3">
      <c r="I27" s="257">
        <v>1</v>
      </c>
      <c r="J27" s="215">
        <f t="shared" si="0"/>
        <v>1</v>
      </c>
      <c r="K27" s="215">
        <v>2</v>
      </c>
    </row>
    <row r="28" spans="9:22" x14ac:dyDescent="0.25">
      <c r="I28" s="257">
        <v>2</v>
      </c>
      <c r="J28" s="215">
        <f t="shared" si="0"/>
        <v>4</v>
      </c>
      <c r="K28" s="215">
        <v>5</v>
      </c>
      <c r="M28" s="21" t="s">
        <v>291</v>
      </c>
      <c r="N28" s="21"/>
    </row>
    <row r="29" spans="9:22" x14ac:dyDescent="0.25">
      <c r="I29" s="257">
        <v>3</v>
      </c>
      <c r="J29" s="215">
        <f t="shared" si="0"/>
        <v>9</v>
      </c>
      <c r="K29" s="215">
        <v>12</v>
      </c>
      <c r="M29" s="636" t="s">
        <v>292</v>
      </c>
      <c r="N29" s="636">
        <v>0.91683485000753651</v>
      </c>
    </row>
    <row r="30" spans="9:22" x14ac:dyDescent="0.25">
      <c r="I30" s="257">
        <v>4</v>
      </c>
      <c r="J30" s="215">
        <f t="shared" si="0"/>
        <v>16</v>
      </c>
      <c r="K30" s="215">
        <v>38</v>
      </c>
      <c r="M30" s="636" t="s">
        <v>285</v>
      </c>
      <c r="N30" s="636">
        <v>0.84058614218834204</v>
      </c>
    </row>
    <row r="31" spans="9:22" x14ac:dyDescent="0.25">
      <c r="I31" s="257">
        <v>5</v>
      </c>
      <c r="J31" s="215">
        <f t="shared" si="0"/>
        <v>25</v>
      </c>
      <c r="K31" s="215">
        <v>78</v>
      </c>
      <c r="M31" s="636" t="s">
        <v>293</v>
      </c>
      <c r="N31" s="636">
        <v>0.83489279012364004</v>
      </c>
    </row>
    <row r="32" spans="9:22" x14ac:dyDescent="0.25">
      <c r="I32" s="641">
        <v>6</v>
      </c>
      <c r="J32" s="638">
        <f t="shared" si="0"/>
        <v>36</v>
      </c>
      <c r="K32" s="638">
        <v>145</v>
      </c>
      <c r="M32" s="636" t="s">
        <v>11</v>
      </c>
      <c r="N32" s="636">
        <v>24.520303956567286</v>
      </c>
    </row>
    <row r="33" spans="13:19" ht="15.75" thickBot="1" x14ac:dyDescent="0.3">
      <c r="M33" s="640" t="s">
        <v>81</v>
      </c>
      <c r="N33" s="640">
        <v>30</v>
      </c>
    </row>
    <row r="35" spans="13:19" ht="15.75" thickBot="1" x14ac:dyDescent="0.3">
      <c r="M35" s="17" t="s">
        <v>294</v>
      </c>
    </row>
    <row r="36" spans="13:19" x14ac:dyDescent="0.25">
      <c r="M36" s="619"/>
      <c r="N36" s="619" t="s">
        <v>60</v>
      </c>
      <c r="O36" s="619" t="s">
        <v>219</v>
      </c>
      <c r="P36" s="619" t="s">
        <v>240</v>
      </c>
      <c r="Q36" s="619" t="s">
        <v>135</v>
      </c>
      <c r="R36" s="619" t="s">
        <v>297</v>
      </c>
    </row>
    <row r="37" spans="13:19" x14ac:dyDescent="0.25">
      <c r="M37" s="636" t="s">
        <v>222</v>
      </c>
      <c r="N37" s="636">
        <v>1</v>
      </c>
      <c r="O37" s="636">
        <v>88769.931428571435</v>
      </c>
      <c r="P37" s="636">
        <v>88769.931428571435</v>
      </c>
      <c r="Q37" s="636">
        <v>147.64345022677418</v>
      </c>
      <c r="R37" s="636">
        <v>1.108796400759207E-12</v>
      </c>
    </row>
    <row r="38" spans="13:19" x14ac:dyDescent="0.25">
      <c r="M38" s="636" t="s">
        <v>295</v>
      </c>
      <c r="N38" s="636">
        <v>28</v>
      </c>
      <c r="O38" s="636">
        <v>16834.868571428578</v>
      </c>
      <c r="P38" s="636">
        <v>601.24530612244928</v>
      </c>
      <c r="Q38" s="636"/>
      <c r="R38" s="636"/>
    </row>
    <row r="39" spans="13:19" ht="15.75" thickBot="1" x14ac:dyDescent="0.3">
      <c r="M39" s="640" t="s">
        <v>1</v>
      </c>
      <c r="N39" s="640">
        <v>29</v>
      </c>
      <c r="O39" s="640">
        <v>105604.80000000002</v>
      </c>
      <c r="P39" s="640"/>
      <c r="Q39" s="640"/>
      <c r="R39" s="640"/>
    </row>
    <row r="40" spans="13:19" ht="15.75" thickBot="1" x14ac:dyDescent="0.3"/>
    <row r="41" spans="13:19" x14ac:dyDescent="0.25">
      <c r="M41" s="619"/>
      <c r="N41" s="619" t="s">
        <v>298</v>
      </c>
      <c r="O41" s="619" t="s">
        <v>11</v>
      </c>
      <c r="P41" s="619" t="s">
        <v>85</v>
      </c>
      <c r="Q41" s="619" t="s">
        <v>119</v>
      </c>
      <c r="R41" s="619" t="s">
        <v>299</v>
      </c>
      <c r="S41" s="619" t="s">
        <v>300</v>
      </c>
    </row>
    <row r="42" spans="13:19" x14ac:dyDescent="0.25">
      <c r="M42" s="636" t="s">
        <v>296</v>
      </c>
      <c r="N42" s="636">
        <v>-53.280000000000015</v>
      </c>
      <c r="O42" s="636">
        <v>10.208616608592202</v>
      </c>
      <c r="P42" s="636">
        <v>-5.2191204785921999</v>
      </c>
      <c r="Q42" s="636">
        <v>1.5237399157471087E-5</v>
      </c>
      <c r="R42" s="636">
        <v>-74.191403168889835</v>
      </c>
      <c r="S42" s="636">
        <v>-32.368596831110196</v>
      </c>
    </row>
    <row r="43" spans="13:19" ht="15.75" thickBot="1" x14ac:dyDescent="0.3">
      <c r="M43" s="640" t="s">
        <v>429</v>
      </c>
      <c r="N43" s="640">
        <v>31.851428571428578</v>
      </c>
      <c r="O43" s="640">
        <v>2.6213307550009226</v>
      </c>
      <c r="P43" s="640">
        <v>12.150862118663605</v>
      </c>
      <c r="Q43" s="640">
        <v>1.1087964007592032E-12</v>
      </c>
      <c r="R43" s="640">
        <v>26.481875931877166</v>
      </c>
      <c r="S43" s="640">
        <v>37.220981210979986</v>
      </c>
    </row>
  </sheetData>
  <mergeCells count="1">
    <mergeCell ref="B3:G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G55"/>
  <sheetViews>
    <sheetView workbookViewId="0"/>
  </sheetViews>
  <sheetFormatPr defaultRowHeight="15" x14ac:dyDescent="0.25"/>
  <cols>
    <col min="1" max="1" width="18.42578125" customWidth="1"/>
    <col min="2" max="2" width="11.5703125" customWidth="1"/>
    <col min="3" max="3" width="13.7109375" customWidth="1"/>
    <col min="6" max="6" width="12.85546875" customWidth="1"/>
    <col min="7" max="7" width="13" customWidth="1"/>
  </cols>
  <sheetData>
    <row r="1" spans="1:7" x14ac:dyDescent="0.25">
      <c r="A1" t="s">
        <v>290</v>
      </c>
    </row>
    <row r="2" spans="1:7" ht="15.75" thickBot="1" x14ac:dyDescent="0.3"/>
    <row r="3" spans="1:7" x14ac:dyDescent="0.25">
      <c r="A3" s="21" t="s">
        <v>291</v>
      </c>
      <c r="B3" s="21"/>
    </row>
    <row r="4" spans="1:7" x14ac:dyDescent="0.25">
      <c r="A4" s="19" t="s">
        <v>292</v>
      </c>
      <c r="B4" s="19">
        <v>0.97741197717339279</v>
      </c>
    </row>
    <row r="5" spans="1:7" x14ac:dyDescent="0.25">
      <c r="A5" s="19" t="s">
        <v>285</v>
      </c>
      <c r="B5" s="19">
        <v>0.95533417312200086</v>
      </c>
    </row>
    <row r="6" spans="1:7" x14ac:dyDescent="0.25">
      <c r="A6" s="19" t="s">
        <v>293</v>
      </c>
      <c r="B6" s="19">
        <v>0.9520255933532602</v>
      </c>
    </row>
    <row r="7" spans="1:7" x14ac:dyDescent="0.25">
      <c r="A7" s="19" t="s">
        <v>11</v>
      </c>
      <c r="B7" s="19">
        <v>13.217448784881009</v>
      </c>
    </row>
    <row r="8" spans="1:7" ht="15.75" thickBot="1" x14ac:dyDescent="0.3">
      <c r="A8" s="20" t="s">
        <v>81</v>
      </c>
      <c r="B8" s="20">
        <v>30</v>
      </c>
    </row>
    <row r="10" spans="1:7" ht="15.75" thickBot="1" x14ac:dyDescent="0.3">
      <c r="A10" t="s">
        <v>294</v>
      </c>
    </row>
    <row r="11" spans="1:7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</row>
    <row r="12" spans="1:7" x14ac:dyDescent="0.25">
      <c r="A12" s="19" t="s">
        <v>222</v>
      </c>
      <c r="B12" s="19">
        <v>2</v>
      </c>
      <c r="C12" s="19">
        <v>100887.87428571429</v>
      </c>
      <c r="D12" s="19">
        <v>50443.937142857147</v>
      </c>
      <c r="E12" s="19">
        <v>288.74448854096238</v>
      </c>
      <c r="F12" s="19">
        <v>5.9520642004325394E-19</v>
      </c>
    </row>
    <row r="13" spans="1:7" x14ac:dyDescent="0.25">
      <c r="A13" s="19" t="s">
        <v>295</v>
      </c>
      <c r="B13" s="19">
        <v>27</v>
      </c>
      <c r="C13" s="19">
        <v>4716.9257142857168</v>
      </c>
      <c r="D13" s="19">
        <v>174.70095238095249</v>
      </c>
      <c r="E13" s="19"/>
      <c r="F13" s="19"/>
    </row>
    <row r="14" spans="1:7" ht="15.75" thickBot="1" x14ac:dyDescent="0.3">
      <c r="A14" s="20" t="s">
        <v>1</v>
      </c>
      <c r="B14" s="20">
        <v>29</v>
      </c>
      <c r="C14" s="20">
        <v>105604.80000000002</v>
      </c>
      <c r="D14" s="20"/>
      <c r="E14" s="20"/>
      <c r="F14" s="20"/>
    </row>
    <row r="15" spans="1:7" ht="15.75" thickBot="1" x14ac:dyDescent="0.3"/>
    <row r="16" spans="1:7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</row>
    <row r="17" spans="1:7" x14ac:dyDescent="0.25">
      <c r="A17" s="19" t="s">
        <v>296</v>
      </c>
      <c r="B17" s="19">
        <v>21.920000000000073</v>
      </c>
      <c r="C17" s="19">
        <v>10.573959027904825</v>
      </c>
      <c r="D17" s="19">
        <v>2.0730173005354842</v>
      </c>
      <c r="E17" s="19">
        <v>4.7839766500995397E-2</v>
      </c>
      <c r="F17" s="19">
        <v>0.22402818653273116</v>
      </c>
      <c r="G17" s="19">
        <v>43.615971813467411</v>
      </c>
    </row>
    <row r="18" spans="1:7" x14ac:dyDescent="0.25">
      <c r="A18" s="19" t="s">
        <v>429</v>
      </c>
      <c r="B18" s="19">
        <v>-24.548571428571464</v>
      </c>
      <c r="C18" s="19">
        <v>6.9177729301362048</v>
      </c>
      <c r="D18" s="19">
        <v>-3.5486234770195217</v>
      </c>
      <c r="E18" s="19">
        <v>1.441195885607783E-3</v>
      </c>
      <c r="F18" s="19">
        <v>-38.742669032706175</v>
      </c>
      <c r="G18" s="19">
        <v>-10.354473824436754</v>
      </c>
    </row>
    <row r="19" spans="1:7" ht="15.75" thickBot="1" x14ac:dyDescent="0.3">
      <c r="A19" s="20" t="s">
        <v>430</v>
      </c>
      <c r="B19" s="20">
        <v>8.0571428571428605</v>
      </c>
      <c r="C19" s="20">
        <v>0.9674181925019163</v>
      </c>
      <c r="D19" s="20">
        <v>8.3285004557394657</v>
      </c>
      <c r="E19" s="20">
        <v>6.1451920419363139E-9</v>
      </c>
      <c r="F19" s="20">
        <v>6.072164687569229</v>
      </c>
      <c r="G19" s="20">
        <v>10.042121026716492</v>
      </c>
    </row>
    <row r="23" spans="1:7" x14ac:dyDescent="0.25">
      <c r="A23" t="s">
        <v>301</v>
      </c>
      <c r="F23" t="s">
        <v>305</v>
      </c>
    </row>
    <row r="24" spans="1:7" ht="15.75" thickBot="1" x14ac:dyDescent="0.3"/>
    <row r="25" spans="1:7" x14ac:dyDescent="0.25">
      <c r="A25" s="18" t="s">
        <v>302</v>
      </c>
      <c r="B25" s="18" t="s">
        <v>431</v>
      </c>
      <c r="C25" s="18" t="s">
        <v>303</v>
      </c>
      <c r="D25" s="18" t="s">
        <v>304</v>
      </c>
      <c r="F25" s="18" t="s">
        <v>306</v>
      </c>
      <c r="G25" s="18" t="s">
        <v>428</v>
      </c>
    </row>
    <row r="26" spans="1:7" x14ac:dyDescent="0.25">
      <c r="A26" s="19">
        <v>1</v>
      </c>
      <c r="B26" s="19">
        <v>5.4285714285714697</v>
      </c>
      <c r="C26" s="19">
        <v>1.5714285714285303</v>
      </c>
      <c r="D26" s="19">
        <v>0.12321515444488092</v>
      </c>
      <c r="F26" s="19">
        <v>1.6666666666666667</v>
      </c>
      <c r="G26" s="19">
        <v>2</v>
      </c>
    </row>
    <row r="27" spans="1:7" x14ac:dyDescent="0.25">
      <c r="A27" s="19">
        <v>2</v>
      </c>
      <c r="B27" s="19">
        <v>5.0514285714285876</v>
      </c>
      <c r="C27" s="19">
        <v>5.9485714285714124</v>
      </c>
      <c r="D27" s="19">
        <v>0.46642536646226923</v>
      </c>
      <c r="F27" s="19">
        <v>5</v>
      </c>
      <c r="G27" s="19">
        <v>3</v>
      </c>
    </row>
    <row r="28" spans="1:7" x14ac:dyDescent="0.25">
      <c r="A28" s="19">
        <v>3</v>
      </c>
      <c r="B28" s="19">
        <v>20.78857142857143</v>
      </c>
      <c r="C28" s="19">
        <v>2.21142857142857</v>
      </c>
      <c r="D28" s="19">
        <v>0.1733973264369823</v>
      </c>
      <c r="F28" s="19">
        <v>8.3333333333333339</v>
      </c>
      <c r="G28" s="19">
        <v>4</v>
      </c>
    </row>
    <row r="29" spans="1:7" x14ac:dyDescent="0.25">
      <c r="A29" s="19">
        <v>4</v>
      </c>
      <c r="B29" s="19">
        <v>52.639999999999986</v>
      </c>
      <c r="C29" s="19">
        <v>6.3600000000000136</v>
      </c>
      <c r="D29" s="19">
        <v>0.49868533417147765</v>
      </c>
      <c r="F29" s="19">
        <v>11.666666666666666</v>
      </c>
      <c r="G29" s="19">
        <v>5</v>
      </c>
    </row>
    <row r="30" spans="1:7" x14ac:dyDescent="0.25">
      <c r="A30" s="19">
        <v>5</v>
      </c>
      <c r="B30" s="19">
        <v>100.60571428571426</v>
      </c>
      <c r="C30" s="19">
        <v>19.394285714285743</v>
      </c>
      <c r="D30" s="19">
        <v>1.5206990334034087</v>
      </c>
      <c r="F30" s="19">
        <v>15</v>
      </c>
      <c r="G30" s="19">
        <v>5</v>
      </c>
    </row>
    <row r="31" spans="1:7" x14ac:dyDescent="0.25">
      <c r="A31" s="19">
        <v>6</v>
      </c>
      <c r="B31" s="19">
        <v>164.68571428571428</v>
      </c>
      <c r="C31" s="19">
        <v>15.314285714285717</v>
      </c>
      <c r="D31" s="19">
        <v>1.2007876869537801</v>
      </c>
      <c r="F31" s="19">
        <v>18.333333333333336</v>
      </c>
      <c r="G31" s="19">
        <v>7</v>
      </c>
    </row>
    <row r="32" spans="1:7" x14ac:dyDescent="0.25">
      <c r="A32" s="19">
        <v>7</v>
      </c>
      <c r="B32" s="19">
        <v>5.4285714285714697</v>
      </c>
      <c r="C32" s="19">
        <v>-2.4285714285714697</v>
      </c>
      <c r="D32" s="19">
        <v>-0.19042342050573327</v>
      </c>
      <c r="F32" s="19">
        <v>21.666666666666668</v>
      </c>
      <c r="G32" s="19">
        <v>8</v>
      </c>
    </row>
    <row r="33" spans="1:7" x14ac:dyDescent="0.25">
      <c r="A33" s="19">
        <v>8</v>
      </c>
      <c r="B33" s="19">
        <v>5.0514285714285876</v>
      </c>
      <c r="C33" s="19">
        <v>2.9485714285714124</v>
      </c>
      <c r="D33" s="19">
        <v>0.23119643524930861</v>
      </c>
      <c r="F33" s="19">
        <v>25.000000000000004</v>
      </c>
      <c r="G33" s="19">
        <v>9</v>
      </c>
    </row>
    <row r="34" spans="1:7" x14ac:dyDescent="0.25">
      <c r="A34" s="19">
        <v>9</v>
      </c>
      <c r="B34" s="19">
        <v>20.78857142857143</v>
      </c>
      <c r="C34" s="19">
        <v>-0.78857142857143003</v>
      </c>
      <c r="D34" s="19">
        <v>-6.1831604775978342E-2</v>
      </c>
      <c r="F34" s="19">
        <v>28.333333333333336</v>
      </c>
      <c r="G34" s="19">
        <v>11</v>
      </c>
    </row>
    <row r="35" spans="1:7" x14ac:dyDescent="0.25">
      <c r="A35" s="19">
        <v>10</v>
      </c>
      <c r="B35" s="19">
        <v>52.639999999999986</v>
      </c>
      <c r="C35" s="19">
        <v>-4.6399999999999864</v>
      </c>
      <c r="D35" s="19">
        <v>-0.36382074694271138</v>
      </c>
      <c r="F35" s="19">
        <v>31.666666666666668</v>
      </c>
      <c r="G35" s="19">
        <v>11</v>
      </c>
    </row>
    <row r="36" spans="1:7" x14ac:dyDescent="0.25">
      <c r="A36" s="19">
        <v>11</v>
      </c>
      <c r="B36" s="19">
        <v>100.60571428571426</v>
      </c>
      <c r="C36" s="19">
        <v>-12.605714285714257</v>
      </c>
      <c r="D36" s="19">
        <v>-0.98840956620150466</v>
      </c>
      <c r="F36" s="19">
        <v>35</v>
      </c>
      <c r="G36" s="19">
        <v>12</v>
      </c>
    </row>
    <row r="37" spans="1:7" x14ac:dyDescent="0.25">
      <c r="A37" s="19">
        <v>12</v>
      </c>
      <c r="B37" s="19">
        <v>164.68571428571428</v>
      </c>
      <c r="C37" s="19">
        <v>-24.685714285714283</v>
      </c>
      <c r="D37" s="19">
        <v>-1.9355980625523617</v>
      </c>
      <c r="F37" s="19">
        <v>38.333333333333336</v>
      </c>
      <c r="G37" s="19">
        <v>16</v>
      </c>
    </row>
    <row r="38" spans="1:7" x14ac:dyDescent="0.25">
      <c r="A38" s="19">
        <v>13</v>
      </c>
      <c r="B38" s="19">
        <v>5.4285714285714697</v>
      </c>
      <c r="C38" s="19">
        <v>-1.4285714285714697</v>
      </c>
      <c r="D38" s="19">
        <v>-0.11201377676807972</v>
      </c>
      <c r="F38" s="19">
        <v>41.666666666666664</v>
      </c>
      <c r="G38" s="19">
        <v>20</v>
      </c>
    </row>
    <row r="39" spans="1:7" x14ac:dyDescent="0.25">
      <c r="A39" s="19">
        <v>14</v>
      </c>
      <c r="B39" s="19">
        <v>5.0514285714285876</v>
      </c>
      <c r="C39" s="19">
        <v>5.9485714285714124</v>
      </c>
      <c r="D39" s="19">
        <v>0.46642536646226923</v>
      </c>
      <c r="F39" s="19">
        <v>45</v>
      </c>
      <c r="G39" s="19">
        <v>21</v>
      </c>
    </row>
    <row r="40" spans="1:7" x14ac:dyDescent="0.25">
      <c r="A40" s="19">
        <v>15</v>
      </c>
      <c r="B40" s="19">
        <v>20.78857142857143</v>
      </c>
      <c r="C40" s="19">
        <v>0.21142857142856997</v>
      </c>
      <c r="D40" s="19">
        <v>1.6578038961675208E-2</v>
      </c>
      <c r="F40" s="19">
        <v>48.333333333333336</v>
      </c>
      <c r="G40" s="19">
        <v>23</v>
      </c>
    </row>
    <row r="41" spans="1:7" x14ac:dyDescent="0.25">
      <c r="A41" s="19">
        <v>16</v>
      </c>
      <c r="B41" s="19">
        <v>52.639999999999986</v>
      </c>
      <c r="C41" s="19">
        <v>5.3600000000000136</v>
      </c>
      <c r="D41" s="19">
        <v>0.42027569043382407</v>
      </c>
      <c r="F41" s="19">
        <v>51.666666666666664</v>
      </c>
      <c r="G41" s="19">
        <v>38</v>
      </c>
    </row>
    <row r="42" spans="1:7" x14ac:dyDescent="0.25">
      <c r="A42" s="19">
        <v>17</v>
      </c>
      <c r="B42" s="19">
        <v>100.60571428571426</v>
      </c>
      <c r="C42" s="19">
        <v>27.394285714285743</v>
      </c>
      <c r="D42" s="19">
        <v>2.1479761833046371</v>
      </c>
      <c r="F42" s="19">
        <v>55</v>
      </c>
      <c r="G42" s="19">
        <v>45</v>
      </c>
    </row>
    <row r="43" spans="1:7" x14ac:dyDescent="0.25">
      <c r="A43" s="19">
        <v>18</v>
      </c>
      <c r="B43" s="19">
        <v>164.68571428571428</v>
      </c>
      <c r="C43" s="19">
        <v>30.314285714285717</v>
      </c>
      <c r="D43" s="19">
        <v>2.3769323430185834</v>
      </c>
      <c r="F43" s="19">
        <v>58.333333333333336</v>
      </c>
      <c r="G43" s="19">
        <v>48</v>
      </c>
    </row>
    <row r="44" spans="1:7" x14ac:dyDescent="0.25">
      <c r="A44" s="19">
        <v>19</v>
      </c>
      <c r="B44" s="19">
        <v>5.4285714285714697</v>
      </c>
      <c r="C44" s="19">
        <v>-0.42857142857146968</v>
      </c>
      <c r="D44" s="19">
        <v>-3.360413303042617E-2</v>
      </c>
      <c r="F44" s="19">
        <v>61.666666666666664</v>
      </c>
      <c r="G44" s="19">
        <v>58</v>
      </c>
    </row>
    <row r="45" spans="1:7" x14ac:dyDescent="0.25">
      <c r="A45" s="19">
        <v>20</v>
      </c>
      <c r="B45" s="19">
        <v>5.0514285714285876</v>
      </c>
      <c r="C45" s="19">
        <v>3.9485714285714124</v>
      </c>
      <c r="D45" s="19">
        <v>0.30960607898696219</v>
      </c>
      <c r="F45" s="19">
        <v>65</v>
      </c>
      <c r="G45" s="19">
        <v>59</v>
      </c>
    </row>
    <row r="46" spans="1:7" x14ac:dyDescent="0.25">
      <c r="A46" s="19">
        <v>21</v>
      </c>
      <c r="B46" s="19">
        <v>20.78857142857143</v>
      </c>
      <c r="C46" s="19">
        <v>-4.78857142857143</v>
      </c>
      <c r="D46" s="19">
        <v>-0.37547017972659252</v>
      </c>
      <c r="F46" s="19">
        <v>68.333333333333343</v>
      </c>
      <c r="G46" s="19">
        <v>78</v>
      </c>
    </row>
    <row r="47" spans="1:7" x14ac:dyDescent="0.25">
      <c r="A47" s="19">
        <v>22</v>
      </c>
      <c r="B47" s="19">
        <v>52.639999999999986</v>
      </c>
      <c r="C47" s="19">
        <v>-7.6399999999999864</v>
      </c>
      <c r="D47" s="19">
        <v>-0.59904967815567201</v>
      </c>
      <c r="F47" s="19">
        <v>71.666666666666671</v>
      </c>
      <c r="G47" s="19">
        <v>88</v>
      </c>
    </row>
    <row r="48" spans="1:7" x14ac:dyDescent="0.25">
      <c r="A48" s="19">
        <v>23</v>
      </c>
      <c r="B48" s="19">
        <v>100.60571428571426</v>
      </c>
      <c r="C48" s="19">
        <v>10.394285714285743</v>
      </c>
      <c r="D48" s="19">
        <v>0.81501223976452686</v>
      </c>
      <c r="F48" s="19">
        <v>75.000000000000014</v>
      </c>
      <c r="G48" s="19">
        <v>111</v>
      </c>
    </row>
    <row r="49" spans="1:7" x14ac:dyDescent="0.25">
      <c r="A49" s="19">
        <v>24</v>
      </c>
      <c r="B49" s="19">
        <v>164.68571428571428</v>
      </c>
      <c r="C49" s="19">
        <v>-8.6857142857142833</v>
      </c>
      <c r="D49" s="19">
        <v>-0.68104376274990486</v>
      </c>
      <c r="F49" s="19">
        <v>78.333333333333343</v>
      </c>
      <c r="G49" s="19">
        <v>120</v>
      </c>
    </row>
    <row r="50" spans="1:7" x14ac:dyDescent="0.25">
      <c r="A50" s="19">
        <v>25</v>
      </c>
      <c r="B50" s="19">
        <v>5.4285714285714697</v>
      </c>
      <c r="C50" s="19">
        <v>-3.4285714285714697</v>
      </c>
      <c r="D50" s="19">
        <v>-0.26883306424338682</v>
      </c>
      <c r="F50" s="19">
        <v>81.666666666666671</v>
      </c>
      <c r="G50" s="19">
        <v>128</v>
      </c>
    </row>
    <row r="51" spans="1:7" x14ac:dyDescent="0.25">
      <c r="A51" s="19">
        <v>26</v>
      </c>
      <c r="B51" s="19">
        <v>5.0514285714285876</v>
      </c>
      <c r="C51" s="19">
        <v>-5.1428571428587588E-2</v>
      </c>
      <c r="D51" s="19">
        <v>-4.0324959636520207E-3</v>
      </c>
      <c r="F51" s="19">
        <v>85.000000000000014</v>
      </c>
      <c r="G51" s="19">
        <v>140</v>
      </c>
    </row>
    <row r="52" spans="1:7" x14ac:dyDescent="0.25">
      <c r="A52" s="19">
        <v>27</v>
      </c>
      <c r="B52" s="19">
        <v>20.78857142857143</v>
      </c>
      <c r="C52" s="19">
        <v>-8.78857142857143</v>
      </c>
      <c r="D52" s="19">
        <v>-0.68910875467720667</v>
      </c>
      <c r="F52" s="19">
        <v>88.333333333333343</v>
      </c>
      <c r="G52" s="19">
        <v>145</v>
      </c>
    </row>
    <row r="53" spans="1:7" x14ac:dyDescent="0.25">
      <c r="A53" s="19">
        <v>28</v>
      </c>
      <c r="B53" s="19">
        <v>52.639999999999986</v>
      </c>
      <c r="C53" s="19">
        <v>-14.639999999999986</v>
      </c>
      <c r="D53" s="19">
        <v>-1.1479171843192468</v>
      </c>
      <c r="F53" s="19">
        <v>91.666666666666671</v>
      </c>
      <c r="G53" s="19">
        <v>156</v>
      </c>
    </row>
    <row r="54" spans="1:7" x14ac:dyDescent="0.25">
      <c r="A54" s="19">
        <v>29</v>
      </c>
      <c r="B54" s="19">
        <v>100.60571428571426</v>
      </c>
      <c r="C54" s="19">
        <v>-22.605714285714257</v>
      </c>
      <c r="D54" s="19">
        <v>-1.7725060035780402</v>
      </c>
      <c r="F54" s="19">
        <v>95.000000000000014</v>
      </c>
      <c r="G54" s="19">
        <v>180</v>
      </c>
    </row>
    <row r="55" spans="1:7" ht="15.75" thickBot="1" x14ac:dyDescent="0.3">
      <c r="A55" s="20">
        <v>30</v>
      </c>
      <c r="B55" s="20">
        <v>164.68571428571428</v>
      </c>
      <c r="C55" s="20">
        <v>-19.685714285714283</v>
      </c>
      <c r="D55" s="20">
        <v>-1.543549843864094</v>
      </c>
      <c r="F55" s="20">
        <v>98.333333333333343</v>
      </c>
      <c r="G55" s="20">
        <v>195</v>
      </c>
    </row>
  </sheetData>
  <sortState ref="G26:G55">
    <sortCondition ref="G26"/>
  </sortState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G18"/>
  <sheetViews>
    <sheetView workbookViewId="0"/>
  </sheetViews>
  <sheetFormatPr defaultRowHeight="15" x14ac:dyDescent="0.25"/>
  <cols>
    <col min="1" max="1" width="19.85546875" customWidth="1"/>
    <col min="2" max="2" width="11.85546875" customWidth="1"/>
    <col min="3" max="3" width="14.7109375" customWidth="1"/>
    <col min="4" max="7" width="11.85546875" customWidth="1"/>
  </cols>
  <sheetData>
    <row r="1" spans="1:7" x14ac:dyDescent="0.25">
      <c r="A1" t="s">
        <v>290</v>
      </c>
    </row>
    <row r="2" spans="1:7" ht="15.75" thickBot="1" x14ac:dyDescent="0.3"/>
    <row r="3" spans="1:7" x14ac:dyDescent="0.25">
      <c r="A3" s="21" t="s">
        <v>291</v>
      </c>
      <c r="B3" s="21"/>
    </row>
    <row r="4" spans="1:7" x14ac:dyDescent="0.25">
      <c r="A4" s="19" t="s">
        <v>292</v>
      </c>
      <c r="B4" s="19">
        <v>0.91683485000753651</v>
      </c>
    </row>
    <row r="5" spans="1:7" x14ac:dyDescent="0.25">
      <c r="A5" s="19" t="s">
        <v>285</v>
      </c>
      <c r="B5" s="19">
        <v>0.84058614218834204</v>
      </c>
    </row>
    <row r="6" spans="1:7" x14ac:dyDescent="0.25">
      <c r="A6" s="19" t="s">
        <v>293</v>
      </c>
      <c r="B6" s="19">
        <v>0.83489279012364004</v>
      </c>
    </row>
    <row r="7" spans="1:7" x14ac:dyDescent="0.25">
      <c r="A7" s="19" t="s">
        <v>11</v>
      </c>
      <c r="B7" s="19">
        <v>24.520303956567286</v>
      </c>
    </row>
    <row r="8" spans="1:7" ht="15.75" thickBot="1" x14ac:dyDescent="0.3">
      <c r="A8" s="20" t="s">
        <v>81</v>
      </c>
      <c r="B8" s="20">
        <v>30</v>
      </c>
    </row>
    <row r="10" spans="1:7" ht="15.75" thickBot="1" x14ac:dyDescent="0.3">
      <c r="A10" t="s">
        <v>294</v>
      </c>
    </row>
    <row r="11" spans="1:7" x14ac:dyDescent="0.25">
      <c r="A11" s="18"/>
      <c r="B11" s="18" t="s">
        <v>60</v>
      </c>
      <c r="C11" s="18" t="s">
        <v>219</v>
      </c>
      <c r="D11" s="18" t="s">
        <v>240</v>
      </c>
      <c r="E11" s="18" t="s">
        <v>135</v>
      </c>
      <c r="F11" s="18" t="s">
        <v>297</v>
      </c>
    </row>
    <row r="12" spans="1:7" x14ac:dyDescent="0.25">
      <c r="A12" s="19" t="s">
        <v>222</v>
      </c>
      <c r="B12" s="19">
        <v>1</v>
      </c>
      <c r="C12" s="19">
        <v>88769.931428571435</v>
      </c>
      <c r="D12" s="19">
        <v>88769.931428571435</v>
      </c>
      <c r="E12" s="19">
        <v>147.64345022677418</v>
      </c>
      <c r="F12" s="19">
        <v>1.108796400759207E-12</v>
      </c>
    </row>
    <row r="13" spans="1:7" x14ac:dyDescent="0.25">
      <c r="A13" s="19" t="s">
        <v>295</v>
      </c>
      <c r="B13" s="19">
        <v>28</v>
      </c>
      <c r="C13" s="19">
        <v>16834.868571428578</v>
      </c>
      <c r="D13" s="19">
        <v>601.24530612244928</v>
      </c>
      <c r="E13" s="19"/>
      <c r="F13" s="19"/>
    </row>
    <row r="14" spans="1:7" ht="15.75" thickBot="1" x14ac:dyDescent="0.3">
      <c r="A14" s="20" t="s">
        <v>1</v>
      </c>
      <c r="B14" s="20">
        <v>29</v>
      </c>
      <c r="C14" s="20">
        <v>105604.80000000002</v>
      </c>
      <c r="D14" s="20"/>
      <c r="E14" s="20"/>
      <c r="F14" s="20"/>
    </row>
    <row r="15" spans="1:7" ht="15.75" thickBot="1" x14ac:dyDescent="0.3"/>
    <row r="16" spans="1:7" x14ac:dyDescent="0.25">
      <c r="A16" s="18"/>
      <c r="B16" s="18" t="s">
        <v>298</v>
      </c>
      <c r="C16" s="18" t="s">
        <v>11</v>
      </c>
      <c r="D16" s="18" t="s">
        <v>85</v>
      </c>
      <c r="E16" s="18" t="s">
        <v>119</v>
      </c>
      <c r="F16" s="18" t="s">
        <v>299</v>
      </c>
      <c r="G16" s="18" t="s">
        <v>300</v>
      </c>
    </row>
    <row r="17" spans="1:7" x14ac:dyDescent="0.25">
      <c r="A17" s="19" t="s">
        <v>296</v>
      </c>
      <c r="B17" s="19">
        <v>-53.280000000000015</v>
      </c>
      <c r="C17" s="19">
        <v>10.208616608592202</v>
      </c>
      <c r="D17" s="19">
        <v>-5.2191204785921999</v>
      </c>
      <c r="E17" s="19">
        <v>1.5237399157471087E-5</v>
      </c>
      <c r="F17" s="19">
        <v>-74.191403168889835</v>
      </c>
      <c r="G17" s="19">
        <v>-32.368596831110196</v>
      </c>
    </row>
    <row r="18" spans="1:7" ht="15.75" thickBot="1" x14ac:dyDescent="0.3">
      <c r="A18" s="20" t="s">
        <v>429</v>
      </c>
      <c r="B18" s="20">
        <v>31.851428571428578</v>
      </c>
      <c r="C18" s="20">
        <v>2.6213307550009226</v>
      </c>
      <c r="D18" s="20">
        <v>12.150862118663605</v>
      </c>
      <c r="E18" s="20">
        <v>1.1087964007592032E-12</v>
      </c>
      <c r="F18" s="20">
        <v>26.481875931877166</v>
      </c>
      <c r="G18" s="20">
        <v>37.220981210979986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/>
  <dimension ref="A1:AA58"/>
  <sheetViews>
    <sheetView workbookViewId="0"/>
  </sheetViews>
  <sheetFormatPr defaultRowHeight="15" x14ac:dyDescent="0.25"/>
  <cols>
    <col min="4" max="4" width="5.42578125" customWidth="1"/>
    <col min="6" max="6" width="9.140625" customWidth="1"/>
    <col min="9" max="9" width="17.85546875" customWidth="1"/>
    <col min="17" max="17" width="12.85546875" customWidth="1"/>
    <col min="21" max="21" width="19.140625" customWidth="1"/>
    <col min="26" max="26" width="4.85546875" customWidth="1"/>
    <col min="27" max="27" width="47.140625" customWidth="1"/>
  </cols>
  <sheetData>
    <row r="1" spans="1:27" x14ac:dyDescent="0.25">
      <c r="A1" s="1" t="s">
        <v>1599</v>
      </c>
    </row>
    <row r="2" spans="1:27" x14ac:dyDescent="0.25">
      <c r="A2" s="1"/>
    </row>
    <row r="3" spans="1:27" x14ac:dyDescent="0.25">
      <c r="A3" s="1" t="s">
        <v>1606</v>
      </c>
    </row>
    <row r="5" spans="1:27" x14ac:dyDescent="0.25">
      <c r="A5" s="131" t="s">
        <v>382</v>
      </c>
      <c r="B5" s="131" t="s">
        <v>383</v>
      </c>
      <c r="C5" s="745" t="s">
        <v>376</v>
      </c>
      <c r="E5" s="131" t="s">
        <v>382</v>
      </c>
      <c r="F5" s="131" t="s">
        <v>383</v>
      </c>
      <c r="G5" s="745" t="s">
        <v>1601</v>
      </c>
      <c r="I5" t="s">
        <v>1593</v>
      </c>
      <c r="Q5" s="1" t="s">
        <v>361</v>
      </c>
      <c r="W5" s="1" t="s">
        <v>367</v>
      </c>
    </row>
    <row r="6" spans="1:27" x14ac:dyDescent="0.25">
      <c r="A6" s="740">
        <v>7</v>
      </c>
      <c r="B6" s="740">
        <v>5</v>
      </c>
      <c r="C6" s="740">
        <v>58</v>
      </c>
      <c r="E6" s="740">
        <f>A6</f>
        <v>7</v>
      </c>
      <c r="F6" s="740">
        <f>B6</f>
        <v>5</v>
      </c>
      <c r="G6" s="13">
        <f>LN(C6)</f>
        <v>4.0604430105464191</v>
      </c>
    </row>
    <row r="7" spans="1:27" ht="15.75" thickBot="1" x14ac:dyDescent="0.3">
      <c r="A7" s="740">
        <v>3</v>
      </c>
      <c r="B7" s="740">
        <v>7</v>
      </c>
      <c r="C7" s="740">
        <v>11</v>
      </c>
      <c r="E7" s="740">
        <f t="shared" ref="E7:E16" si="0">A7</f>
        <v>3</v>
      </c>
      <c r="F7" s="740">
        <f t="shared" ref="F7:F16" si="1">B7</f>
        <v>7</v>
      </c>
      <c r="G7" s="13">
        <f t="shared" ref="G7:G16" si="2">LN(C7)</f>
        <v>2.3978952727983707</v>
      </c>
      <c r="I7" s="743" t="s">
        <v>1598</v>
      </c>
      <c r="J7" s="743"/>
      <c r="Q7" t="s">
        <v>362</v>
      </c>
      <c r="R7" s="127">
        <f t="array" ref="R7:T11">LOGEST(C6:C16,A6:B16,TRUE,TRUE)</f>
        <v>1.2586149756368867</v>
      </c>
      <c r="S7" s="127">
        <v>1.3490959792835211</v>
      </c>
      <c r="T7" s="127">
        <v>1.1934517062513368</v>
      </c>
      <c r="U7" t="s">
        <v>363</v>
      </c>
      <c r="W7" s="740" t="s">
        <v>382</v>
      </c>
      <c r="X7" s="740" t="s">
        <v>383</v>
      </c>
      <c r="Y7" s="740" t="s">
        <v>376</v>
      </c>
    </row>
    <row r="8" spans="1:27" ht="18.75" thickTop="1" x14ac:dyDescent="0.35">
      <c r="A8" s="740">
        <v>5</v>
      </c>
      <c r="B8" s="740">
        <v>8</v>
      </c>
      <c r="C8" s="740">
        <v>24</v>
      </c>
      <c r="E8" s="740">
        <f t="shared" si="0"/>
        <v>5</v>
      </c>
      <c r="F8" s="740">
        <f t="shared" si="1"/>
        <v>8</v>
      </c>
      <c r="G8" s="13">
        <f t="shared" si="2"/>
        <v>3.1780538303479458</v>
      </c>
      <c r="I8" t="s">
        <v>292</v>
      </c>
      <c r="J8">
        <f>SQRT(J9)</f>
        <v>0.91950119158745691</v>
      </c>
      <c r="Q8" t="s">
        <v>364</v>
      </c>
      <c r="R8" s="127">
        <v>4.7228556379341986E-2</v>
      </c>
      <c r="S8" s="127">
        <v>5.1206484748915648E-2</v>
      </c>
      <c r="T8" s="127">
        <v>0.43452154662158687</v>
      </c>
      <c r="U8" t="s">
        <v>284</v>
      </c>
      <c r="W8" s="663">
        <v>7</v>
      </c>
      <c r="X8" s="4">
        <v>7</v>
      </c>
      <c r="Y8" s="747">
        <f t="array" ref="Y8:Y9">GROWTH(C6:C16,A6:B16,W8:X9)</f>
        <v>48.568540133870997</v>
      </c>
      <c r="AA8" s="16" t="s">
        <v>1620</v>
      </c>
    </row>
    <row r="9" spans="1:27" ht="18" x14ac:dyDescent="0.35">
      <c r="A9" s="740">
        <v>8</v>
      </c>
      <c r="B9" s="740">
        <v>1</v>
      </c>
      <c r="C9" s="740">
        <v>11</v>
      </c>
      <c r="E9" s="740">
        <f t="shared" si="0"/>
        <v>8</v>
      </c>
      <c r="F9" s="740">
        <f t="shared" si="1"/>
        <v>1</v>
      </c>
      <c r="G9" s="13">
        <f t="shared" si="2"/>
        <v>2.3978952727983707</v>
      </c>
      <c r="I9" t="s">
        <v>285</v>
      </c>
      <c r="J9">
        <f>K16/K18</f>
        <v>0.84548244133075323</v>
      </c>
      <c r="Q9" t="s">
        <v>365</v>
      </c>
      <c r="R9" s="127">
        <v>0.84548244133075312</v>
      </c>
      <c r="S9" s="127">
        <v>0.3675898087109174</v>
      </c>
      <c r="T9" s="127" t="e">
        <v>#N/A</v>
      </c>
      <c r="U9" t="s">
        <v>286</v>
      </c>
      <c r="W9" s="409">
        <v>4</v>
      </c>
      <c r="X9" s="10">
        <v>5</v>
      </c>
      <c r="Y9" s="748">
        <v>12.486499842727524</v>
      </c>
    </row>
    <row r="10" spans="1:27" ht="18" x14ac:dyDescent="0.35">
      <c r="A10" s="740">
        <v>9</v>
      </c>
      <c r="B10" s="740">
        <v>3</v>
      </c>
      <c r="C10" s="740">
        <v>31</v>
      </c>
      <c r="E10" s="740">
        <f t="shared" si="0"/>
        <v>9</v>
      </c>
      <c r="F10" s="740">
        <f t="shared" si="1"/>
        <v>3</v>
      </c>
      <c r="G10" s="13">
        <f t="shared" si="2"/>
        <v>3.4339872044851463</v>
      </c>
      <c r="I10" t="s">
        <v>293</v>
      </c>
      <c r="J10">
        <f>1-(1-J9)*(J12-1)/(J12-J16-1)</f>
        <v>0.80685305166344157</v>
      </c>
      <c r="Q10" t="s">
        <v>135</v>
      </c>
      <c r="R10" s="127">
        <v>21.887025619931087</v>
      </c>
      <c r="S10" s="127">
        <v>8</v>
      </c>
      <c r="T10" s="127" t="e">
        <v>#N/A</v>
      </c>
      <c r="U10" t="s">
        <v>287</v>
      </c>
    </row>
    <row r="11" spans="1:27" ht="18" x14ac:dyDescent="0.35">
      <c r="A11" s="740">
        <v>5</v>
      </c>
      <c r="B11" s="740">
        <v>4</v>
      </c>
      <c r="C11" s="740">
        <v>15</v>
      </c>
      <c r="E11" s="740">
        <f t="shared" si="0"/>
        <v>5</v>
      </c>
      <c r="F11" s="740">
        <f t="shared" si="1"/>
        <v>4</v>
      </c>
      <c r="G11" s="13">
        <f t="shared" si="2"/>
        <v>2.7080502011022101</v>
      </c>
      <c r="I11" t="s">
        <v>11</v>
      </c>
      <c r="J11">
        <f>SQRT(L17)</f>
        <v>0.36758980871091723</v>
      </c>
      <c r="Q11" t="s">
        <v>288</v>
      </c>
      <c r="R11" s="127">
        <v>5.9148490597962331</v>
      </c>
      <c r="S11" s="127">
        <v>1.0809781397450307</v>
      </c>
      <c r="T11" s="127" t="e">
        <v>#N/A</v>
      </c>
      <c r="U11" t="s">
        <v>289</v>
      </c>
      <c r="W11" s="1" t="s">
        <v>366</v>
      </c>
    </row>
    <row r="12" spans="1:27" x14ac:dyDescent="0.25">
      <c r="A12" s="740">
        <v>4</v>
      </c>
      <c r="B12" s="740">
        <v>0</v>
      </c>
      <c r="C12" s="740">
        <v>5</v>
      </c>
      <c r="E12" s="740">
        <f t="shared" si="0"/>
        <v>4</v>
      </c>
      <c r="F12" s="740">
        <f t="shared" si="1"/>
        <v>0</v>
      </c>
      <c r="G12" s="13">
        <f t="shared" si="2"/>
        <v>1.6094379124341003</v>
      </c>
      <c r="I12" s="410" t="s">
        <v>81</v>
      </c>
      <c r="J12" s="410">
        <f>COUNT(G6:G16)</f>
        <v>11</v>
      </c>
    </row>
    <row r="13" spans="1:27" x14ac:dyDescent="0.25">
      <c r="A13" s="740">
        <v>2</v>
      </c>
      <c r="B13" s="740">
        <v>6</v>
      </c>
      <c r="C13" s="740">
        <v>8</v>
      </c>
      <c r="E13" s="740">
        <f t="shared" si="0"/>
        <v>2</v>
      </c>
      <c r="F13" s="740">
        <f t="shared" si="1"/>
        <v>6</v>
      </c>
      <c r="G13" s="13">
        <f t="shared" si="2"/>
        <v>2.0794415416798357</v>
      </c>
      <c r="W13" s="740" t="s">
        <v>382</v>
      </c>
      <c r="X13" s="740" t="s">
        <v>383</v>
      </c>
      <c r="Y13" s="740" t="s">
        <v>376</v>
      </c>
    </row>
    <row r="14" spans="1:27" ht="15.75" thickBot="1" x14ac:dyDescent="0.3">
      <c r="A14" s="740">
        <v>8</v>
      </c>
      <c r="B14" s="740">
        <v>7</v>
      </c>
      <c r="C14" s="740">
        <v>84</v>
      </c>
      <c r="E14" s="740">
        <f t="shared" si="0"/>
        <v>8</v>
      </c>
      <c r="F14" s="740">
        <f t="shared" si="1"/>
        <v>7</v>
      </c>
      <c r="G14" s="13">
        <f t="shared" si="2"/>
        <v>4.4308167988433134</v>
      </c>
      <c r="I14" t="s">
        <v>294</v>
      </c>
      <c r="M14" s="740" t="s">
        <v>34</v>
      </c>
      <c r="N14" s="740">
        <v>0.05</v>
      </c>
      <c r="W14" s="751">
        <v>7</v>
      </c>
      <c r="X14" s="752">
        <v>7</v>
      </c>
      <c r="Y14" s="753">
        <f>$T$7*$S$7^W14*$R$7^X14</f>
        <v>48.568540133870975</v>
      </c>
      <c r="AA14" s="16" t="s">
        <v>1621</v>
      </c>
    </row>
    <row r="15" spans="1:27" ht="15.75" thickTop="1" x14ac:dyDescent="0.25">
      <c r="A15" s="740">
        <v>6</v>
      </c>
      <c r="B15" s="740">
        <v>4</v>
      </c>
      <c r="C15" s="740">
        <v>24</v>
      </c>
      <c r="E15" s="740">
        <f t="shared" si="0"/>
        <v>6</v>
      </c>
      <c r="F15" s="740">
        <f t="shared" si="1"/>
        <v>4</v>
      </c>
      <c r="G15" s="13">
        <f t="shared" si="2"/>
        <v>3.1780538303479458</v>
      </c>
      <c r="I15" s="693"/>
      <c r="J15" s="693" t="s">
        <v>60</v>
      </c>
      <c r="K15" s="693" t="s">
        <v>219</v>
      </c>
      <c r="L15" s="693" t="s">
        <v>240</v>
      </c>
      <c r="M15" s="693" t="s">
        <v>135</v>
      </c>
      <c r="N15" s="693" t="s">
        <v>67</v>
      </c>
      <c r="O15" s="693" t="s">
        <v>527</v>
      </c>
      <c r="W15" s="409">
        <v>4</v>
      </c>
      <c r="X15" s="410">
        <v>5</v>
      </c>
      <c r="Y15" s="748">
        <f>$T$7*$S$7^W15*$R$7^X15</f>
        <v>12.48649984272752</v>
      </c>
      <c r="AA15" s="16" t="s">
        <v>1622</v>
      </c>
    </row>
    <row r="16" spans="1:27" x14ac:dyDescent="0.25">
      <c r="A16" s="741">
        <v>9</v>
      </c>
      <c r="B16" s="741">
        <v>2</v>
      </c>
      <c r="C16" s="741">
        <v>21</v>
      </c>
      <c r="E16" s="741">
        <f t="shared" si="0"/>
        <v>9</v>
      </c>
      <c r="F16" s="741">
        <f t="shared" si="1"/>
        <v>2</v>
      </c>
      <c r="G16" s="341">
        <f t="shared" si="2"/>
        <v>3.044522437723423</v>
      </c>
      <c r="I16" t="s">
        <v>222</v>
      </c>
      <c r="J16">
        <f>COUNT(E6:F6)</f>
        <v>2</v>
      </c>
      <c r="K16">
        <f>DEVSQ(MMULT([1]!DESIGN(E6:F16),J21:J23))</f>
        <v>5.914849059796234</v>
      </c>
      <c r="L16">
        <f>K16/J16</f>
        <v>2.957424529898117</v>
      </c>
      <c r="M16">
        <f>L16/L17</f>
        <v>21.887025619931109</v>
      </c>
      <c r="N16">
        <f>FDIST(M16,J16,J17)</f>
        <v>5.7004790145361289E-4</v>
      </c>
      <c r="O16" s="740" t="str">
        <f>IF(N16&lt;N14,"yes","no")</f>
        <v>yes</v>
      </c>
      <c r="T16" s="740"/>
    </row>
    <row r="17" spans="9:27" x14ac:dyDescent="0.25">
      <c r="I17" t="s">
        <v>295</v>
      </c>
      <c r="J17">
        <f>J18-J16</f>
        <v>8</v>
      </c>
      <c r="K17">
        <f>K18-K16</f>
        <v>1.0809781397450298</v>
      </c>
      <c r="L17">
        <f>K17/J17</f>
        <v>0.13512226746812872</v>
      </c>
      <c r="W17" s="1" t="s">
        <v>1591</v>
      </c>
    </row>
    <row r="18" spans="9:27" x14ac:dyDescent="0.25">
      <c r="I18" s="410" t="s">
        <v>1</v>
      </c>
      <c r="J18" s="410">
        <f>J12-1</f>
        <v>10</v>
      </c>
      <c r="K18" s="410">
        <f>DEVSQ(G6:G16)</f>
        <v>6.9958271995412638</v>
      </c>
      <c r="L18" s="410"/>
      <c r="M18" s="410"/>
      <c r="N18" s="410"/>
      <c r="O18" s="410"/>
    </row>
    <row r="19" spans="9:27" ht="15.75" thickBot="1" x14ac:dyDescent="0.3">
      <c r="W19" s="740" t="s">
        <v>382</v>
      </c>
      <c r="X19" s="740" t="s">
        <v>383</v>
      </c>
      <c r="Y19" s="740" t="s">
        <v>376</v>
      </c>
    </row>
    <row r="20" spans="9:27" ht="15.75" thickTop="1" x14ac:dyDescent="0.25">
      <c r="I20" s="693"/>
      <c r="J20" s="693" t="s">
        <v>1592</v>
      </c>
      <c r="K20" s="693" t="s">
        <v>1000</v>
      </c>
      <c r="L20" s="693" t="s">
        <v>61</v>
      </c>
      <c r="M20" s="693" t="s">
        <v>67</v>
      </c>
      <c r="N20" s="693" t="s">
        <v>29</v>
      </c>
      <c r="O20" s="693" t="s">
        <v>30</v>
      </c>
      <c r="W20" s="663">
        <v>7</v>
      </c>
      <c r="X20" s="4">
        <v>7</v>
      </c>
      <c r="Y20" s="747">
        <f t="array" ref="Y20:Y21">EXP(TREND(LN(C6:C16),A6:B16,W20:X21))</f>
        <v>48.568540133870997</v>
      </c>
      <c r="AA20" s="16" t="s">
        <v>1623</v>
      </c>
    </row>
    <row r="21" spans="9:27" x14ac:dyDescent="0.25">
      <c r="I21" t="s">
        <v>296</v>
      </c>
      <c r="J21">
        <f t="array" ref="J21:K23">[1]!RegCoeff(E6:F16,G6:G16)</f>
        <v>0.17684970200766681</v>
      </c>
      <c r="K21">
        <v>0.43452154662158687</v>
      </c>
      <c r="L21">
        <f>J21/K21</f>
        <v>0.40699869404101258</v>
      </c>
      <c r="M21">
        <f>TDIST(ABS(L21),$J$17,2)</f>
        <v>0.69468088286553886</v>
      </c>
      <c r="N21">
        <f>J21-TINV(N$14,$J$17)*K21</f>
        <v>-0.82515878133702281</v>
      </c>
      <c r="O21">
        <f>J21+TINV(N$14,$J$17)*K21</f>
        <v>1.1788581853523565</v>
      </c>
      <c r="W21" s="409">
        <v>4</v>
      </c>
      <c r="X21" s="10">
        <v>5</v>
      </c>
      <c r="Y21" s="748">
        <v>12.486499842727525</v>
      </c>
    </row>
    <row r="22" spans="9:27" x14ac:dyDescent="0.25">
      <c r="I22" t="str">
        <f t="array" ref="I22:I23">TRANSPOSE(E5:F5)</f>
        <v>Color</v>
      </c>
      <c r="J22">
        <v>0.29943472316282682</v>
      </c>
      <c r="K22">
        <v>5.1206484748915648E-2</v>
      </c>
      <c r="L22">
        <f>J22/K22</f>
        <v>5.8475938083050636</v>
      </c>
      <c r="M22">
        <f>TDIST(ABS(L22),$J$17,2)</f>
        <v>3.838232440636374E-4</v>
      </c>
      <c r="N22">
        <f>J22-TINV(N$14,$J$17)*K22</f>
        <v>0.18135235758255822</v>
      </c>
      <c r="O22">
        <f>J22+TINV(N$14,$J$17)*K22</f>
        <v>0.41751708874309545</v>
      </c>
    </row>
    <row r="23" spans="9:27" x14ac:dyDescent="0.25">
      <c r="I23" s="410" t="str">
        <v>Quality</v>
      </c>
      <c r="J23" s="410">
        <v>0.23001189068672712</v>
      </c>
      <c r="K23" s="410">
        <v>4.7228556379341986E-2</v>
      </c>
      <c r="L23" s="410">
        <f>J23/K23</f>
        <v>4.8701867751209837</v>
      </c>
      <c r="M23" s="410">
        <f>TDIST(ABS(L23),$J$17,2)</f>
        <v>1.2396784092101128E-3</v>
      </c>
      <c r="N23" s="410">
        <f>J23-TINV(N$14,$J$17)*K23</f>
        <v>0.12110264437624135</v>
      </c>
      <c r="O23" s="410">
        <f>J23+TINV(N$14,$J$17)*K23</f>
        <v>0.33892113699721288</v>
      </c>
    </row>
    <row r="25" spans="9:27" x14ac:dyDescent="0.25">
      <c r="J25" t="s">
        <v>1600</v>
      </c>
    </row>
    <row r="26" spans="9:27" x14ac:dyDescent="0.25">
      <c r="I26" t="str">
        <f>I21</f>
        <v>Intercept</v>
      </c>
      <c r="J26" s="664">
        <f>EXP(J21)</f>
        <v>1.1934517062513368</v>
      </c>
    </row>
    <row r="27" spans="9:27" x14ac:dyDescent="0.25">
      <c r="I27" t="str">
        <f>I22</f>
        <v>Color</v>
      </c>
      <c r="J27" s="503">
        <f>EXP(J22)</f>
        <v>1.3490959792835211</v>
      </c>
    </row>
    <row r="28" spans="9:27" x14ac:dyDescent="0.25">
      <c r="I28" t="str">
        <f>I23</f>
        <v>Quality</v>
      </c>
      <c r="J28" s="420">
        <f>EXP(J23)</f>
        <v>1.2586149756368867</v>
      </c>
    </row>
    <row r="31" spans="9:27" x14ac:dyDescent="0.25">
      <c r="Q31" s="7"/>
      <c r="R31" s="7"/>
      <c r="S31" s="7"/>
    </row>
    <row r="32" spans="9:27" x14ac:dyDescent="0.25">
      <c r="Q32" s="7"/>
      <c r="R32" s="7"/>
      <c r="S32" s="7"/>
    </row>
    <row r="33" spans="1:27" x14ac:dyDescent="0.25">
      <c r="A33" s="1" t="s">
        <v>1609</v>
      </c>
    </row>
    <row r="35" spans="1:27" x14ac:dyDescent="0.25">
      <c r="A35" s="131" t="s">
        <v>382</v>
      </c>
      <c r="B35" s="131" t="s">
        <v>383</v>
      </c>
      <c r="C35" s="745" t="s">
        <v>376</v>
      </c>
      <c r="E35" s="131" t="s">
        <v>1602</v>
      </c>
      <c r="F35" s="131" t="s">
        <v>1603</v>
      </c>
      <c r="G35" s="745" t="s">
        <v>1601</v>
      </c>
      <c r="I35" t="s">
        <v>1593</v>
      </c>
      <c r="W35" s="1" t="s">
        <v>366</v>
      </c>
    </row>
    <row r="36" spans="1:27" x14ac:dyDescent="0.25">
      <c r="A36" s="740">
        <v>6</v>
      </c>
      <c r="B36" s="740">
        <v>3</v>
      </c>
      <c r="C36" s="740">
        <v>58</v>
      </c>
      <c r="E36" s="13">
        <f>LN(A36)</f>
        <v>1.791759469228055</v>
      </c>
      <c r="F36" s="13">
        <f>LN(B36)</f>
        <v>1.0986122886681098</v>
      </c>
      <c r="G36" s="13">
        <f>LN(C36)</f>
        <v>4.0604430105464191</v>
      </c>
    </row>
    <row r="37" spans="1:27" ht="15.75" thickBot="1" x14ac:dyDescent="0.3">
      <c r="A37" s="740">
        <v>2</v>
      </c>
      <c r="B37" s="740">
        <v>6</v>
      </c>
      <c r="C37" s="740">
        <v>11</v>
      </c>
      <c r="E37" s="13">
        <f t="shared" ref="E37:E46" si="3">LN(A37)</f>
        <v>0.69314718055994529</v>
      </c>
      <c r="F37" s="13">
        <f t="shared" ref="F37:F46" si="4">LN(B37)</f>
        <v>1.791759469228055</v>
      </c>
      <c r="G37" s="13">
        <f t="shared" ref="G37:G46" si="5">LN(C37)</f>
        <v>2.3978952727983707</v>
      </c>
      <c r="I37" s="743" t="s">
        <v>1598</v>
      </c>
      <c r="J37" s="743"/>
      <c r="W37" s="740" t="s">
        <v>382</v>
      </c>
      <c r="X37" s="740" t="s">
        <v>383</v>
      </c>
      <c r="Y37" s="740" t="s">
        <v>376</v>
      </c>
    </row>
    <row r="38" spans="1:27" ht="15.75" thickTop="1" x14ac:dyDescent="0.25">
      <c r="A38" s="740">
        <v>3</v>
      </c>
      <c r="B38" s="740">
        <v>7</v>
      </c>
      <c r="C38" s="740">
        <v>24</v>
      </c>
      <c r="E38" s="13">
        <f t="shared" si="3"/>
        <v>1.0986122886681098</v>
      </c>
      <c r="F38" s="13">
        <f t="shared" si="4"/>
        <v>1.9459101490553132</v>
      </c>
      <c r="G38" s="13">
        <f t="shared" si="5"/>
        <v>3.1780538303479458</v>
      </c>
      <c r="I38" t="s">
        <v>292</v>
      </c>
      <c r="J38">
        <f>SQRT(J39)</f>
        <v>0.92555053348127903</v>
      </c>
      <c r="W38" s="751">
        <v>7</v>
      </c>
      <c r="X38" s="752">
        <v>7</v>
      </c>
      <c r="Y38" s="753">
        <f>$J$56*$J$57^LN(W38)*$J$58^LN(X38)</f>
        <v>84.437934073646929</v>
      </c>
      <c r="AA38" s="16" t="s">
        <v>1624</v>
      </c>
    </row>
    <row r="39" spans="1:27" x14ac:dyDescent="0.25">
      <c r="A39" s="740">
        <v>7</v>
      </c>
      <c r="B39" s="740">
        <v>1</v>
      </c>
      <c r="C39" s="740">
        <v>11</v>
      </c>
      <c r="E39" s="13">
        <f t="shared" si="3"/>
        <v>1.9459101490553132</v>
      </c>
      <c r="F39" s="13">
        <f t="shared" si="4"/>
        <v>0</v>
      </c>
      <c r="G39" s="13">
        <f t="shared" si="5"/>
        <v>2.3978952727983707</v>
      </c>
      <c r="I39" t="s">
        <v>285</v>
      </c>
      <c r="J39">
        <f>K46/K48</f>
        <v>0.85664379002748026</v>
      </c>
      <c r="W39" s="409">
        <v>4</v>
      </c>
      <c r="X39" s="410">
        <v>5</v>
      </c>
      <c r="Y39" s="748">
        <f>$J$56*$J$57^LN(W39)*$J$58^LN(X39)</f>
        <v>29.525611831769641</v>
      </c>
      <c r="AA39" s="16" t="s">
        <v>1625</v>
      </c>
    </row>
    <row r="40" spans="1:27" x14ac:dyDescent="0.25">
      <c r="A40" s="740">
        <v>9</v>
      </c>
      <c r="B40" s="740">
        <v>2</v>
      </c>
      <c r="C40" s="740">
        <v>31</v>
      </c>
      <c r="E40" s="13">
        <f t="shared" si="3"/>
        <v>2.1972245773362196</v>
      </c>
      <c r="F40" s="13">
        <f t="shared" si="4"/>
        <v>0.69314718055994529</v>
      </c>
      <c r="G40" s="13">
        <f t="shared" si="5"/>
        <v>3.4339872044851463</v>
      </c>
      <c r="I40" t="s">
        <v>293</v>
      </c>
      <c r="J40">
        <f>1-(1-J39)*(J42-1)/(J42-J46-1)</f>
        <v>0.82080473753435035</v>
      </c>
    </row>
    <row r="41" spans="1:27" x14ac:dyDescent="0.25">
      <c r="A41" s="740">
        <v>3</v>
      </c>
      <c r="B41" s="740">
        <v>3</v>
      </c>
      <c r="C41" s="740">
        <v>15</v>
      </c>
      <c r="E41" s="13">
        <f t="shared" si="3"/>
        <v>1.0986122886681098</v>
      </c>
      <c r="F41" s="13">
        <f t="shared" si="4"/>
        <v>1.0986122886681098</v>
      </c>
      <c r="G41" s="13">
        <f t="shared" si="5"/>
        <v>2.7080502011022101</v>
      </c>
      <c r="I41" t="s">
        <v>11</v>
      </c>
      <c r="J41">
        <f>SQRT(L47)</f>
        <v>0.35406483745016643</v>
      </c>
      <c r="W41" s="1" t="s">
        <v>1591</v>
      </c>
    </row>
    <row r="42" spans="1:27" x14ac:dyDescent="0.25">
      <c r="A42" s="740">
        <v>3</v>
      </c>
      <c r="B42" s="740">
        <v>1</v>
      </c>
      <c r="C42" s="740">
        <v>5</v>
      </c>
      <c r="E42" s="13">
        <f t="shared" si="3"/>
        <v>1.0986122886681098</v>
      </c>
      <c r="F42" s="13">
        <f t="shared" si="4"/>
        <v>0</v>
      </c>
      <c r="G42" s="13">
        <f t="shared" si="5"/>
        <v>1.6094379124341003</v>
      </c>
      <c r="I42" s="410" t="s">
        <v>81</v>
      </c>
      <c r="J42" s="410">
        <f>COUNT(G36:G46)</f>
        <v>11</v>
      </c>
    </row>
    <row r="43" spans="1:27" x14ac:dyDescent="0.25">
      <c r="A43" s="740">
        <v>2</v>
      </c>
      <c r="B43" s="740">
        <v>4</v>
      </c>
      <c r="C43" s="740">
        <v>8</v>
      </c>
      <c r="E43" s="13">
        <f t="shared" si="3"/>
        <v>0.69314718055994529</v>
      </c>
      <c r="F43" s="13">
        <f t="shared" si="4"/>
        <v>1.3862943611198906</v>
      </c>
      <c r="G43" s="13">
        <f t="shared" si="5"/>
        <v>2.0794415416798357</v>
      </c>
      <c r="W43" s="740" t="s">
        <v>382</v>
      </c>
      <c r="X43" s="740" t="s">
        <v>383</v>
      </c>
      <c r="Y43" s="740" t="s">
        <v>376</v>
      </c>
    </row>
    <row r="44" spans="1:27" ht="15.75" thickBot="1" x14ac:dyDescent="0.3">
      <c r="A44" s="740">
        <v>7</v>
      </c>
      <c r="B44" s="740">
        <v>6</v>
      </c>
      <c r="C44" s="740">
        <v>84</v>
      </c>
      <c r="E44" s="13">
        <f t="shared" si="3"/>
        <v>1.9459101490553132</v>
      </c>
      <c r="F44" s="13">
        <f t="shared" si="4"/>
        <v>1.791759469228055</v>
      </c>
      <c r="G44" s="13">
        <f t="shared" si="5"/>
        <v>4.4308167988433134</v>
      </c>
      <c r="I44" t="s">
        <v>294</v>
      </c>
      <c r="M44" s="740" t="s">
        <v>34</v>
      </c>
      <c r="N44" s="740">
        <v>0.05</v>
      </c>
      <c r="W44" s="663">
        <v>7</v>
      </c>
      <c r="X44" s="4">
        <v>7</v>
      </c>
      <c r="Y44" s="747">
        <f t="array" ref="Y44:Y45">EXP(TREND(LN(C36:C46),LN(A36:B46),LN(W44:X45)))</f>
        <v>84.437934073646957</v>
      </c>
      <c r="AA44" t="s">
        <v>1626</v>
      </c>
    </row>
    <row r="45" spans="1:27" ht="15.75" thickTop="1" x14ac:dyDescent="0.25">
      <c r="A45" s="740">
        <v>4</v>
      </c>
      <c r="B45" s="740">
        <v>3</v>
      </c>
      <c r="C45" s="740">
        <v>24</v>
      </c>
      <c r="E45" s="13">
        <f t="shared" si="3"/>
        <v>1.3862943611198906</v>
      </c>
      <c r="F45" s="13">
        <f t="shared" si="4"/>
        <v>1.0986122886681098</v>
      </c>
      <c r="G45" s="13">
        <f t="shared" si="5"/>
        <v>3.1780538303479458</v>
      </c>
      <c r="I45" s="693"/>
      <c r="J45" s="693" t="s">
        <v>60</v>
      </c>
      <c r="K45" s="693" t="s">
        <v>219</v>
      </c>
      <c r="L45" s="693" t="s">
        <v>240</v>
      </c>
      <c r="M45" s="693" t="s">
        <v>135</v>
      </c>
      <c r="N45" s="693" t="s">
        <v>67</v>
      </c>
      <c r="O45" s="693" t="s">
        <v>527</v>
      </c>
      <c r="W45" s="409">
        <v>4</v>
      </c>
      <c r="X45" s="10">
        <v>5</v>
      </c>
      <c r="Y45" s="748">
        <v>29.525611831769641</v>
      </c>
    </row>
    <row r="46" spans="1:27" x14ac:dyDescent="0.25">
      <c r="A46" s="741">
        <v>9</v>
      </c>
      <c r="B46" s="741">
        <v>2</v>
      </c>
      <c r="C46" s="741">
        <v>21</v>
      </c>
      <c r="E46" s="341">
        <f t="shared" si="3"/>
        <v>2.1972245773362196</v>
      </c>
      <c r="F46" s="341">
        <f t="shared" si="4"/>
        <v>0.69314718055994529</v>
      </c>
      <c r="G46" s="341">
        <f t="shared" si="5"/>
        <v>3.044522437723423</v>
      </c>
      <c r="I46" t="s">
        <v>222</v>
      </c>
      <c r="J46">
        <f>COUNT(E36:F36)</f>
        <v>2</v>
      </c>
      <c r="K46">
        <f>DEVSQ(MMULT([1]!DESIGN(E36:F46),J51:J53))</f>
        <v>5.9929319265923615</v>
      </c>
      <c r="L46">
        <f>K46/J46</f>
        <v>2.9964659632961808</v>
      </c>
      <c r="M46">
        <f>L46/L47</f>
        <v>23.902523377025442</v>
      </c>
      <c r="N46">
        <f>FDIST(M46,J46,J47)</f>
        <v>4.2234372174474458E-4</v>
      </c>
      <c r="O46" s="740" t="str">
        <f>IF(N46&lt;N44,"yes","no")</f>
        <v>yes</v>
      </c>
    </row>
    <row r="47" spans="1:27" x14ac:dyDescent="0.25">
      <c r="I47" t="s">
        <v>295</v>
      </c>
      <c r="J47">
        <f>J48-J46</f>
        <v>8</v>
      </c>
      <c r="K47">
        <f>K48-K46</f>
        <v>1.0028952729489022</v>
      </c>
      <c r="L47">
        <f>K47/J47</f>
        <v>0.12536190911861278</v>
      </c>
    </row>
    <row r="48" spans="1:27" x14ac:dyDescent="0.25">
      <c r="I48" s="410" t="s">
        <v>1</v>
      </c>
      <c r="J48" s="410">
        <f>J42-1</f>
        <v>10</v>
      </c>
      <c r="K48" s="410">
        <f>DEVSQ(G36:G46)</f>
        <v>6.9958271995412638</v>
      </c>
      <c r="L48" s="410"/>
      <c r="M48" s="410"/>
      <c r="N48" s="410"/>
      <c r="O48" s="410"/>
    </row>
    <row r="49" spans="9:15" ht="15.75" thickBot="1" x14ac:dyDescent="0.3"/>
    <row r="50" spans="9:15" ht="15.75" thickTop="1" x14ac:dyDescent="0.25">
      <c r="I50" s="693"/>
      <c r="J50" s="693" t="s">
        <v>1592</v>
      </c>
      <c r="K50" s="693" t="s">
        <v>1000</v>
      </c>
      <c r="L50" s="693" t="s">
        <v>61</v>
      </c>
      <c r="M50" s="693" t="s">
        <v>67</v>
      </c>
      <c r="N50" s="693" t="s">
        <v>29</v>
      </c>
      <c r="O50" s="693" t="s">
        <v>30</v>
      </c>
    </row>
    <row r="51" spans="9:15" x14ac:dyDescent="0.25">
      <c r="I51" t="s">
        <v>296</v>
      </c>
      <c r="J51">
        <f t="array" ref="J51:J53">[1]!RegCoeff(E36:F46,G36:G46)</f>
        <v>3.4572285653180712E-2</v>
      </c>
      <c r="K51">
        <f t="array" ref="K51:K53">[1]!RegCoeffSE(E36:F46,G36:G46)</f>
        <v>0.43656235612945393</v>
      </c>
      <c r="L51">
        <f>J51/K51</f>
        <v>7.9192090586319319E-2</v>
      </c>
      <c r="M51">
        <f>TDIST(ABS(L51),$J$47,2)</f>
        <v>0.93882491860642381</v>
      </c>
      <c r="N51">
        <f>J51-TINV(N$44,$J$47)*K51</f>
        <v>-0.97214231285581443</v>
      </c>
      <c r="O51">
        <f>J51+TINV(N$44,$J$47)*K51</f>
        <v>1.0412868841621759</v>
      </c>
    </row>
    <row r="52" spans="9:15" x14ac:dyDescent="0.25">
      <c r="I52" t="str">
        <f t="array" ref="I52:I53">TRANSPOSE(E35:F35)</f>
        <v>Ln Color</v>
      </c>
      <c r="J52">
        <v>1.2982396077864018</v>
      </c>
      <c r="K52">
        <v>0.21268265160331098</v>
      </c>
      <c r="L52">
        <f>J52/K52</f>
        <v>6.1041161467548264</v>
      </c>
      <c r="M52">
        <f>TDIST(ABS(L52),$J$47,2)</f>
        <v>2.8816130902052477E-4</v>
      </c>
      <c r="N52">
        <f>J52-TINV(N$44,$J$47)*K52</f>
        <v>0.80779253370297943</v>
      </c>
      <c r="O52">
        <f>J52+TINV(N$44,$J$47)*K52</f>
        <v>1.7886866818698242</v>
      </c>
    </row>
    <row r="53" spans="9:15" x14ac:dyDescent="0.25">
      <c r="I53" s="746" t="str">
        <v>Ln Quality</v>
      </c>
      <c r="J53" s="746">
        <v>0.9636554098018385</v>
      </c>
      <c r="K53" s="746">
        <v>0.18086927616293819</v>
      </c>
      <c r="L53" s="746">
        <f>J53/K53</f>
        <v>5.3279110208508733</v>
      </c>
      <c r="M53" s="746">
        <f>TDIST(ABS(L53),$J$47,2)</f>
        <v>7.04297516931786E-4</v>
      </c>
      <c r="N53" s="746">
        <f>J53-TINV(N$44,$J$47)*K53</f>
        <v>0.54657011103871855</v>
      </c>
      <c r="O53" s="746">
        <f>J53+TINV(N$44,$J$47)*K53</f>
        <v>1.3807407085649586</v>
      </c>
    </row>
    <row r="55" spans="9:15" x14ac:dyDescent="0.25">
      <c r="J55" s="740" t="s">
        <v>1592</v>
      </c>
    </row>
    <row r="56" spans="9:15" x14ac:dyDescent="0.25">
      <c r="I56" t="s">
        <v>1604</v>
      </c>
      <c r="J56" s="664">
        <f>EXP(J51)</f>
        <v>1.035176854106725</v>
      </c>
    </row>
    <row r="57" spans="9:15" x14ac:dyDescent="0.25">
      <c r="I57" t="s">
        <v>382</v>
      </c>
      <c r="J57" s="503">
        <f>EXP(J52)</f>
        <v>3.6628429485412548</v>
      </c>
    </row>
    <row r="58" spans="9:15" x14ac:dyDescent="0.25">
      <c r="I58" t="s">
        <v>383</v>
      </c>
      <c r="J58" s="420">
        <f>EXP(J53)</f>
        <v>2.6212607643630683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P44"/>
  <sheetViews>
    <sheetView workbookViewId="0"/>
  </sheetViews>
  <sheetFormatPr defaultRowHeight="15" x14ac:dyDescent="0.25"/>
  <cols>
    <col min="1" max="3" width="7.85546875" customWidth="1"/>
    <col min="4" max="4" width="4.85546875" customWidth="1"/>
    <col min="5" max="8" width="10.5703125" style="95" customWidth="1"/>
    <col min="9" max="9" width="6.85546875" customWidth="1"/>
    <col min="10" max="10" width="18" bestFit="1" customWidth="1"/>
    <col min="11" max="11" width="12.5703125" customWidth="1"/>
    <col min="12" max="16" width="13.28515625" customWidth="1"/>
  </cols>
  <sheetData>
    <row r="1" spans="1:15" x14ac:dyDescent="0.25">
      <c r="A1" s="1" t="s">
        <v>440</v>
      </c>
      <c r="J1" s="1" t="s">
        <v>441</v>
      </c>
    </row>
    <row r="3" spans="1:15" x14ac:dyDescent="0.25">
      <c r="A3" s="1287" t="s">
        <v>356</v>
      </c>
      <c r="B3" s="1287"/>
      <c r="C3" s="1287"/>
      <c r="E3" s="1287" t="s">
        <v>436</v>
      </c>
      <c r="F3" s="1287"/>
      <c r="G3" s="1287"/>
      <c r="H3" s="1287"/>
      <c r="J3" t="s">
        <v>290</v>
      </c>
    </row>
    <row r="4" spans="1:15" ht="15.75" thickBot="1" x14ac:dyDescent="0.3">
      <c r="A4" s="183" t="s">
        <v>438</v>
      </c>
      <c r="B4" s="183" t="s">
        <v>439</v>
      </c>
      <c r="C4" s="183" t="s">
        <v>383</v>
      </c>
      <c r="E4" s="183" t="s">
        <v>438</v>
      </c>
      <c r="F4" s="183" t="s">
        <v>439</v>
      </c>
      <c r="G4" s="183" t="s">
        <v>383</v>
      </c>
      <c r="H4" s="183" t="s">
        <v>437</v>
      </c>
    </row>
    <row r="5" spans="1:15" x14ac:dyDescent="0.25">
      <c r="A5" s="184">
        <v>70.400000000000006</v>
      </c>
      <c r="B5" s="184">
        <v>10.8</v>
      </c>
      <c r="C5" s="184">
        <v>4.3</v>
      </c>
      <c r="E5" s="184">
        <f>A5</f>
        <v>70.400000000000006</v>
      </c>
      <c r="F5" s="184">
        <f t="shared" ref="F5:G16" si="0">B5</f>
        <v>10.8</v>
      </c>
      <c r="G5" s="184">
        <f t="shared" si="0"/>
        <v>4.3</v>
      </c>
      <c r="H5" s="185">
        <f>F5*G5</f>
        <v>46.44</v>
      </c>
      <c r="J5" s="21" t="s">
        <v>291</v>
      </c>
      <c r="K5" s="21"/>
    </row>
    <row r="6" spans="1:15" x14ac:dyDescent="0.25">
      <c r="A6" s="184">
        <v>41.8</v>
      </c>
      <c r="B6" s="184">
        <v>8.1</v>
      </c>
      <c r="C6" s="184">
        <v>3.5</v>
      </c>
      <c r="E6" s="184">
        <f t="shared" ref="E6:E16" si="1">A6</f>
        <v>41.8</v>
      </c>
      <c r="F6" s="184">
        <f t="shared" si="0"/>
        <v>8.1</v>
      </c>
      <c r="G6" s="184">
        <f t="shared" si="0"/>
        <v>3.5</v>
      </c>
      <c r="H6" s="185">
        <f t="shared" ref="H6:H16" si="2">F6*G6</f>
        <v>28.349999999999998</v>
      </c>
      <c r="J6" s="19" t="s">
        <v>292</v>
      </c>
      <c r="K6" s="19">
        <v>0.99897476937756113</v>
      </c>
    </row>
    <row r="7" spans="1:15" x14ac:dyDescent="0.25">
      <c r="A7" s="184">
        <v>7.2</v>
      </c>
      <c r="B7" s="184">
        <v>10.7</v>
      </c>
      <c r="C7" s="184">
        <v>1.3</v>
      </c>
      <c r="E7" s="184">
        <f t="shared" si="1"/>
        <v>7.2</v>
      </c>
      <c r="F7" s="184">
        <f t="shared" si="0"/>
        <v>10.7</v>
      </c>
      <c r="G7" s="184">
        <f t="shared" si="0"/>
        <v>1.3</v>
      </c>
      <c r="H7" s="185">
        <f t="shared" si="2"/>
        <v>13.91</v>
      </c>
      <c r="J7" s="19" t="s">
        <v>285</v>
      </c>
      <c r="K7" s="19">
        <v>0.99795058985295138</v>
      </c>
    </row>
    <row r="8" spans="1:15" x14ac:dyDescent="0.25">
      <c r="A8" s="184">
        <v>57.4</v>
      </c>
      <c r="B8" s="184">
        <v>2.8</v>
      </c>
      <c r="C8" s="184">
        <v>7.8</v>
      </c>
      <c r="E8" s="184">
        <f t="shared" si="1"/>
        <v>57.4</v>
      </c>
      <c r="F8" s="184">
        <f t="shared" si="0"/>
        <v>2.8</v>
      </c>
      <c r="G8" s="184">
        <f t="shared" si="0"/>
        <v>7.8</v>
      </c>
      <c r="H8" s="185">
        <f t="shared" si="2"/>
        <v>21.84</v>
      </c>
      <c r="J8" s="19" t="s">
        <v>293</v>
      </c>
      <c r="K8" s="19">
        <v>0.99718206104780815</v>
      </c>
    </row>
    <row r="9" spans="1:15" x14ac:dyDescent="0.25">
      <c r="A9" s="184">
        <v>48.3</v>
      </c>
      <c r="B9" s="184">
        <v>6.2</v>
      </c>
      <c r="C9" s="184">
        <v>4.5999999999999996</v>
      </c>
      <c r="E9" s="184">
        <f t="shared" si="1"/>
        <v>48.3</v>
      </c>
      <c r="F9" s="184">
        <f t="shared" si="0"/>
        <v>6.2</v>
      </c>
      <c r="G9" s="184">
        <f t="shared" si="0"/>
        <v>4.5999999999999996</v>
      </c>
      <c r="H9" s="185">
        <f t="shared" si="2"/>
        <v>28.52</v>
      </c>
      <c r="J9" s="19" t="s">
        <v>11</v>
      </c>
      <c r="K9" s="19">
        <v>1.0190748818564479</v>
      </c>
    </row>
    <row r="10" spans="1:15" ht="15.75" thickBot="1" x14ac:dyDescent="0.3">
      <c r="A10" s="184">
        <v>19.600000000000001</v>
      </c>
      <c r="B10" s="184">
        <v>4.5</v>
      </c>
      <c r="C10" s="184">
        <v>3</v>
      </c>
      <c r="E10" s="184">
        <f t="shared" si="1"/>
        <v>19.600000000000001</v>
      </c>
      <c r="F10" s="184">
        <f t="shared" si="0"/>
        <v>4.5</v>
      </c>
      <c r="G10" s="184">
        <f t="shared" si="0"/>
        <v>3</v>
      </c>
      <c r="H10" s="185">
        <f t="shared" si="2"/>
        <v>13.5</v>
      </c>
      <c r="J10" s="20" t="s">
        <v>81</v>
      </c>
      <c r="K10" s="20">
        <v>12</v>
      </c>
    </row>
    <row r="11" spans="1:15" x14ac:dyDescent="0.25">
      <c r="A11" s="184">
        <v>72.099999999999994</v>
      </c>
      <c r="B11" s="184">
        <v>6.8</v>
      </c>
      <c r="C11" s="184">
        <v>5.7</v>
      </c>
      <c r="E11" s="184">
        <f t="shared" si="1"/>
        <v>72.099999999999994</v>
      </c>
      <c r="F11" s="184">
        <f t="shared" si="0"/>
        <v>6.8</v>
      </c>
      <c r="G11" s="184">
        <f t="shared" si="0"/>
        <v>5.7</v>
      </c>
      <c r="H11" s="185">
        <f t="shared" si="2"/>
        <v>38.76</v>
      </c>
    </row>
    <row r="12" spans="1:15" ht="15.75" thickBot="1" x14ac:dyDescent="0.3">
      <c r="A12" s="184">
        <v>40.799999999999997</v>
      </c>
      <c r="B12" s="184">
        <v>2.1</v>
      </c>
      <c r="C12" s="184">
        <v>6.8</v>
      </c>
      <c r="E12" s="184">
        <f t="shared" si="1"/>
        <v>40.799999999999997</v>
      </c>
      <c r="F12" s="184">
        <f t="shared" si="0"/>
        <v>2.1</v>
      </c>
      <c r="G12" s="184">
        <f t="shared" si="0"/>
        <v>6.8</v>
      </c>
      <c r="H12" s="185">
        <f t="shared" si="2"/>
        <v>14.28</v>
      </c>
      <c r="J12" t="s">
        <v>294</v>
      </c>
    </row>
    <row r="13" spans="1:15" x14ac:dyDescent="0.25">
      <c r="A13" s="184">
        <v>55.5</v>
      </c>
      <c r="B13" s="184">
        <v>7.9</v>
      </c>
      <c r="C13" s="184">
        <v>4.3</v>
      </c>
      <c r="E13" s="184">
        <f t="shared" si="1"/>
        <v>55.5</v>
      </c>
      <c r="F13" s="184">
        <f t="shared" si="0"/>
        <v>7.9</v>
      </c>
      <c r="G13" s="184">
        <f t="shared" si="0"/>
        <v>4.3</v>
      </c>
      <c r="H13" s="185">
        <f t="shared" si="2"/>
        <v>33.97</v>
      </c>
      <c r="J13" s="18"/>
      <c r="K13" s="18" t="s">
        <v>60</v>
      </c>
      <c r="L13" s="18" t="s">
        <v>219</v>
      </c>
      <c r="M13" s="18" t="s">
        <v>240</v>
      </c>
      <c r="N13" s="18" t="s">
        <v>135</v>
      </c>
      <c r="O13" s="18" t="s">
        <v>297</v>
      </c>
    </row>
    <row r="14" spans="1:15" x14ac:dyDescent="0.25">
      <c r="A14" s="184">
        <v>50.8</v>
      </c>
      <c r="B14" s="184">
        <v>3.1</v>
      </c>
      <c r="C14" s="184">
        <v>6.8</v>
      </c>
      <c r="E14" s="184">
        <f t="shared" si="1"/>
        <v>50.8</v>
      </c>
      <c r="F14" s="184">
        <f t="shared" si="0"/>
        <v>3.1</v>
      </c>
      <c r="G14" s="184">
        <f t="shared" si="0"/>
        <v>6.8</v>
      </c>
      <c r="H14" s="185">
        <f t="shared" si="2"/>
        <v>21.08</v>
      </c>
      <c r="J14" s="19" t="s">
        <v>222</v>
      </c>
      <c r="K14" s="19">
        <v>3</v>
      </c>
      <c r="L14" s="19">
        <v>4045.594391081353</v>
      </c>
      <c r="M14" s="19">
        <v>1348.5314636937844</v>
      </c>
      <c r="N14" s="19">
        <v>1298.5207362096844</v>
      </c>
      <c r="O14" s="19">
        <v>4.3377028270600085E-11</v>
      </c>
    </row>
    <row r="15" spans="1:15" x14ac:dyDescent="0.25">
      <c r="A15" s="184">
        <v>37.700000000000003</v>
      </c>
      <c r="B15" s="184">
        <v>7.6</v>
      </c>
      <c r="C15" s="184">
        <v>3.4</v>
      </c>
      <c r="E15" s="184">
        <f t="shared" si="1"/>
        <v>37.700000000000003</v>
      </c>
      <c r="F15" s="184">
        <f t="shared" si="0"/>
        <v>7.6</v>
      </c>
      <c r="G15" s="184">
        <f t="shared" si="0"/>
        <v>3.4</v>
      </c>
      <c r="H15" s="185">
        <f t="shared" si="2"/>
        <v>25.84</v>
      </c>
      <c r="J15" s="19" t="s">
        <v>295</v>
      </c>
      <c r="K15" s="19">
        <v>8</v>
      </c>
      <c r="L15" s="19">
        <v>8.3081089186458659</v>
      </c>
      <c r="M15" s="19">
        <v>1.0385136148307332</v>
      </c>
      <c r="N15" s="19"/>
      <c r="O15" s="19"/>
    </row>
    <row r="16" spans="1:15" ht="15.75" thickBot="1" x14ac:dyDescent="0.3">
      <c r="A16" s="186">
        <v>60.9</v>
      </c>
      <c r="B16" s="186">
        <v>4.5999999999999996</v>
      </c>
      <c r="C16" s="186">
        <v>6.4</v>
      </c>
      <c r="E16" s="186">
        <f t="shared" si="1"/>
        <v>60.9</v>
      </c>
      <c r="F16" s="186">
        <f t="shared" si="0"/>
        <v>4.5999999999999996</v>
      </c>
      <c r="G16" s="186">
        <f t="shared" si="0"/>
        <v>6.4</v>
      </c>
      <c r="H16" s="187">
        <f t="shared" si="2"/>
        <v>29.439999999999998</v>
      </c>
      <c r="J16" s="20" t="s">
        <v>1</v>
      </c>
      <c r="K16" s="20">
        <v>11</v>
      </c>
      <c r="L16" s="20">
        <v>4053.9024999999988</v>
      </c>
      <c r="M16" s="20"/>
      <c r="N16" s="20"/>
      <c r="O16" s="20"/>
    </row>
    <row r="17" spans="10:16" ht="15.75" thickBot="1" x14ac:dyDescent="0.3"/>
    <row r="18" spans="10:16" x14ac:dyDescent="0.25">
      <c r="J18" s="18"/>
      <c r="K18" s="18" t="s">
        <v>298</v>
      </c>
      <c r="L18" s="18" t="s">
        <v>11</v>
      </c>
      <c r="M18" s="18" t="s">
        <v>85</v>
      </c>
      <c r="N18" s="18" t="s">
        <v>119</v>
      </c>
      <c r="O18" s="18" t="s">
        <v>299</v>
      </c>
      <c r="P18" s="18" t="s">
        <v>300</v>
      </c>
    </row>
    <row r="19" spans="10:16" x14ac:dyDescent="0.25">
      <c r="J19" s="19" t="s">
        <v>296</v>
      </c>
      <c r="K19" s="19">
        <v>-12.215691616407756</v>
      </c>
      <c r="L19" s="19">
        <v>2.7986444940223763</v>
      </c>
      <c r="M19" s="19">
        <v>-4.3648600751182398</v>
      </c>
      <c r="N19" s="19">
        <v>2.3969573399909285E-3</v>
      </c>
      <c r="O19" s="19">
        <v>-18.66937739258973</v>
      </c>
      <c r="P19" s="19">
        <v>-5.7620058402257825</v>
      </c>
    </row>
    <row r="20" spans="10:16" x14ac:dyDescent="0.25">
      <c r="J20" s="19" t="s">
        <v>439</v>
      </c>
      <c r="K20" s="19">
        <v>-0.85520312620746741</v>
      </c>
      <c r="L20" s="19">
        <v>0.31668929151556091</v>
      </c>
      <c r="M20" s="19">
        <v>-2.7004485125302886</v>
      </c>
      <c r="N20" s="19">
        <v>2.7055237806074824E-2</v>
      </c>
      <c r="O20" s="19">
        <v>-1.5854899420172288</v>
      </c>
      <c r="P20" s="19">
        <v>-0.12491631039770601</v>
      </c>
    </row>
    <row r="21" spans="10:16" x14ac:dyDescent="0.25">
      <c r="J21" s="19" t="s">
        <v>383</v>
      </c>
      <c r="K21" s="19">
        <v>4.8619416857110602</v>
      </c>
      <c r="L21" s="19">
        <v>0.42581456487221331</v>
      </c>
      <c r="M21" s="19">
        <v>11.417978826464346</v>
      </c>
      <c r="N21" s="19">
        <v>3.1285738320413038E-6</v>
      </c>
      <c r="O21" s="19">
        <v>3.8800115382855731</v>
      </c>
      <c r="P21" s="19">
        <v>5.8438718331365473</v>
      </c>
    </row>
    <row r="22" spans="10:16" ht="15.75" thickBot="1" x14ac:dyDescent="0.3">
      <c r="J22" s="20" t="s">
        <v>437</v>
      </c>
      <c r="K22" s="20">
        <v>1.5569687933562002</v>
      </c>
      <c r="L22" s="20">
        <v>5.8327913128754592E-2</v>
      </c>
      <c r="M22" s="20">
        <v>26.69337388977565</v>
      </c>
      <c r="N22" s="20">
        <v>4.173810263024243E-9</v>
      </c>
      <c r="O22" s="20">
        <v>1.4224643844834626</v>
      </c>
      <c r="P22" s="20">
        <v>1.6914732022289378</v>
      </c>
    </row>
    <row r="24" spans="10:16" x14ac:dyDescent="0.25">
      <c r="J24" s="1" t="s">
        <v>442</v>
      </c>
    </row>
    <row r="26" spans="10:16" x14ac:dyDescent="0.25">
      <c r="J26" t="s">
        <v>290</v>
      </c>
    </row>
    <row r="27" spans="10:16" ht="15.75" thickBot="1" x14ac:dyDescent="0.3"/>
    <row r="28" spans="10:16" x14ac:dyDescent="0.25">
      <c r="J28" s="21" t="s">
        <v>291</v>
      </c>
      <c r="K28" s="21"/>
    </row>
    <row r="29" spans="10:16" x14ac:dyDescent="0.25">
      <c r="J29" s="19" t="s">
        <v>292</v>
      </c>
      <c r="K29" s="19">
        <v>0.90300372235460102</v>
      </c>
    </row>
    <row r="30" spans="10:16" x14ac:dyDescent="0.25">
      <c r="J30" s="19" t="s">
        <v>285</v>
      </c>
      <c r="K30" s="19">
        <v>0.81541572258626538</v>
      </c>
    </row>
    <row r="31" spans="10:16" x14ac:dyDescent="0.25">
      <c r="J31" s="19" t="s">
        <v>293</v>
      </c>
      <c r="K31" s="19">
        <v>0.77439699427210207</v>
      </c>
    </row>
    <row r="32" spans="10:16" x14ac:dyDescent="0.25">
      <c r="J32" s="19" t="s">
        <v>11</v>
      </c>
      <c r="K32" s="19">
        <v>9.1182762970752069</v>
      </c>
    </row>
    <row r="33" spans="10:16" ht="15.75" thickBot="1" x14ac:dyDescent="0.3">
      <c r="J33" s="20" t="s">
        <v>81</v>
      </c>
      <c r="K33" s="20">
        <v>12</v>
      </c>
    </row>
    <row r="35" spans="10:16" ht="15.75" thickBot="1" x14ac:dyDescent="0.3">
      <c r="J35" t="s">
        <v>294</v>
      </c>
    </row>
    <row r="36" spans="10:16" x14ac:dyDescent="0.25">
      <c r="J36" s="18"/>
      <c r="K36" s="18" t="s">
        <v>60</v>
      </c>
      <c r="L36" s="18" t="s">
        <v>219</v>
      </c>
      <c r="M36" s="18" t="s">
        <v>240</v>
      </c>
      <c r="N36" s="18" t="s">
        <v>135</v>
      </c>
      <c r="O36" s="18" t="s">
        <v>297</v>
      </c>
    </row>
    <row r="37" spans="10:16" x14ac:dyDescent="0.25">
      <c r="J37" s="19" t="s">
        <v>222</v>
      </c>
      <c r="K37" s="19">
        <v>2</v>
      </c>
      <c r="L37" s="19">
        <v>3305.6158363317668</v>
      </c>
      <c r="M37" s="19">
        <v>1652.8079181658834</v>
      </c>
      <c r="N37" s="19">
        <v>19.879107814873741</v>
      </c>
      <c r="O37" s="19">
        <v>4.9874226811219417E-4</v>
      </c>
    </row>
    <row r="38" spans="10:16" x14ac:dyDescent="0.25">
      <c r="J38" s="19" t="s">
        <v>295</v>
      </c>
      <c r="K38" s="19">
        <v>9</v>
      </c>
      <c r="L38" s="19">
        <v>748.28666366823211</v>
      </c>
      <c r="M38" s="19">
        <v>83.142962629803563</v>
      </c>
      <c r="N38" s="19"/>
      <c r="O38" s="19"/>
    </row>
    <row r="39" spans="10:16" ht="15.75" thickBot="1" x14ac:dyDescent="0.3">
      <c r="J39" s="20" t="s">
        <v>1</v>
      </c>
      <c r="K39" s="20">
        <v>11</v>
      </c>
      <c r="L39" s="20">
        <v>4053.9024999999988</v>
      </c>
      <c r="M39" s="20"/>
      <c r="N39" s="20"/>
      <c r="O39" s="20"/>
    </row>
    <row r="40" spans="10:16" ht="15.75" thickBot="1" x14ac:dyDescent="0.3"/>
    <row r="41" spans="10:16" x14ac:dyDescent="0.25">
      <c r="J41" s="18"/>
      <c r="K41" s="18" t="s">
        <v>298</v>
      </c>
      <c r="L41" s="18" t="s">
        <v>11</v>
      </c>
      <c r="M41" s="18" t="s">
        <v>85</v>
      </c>
      <c r="N41" s="18" t="s">
        <v>119</v>
      </c>
      <c r="O41" s="18" t="s">
        <v>299</v>
      </c>
      <c r="P41" s="18" t="s">
        <v>300</v>
      </c>
    </row>
    <row r="42" spans="10:16" x14ac:dyDescent="0.25">
      <c r="J42" s="19" t="s">
        <v>296</v>
      </c>
      <c r="K42" s="19">
        <v>-60.889358536201684</v>
      </c>
      <c r="L42" s="19">
        <v>18.99652168748192</v>
      </c>
      <c r="M42" s="19">
        <v>-3.2052898703200889</v>
      </c>
      <c r="N42" s="19">
        <v>1.0739759828494441E-2</v>
      </c>
      <c r="O42" s="19">
        <v>-103.86247613979036</v>
      </c>
      <c r="P42" s="19">
        <v>-17.916240932613007</v>
      </c>
    </row>
    <row r="43" spans="10:16" x14ac:dyDescent="0.25">
      <c r="J43" s="19" t="s">
        <v>439</v>
      </c>
      <c r="K43" s="19">
        <v>6.3778321962728031</v>
      </c>
      <c r="L43" s="19">
        <v>1.4666631843115363</v>
      </c>
      <c r="M43" s="19">
        <v>4.3485322768680597</v>
      </c>
      <c r="N43" s="19">
        <v>1.8542219059633242E-3</v>
      </c>
      <c r="O43" s="19">
        <v>3.0600095684700368</v>
      </c>
      <c r="P43" s="19">
        <v>9.6956548240755698</v>
      </c>
    </row>
    <row r="44" spans="10:16" ht="15.75" thickBot="1" x14ac:dyDescent="0.3">
      <c r="J44" s="20" t="s">
        <v>383</v>
      </c>
      <c r="K44" s="20">
        <v>14.051110902844657</v>
      </c>
      <c r="L44" s="20">
        <v>2.2424521701120192</v>
      </c>
      <c r="M44" s="20">
        <v>6.265957905422237</v>
      </c>
      <c r="N44" s="20">
        <v>1.4681233441750968E-4</v>
      </c>
      <c r="O44" s="20">
        <v>8.978331663993373</v>
      </c>
      <c r="P44" s="20">
        <v>19.123890141695941</v>
      </c>
    </row>
  </sheetData>
  <mergeCells count="2">
    <mergeCell ref="A3:C3"/>
    <mergeCell ref="E3:H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R37"/>
  <sheetViews>
    <sheetView workbookViewId="0"/>
  </sheetViews>
  <sheetFormatPr defaultRowHeight="15" x14ac:dyDescent="0.25"/>
  <cols>
    <col min="1" max="3" width="8.140625" customWidth="1"/>
    <col min="4" max="4" width="5.85546875" customWidth="1"/>
    <col min="8" max="8" width="7.140625" customWidth="1"/>
    <col min="9" max="9" width="17.85546875" customWidth="1"/>
    <col min="10" max="10" width="10.5703125" customWidth="1"/>
    <col min="11" max="11" width="14.7109375" customWidth="1"/>
    <col min="12" max="13" width="10.5703125" customWidth="1"/>
    <col min="14" max="14" width="12.140625" customWidth="1"/>
    <col min="15" max="15" width="11.140625" customWidth="1"/>
  </cols>
  <sheetData>
    <row r="1" spans="1:18" x14ac:dyDescent="0.25">
      <c r="A1" s="1" t="s">
        <v>566</v>
      </c>
    </row>
    <row r="2" spans="1:18" x14ac:dyDescent="0.25">
      <c r="E2" s="1309" t="s">
        <v>567</v>
      </c>
      <c r="F2" s="1309"/>
      <c r="G2" s="1309"/>
      <c r="I2" t="s">
        <v>290</v>
      </c>
      <c r="Q2" t="s">
        <v>128</v>
      </c>
    </row>
    <row r="3" spans="1:18" ht="15.75" thickBot="1" x14ac:dyDescent="0.3">
      <c r="A3" s="131" t="s">
        <v>453</v>
      </c>
      <c r="B3" s="131" t="s">
        <v>454</v>
      </c>
      <c r="C3" s="131" t="s">
        <v>455</v>
      </c>
      <c r="E3" s="228" t="s">
        <v>36</v>
      </c>
      <c r="F3" s="228" t="s">
        <v>568</v>
      </c>
      <c r="G3" s="228" t="s">
        <v>569</v>
      </c>
    </row>
    <row r="4" spans="1:18" ht="17.25" x14ac:dyDescent="0.25">
      <c r="A4" s="50">
        <v>16</v>
      </c>
      <c r="B4" s="50">
        <v>7</v>
      </c>
      <c r="C4" s="224">
        <v>15</v>
      </c>
      <c r="E4" s="50">
        <v>16</v>
      </c>
      <c r="F4" s="253">
        <v>1</v>
      </c>
      <c r="G4" s="253">
        <v>0</v>
      </c>
      <c r="I4" s="21" t="s">
        <v>291</v>
      </c>
      <c r="J4" s="21"/>
      <c r="Q4" s="30" t="s">
        <v>578</v>
      </c>
      <c r="R4" s="577">
        <f>(K13-J13*L14)/(K15+L14)</f>
        <v>-3.888213851761859E-2</v>
      </c>
    </row>
    <row r="5" spans="1:18" x14ac:dyDescent="0.25">
      <c r="A5" s="50">
        <v>8</v>
      </c>
      <c r="B5" s="50">
        <v>14</v>
      </c>
      <c r="C5" s="224">
        <v>12</v>
      </c>
      <c r="E5" s="50">
        <v>8</v>
      </c>
      <c r="F5" s="253">
        <v>1</v>
      </c>
      <c r="G5" s="253">
        <v>0</v>
      </c>
      <c r="I5" s="19" t="s">
        <v>292</v>
      </c>
      <c r="J5" s="19">
        <v>0.28502265002126576</v>
      </c>
      <c r="Q5" s="30" t="s">
        <v>713</v>
      </c>
      <c r="R5" s="420">
        <f>SQRT(ABS(R4))</f>
        <v>0.19718554337886587</v>
      </c>
    </row>
    <row r="6" spans="1:18" x14ac:dyDescent="0.25">
      <c r="A6" s="50">
        <v>14</v>
      </c>
      <c r="B6" s="50">
        <v>10</v>
      </c>
      <c r="C6" s="224">
        <v>11</v>
      </c>
      <c r="E6" s="50">
        <v>14</v>
      </c>
      <c r="F6" s="253">
        <v>1</v>
      </c>
      <c r="G6" s="253">
        <v>0</v>
      </c>
      <c r="I6" s="19" t="s">
        <v>285</v>
      </c>
      <c r="J6" s="19">
        <v>8.1237911025144952E-2</v>
      </c>
    </row>
    <row r="7" spans="1:18" x14ac:dyDescent="0.25">
      <c r="A7" s="50">
        <v>12</v>
      </c>
      <c r="B7" s="50">
        <v>12</v>
      </c>
      <c r="C7" s="224">
        <v>17</v>
      </c>
      <c r="E7" s="50">
        <v>12</v>
      </c>
      <c r="F7" s="253">
        <v>1</v>
      </c>
      <c r="G7" s="253">
        <v>0</v>
      </c>
      <c r="I7" s="19" t="s">
        <v>293</v>
      </c>
      <c r="J7" s="19">
        <v>-4.1263700838169062E-2</v>
      </c>
    </row>
    <row r="8" spans="1:18" x14ac:dyDescent="0.25">
      <c r="A8" s="50">
        <v>15</v>
      </c>
      <c r="B8" s="50">
        <v>8</v>
      </c>
      <c r="C8" s="224">
        <v>20</v>
      </c>
      <c r="E8" s="50">
        <v>15</v>
      </c>
      <c r="F8" s="253">
        <v>1</v>
      </c>
      <c r="G8" s="253">
        <v>0</v>
      </c>
      <c r="I8" s="19" t="s">
        <v>11</v>
      </c>
      <c r="J8" s="19">
        <v>3.9791121287711078</v>
      </c>
    </row>
    <row r="9" spans="1:18" ht="15.75" thickBot="1" x14ac:dyDescent="0.3">
      <c r="A9" s="225">
        <v>7</v>
      </c>
      <c r="B9" s="225">
        <v>18</v>
      </c>
      <c r="C9" s="225">
        <v>9</v>
      </c>
      <c r="E9" s="50">
        <v>7</v>
      </c>
      <c r="F9" s="253">
        <v>1</v>
      </c>
      <c r="G9" s="253">
        <v>0</v>
      </c>
      <c r="I9" s="20" t="s">
        <v>81</v>
      </c>
      <c r="J9" s="20">
        <v>18</v>
      </c>
    </row>
    <row r="10" spans="1:18" x14ac:dyDescent="0.25">
      <c r="A10" s="50"/>
      <c r="B10" s="50"/>
      <c r="C10" s="224"/>
      <c r="E10" s="50">
        <v>7</v>
      </c>
      <c r="F10" s="253">
        <v>0</v>
      </c>
      <c r="G10" s="253">
        <v>1</v>
      </c>
    </row>
    <row r="11" spans="1:18" ht="15.75" thickBot="1" x14ac:dyDescent="0.3">
      <c r="A11" s="50"/>
      <c r="B11" s="50"/>
      <c r="C11" s="224"/>
      <c r="E11" s="50">
        <v>14</v>
      </c>
      <c r="F11" s="253">
        <v>0</v>
      </c>
      <c r="G11" s="253">
        <v>1</v>
      </c>
      <c r="I11" t="s">
        <v>294</v>
      </c>
    </row>
    <row r="12" spans="1:18" x14ac:dyDescent="0.25">
      <c r="A12" s="50"/>
      <c r="B12" s="50"/>
      <c r="C12" s="224"/>
      <c r="E12" s="50">
        <v>10</v>
      </c>
      <c r="F12" s="253">
        <v>0</v>
      </c>
      <c r="G12" s="253">
        <v>1</v>
      </c>
      <c r="I12" s="226"/>
      <c r="J12" s="226" t="s">
        <v>60</v>
      </c>
      <c r="K12" s="226" t="s">
        <v>219</v>
      </c>
      <c r="L12" s="226" t="s">
        <v>240</v>
      </c>
      <c r="M12" s="226" t="s">
        <v>135</v>
      </c>
      <c r="N12" s="226" t="s">
        <v>297</v>
      </c>
    </row>
    <row r="13" spans="1:18" x14ac:dyDescent="0.25">
      <c r="A13" s="50"/>
      <c r="B13" s="50"/>
      <c r="C13" s="224"/>
      <c r="E13" s="50">
        <v>12</v>
      </c>
      <c r="F13" s="253">
        <v>0</v>
      </c>
      <c r="G13" s="253">
        <v>1</v>
      </c>
      <c r="I13" s="19" t="s">
        <v>222</v>
      </c>
      <c r="J13" s="19">
        <v>2</v>
      </c>
      <c r="K13" s="19">
        <v>20.999999999999972</v>
      </c>
      <c r="L13" s="19">
        <v>10.499999999999986</v>
      </c>
      <c r="M13" s="19">
        <v>0.66315789473684106</v>
      </c>
      <c r="N13" s="19">
        <v>0.52969149408120253</v>
      </c>
    </row>
    <row r="14" spans="1:18" x14ac:dyDescent="0.25">
      <c r="A14" s="50"/>
      <c r="B14" s="50"/>
      <c r="C14" s="224"/>
      <c r="E14" s="50">
        <v>8</v>
      </c>
      <c r="F14" s="253">
        <v>0</v>
      </c>
      <c r="G14" s="253">
        <v>1</v>
      </c>
      <c r="I14" s="19" t="s">
        <v>295</v>
      </c>
      <c r="J14" s="19">
        <v>15</v>
      </c>
      <c r="K14" s="19">
        <v>237.50000000000003</v>
      </c>
      <c r="L14" s="19">
        <v>15.833333333333336</v>
      </c>
      <c r="M14" s="19"/>
      <c r="N14" s="19"/>
    </row>
    <row r="15" spans="1:18" ht="15.75" thickBot="1" x14ac:dyDescent="0.3">
      <c r="A15" s="50"/>
      <c r="B15" s="50"/>
      <c r="C15" s="224"/>
      <c r="E15" s="50">
        <v>18</v>
      </c>
      <c r="F15" s="253">
        <v>0</v>
      </c>
      <c r="G15" s="253">
        <v>1</v>
      </c>
      <c r="I15" s="20" t="s">
        <v>1</v>
      </c>
      <c r="J15" s="20">
        <v>17</v>
      </c>
      <c r="K15" s="20">
        <v>258.5</v>
      </c>
      <c r="L15" s="20"/>
      <c r="M15" s="20"/>
      <c r="N15" s="20"/>
    </row>
    <row r="16" spans="1:18" ht="15.75" thickBot="1" x14ac:dyDescent="0.3">
      <c r="A16" s="50"/>
      <c r="B16" s="50"/>
      <c r="C16" s="224"/>
      <c r="E16" s="224">
        <v>15</v>
      </c>
      <c r="F16" s="254">
        <v>0</v>
      </c>
      <c r="G16" s="254">
        <v>0</v>
      </c>
    </row>
    <row r="17" spans="1:15" x14ac:dyDescent="0.25">
      <c r="A17" s="50"/>
      <c r="B17" s="50"/>
      <c r="C17" s="224"/>
      <c r="E17" s="224">
        <v>12</v>
      </c>
      <c r="F17" s="254">
        <v>0</v>
      </c>
      <c r="G17" s="254">
        <v>0</v>
      </c>
      <c r="I17" s="226"/>
      <c r="J17" s="226" t="s">
        <v>298</v>
      </c>
      <c r="K17" s="226" t="s">
        <v>11</v>
      </c>
      <c r="L17" s="226" t="s">
        <v>85</v>
      </c>
      <c r="M17" s="226" t="s">
        <v>119</v>
      </c>
      <c r="N17" s="226" t="s">
        <v>299</v>
      </c>
      <c r="O17" s="226" t="s">
        <v>300</v>
      </c>
    </row>
    <row r="18" spans="1:15" x14ac:dyDescent="0.25">
      <c r="E18" s="224">
        <v>11</v>
      </c>
      <c r="F18" s="254">
        <v>0</v>
      </c>
      <c r="G18" s="254">
        <v>0</v>
      </c>
      <c r="I18" s="19" t="s">
        <v>296</v>
      </c>
      <c r="J18" s="19">
        <v>14</v>
      </c>
      <c r="K18" s="19">
        <v>1.6244657241348277</v>
      </c>
      <c r="L18" s="19">
        <v>8.6182181575152921</v>
      </c>
      <c r="M18" s="19">
        <v>3.4027731523469263E-7</v>
      </c>
      <c r="N18" s="19">
        <v>10.537533270515393</v>
      </c>
      <c r="O18" s="19">
        <v>17.462466729484607</v>
      </c>
    </row>
    <row r="19" spans="1:15" x14ac:dyDescent="0.25">
      <c r="E19" s="224">
        <v>17</v>
      </c>
      <c r="F19" s="254">
        <v>0</v>
      </c>
      <c r="G19" s="254">
        <v>0</v>
      </c>
      <c r="I19" s="19" t="s">
        <v>568</v>
      </c>
      <c r="J19" s="19">
        <v>-1.9999999999999998</v>
      </c>
      <c r="K19" s="19">
        <v>2.2973414586817031</v>
      </c>
      <c r="L19" s="19">
        <v>-0.87057150013201412</v>
      </c>
      <c r="M19" s="19">
        <v>0.39770691285569448</v>
      </c>
      <c r="N19" s="19">
        <v>-6.8966674081027453</v>
      </c>
      <c r="O19" s="19">
        <v>2.8966674081027453</v>
      </c>
    </row>
    <row r="20" spans="1:15" ht="15.75" thickBot="1" x14ac:dyDescent="0.3">
      <c r="E20" s="224">
        <v>20</v>
      </c>
      <c r="F20" s="254">
        <v>0</v>
      </c>
      <c r="G20" s="254">
        <v>0</v>
      </c>
      <c r="I20" s="20" t="s">
        <v>569</v>
      </c>
      <c r="J20" s="20">
        <v>-2.5</v>
      </c>
      <c r="K20" s="20">
        <v>2.297341458681704</v>
      </c>
      <c r="L20" s="20">
        <v>-1.0882143751650173</v>
      </c>
      <c r="M20" s="20">
        <v>0.29367674527164767</v>
      </c>
      <c r="N20" s="20">
        <v>-7.396667408102747</v>
      </c>
      <c r="O20" s="20">
        <v>2.396667408102747</v>
      </c>
    </row>
    <row r="21" spans="1:15" x14ac:dyDescent="0.25">
      <c r="E21" s="225">
        <v>9</v>
      </c>
      <c r="F21" s="255">
        <v>0</v>
      </c>
      <c r="G21" s="255">
        <v>0</v>
      </c>
    </row>
    <row r="23" spans="1:15" x14ac:dyDescent="0.25">
      <c r="I23" t="s">
        <v>464</v>
      </c>
    </row>
    <row r="25" spans="1:15" ht="15.75" thickBot="1" x14ac:dyDescent="0.3">
      <c r="I25" t="s">
        <v>62</v>
      </c>
    </row>
    <row r="26" spans="1:15" x14ac:dyDescent="0.25">
      <c r="I26" s="226" t="s">
        <v>79</v>
      </c>
      <c r="J26" s="226" t="s">
        <v>22</v>
      </c>
      <c r="K26" s="226" t="s">
        <v>21</v>
      </c>
      <c r="L26" s="226" t="s">
        <v>465</v>
      </c>
      <c r="M26" s="226" t="s">
        <v>80</v>
      </c>
    </row>
    <row r="27" spans="1:15" x14ac:dyDescent="0.25">
      <c r="I27" s="19" t="s">
        <v>453</v>
      </c>
      <c r="J27" s="19">
        <v>6</v>
      </c>
      <c r="K27" s="19">
        <v>72</v>
      </c>
      <c r="L27" s="19">
        <v>12</v>
      </c>
      <c r="M27" s="19">
        <v>14</v>
      </c>
    </row>
    <row r="28" spans="1:15" x14ac:dyDescent="0.25">
      <c r="I28" s="19" t="s">
        <v>454</v>
      </c>
      <c r="J28" s="19">
        <v>6</v>
      </c>
      <c r="K28" s="19">
        <v>69</v>
      </c>
      <c r="L28" s="19">
        <v>11.5</v>
      </c>
      <c r="M28" s="19">
        <v>16.7</v>
      </c>
    </row>
    <row r="29" spans="1:15" ht="15.75" thickBot="1" x14ac:dyDescent="0.3">
      <c r="I29" s="20" t="s">
        <v>455</v>
      </c>
      <c r="J29" s="20">
        <v>6</v>
      </c>
      <c r="K29" s="20">
        <v>84</v>
      </c>
      <c r="L29" s="20">
        <v>14</v>
      </c>
      <c r="M29" s="20">
        <v>16.8</v>
      </c>
    </row>
    <row r="32" spans="1:15" ht="15.75" thickBot="1" x14ac:dyDescent="0.3">
      <c r="I32" t="s">
        <v>294</v>
      </c>
    </row>
    <row r="33" spans="9:15" x14ac:dyDescent="0.25">
      <c r="I33" s="226" t="s">
        <v>466</v>
      </c>
      <c r="J33" s="226" t="s">
        <v>219</v>
      </c>
      <c r="K33" s="226" t="s">
        <v>60</v>
      </c>
      <c r="L33" s="226" t="s">
        <v>240</v>
      </c>
      <c r="M33" s="226" t="s">
        <v>135</v>
      </c>
      <c r="N33" s="226" t="s">
        <v>119</v>
      </c>
      <c r="O33" s="226" t="s">
        <v>467</v>
      </c>
    </row>
    <row r="34" spans="9:15" x14ac:dyDescent="0.25">
      <c r="I34" s="19" t="s">
        <v>462</v>
      </c>
      <c r="J34" s="19">
        <v>21</v>
      </c>
      <c r="K34" s="19">
        <v>2</v>
      </c>
      <c r="L34" s="19">
        <v>10.5</v>
      </c>
      <c r="M34" s="19">
        <v>0.66315789473684206</v>
      </c>
      <c r="N34" s="19">
        <v>0.52969149408120197</v>
      </c>
      <c r="O34" s="19">
        <v>3.6823203436732408</v>
      </c>
    </row>
    <row r="35" spans="9:15" x14ac:dyDescent="0.25">
      <c r="I35" s="19" t="s">
        <v>463</v>
      </c>
      <c r="J35" s="19">
        <v>237.5</v>
      </c>
      <c r="K35" s="19">
        <v>15</v>
      </c>
      <c r="L35" s="19">
        <v>15.833333333333334</v>
      </c>
      <c r="M35" s="19"/>
      <c r="N35" s="19"/>
      <c r="O35" s="19"/>
    </row>
    <row r="36" spans="9:15" x14ac:dyDescent="0.25">
      <c r="I36" s="19"/>
      <c r="J36" s="19"/>
      <c r="K36" s="19"/>
      <c r="L36" s="19"/>
      <c r="M36" s="19"/>
      <c r="N36" s="19"/>
      <c r="O36" s="19"/>
    </row>
    <row r="37" spans="9:15" ht="15.75" thickBot="1" x14ac:dyDescent="0.3">
      <c r="I37" s="20" t="s">
        <v>1</v>
      </c>
      <c r="J37" s="20">
        <v>258.5</v>
      </c>
      <c r="K37" s="20">
        <v>17</v>
      </c>
      <c r="L37" s="20"/>
      <c r="M37" s="20"/>
      <c r="N37" s="20"/>
      <c r="O37" s="20"/>
    </row>
  </sheetData>
  <mergeCells count="1">
    <mergeCell ref="E2:G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U37"/>
  <sheetViews>
    <sheetView workbookViewId="0"/>
  </sheetViews>
  <sheetFormatPr defaultRowHeight="15" x14ac:dyDescent="0.25"/>
  <cols>
    <col min="1" max="3" width="8.140625" customWidth="1"/>
    <col min="4" max="4" width="5.85546875" customWidth="1"/>
    <col min="8" max="8" width="7.140625" customWidth="1"/>
    <col min="9" max="9" width="17.85546875" customWidth="1"/>
    <col min="10" max="10" width="10.5703125" customWidth="1"/>
    <col min="11" max="11" width="14.7109375" customWidth="1"/>
    <col min="12" max="13" width="10.5703125" customWidth="1"/>
    <col min="14" max="14" width="12.140625" customWidth="1"/>
    <col min="15" max="16" width="11.140625" customWidth="1"/>
  </cols>
  <sheetData>
    <row r="1" spans="1:21" x14ac:dyDescent="0.25">
      <c r="A1" s="1" t="s">
        <v>566</v>
      </c>
    </row>
    <row r="2" spans="1:21" x14ac:dyDescent="0.25">
      <c r="E2" s="1309" t="s">
        <v>567</v>
      </c>
      <c r="F2" s="1309"/>
      <c r="G2" s="1309"/>
      <c r="I2" t="s">
        <v>290</v>
      </c>
      <c r="R2" t="s">
        <v>570</v>
      </c>
    </row>
    <row r="3" spans="1:21" ht="15.75" thickBot="1" x14ac:dyDescent="0.3">
      <c r="A3" s="131" t="s">
        <v>453</v>
      </c>
      <c r="B3" s="131" t="s">
        <v>454</v>
      </c>
      <c r="C3" s="131" t="s">
        <v>455</v>
      </c>
      <c r="E3" s="228" t="s">
        <v>36</v>
      </c>
      <c r="F3" s="228" t="s">
        <v>568</v>
      </c>
      <c r="G3" s="228" t="s">
        <v>569</v>
      </c>
    </row>
    <row r="4" spans="1:21" x14ac:dyDescent="0.25">
      <c r="A4" s="50">
        <v>16</v>
      </c>
      <c r="B4" s="50">
        <v>7</v>
      </c>
      <c r="C4" s="224">
        <v>15</v>
      </c>
      <c r="E4" s="50">
        <v>16</v>
      </c>
      <c r="F4" s="253">
        <v>1</v>
      </c>
      <c r="G4" s="253">
        <v>0</v>
      </c>
      <c r="I4" s="21" t="s">
        <v>291</v>
      </c>
      <c r="J4" s="21"/>
      <c r="R4" s="50" t="s">
        <v>453</v>
      </c>
      <c r="S4" s="50" t="s">
        <v>454</v>
      </c>
      <c r="T4" s="50" t="s">
        <v>455</v>
      </c>
      <c r="U4" s="7"/>
    </row>
    <row r="5" spans="1:21" x14ac:dyDescent="0.25">
      <c r="A5" s="50">
        <v>8</v>
      </c>
      <c r="B5" s="50">
        <v>14</v>
      </c>
      <c r="C5" s="224">
        <v>12</v>
      </c>
      <c r="E5" s="50">
        <v>8</v>
      </c>
      <c r="F5" s="253">
        <v>1</v>
      </c>
      <c r="G5" s="253">
        <v>0</v>
      </c>
      <c r="I5" s="19" t="s">
        <v>292</v>
      </c>
      <c r="J5" s="19">
        <v>0.28502265002126614</v>
      </c>
      <c r="R5" s="230">
        <v>16</v>
      </c>
      <c r="S5" s="231">
        <v>7</v>
      </c>
      <c r="T5" s="232">
        <v>15</v>
      </c>
      <c r="U5" s="7"/>
    </row>
    <row r="6" spans="1:21" x14ac:dyDescent="0.25">
      <c r="A6" s="50">
        <v>14</v>
      </c>
      <c r="B6" s="50">
        <v>10</v>
      </c>
      <c r="C6" s="224">
        <v>11</v>
      </c>
      <c r="E6" s="50">
        <v>14</v>
      </c>
      <c r="F6" s="253">
        <v>1</v>
      </c>
      <c r="G6" s="253">
        <v>0</v>
      </c>
      <c r="I6" s="19" t="s">
        <v>285</v>
      </c>
      <c r="J6" s="19">
        <v>8.1237911025145174E-2</v>
      </c>
      <c r="R6" s="256">
        <v>8</v>
      </c>
      <c r="S6" s="50">
        <v>14</v>
      </c>
      <c r="T6" s="36">
        <v>12</v>
      </c>
      <c r="U6" s="7"/>
    </row>
    <row r="7" spans="1:21" x14ac:dyDescent="0.25">
      <c r="A7" s="50">
        <v>12</v>
      </c>
      <c r="B7" s="50">
        <v>12</v>
      </c>
      <c r="C7" s="224">
        <v>17</v>
      </c>
      <c r="E7" s="50">
        <v>12</v>
      </c>
      <c r="F7" s="253">
        <v>1</v>
      </c>
      <c r="G7" s="253">
        <v>0</v>
      </c>
      <c r="I7" s="19" t="s">
        <v>293</v>
      </c>
      <c r="J7" s="19">
        <v>-4.1263700838168806E-2</v>
      </c>
      <c r="R7" s="256">
        <v>14</v>
      </c>
      <c r="S7" s="50">
        <v>10</v>
      </c>
      <c r="T7" s="36">
        <v>11</v>
      </c>
      <c r="U7" s="7"/>
    </row>
    <row r="8" spans="1:21" x14ac:dyDescent="0.25">
      <c r="A8" s="50">
        <v>15</v>
      </c>
      <c r="B8" s="50">
        <v>8</v>
      </c>
      <c r="C8" s="224">
        <v>20</v>
      </c>
      <c r="E8" s="50">
        <v>15</v>
      </c>
      <c r="F8" s="253">
        <v>1</v>
      </c>
      <c r="G8" s="253">
        <v>0</v>
      </c>
      <c r="I8" s="19" t="s">
        <v>11</v>
      </c>
      <c r="J8" s="19">
        <v>3.9791121287711073</v>
      </c>
      <c r="R8" s="256">
        <v>12</v>
      </c>
      <c r="S8" s="50">
        <v>12</v>
      </c>
      <c r="T8" s="36">
        <v>17</v>
      </c>
      <c r="U8" s="7"/>
    </row>
    <row r="9" spans="1:21" ht="15.75" thickBot="1" x14ac:dyDescent="0.3">
      <c r="A9" s="225">
        <v>7</v>
      </c>
      <c r="B9" s="225">
        <v>18</v>
      </c>
      <c r="C9" s="225">
        <v>9</v>
      </c>
      <c r="E9" s="50">
        <v>7</v>
      </c>
      <c r="F9" s="253">
        <v>1</v>
      </c>
      <c r="G9" s="253">
        <v>0</v>
      </c>
      <c r="I9" s="20" t="s">
        <v>81</v>
      </c>
      <c r="J9" s="20">
        <v>18</v>
      </c>
      <c r="R9" s="256">
        <v>15</v>
      </c>
      <c r="S9" s="50">
        <v>8</v>
      </c>
      <c r="T9" s="36">
        <v>20</v>
      </c>
      <c r="U9" s="7"/>
    </row>
    <row r="10" spans="1:21" x14ac:dyDescent="0.25">
      <c r="A10" s="50"/>
      <c r="B10" s="50"/>
      <c r="C10" s="224"/>
      <c r="E10" s="50">
        <v>7</v>
      </c>
      <c r="F10" s="253">
        <v>0</v>
      </c>
      <c r="G10" s="253">
        <v>1</v>
      </c>
      <c r="R10" s="181">
        <v>7</v>
      </c>
      <c r="S10" s="225">
        <v>18</v>
      </c>
      <c r="T10" s="182">
        <v>9</v>
      </c>
      <c r="U10" s="7"/>
    </row>
    <row r="11" spans="1:21" ht="15.75" thickBot="1" x14ac:dyDescent="0.3">
      <c r="A11" s="50"/>
      <c r="B11" s="50"/>
      <c r="C11" s="224"/>
      <c r="E11" s="50">
        <v>14</v>
      </c>
      <c r="F11" s="253">
        <v>0</v>
      </c>
      <c r="G11" s="253">
        <v>1</v>
      </c>
      <c r="I11" t="s">
        <v>294</v>
      </c>
      <c r="Q11" t="s">
        <v>7</v>
      </c>
      <c r="R11" s="50">
        <f>AVERAGE(R5:R10)</f>
        <v>12</v>
      </c>
      <c r="S11" s="50">
        <f>AVERAGE(S5:S10)</f>
        <v>11.5</v>
      </c>
      <c r="T11" s="50">
        <f>AVERAGE(T5:T10)</f>
        <v>14</v>
      </c>
      <c r="U11" s="50">
        <f>AVERAGE(R11:T11)</f>
        <v>12.5</v>
      </c>
    </row>
    <row r="12" spans="1:21" x14ac:dyDescent="0.25">
      <c r="A12" s="50"/>
      <c r="B12" s="50"/>
      <c r="C12" s="224"/>
      <c r="E12" s="50">
        <v>10</v>
      </c>
      <c r="F12" s="253">
        <v>0</v>
      </c>
      <c r="G12" s="253">
        <v>1</v>
      </c>
      <c r="I12" s="226"/>
      <c r="J12" s="226" t="s">
        <v>60</v>
      </c>
      <c r="K12" s="226" t="s">
        <v>219</v>
      </c>
      <c r="L12" s="226" t="s">
        <v>240</v>
      </c>
      <c r="M12" s="226" t="s">
        <v>135</v>
      </c>
      <c r="N12" s="226" t="s">
        <v>297</v>
      </c>
      <c r="Q12" s="257" t="s">
        <v>571</v>
      </c>
      <c r="R12" s="50">
        <f>R11-$U$11</f>
        <v>-0.5</v>
      </c>
      <c r="S12" s="50">
        <f>S11-$U$11</f>
        <v>-1</v>
      </c>
      <c r="T12" s="50">
        <f>T11-$U$11</f>
        <v>1.5</v>
      </c>
      <c r="U12" s="7"/>
    </row>
    <row r="13" spans="1:21" x14ac:dyDescent="0.25">
      <c r="A13" s="50"/>
      <c r="B13" s="50"/>
      <c r="C13" s="224"/>
      <c r="E13" s="50">
        <v>12</v>
      </c>
      <c r="F13" s="253">
        <v>0</v>
      </c>
      <c r="G13" s="253">
        <v>1</v>
      </c>
      <c r="I13" s="19" t="s">
        <v>222</v>
      </c>
      <c r="J13" s="19">
        <v>2</v>
      </c>
      <c r="K13" s="19">
        <v>21.000000000000028</v>
      </c>
      <c r="L13" s="19">
        <v>10.500000000000014</v>
      </c>
      <c r="M13" s="19">
        <v>0.66315789473684306</v>
      </c>
      <c r="N13" s="19">
        <v>0.52969149408120164</v>
      </c>
    </row>
    <row r="14" spans="1:21" x14ac:dyDescent="0.25">
      <c r="A14" s="50"/>
      <c r="B14" s="50"/>
      <c r="C14" s="224"/>
      <c r="E14" s="50">
        <v>8</v>
      </c>
      <c r="F14" s="253">
        <v>0</v>
      </c>
      <c r="G14" s="253">
        <v>1</v>
      </c>
      <c r="I14" s="19" t="s">
        <v>295</v>
      </c>
      <c r="J14" s="19">
        <v>15</v>
      </c>
      <c r="K14" s="19">
        <v>237.49999999999997</v>
      </c>
      <c r="L14" s="19">
        <v>15.833333333333332</v>
      </c>
      <c r="M14" s="19"/>
      <c r="N14" s="19"/>
    </row>
    <row r="15" spans="1:21" ht="15.75" thickBot="1" x14ac:dyDescent="0.3">
      <c r="A15" s="50"/>
      <c r="B15" s="50"/>
      <c r="C15" s="224"/>
      <c r="E15" s="50">
        <v>18</v>
      </c>
      <c r="F15" s="253">
        <v>0</v>
      </c>
      <c r="G15" s="253">
        <v>1</v>
      </c>
      <c r="I15" s="20" t="s">
        <v>1</v>
      </c>
      <c r="J15" s="20">
        <v>17</v>
      </c>
      <c r="K15" s="20">
        <v>258.5</v>
      </c>
      <c r="L15" s="20"/>
      <c r="M15" s="20"/>
      <c r="N15" s="20"/>
    </row>
    <row r="16" spans="1:21" ht="15.75" thickBot="1" x14ac:dyDescent="0.3">
      <c r="A16" s="50"/>
      <c r="B16" s="50"/>
      <c r="C16" s="224"/>
      <c r="E16" s="224">
        <v>15</v>
      </c>
      <c r="F16" s="254">
        <v>-1</v>
      </c>
      <c r="G16" s="254">
        <v>-1</v>
      </c>
    </row>
    <row r="17" spans="1:16" x14ac:dyDescent="0.25">
      <c r="A17" s="50"/>
      <c r="B17" s="50"/>
      <c r="C17" s="224"/>
      <c r="E17" s="224">
        <v>12</v>
      </c>
      <c r="F17" s="254">
        <v>-1</v>
      </c>
      <c r="G17" s="254">
        <v>-1</v>
      </c>
      <c r="I17" s="226"/>
      <c r="J17" s="226" t="s">
        <v>298</v>
      </c>
      <c r="K17" s="226" t="s">
        <v>11</v>
      </c>
      <c r="L17" s="226" t="s">
        <v>85</v>
      </c>
      <c r="M17" s="226" t="s">
        <v>119</v>
      </c>
      <c r="N17" s="226" t="s">
        <v>299</v>
      </c>
      <c r="O17" s="226" t="s">
        <v>300</v>
      </c>
      <c r="P17" s="39"/>
    </row>
    <row r="18" spans="1:16" x14ac:dyDescent="0.25">
      <c r="E18" s="224">
        <v>11</v>
      </c>
      <c r="F18" s="254">
        <v>-1</v>
      </c>
      <c r="G18" s="254">
        <v>-1</v>
      </c>
      <c r="I18" s="19" t="s">
        <v>296</v>
      </c>
      <c r="J18" s="19">
        <v>12.5</v>
      </c>
      <c r="K18" s="19">
        <v>0.93788572311856289</v>
      </c>
      <c r="L18" s="19">
        <v>13.327849749579578</v>
      </c>
      <c r="M18" s="19">
        <v>1.0170895024375537E-9</v>
      </c>
      <c r="N18" s="19">
        <v>10.500943901671938</v>
      </c>
      <c r="O18" s="19">
        <v>14.499056098328062</v>
      </c>
      <c r="P18" s="19"/>
    </row>
    <row r="19" spans="1:16" x14ac:dyDescent="0.25">
      <c r="E19" s="224">
        <v>17</v>
      </c>
      <c r="F19" s="254">
        <v>-1</v>
      </c>
      <c r="G19" s="254">
        <v>-1</v>
      </c>
      <c r="I19" s="19" t="s">
        <v>568</v>
      </c>
      <c r="J19" s="19">
        <v>-0.49999999999999994</v>
      </c>
      <c r="K19" s="19">
        <v>1.326370709590369</v>
      </c>
      <c r="L19" s="19">
        <v>-0.37696851746252596</v>
      </c>
      <c r="M19" s="19">
        <v>0.71147657623552352</v>
      </c>
      <c r="N19" s="19">
        <v>-3.3270922462001873</v>
      </c>
      <c r="O19" s="19">
        <v>2.3270922462001873</v>
      </c>
      <c r="P19" s="19"/>
    </row>
    <row r="20" spans="1:16" ht="15.75" thickBot="1" x14ac:dyDescent="0.3">
      <c r="E20" s="224">
        <v>20</v>
      </c>
      <c r="F20" s="254">
        <v>-1</v>
      </c>
      <c r="G20" s="254">
        <v>-1</v>
      </c>
      <c r="I20" s="20" t="s">
        <v>569</v>
      </c>
      <c r="J20" s="20">
        <v>-1.0000000000000002</v>
      </c>
      <c r="K20" s="20">
        <v>1.3263707095903692</v>
      </c>
      <c r="L20" s="20">
        <v>-0.75393703492505204</v>
      </c>
      <c r="M20" s="20">
        <v>0.46255887733323142</v>
      </c>
      <c r="N20" s="20">
        <v>-3.8270922462001877</v>
      </c>
      <c r="O20" s="20">
        <v>1.8270922462001875</v>
      </c>
      <c r="P20" s="19"/>
    </row>
    <row r="21" spans="1:16" x14ac:dyDescent="0.25">
      <c r="E21" s="225">
        <v>9</v>
      </c>
      <c r="F21" s="225">
        <v>-1</v>
      </c>
      <c r="G21" s="225">
        <v>-1</v>
      </c>
    </row>
    <row r="23" spans="1:16" x14ac:dyDescent="0.25">
      <c r="I23" t="s">
        <v>464</v>
      </c>
    </row>
    <row r="25" spans="1:16" ht="15.75" thickBot="1" x14ac:dyDescent="0.3">
      <c r="I25" t="s">
        <v>62</v>
      </c>
    </row>
    <row r="26" spans="1:16" x14ac:dyDescent="0.25">
      <c r="I26" s="586" t="s">
        <v>79</v>
      </c>
      <c r="J26" s="586" t="s">
        <v>22</v>
      </c>
      <c r="K26" s="586" t="s">
        <v>21</v>
      </c>
      <c r="L26" s="586" t="s">
        <v>465</v>
      </c>
      <c r="M26" s="586" t="s">
        <v>80</v>
      </c>
    </row>
    <row r="27" spans="1:16" x14ac:dyDescent="0.25">
      <c r="I27" s="19" t="s">
        <v>453</v>
      </c>
      <c r="J27" s="19">
        <v>6</v>
      </c>
      <c r="K27" s="19">
        <v>72</v>
      </c>
      <c r="L27" s="19">
        <v>12</v>
      </c>
      <c r="M27" s="19">
        <v>14</v>
      </c>
    </row>
    <row r="28" spans="1:16" x14ac:dyDescent="0.25">
      <c r="I28" s="19" t="s">
        <v>454</v>
      </c>
      <c r="J28" s="19">
        <v>6</v>
      </c>
      <c r="K28" s="19">
        <v>69</v>
      </c>
      <c r="L28" s="19">
        <v>11.5</v>
      </c>
      <c r="M28" s="19">
        <v>16.7</v>
      </c>
    </row>
    <row r="29" spans="1:16" ht="15.75" thickBot="1" x14ac:dyDescent="0.3">
      <c r="I29" s="20" t="s">
        <v>455</v>
      </c>
      <c r="J29" s="20">
        <v>6</v>
      </c>
      <c r="K29" s="20">
        <v>84</v>
      </c>
      <c r="L29" s="20">
        <v>14</v>
      </c>
      <c r="M29" s="20">
        <v>16.8</v>
      </c>
    </row>
    <row r="32" spans="1:16" ht="15.75" thickBot="1" x14ac:dyDescent="0.3">
      <c r="I32" t="s">
        <v>294</v>
      </c>
    </row>
    <row r="33" spans="9:16" x14ac:dyDescent="0.25">
      <c r="I33" s="586" t="s">
        <v>466</v>
      </c>
      <c r="J33" s="586" t="s">
        <v>219</v>
      </c>
      <c r="K33" s="586" t="s">
        <v>60</v>
      </c>
      <c r="L33" s="586" t="s">
        <v>240</v>
      </c>
      <c r="M33" s="586" t="s">
        <v>135</v>
      </c>
      <c r="N33" s="586" t="s">
        <v>119</v>
      </c>
      <c r="O33" s="586" t="s">
        <v>467</v>
      </c>
      <c r="P33" s="39"/>
    </row>
    <row r="34" spans="9:16" x14ac:dyDescent="0.25">
      <c r="I34" s="19" t="s">
        <v>462</v>
      </c>
      <c r="J34" s="19">
        <v>21</v>
      </c>
      <c r="K34" s="19">
        <v>2</v>
      </c>
      <c r="L34" s="19">
        <v>10.5</v>
      </c>
      <c r="M34" s="19">
        <v>0.66315789473684206</v>
      </c>
      <c r="N34" s="19">
        <v>0.52969149408120197</v>
      </c>
      <c r="O34" s="19">
        <v>3.6823203436732408</v>
      </c>
      <c r="P34" s="19"/>
    </row>
    <row r="35" spans="9:16" x14ac:dyDescent="0.25">
      <c r="I35" s="19" t="s">
        <v>463</v>
      </c>
      <c r="J35" s="19">
        <v>237.5</v>
      </c>
      <c r="K35" s="19">
        <v>15</v>
      </c>
      <c r="L35" s="19">
        <v>15.833333333333334</v>
      </c>
      <c r="M35" s="19"/>
      <c r="N35" s="19"/>
      <c r="O35" s="19"/>
      <c r="P35" s="19"/>
    </row>
    <row r="36" spans="9:16" x14ac:dyDescent="0.25">
      <c r="I36" s="19"/>
      <c r="J36" s="19"/>
      <c r="K36" s="19"/>
      <c r="L36" s="19"/>
      <c r="M36" s="19"/>
      <c r="N36" s="19"/>
      <c r="O36" s="19"/>
      <c r="P36" s="19"/>
    </row>
    <row r="37" spans="9:16" ht="15.75" thickBot="1" x14ac:dyDescent="0.3">
      <c r="I37" s="20" t="s">
        <v>1</v>
      </c>
      <c r="J37" s="20">
        <v>258.5</v>
      </c>
      <c r="K37" s="20">
        <v>17</v>
      </c>
      <c r="L37" s="20"/>
      <c r="M37" s="20"/>
      <c r="N37" s="20"/>
      <c r="O37" s="20"/>
      <c r="P37" s="19"/>
    </row>
  </sheetData>
  <mergeCells count="1">
    <mergeCell ref="E2:G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AB69"/>
  <sheetViews>
    <sheetView workbookViewId="0"/>
  </sheetViews>
  <sheetFormatPr defaultRowHeight="15" x14ac:dyDescent="0.25"/>
  <cols>
    <col min="6" max="11" width="7.42578125" customWidth="1"/>
    <col min="14" max="14" width="19.5703125" customWidth="1"/>
    <col min="22" max="22" width="18" customWidth="1"/>
    <col min="23" max="23" width="11.5703125" customWidth="1"/>
    <col min="24" max="24" width="14.140625" customWidth="1"/>
    <col min="25" max="26" width="11.5703125" customWidth="1"/>
    <col min="27" max="27" width="12.28515625" customWidth="1"/>
    <col min="28" max="28" width="11.5703125" customWidth="1"/>
  </cols>
  <sheetData>
    <row r="1" spans="1:27" x14ac:dyDescent="0.25">
      <c r="A1" s="1" t="s">
        <v>662</v>
      </c>
    </row>
    <row r="3" spans="1:27" x14ac:dyDescent="0.25">
      <c r="A3" s="11"/>
      <c r="B3" s="1294" t="s">
        <v>601</v>
      </c>
      <c r="C3" s="1295"/>
      <c r="D3" s="1296"/>
      <c r="F3" s="13" t="s">
        <v>568</v>
      </c>
      <c r="G3" s="13" t="s">
        <v>569</v>
      </c>
      <c r="H3" s="13" t="s">
        <v>663</v>
      </c>
      <c r="I3" s="26" t="s">
        <v>664</v>
      </c>
      <c r="J3" s="26" t="s">
        <v>665</v>
      </c>
      <c r="K3" s="26" t="s">
        <v>142</v>
      </c>
      <c r="N3" t="s">
        <v>599</v>
      </c>
      <c r="V3" t="s">
        <v>290</v>
      </c>
    </row>
    <row r="4" spans="1:27" ht="15.75" thickBot="1" x14ac:dyDescent="0.3">
      <c r="A4" s="284" t="s">
        <v>602</v>
      </c>
      <c r="B4" s="270" t="s">
        <v>591</v>
      </c>
      <c r="C4" s="270" t="s">
        <v>592</v>
      </c>
      <c r="D4" s="270" t="s">
        <v>596</v>
      </c>
      <c r="F4" s="289">
        <v>1</v>
      </c>
      <c r="G4" s="287">
        <v>1</v>
      </c>
      <c r="H4" s="288">
        <v>0</v>
      </c>
      <c r="I4" s="289">
        <f t="shared" ref="I4:I33" si="0">F4*G4</f>
        <v>1</v>
      </c>
      <c r="J4" s="288">
        <f t="shared" ref="J4:J33" si="1">F4*H4</f>
        <v>0</v>
      </c>
      <c r="K4" s="271">
        <v>128</v>
      </c>
    </row>
    <row r="5" spans="1:27" x14ac:dyDescent="0.25">
      <c r="A5" s="296" t="s">
        <v>593</v>
      </c>
      <c r="B5" s="271">
        <v>128</v>
      </c>
      <c r="C5" s="271">
        <v>166</v>
      </c>
      <c r="D5" s="271">
        <v>151</v>
      </c>
      <c r="F5" s="273">
        <v>1</v>
      </c>
      <c r="G5" s="7">
        <v>1</v>
      </c>
      <c r="H5" s="8">
        <v>0</v>
      </c>
      <c r="I5">
        <f t="shared" si="0"/>
        <v>1</v>
      </c>
      <c r="J5">
        <f t="shared" si="1"/>
        <v>0</v>
      </c>
      <c r="K5" s="272">
        <v>150</v>
      </c>
      <c r="N5" t="s">
        <v>62</v>
      </c>
      <c r="O5" t="s">
        <v>591</v>
      </c>
      <c r="P5" t="s">
        <v>592</v>
      </c>
      <c r="Q5" t="s">
        <v>596</v>
      </c>
      <c r="R5" t="s">
        <v>1</v>
      </c>
      <c r="V5" s="21" t="s">
        <v>291</v>
      </c>
      <c r="W5" s="21"/>
    </row>
    <row r="6" spans="1:27" ht="15.75" thickBot="1" x14ac:dyDescent="0.3">
      <c r="A6" s="272"/>
      <c r="B6" s="272">
        <v>150</v>
      </c>
      <c r="C6" s="272">
        <v>178</v>
      </c>
      <c r="D6" s="272">
        <v>125</v>
      </c>
      <c r="F6" s="273">
        <v>1</v>
      </c>
      <c r="G6" s="7">
        <v>1</v>
      </c>
      <c r="H6" s="8">
        <v>0</v>
      </c>
      <c r="I6">
        <f t="shared" si="0"/>
        <v>1</v>
      </c>
      <c r="J6">
        <f t="shared" si="1"/>
        <v>0</v>
      </c>
      <c r="K6" s="272">
        <v>174</v>
      </c>
      <c r="N6" s="274" t="s">
        <v>593</v>
      </c>
      <c r="O6" s="274"/>
      <c r="P6" s="274"/>
      <c r="Q6" s="274"/>
      <c r="R6" s="274"/>
      <c r="V6" s="19" t="s">
        <v>292</v>
      </c>
      <c r="W6" s="19">
        <v>0.61717863365297299</v>
      </c>
    </row>
    <row r="7" spans="1:27" x14ac:dyDescent="0.25">
      <c r="A7" s="272"/>
      <c r="B7" s="272">
        <v>174</v>
      </c>
      <c r="C7" s="272">
        <v>187</v>
      </c>
      <c r="D7" s="272">
        <v>117</v>
      </c>
      <c r="F7" s="273">
        <v>1</v>
      </c>
      <c r="G7" s="7">
        <v>1</v>
      </c>
      <c r="H7" s="8">
        <v>0</v>
      </c>
      <c r="I7">
        <f t="shared" si="0"/>
        <v>1</v>
      </c>
      <c r="J7">
        <f t="shared" si="1"/>
        <v>0</v>
      </c>
      <c r="K7" s="272">
        <v>116</v>
      </c>
      <c r="N7" s="19" t="s">
        <v>22</v>
      </c>
      <c r="O7" s="19">
        <v>5</v>
      </c>
      <c r="P7" s="19">
        <v>5</v>
      </c>
      <c r="Q7" s="19">
        <v>5</v>
      </c>
      <c r="R7" s="19">
        <v>15</v>
      </c>
      <c r="V7" s="19" t="s">
        <v>285</v>
      </c>
      <c r="W7" s="19">
        <v>0.38090946583775059</v>
      </c>
    </row>
    <row r="8" spans="1:27" x14ac:dyDescent="0.25">
      <c r="A8" s="272"/>
      <c r="B8" s="272">
        <v>116</v>
      </c>
      <c r="C8" s="272">
        <v>153</v>
      </c>
      <c r="D8" s="272">
        <v>155</v>
      </c>
      <c r="F8" s="9">
        <v>1</v>
      </c>
      <c r="G8" s="10">
        <v>1</v>
      </c>
      <c r="H8" s="11">
        <v>0</v>
      </c>
      <c r="I8">
        <f t="shared" si="0"/>
        <v>1</v>
      </c>
      <c r="J8">
        <f t="shared" si="1"/>
        <v>0</v>
      </c>
      <c r="K8" s="24">
        <v>109</v>
      </c>
      <c r="N8" s="19" t="s">
        <v>21</v>
      </c>
      <c r="O8" s="19">
        <v>677</v>
      </c>
      <c r="P8" s="19">
        <v>879</v>
      </c>
      <c r="Q8" s="19">
        <v>706</v>
      </c>
      <c r="R8" s="19">
        <v>2262</v>
      </c>
      <c r="V8" s="19" t="s">
        <v>293</v>
      </c>
      <c r="W8" s="19">
        <v>0.25193227122061529</v>
      </c>
    </row>
    <row r="9" spans="1:27" x14ac:dyDescent="0.25">
      <c r="A9" s="272"/>
      <c r="B9" s="24">
        <v>109</v>
      </c>
      <c r="C9" s="24">
        <v>195</v>
      </c>
      <c r="D9" s="24">
        <v>158</v>
      </c>
      <c r="F9" s="289">
        <v>0</v>
      </c>
      <c r="G9" s="287">
        <v>1</v>
      </c>
      <c r="H9" s="288">
        <v>0</v>
      </c>
      <c r="I9" s="289">
        <f t="shared" si="0"/>
        <v>0</v>
      </c>
      <c r="J9" s="288">
        <f t="shared" si="1"/>
        <v>0</v>
      </c>
      <c r="K9" s="271">
        <v>175</v>
      </c>
      <c r="N9" s="19" t="s">
        <v>465</v>
      </c>
      <c r="O9" s="19">
        <v>135.4</v>
      </c>
      <c r="P9" s="19">
        <v>175.8</v>
      </c>
      <c r="Q9" s="19">
        <v>141.19999999999999</v>
      </c>
      <c r="R9" s="19">
        <v>150.80000000000001</v>
      </c>
      <c r="V9" s="19" t="s">
        <v>11</v>
      </c>
      <c r="W9" s="19">
        <v>21.221058723196002</v>
      </c>
    </row>
    <row r="10" spans="1:27" ht="15.75" thickBot="1" x14ac:dyDescent="0.3">
      <c r="A10" s="296" t="s">
        <v>594</v>
      </c>
      <c r="B10" s="271">
        <v>175</v>
      </c>
      <c r="C10" s="271">
        <v>140</v>
      </c>
      <c r="D10" s="271">
        <v>167</v>
      </c>
      <c r="F10" s="273">
        <v>0</v>
      </c>
      <c r="G10" s="7">
        <v>1</v>
      </c>
      <c r="H10" s="8">
        <v>0</v>
      </c>
      <c r="I10">
        <f t="shared" si="0"/>
        <v>0</v>
      </c>
      <c r="J10">
        <f t="shared" si="1"/>
        <v>0</v>
      </c>
      <c r="K10" s="272">
        <v>132</v>
      </c>
      <c r="N10" s="19" t="s">
        <v>80</v>
      </c>
      <c r="O10" s="19">
        <v>707.79999999999927</v>
      </c>
      <c r="P10" s="19">
        <v>278.7</v>
      </c>
      <c r="Q10" s="19">
        <v>354.20000000000073</v>
      </c>
      <c r="R10" s="19">
        <v>723.88571428571595</v>
      </c>
      <c r="V10" s="20" t="s">
        <v>81</v>
      </c>
      <c r="W10" s="20">
        <v>30</v>
      </c>
    </row>
    <row r="11" spans="1:27" x14ac:dyDescent="0.25">
      <c r="A11" s="272"/>
      <c r="B11" s="272">
        <v>132</v>
      </c>
      <c r="C11" s="272">
        <v>145</v>
      </c>
      <c r="D11" s="272">
        <v>183</v>
      </c>
      <c r="F11" s="273">
        <v>0</v>
      </c>
      <c r="G11" s="7">
        <v>1</v>
      </c>
      <c r="H11" s="8">
        <v>0</v>
      </c>
      <c r="I11">
        <f t="shared" si="0"/>
        <v>0</v>
      </c>
      <c r="J11">
        <f t="shared" si="1"/>
        <v>0</v>
      </c>
      <c r="K11" s="272">
        <v>120</v>
      </c>
      <c r="N11" s="19"/>
      <c r="O11" s="19"/>
      <c r="P11" s="19"/>
      <c r="Q11" s="19"/>
      <c r="R11" s="19"/>
    </row>
    <row r="12" spans="1:27" ht="15.75" thickBot="1" x14ac:dyDescent="0.3">
      <c r="A12" s="272"/>
      <c r="B12" s="272">
        <v>120</v>
      </c>
      <c r="C12" s="272">
        <v>159</v>
      </c>
      <c r="D12" s="272">
        <v>142</v>
      </c>
      <c r="F12" s="273">
        <v>0</v>
      </c>
      <c r="G12" s="7">
        <v>1</v>
      </c>
      <c r="H12" s="8">
        <v>0</v>
      </c>
      <c r="I12">
        <f t="shared" si="0"/>
        <v>0</v>
      </c>
      <c r="J12">
        <f t="shared" si="1"/>
        <v>0</v>
      </c>
      <c r="K12" s="272">
        <v>187</v>
      </c>
      <c r="N12" s="274" t="s">
        <v>594</v>
      </c>
      <c r="O12" s="274"/>
      <c r="P12" s="274"/>
      <c r="Q12" s="274"/>
      <c r="R12" s="274"/>
      <c r="V12" t="s">
        <v>294</v>
      </c>
    </row>
    <row r="13" spans="1:27" x14ac:dyDescent="0.25">
      <c r="A13" s="272"/>
      <c r="B13" s="272">
        <v>187</v>
      </c>
      <c r="C13" s="272">
        <v>131</v>
      </c>
      <c r="D13" s="272">
        <v>167</v>
      </c>
      <c r="F13" s="9">
        <v>0</v>
      </c>
      <c r="G13" s="10">
        <v>1</v>
      </c>
      <c r="H13" s="11">
        <v>0</v>
      </c>
      <c r="I13">
        <f t="shared" si="0"/>
        <v>0</v>
      </c>
      <c r="J13">
        <f t="shared" si="1"/>
        <v>0</v>
      </c>
      <c r="K13" s="24">
        <v>184</v>
      </c>
      <c r="N13" s="19" t="s">
        <v>22</v>
      </c>
      <c r="O13" s="19">
        <v>5</v>
      </c>
      <c r="P13" s="19">
        <v>5</v>
      </c>
      <c r="Q13" s="19">
        <v>5</v>
      </c>
      <c r="R13" s="19">
        <v>15</v>
      </c>
      <c r="V13" s="265"/>
      <c r="W13" s="265" t="s">
        <v>60</v>
      </c>
      <c r="X13" s="265" t="s">
        <v>219</v>
      </c>
      <c r="Y13" s="265" t="s">
        <v>240</v>
      </c>
      <c r="Z13" s="265" t="s">
        <v>135</v>
      </c>
      <c r="AA13" s="265" t="s">
        <v>297</v>
      </c>
    </row>
    <row r="14" spans="1:27" x14ac:dyDescent="0.25">
      <c r="A14" s="168"/>
      <c r="B14" s="24">
        <v>184</v>
      </c>
      <c r="C14" s="24">
        <v>126</v>
      </c>
      <c r="D14" s="24">
        <v>168</v>
      </c>
      <c r="F14" s="289">
        <v>1</v>
      </c>
      <c r="G14" s="298">
        <v>0</v>
      </c>
      <c r="H14" s="288">
        <v>1</v>
      </c>
      <c r="I14" s="289">
        <f t="shared" si="0"/>
        <v>0</v>
      </c>
      <c r="J14" s="288">
        <f t="shared" si="1"/>
        <v>1</v>
      </c>
      <c r="K14" s="271">
        <v>166</v>
      </c>
      <c r="N14" s="19" t="s">
        <v>21</v>
      </c>
      <c r="O14" s="19">
        <v>798</v>
      </c>
      <c r="P14" s="19">
        <v>701</v>
      </c>
      <c r="Q14" s="19">
        <v>827</v>
      </c>
      <c r="R14" s="19">
        <v>2326</v>
      </c>
      <c r="V14" s="19" t="s">
        <v>222</v>
      </c>
      <c r="W14" s="19">
        <v>5</v>
      </c>
      <c r="X14" s="19">
        <v>6649.8666666666722</v>
      </c>
      <c r="Y14" s="19">
        <v>1329.9733333333345</v>
      </c>
      <c r="Z14" s="19">
        <v>2.9533086602516687</v>
      </c>
      <c r="AA14" s="19">
        <v>3.237417922643393E-2</v>
      </c>
    </row>
    <row r="15" spans="1:27" x14ac:dyDescent="0.25">
      <c r="F15" s="273">
        <v>1</v>
      </c>
      <c r="G15" s="31">
        <v>0</v>
      </c>
      <c r="H15" s="8">
        <v>1</v>
      </c>
      <c r="I15">
        <f t="shared" si="0"/>
        <v>0</v>
      </c>
      <c r="J15">
        <f t="shared" si="1"/>
        <v>1</v>
      </c>
      <c r="K15" s="272">
        <v>178</v>
      </c>
      <c r="N15" s="19" t="s">
        <v>465</v>
      </c>
      <c r="O15" s="19">
        <v>159.6</v>
      </c>
      <c r="P15" s="19">
        <v>140.19999999999999</v>
      </c>
      <c r="Q15" s="19">
        <v>165.4</v>
      </c>
      <c r="R15" s="19">
        <v>155.06666666666666</v>
      </c>
      <c r="V15" s="19" t="s">
        <v>295</v>
      </c>
      <c r="W15" s="19">
        <v>24</v>
      </c>
      <c r="X15" s="19">
        <v>10807.999999999996</v>
      </c>
      <c r="Y15" s="19">
        <v>450.3333333333332</v>
      </c>
      <c r="Z15" s="19"/>
      <c r="AA15" s="19"/>
    </row>
    <row r="16" spans="1:27" ht="15.75" thickBot="1" x14ac:dyDescent="0.3">
      <c r="A16" t="s">
        <v>666</v>
      </c>
      <c r="F16" s="273">
        <v>1</v>
      </c>
      <c r="G16" s="31">
        <v>0</v>
      </c>
      <c r="H16" s="8">
        <v>1</v>
      </c>
      <c r="I16">
        <f t="shared" si="0"/>
        <v>0</v>
      </c>
      <c r="J16">
        <f t="shared" si="1"/>
        <v>1</v>
      </c>
      <c r="K16" s="272">
        <v>187</v>
      </c>
      <c r="N16" s="19" t="s">
        <v>80</v>
      </c>
      <c r="O16" s="19">
        <v>978.29999999999927</v>
      </c>
      <c r="P16" s="19">
        <v>165.7</v>
      </c>
      <c r="Q16" s="19">
        <v>217.3</v>
      </c>
      <c r="R16" s="19">
        <v>513.35238095238208</v>
      </c>
      <c r="V16" s="20" t="s">
        <v>1</v>
      </c>
      <c r="W16" s="20">
        <v>29</v>
      </c>
      <c r="X16" s="20">
        <v>17457.866666666669</v>
      </c>
      <c r="Y16" s="20"/>
      <c r="Z16" s="20"/>
      <c r="AA16" s="20"/>
    </row>
    <row r="17" spans="1:28" ht="15.75" thickBot="1" x14ac:dyDescent="0.3">
      <c r="A17" t="s">
        <v>667</v>
      </c>
      <c r="F17" s="273">
        <v>1</v>
      </c>
      <c r="G17" s="31">
        <v>0</v>
      </c>
      <c r="H17" s="8">
        <v>1</v>
      </c>
      <c r="I17">
        <f t="shared" si="0"/>
        <v>0</v>
      </c>
      <c r="J17">
        <f t="shared" si="1"/>
        <v>1</v>
      </c>
      <c r="K17" s="272">
        <v>153</v>
      </c>
      <c r="N17" s="19"/>
      <c r="O17" s="19"/>
      <c r="P17" s="19"/>
      <c r="Q17" s="19"/>
      <c r="R17" s="19"/>
    </row>
    <row r="18" spans="1:28" ht="15.75" thickBot="1" x14ac:dyDescent="0.3">
      <c r="A18" t="s">
        <v>668</v>
      </c>
      <c r="F18" s="9">
        <v>1</v>
      </c>
      <c r="G18" s="299">
        <v>0</v>
      </c>
      <c r="H18" s="11">
        <v>1</v>
      </c>
      <c r="I18">
        <f t="shared" si="0"/>
        <v>0</v>
      </c>
      <c r="J18">
        <f t="shared" si="1"/>
        <v>1</v>
      </c>
      <c r="K18" s="24">
        <v>195</v>
      </c>
      <c r="N18" s="274" t="s">
        <v>1</v>
      </c>
      <c r="O18" s="274"/>
      <c r="P18" s="274"/>
      <c r="Q18" s="274"/>
      <c r="V18" s="265"/>
      <c r="W18" s="265" t="s">
        <v>298</v>
      </c>
      <c r="X18" s="265" t="s">
        <v>11</v>
      </c>
      <c r="Y18" s="265" t="s">
        <v>85</v>
      </c>
      <c r="Z18" s="265" t="s">
        <v>119</v>
      </c>
      <c r="AA18" s="265" t="s">
        <v>299</v>
      </c>
      <c r="AB18" s="265" t="s">
        <v>300</v>
      </c>
    </row>
    <row r="19" spans="1:28" x14ac:dyDescent="0.25">
      <c r="F19" s="289">
        <v>0</v>
      </c>
      <c r="G19" s="298">
        <v>0</v>
      </c>
      <c r="H19" s="288">
        <v>1</v>
      </c>
      <c r="I19" s="289">
        <f t="shared" si="0"/>
        <v>0</v>
      </c>
      <c r="J19" s="288">
        <f t="shared" si="1"/>
        <v>0</v>
      </c>
      <c r="K19" s="271">
        <v>140</v>
      </c>
      <c r="N19" s="19" t="s">
        <v>22</v>
      </c>
      <c r="O19" s="19">
        <v>10</v>
      </c>
      <c r="P19" s="19">
        <v>10</v>
      </c>
      <c r="Q19" s="19">
        <v>10</v>
      </c>
      <c r="V19" s="19" t="s">
        <v>296</v>
      </c>
      <c r="W19" s="19">
        <v>165.4</v>
      </c>
      <c r="X19" s="19">
        <v>9.4903459719162306</v>
      </c>
      <c r="Y19" s="19">
        <v>17.42823712533248</v>
      </c>
      <c r="Z19" s="19">
        <v>3.9686361709731235E-15</v>
      </c>
      <c r="AA19" s="19">
        <v>145.81288859920977</v>
      </c>
      <c r="AB19" s="19">
        <v>184.98711140079024</v>
      </c>
    </row>
    <row r="20" spans="1:28" x14ac:dyDescent="0.25">
      <c r="F20" s="273">
        <v>0</v>
      </c>
      <c r="G20" s="31">
        <v>0</v>
      </c>
      <c r="H20" s="8">
        <v>1</v>
      </c>
      <c r="I20">
        <f t="shared" si="0"/>
        <v>0</v>
      </c>
      <c r="J20">
        <f t="shared" si="1"/>
        <v>0</v>
      </c>
      <c r="K20" s="272">
        <v>145</v>
      </c>
      <c r="N20" s="19" t="s">
        <v>21</v>
      </c>
      <c r="O20" s="19">
        <v>1475</v>
      </c>
      <c r="P20" s="19">
        <v>1580</v>
      </c>
      <c r="Q20" s="19">
        <v>1533</v>
      </c>
      <c r="V20" s="19" t="s">
        <v>568</v>
      </c>
      <c r="W20" s="19">
        <v>-24.200000000000003</v>
      </c>
      <c r="X20" s="19">
        <v>13.421375985096804</v>
      </c>
      <c r="Y20" s="19">
        <v>-1.8030938129497203</v>
      </c>
      <c r="Z20" s="19">
        <v>8.3944409308501486E-2</v>
      </c>
      <c r="AA20" s="19">
        <v>-51.900358590710219</v>
      </c>
      <c r="AB20" s="19">
        <v>3.5003585907102135</v>
      </c>
    </row>
    <row r="21" spans="1:28" x14ac:dyDescent="0.25">
      <c r="F21" s="273">
        <v>0</v>
      </c>
      <c r="G21" s="31">
        <v>0</v>
      </c>
      <c r="H21" s="8">
        <v>1</v>
      </c>
      <c r="I21">
        <f t="shared" si="0"/>
        <v>0</v>
      </c>
      <c r="J21">
        <f t="shared" si="1"/>
        <v>0</v>
      </c>
      <c r="K21" s="272">
        <v>159</v>
      </c>
      <c r="N21" s="19" t="s">
        <v>465</v>
      </c>
      <c r="O21" s="19">
        <v>147.5</v>
      </c>
      <c r="P21" s="19">
        <v>158</v>
      </c>
      <c r="Q21" s="19">
        <v>153.30000000000001</v>
      </c>
      <c r="V21" s="19" t="s">
        <v>569</v>
      </c>
      <c r="W21" s="19">
        <v>-5.800000000000014</v>
      </c>
      <c r="X21" s="19">
        <v>13.421375985096805</v>
      </c>
      <c r="Y21" s="19">
        <v>-0.43214645103753718</v>
      </c>
      <c r="Z21" s="19">
        <v>0.66949292622206347</v>
      </c>
      <c r="AA21" s="19">
        <v>-33.500358590710235</v>
      </c>
      <c r="AB21" s="19">
        <v>21.900358590710205</v>
      </c>
    </row>
    <row r="22" spans="1:28" x14ac:dyDescent="0.25">
      <c r="F22" s="273">
        <v>0</v>
      </c>
      <c r="G22" s="31">
        <v>0</v>
      </c>
      <c r="H22" s="8">
        <v>1</v>
      </c>
      <c r="I22">
        <f t="shared" si="0"/>
        <v>0</v>
      </c>
      <c r="J22">
        <f t="shared" si="1"/>
        <v>0</v>
      </c>
      <c r="K22" s="272">
        <v>131</v>
      </c>
      <c r="N22" s="19" t="s">
        <v>80</v>
      </c>
      <c r="O22" s="19">
        <v>912.05555555555554</v>
      </c>
      <c r="P22" s="19">
        <v>549.55555555555554</v>
      </c>
      <c r="Q22" s="19">
        <v>416.67777777777843</v>
      </c>
      <c r="V22" s="19" t="s">
        <v>663</v>
      </c>
      <c r="W22" s="19">
        <v>-25.199999999999978</v>
      </c>
      <c r="X22" s="19">
        <v>13.421375985096804</v>
      </c>
      <c r="Y22" s="19">
        <v>-1.8776018217492936</v>
      </c>
      <c r="Z22" s="19">
        <v>7.2641419078709163E-2</v>
      </c>
      <c r="AA22" s="19">
        <v>-52.900358590710198</v>
      </c>
      <c r="AB22" s="19">
        <v>2.5003585907102384</v>
      </c>
    </row>
    <row r="23" spans="1:28" x14ac:dyDescent="0.25">
      <c r="F23" s="9">
        <v>0</v>
      </c>
      <c r="G23" s="299">
        <v>0</v>
      </c>
      <c r="H23" s="11">
        <v>1</v>
      </c>
      <c r="I23">
        <f t="shared" si="0"/>
        <v>0</v>
      </c>
      <c r="J23">
        <f t="shared" si="1"/>
        <v>0</v>
      </c>
      <c r="K23" s="24">
        <v>126</v>
      </c>
      <c r="N23" s="19"/>
      <c r="O23" s="19"/>
      <c r="P23" s="19"/>
      <c r="Q23" s="19"/>
      <c r="V23" s="19" t="s">
        <v>664</v>
      </c>
      <c r="W23" s="19">
        <v>3.3365259019643346E-14</v>
      </c>
      <c r="X23" s="19">
        <v>18.980691943832461</v>
      </c>
      <c r="Y23" s="19">
        <v>1.7578526177221358E-15</v>
      </c>
      <c r="Z23" s="19">
        <v>1</v>
      </c>
      <c r="AA23" s="19">
        <v>-39.174222801580434</v>
      </c>
      <c r="AB23" s="19">
        <v>39.174222801580505</v>
      </c>
    </row>
    <row r="24" spans="1:28" ht="15.75" thickBot="1" x14ac:dyDescent="0.3">
      <c r="F24" s="289">
        <v>1</v>
      </c>
      <c r="G24" s="298">
        <v>0</v>
      </c>
      <c r="H24" s="300">
        <v>0</v>
      </c>
      <c r="I24" s="289">
        <f t="shared" si="0"/>
        <v>0</v>
      </c>
      <c r="J24" s="288">
        <f t="shared" si="1"/>
        <v>0</v>
      </c>
      <c r="K24" s="271">
        <v>151</v>
      </c>
      <c r="V24" s="20" t="s">
        <v>665</v>
      </c>
      <c r="W24" s="20">
        <v>59.79999999999999</v>
      </c>
      <c r="X24" s="20">
        <v>18.980691943832458</v>
      </c>
      <c r="Y24" s="20">
        <v>3.1505700728382173</v>
      </c>
      <c r="Z24" s="20">
        <v>4.3278128988797253E-3</v>
      </c>
      <c r="AA24" s="20">
        <v>20.625777198419527</v>
      </c>
      <c r="AB24" s="20">
        <v>98.974222801580453</v>
      </c>
    </row>
    <row r="25" spans="1:28" ht="15.75" thickBot="1" x14ac:dyDescent="0.3">
      <c r="F25" s="273">
        <v>1</v>
      </c>
      <c r="G25" s="31">
        <v>0</v>
      </c>
      <c r="H25" s="263">
        <v>0</v>
      </c>
      <c r="I25">
        <f t="shared" si="0"/>
        <v>0</v>
      </c>
      <c r="J25">
        <f t="shared" si="1"/>
        <v>0</v>
      </c>
      <c r="K25" s="272">
        <v>125</v>
      </c>
      <c r="N25" t="s">
        <v>294</v>
      </c>
    </row>
    <row r="26" spans="1:28" x14ac:dyDescent="0.25">
      <c r="F26" s="273">
        <v>1</v>
      </c>
      <c r="G26" s="31">
        <v>0</v>
      </c>
      <c r="H26" s="263">
        <v>0</v>
      </c>
      <c r="I26">
        <f t="shared" si="0"/>
        <v>0</v>
      </c>
      <c r="J26">
        <f t="shared" si="1"/>
        <v>0</v>
      </c>
      <c r="K26" s="272">
        <v>117</v>
      </c>
      <c r="N26" s="265" t="s">
        <v>466</v>
      </c>
      <c r="O26" s="265" t="s">
        <v>219</v>
      </c>
      <c r="P26" s="265" t="s">
        <v>60</v>
      </c>
      <c r="Q26" s="265" t="s">
        <v>240</v>
      </c>
      <c r="R26" s="265" t="s">
        <v>135</v>
      </c>
      <c r="S26" s="265" t="s">
        <v>119</v>
      </c>
      <c r="T26" s="265" t="s">
        <v>467</v>
      </c>
      <c r="V26" t="s">
        <v>690</v>
      </c>
      <c r="W26" s="580">
        <f>X14/X16</f>
        <v>0.38090946583775059</v>
      </c>
    </row>
    <row r="27" spans="1:28" x14ac:dyDescent="0.25">
      <c r="F27" s="273">
        <v>1</v>
      </c>
      <c r="G27" s="31">
        <v>0</v>
      </c>
      <c r="H27" s="263">
        <v>0</v>
      </c>
      <c r="I27">
        <f t="shared" si="0"/>
        <v>0</v>
      </c>
      <c r="J27">
        <f t="shared" si="1"/>
        <v>0</v>
      </c>
      <c r="K27" s="272">
        <v>155</v>
      </c>
      <c r="N27" s="19" t="s">
        <v>136</v>
      </c>
      <c r="O27" s="19">
        <v>136.53333333333285</v>
      </c>
      <c r="P27" s="19">
        <v>1</v>
      </c>
      <c r="Q27" s="19">
        <v>136.53333333333285</v>
      </c>
      <c r="R27" s="19">
        <v>0.30318282753515807</v>
      </c>
      <c r="S27" s="19">
        <v>0.58698317897716845</v>
      </c>
      <c r="T27" s="19">
        <v>4.2596772726902348</v>
      </c>
    </row>
    <row r="28" spans="1:28" x14ac:dyDescent="0.25">
      <c r="F28" s="9">
        <v>1</v>
      </c>
      <c r="G28" s="299">
        <v>0</v>
      </c>
      <c r="H28" s="301">
        <v>0</v>
      </c>
      <c r="I28">
        <f t="shared" si="0"/>
        <v>0</v>
      </c>
      <c r="J28">
        <f t="shared" si="1"/>
        <v>0</v>
      </c>
      <c r="K28" s="24">
        <v>158</v>
      </c>
      <c r="N28" s="19" t="s">
        <v>589</v>
      </c>
      <c r="O28" s="19">
        <v>553.26666666666642</v>
      </c>
      <c r="P28" s="19">
        <v>2</v>
      </c>
      <c r="Q28" s="19">
        <v>276.63333333333321</v>
      </c>
      <c r="R28" s="19">
        <v>0.61428571428571399</v>
      </c>
      <c r="S28" s="19">
        <v>0.54931693706660334</v>
      </c>
      <c r="T28" s="19">
        <v>3.4028261053501945</v>
      </c>
      <c r="V28" t="s">
        <v>691</v>
      </c>
    </row>
    <row r="29" spans="1:28" x14ac:dyDescent="0.25">
      <c r="F29" s="289">
        <v>0</v>
      </c>
      <c r="G29" s="298">
        <v>0</v>
      </c>
      <c r="H29" s="300">
        <v>0</v>
      </c>
      <c r="I29" s="289">
        <f t="shared" si="0"/>
        <v>0</v>
      </c>
      <c r="J29" s="288">
        <f t="shared" si="1"/>
        <v>0</v>
      </c>
      <c r="K29" s="271">
        <v>167</v>
      </c>
      <c r="N29" s="19" t="s">
        <v>437</v>
      </c>
      <c r="O29" s="19">
        <v>5960.0666666666657</v>
      </c>
      <c r="P29" s="19">
        <v>2</v>
      </c>
      <c r="Q29" s="19">
        <v>2980.0333333333328</v>
      </c>
      <c r="R29" s="19">
        <v>6.6173945225758688</v>
      </c>
      <c r="S29" s="19">
        <v>5.1421901060349955E-3</v>
      </c>
      <c r="T29" s="19">
        <v>3.4028261053501945</v>
      </c>
    </row>
    <row r="30" spans="1:28" x14ac:dyDescent="0.25">
      <c r="F30" s="273">
        <v>0</v>
      </c>
      <c r="G30" s="31">
        <v>0</v>
      </c>
      <c r="H30" s="263">
        <v>0</v>
      </c>
      <c r="I30" s="273">
        <f t="shared" si="0"/>
        <v>0</v>
      </c>
      <c r="J30" s="8">
        <f t="shared" si="1"/>
        <v>0</v>
      </c>
      <c r="K30" s="272">
        <v>183</v>
      </c>
      <c r="N30" s="19" t="s">
        <v>600</v>
      </c>
      <c r="O30" s="19">
        <v>10808</v>
      </c>
      <c r="P30" s="19">
        <v>24</v>
      </c>
      <c r="Q30" s="19">
        <v>450.33333333333331</v>
      </c>
      <c r="R30" s="19"/>
      <c r="S30" s="19"/>
      <c r="T30" s="19"/>
      <c r="V30" t="s">
        <v>290</v>
      </c>
    </row>
    <row r="31" spans="1:28" ht="15.75" thickBot="1" x14ac:dyDescent="0.3">
      <c r="F31" s="273">
        <v>0</v>
      </c>
      <c r="G31" s="31">
        <v>0</v>
      </c>
      <c r="H31" s="263">
        <v>0</v>
      </c>
      <c r="I31" s="273">
        <f t="shared" si="0"/>
        <v>0</v>
      </c>
      <c r="J31" s="8">
        <f t="shared" si="1"/>
        <v>0</v>
      </c>
      <c r="K31" s="272">
        <v>142</v>
      </c>
      <c r="N31" s="19"/>
      <c r="O31" s="19"/>
      <c r="P31" s="19"/>
      <c r="Q31" s="19"/>
      <c r="R31" s="19"/>
      <c r="S31" s="19"/>
      <c r="T31" s="19"/>
    </row>
    <row r="32" spans="1:28" ht="15.75" thickBot="1" x14ac:dyDescent="0.3">
      <c r="F32" s="273">
        <v>0</v>
      </c>
      <c r="G32" s="31">
        <v>0</v>
      </c>
      <c r="H32" s="263">
        <v>0</v>
      </c>
      <c r="I32" s="273">
        <f t="shared" si="0"/>
        <v>0</v>
      </c>
      <c r="J32" s="8">
        <f t="shared" si="1"/>
        <v>0</v>
      </c>
      <c r="K32" s="272">
        <v>167</v>
      </c>
      <c r="N32" s="20" t="s">
        <v>1</v>
      </c>
      <c r="O32" s="20">
        <v>17457.866666666665</v>
      </c>
      <c r="P32" s="20">
        <v>29</v>
      </c>
      <c r="Q32" s="20"/>
      <c r="R32" s="20"/>
      <c r="S32" s="20"/>
      <c r="T32" s="20"/>
      <c r="V32" s="21" t="s">
        <v>291</v>
      </c>
      <c r="W32" s="21"/>
    </row>
    <row r="33" spans="6:28" x14ac:dyDescent="0.25">
      <c r="F33" s="9">
        <v>0</v>
      </c>
      <c r="G33" s="299">
        <v>0</v>
      </c>
      <c r="H33" s="301">
        <v>0</v>
      </c>
      <c r="I33" s="9">
        <f t="shared" si="0"/>
        <v>0</v>
      </c>
      <c r="J33" s="11">
        <f t="shared" si="1"/>
        <v>0</v>
      </c>
      <c r="K33" s="24">
        <v>168</v>
      </c>
      <c r="V33" s="19" t="s">
        <v>292</v>
      </c>
      <c r="W33" s="19">
        <v>8.8434914543495211E-2</v>
      </c>
    </row>
    <row r="34" spans="6:28" x14ac:dyDescent="0.25">
      <c r="V34" s="19" t="s">
        <v>285</v>
      </c>
      <c r="W34" s="19">
        <v>7.8207341103152996E-3</v>
      </c>
    </row>
    <row r="35" spans="6:28" x14ac:dyDescent="0.25">
      <c r="F35" t="s">
        <v>686</v>
      </c>
      <c r="N35" t="s">
        <v>1240</v>
      </c>
      <c r="V35" s="19" t="s">
        <v>293</v>
      </c>
      <c r="W35" s="19">
        <v>-2.7614239671459154E-2</v>
      </c>
    </row>
    <row r="36" spans="6:28" x14ac:dyDescent="0.25">
      <c r="V36" s="19" t="s">
        <v>11</v>
      </c>
      <c r="W36" s="19">
        <v>24.872053546481592</v>
      </c>
    </row>
    <row r="37" spans="6:28" ht="15.75" thickBot="1" x14ac:dyDescent="0.3">
      <c r="F37" s="13" t="s">
        <v>568</v>
      </c>
      <c r="G37" s="13" t="s">
        <v>569</v>
      </c>
      <c r="H37" s="13" t="s">
        <v>663</v>
      </c>
      <c r="I37" s="13" t="s">
        <v>664</v>
      </c>
      <c r="J37" s="13" t="s">
        <v>665</v>
      </c>
      <c r="K37" s="13" t="s">
        <v>7</v>
      </c>
      <c r="N37" t="s">
        <v>689</v>
      </c>
      <c r="O37" s="577">
        <f>O32/P32</f>
        <v>601.99540229885054</v>
      </c>
      <c r="V37" s="20" t="s">
        <v>81</v>
      </c>
      <c r="W37" s="20">
        <v>30</v>
      </c>
    </row>
    <row r="38" spans="6:28" x14ac:dyDescent="0.25">
      <c r="F38" s="303">
        <v>0</v>
      </c>
      <c r="G38" s="304">
        <v>0</v>
      </c>
      <c r="H38" s="304">
        <v>0</v>
      </c>
      <c r="I38" s="305">
        <f t="shared" ref="I38:I43" si="2">F38*G38</f>
        <v>0</v>
      </c>
      <c r="J38" s="306">
        <f t="shared" ref="J38:J43" si="3">F38*H38</f>
        <v>0</v>
      </c>
      <c r="K38" s="308">
        <f t="shared" ref="K38:K43" si="4">AVERAGEIFS($K$4:$K$33,$F$4:$F$33,F38,$G$4:$G$33,G38,$H$4:$H$33,H38)</f>
        <v>165.4</v>
      </c>
      <c r="N38" t="s">
        <v>690</v>
      </c>
      <c r="O38" s="420">
        <f>1-O30/O32</f>
        <v>0.38090946583775021</v>
      </c>
    </row>
    <row r="39" spans="6:28" ht="15.75" thickBot="1" x14ac:dyDescent="0.3">
      <c r="F39" s="290">
        <v>0</v>
      </c>
      <c r="G39" s="7">
        <v>0</v>
      </c>
      <c r="H39" s="7">
        <v>1</v>
      </c>
      <c r="I39" s="6">
        <f t="shared" si="2"/>
        <v>0</v>
      </c>
      <c r="J39" s="8">
        <f t="shared" si="3"/>
        <v>0</v>
      </c>
      <c r="K39" s="272">
        <f t="shared" si="4"/>
        <v>140.19999999999999</v>
      </c>
      <c r="V39" t="s">
        <v>294</v>
      </c>
    </row>
    <row r="40" spans="6:28" x14ac:dyDescent="0.25">
      <c r="F40" s="307">
        <v>0</v>
      </c>
      <c r="G40" s="7">
        <v>1</v>
      </c>
      <c r="H40" s="7">
        <v>0</v>
      </c>
      <c r="I40" s="6">
        <f t="shared" si="2"/>
        <v>0</v>
      </c>
      <c r="J40" s="8">
        <f t="shared" si="3"/>
        <v>0</v>
      </c>
      <c r="K40" s="272">
        <f t="shared" si="4"/>
        <v>159.6</v>
      </c>
      <c r="N40" t="s">
        <v>1241</v>
      </c>
      <c r="V40" s="309"/>
      <c r="W40" s="309" t="s">
        <v>60</v>
      </c>
      <c r="X40" s="309" t="s">
        <v>219</v>
      </c>
      <c r="Y40" s="309" t="s">
        <v>240</v>
      </c>
      <c r="Z40" s="309" t="s">
        <v>135</v>
      </c>
      <c r="AA40" s="309" t="s">
        <v>297</v>
      </c>
    </row>
    <row r="41" spans="6:28" x14ac:dyDescent="0.25">
      <c r="F41" s="307">
        <v>1</v>
      </c>
      <c r="G41" s="7">
        <v>0</v>
      </c>
      <c r="H41" s="7">
        <v>0</v>
      </c>
      <c r="I41" s="6">
        <f t="shared" si="2"/>
        <v>0</v>
      </c>
      <c r="J41" s="8">
        <f t="shared" si="3"/>
        <v>0</v>
      </c>
      <c r="K41" s="272">
        <f t="shared" si="4"/>
        <v>141.19999999999999</v>
      </c>
      <c r="V41" s="19" t="s">
        <v>222</v>
      </c>
      <c r="W41" s="19">
        <v>1</v>
      </c>
      <c r="X41" s="19">
        <v>136.53333333333649</v>
      </c>
      <c r="Y41" s="19">
        <v>136.53333333333649</v>
      </c>
      <c r="Z41" s="19">
        <v>0.22070664306058552</v>
      </c>
      <c r="AA41" s="19">
        <v>0.64214034280893406</v>
      </c>
    </row>
    <row r="42" spans="6:28" ht="17.25" x14ac:dyDescent="0.25">
      <c r="F42" s="307">
        <v>1</v>
      </c>
      <c r="G42" s="7">
        <v>0</v>
      </c>
      <c r="H42" s="7">
        <v>1</v>
      </c>
      <c r="I42" s="6">
        <f t="shared" si="2"/>
        <v>0</v>
      </c>
      <c r="J42" s="8">
        <f t="shared" si="3"/>
        <v>1</v>
      </c>
      <c r="K42" s="272">
        <f t="shared" si="4"/>
        <v>175.8</v>
      </c>
      <c r="N42" s="30" t="s">
        <v>1242</v>
      </c>
      <c r="O42" s="580">
        <f>(O32-P32*Q30)/(O32+Q30)</f>
        <v>0.24559698908879729</v>
      </c>
      <c r="V42" s="19" t="s">
        <v>295</v>
      </c>
      <c r="W42" s="19">
        <v>28</v>
      </c>
      <c r="X42" s="19">
        <v>17321.333333333332</v>
      </c>
      <c r="Y42" s="19">
        <v>618.61904761904759</v>
      </c>
      <c r="Z42" s="19"/>
      <c r="AA42" s="19"/>
    </row>
    <row r="43" spans="6:28" ht="15.75" thickBot="1" x14ac:dyDescent="0.3">
      <c r="F43" s="291">
        <v>1</v>
      </c>
      <c r="G43" s="10">
        <v>1</v>
      </c>
      <c r="H43" s="10">
        <v>0</v>
      </c>
      <c r="I43" s="9">
        <f t="shared" si="2"/>
        <v>1</v>
      </c>
      <c r="J43" s="11">
        <f t="shared" si="3"/>
        <v>0</v>
      </c>
      <c r="K43" s="168">
        <f t="shared" si="4"/>
        <v>135.4</v>
      </c>
      <c r="V43" s="20" t="s">
        <v>1</v>
      </c>
      <c r="W43" s="20">
        <v>29</v>
      </c>
      <c r="X43" s="20">
        <v>17457.866666666669</v>
      </c>
      <c r="Y43" s="20"/>
      <c r="Z43" s="20"/>
      <c r="AA43" s="20"/>
    </row>
    <row r="44" spans="6:28" ht="15.75" thickBot="1" x14ac:dyDescent="0.3"/>
    <row r="45" spans="6:28" x14ac:dyDescent="0.25">
      <c r="F45" t="s">
        <v>389</v>
      </c>
      <c r="G45" s="577">
        <f>K38</f>
        <v>165.4</v>
      </c>
      <c r="V45" s="309"/>
      <c r="W45" s="309" t="s">
        <v>298</v>
      </c>
      <c r="X45" s="309" t="s">
        <v>11</v>
      </c>
      <c r="Y45" s="309" t="s">
        <v>85</v>
      </c>
      <c r="Z45" s="309" t="s">
        <v>119</v>
      </c>
      <c r="AA45" s="309" t="s">
        <v>299</v>
      </c>
      <c r="AB45" s="309" t="s">
        <v>300</v>
      </c>
    </row>
    <row r="46" spans="6:28" x14ac:dyDescent="0.25">
      <c r="F46" t="s">
        <v>401</v>
      </c>
      <c r="G46" s="503">
        <f>K39-G45</f>
        <v>-25.200000000000017</v>
      </c>
      <c r="V46" s="19" t="s">
        <v>296</v>
      </c>
      <c r="W46" s="19">
        <v>155.06666666666666</v>
      </c>
      <c r="X46" s="19">
        <v>6.4219366114334884</v>
      </c>
      <c r="Y46" s="19">
        <v>24.146402565012718</v>
      </c>
      <c r="Z46" s="19">
        <v>2.7487004367434417E-20</v>
      </c>
      <c r="AA46" s="19">
        <v>141.91192584764997</v>
      </c>
      <c r="AB46" s="19">
        <v>168.22140748568336</v>
      </c>
    </row>
    <row r="47" spans="6:28" ht="15.75" thickBot="1" x14ac:dyDescent="0.3">
      <c r="F47" t="s">
        <v>388</v>
      </c>
      <c r="G47" s="503">
        <f>K40-K38</f>
        <v>-5.8000000000000114</v>
      </c>
      <c r="V47" s="20" t="s">
        <v>568</v>
      </c>
      <c r="W47" s="20">
        <v>-4.2666666666666675</v>
      </c>
      <c r="X47" s="20">
        <v>9.0819898525895564</v>
      </c>
      <c r="Y47" s="20">
        <v>-0.46979425609577274</v>
      </c>
      <c r="Z47" s="20">
        <v>0.64214034280893784</v>
      </c>
      <c r="AA47" s="20">
        <v>-22.870279542423056</v>
      </c>
      <c r="AB47" s="20">
        <v>14.336946209089719</v>
      </c>
    </row>
    <row r="48" spans="6:28" x14ac:dyDescent="0.25">
      <c r="F48" t="s">
        <v>387</v>
      </c>
      <c r="G48" s="503">
        <f>K41-K38</f>
        <v>-24.200000000000017</v>
      </c>
    </row>
    <row r="49" spans="6:27" x14ac:dyDescent="0.25">
      <c r="F49" t="s">
        <v>687</v>
      </c>
      <c r="G49" s="503">
        <f>K42-G44-G45-G48-G46</f>
        <v>59.80000000000004</v>
      </c>
      <c r="V49" t="s">
        <v>692</v>
      </c>
    </row>
    <row r="50" spans="6:27" x14ac:dyDescent="0.25">
      <c r="F50" t="s">
        <v>688</v>
      </c>
      <c r="G50" s="420">
        <f>K43-G45-G48-G47</f>
        <v>2.8421709430404007E-14</v>
      </c>
    </row>
    <row r="51" spans="6:27" x14ac:dyDescent="0.25">
      <c r="V51" t="s">
        <v>290</v>
      </c>
    </row>
    <row r="52" spans="6:27" ht="15.75" thickBot="1" x14ac:dyDescent="0.3"/>
    <row r="53" spans="6:27" x14ac:dyDescent="0.25">
      <c r="V53" s="21" t="s">
        <v>291</v>
      </c>
      <c r="W53" s="21"/>
    </row>
    <row r="54" spans="6:27" x14ac:dyDescent="0.25">
      <c r="V54" s="19" t="s">
        <v>292</v>
      </c>
      <c r="W54" s="19">
        <v>0.17802117640545412</v>
      </c>
    </row>
    <row r="55" spans="6:27" x14ac:dyDescent="0.25">
      <c r="V55" s="19" t="s">
        <v>285</v>
      </c>
      <c r="W55" s="19">
        <v>3.1691539248781812E-2</v>
      </c>
    </row>
    <row r="56" spans="6:27" x14ac:dyDescent="0.25">
      <c r="V56" s="19" t="s">
        <v>293</v>
      </c>
      <c r="W56" s="19">
        <v>-4.0035013399456566E-2</v>
      </c>
    </row>
    <row r="57" spans="6:27" x14ac:dyDescent="0.25">
      <c r="V57" s="19" t="s">
        <v>11</v>
      </c>
      <c r="W57" s="19">
        <v>25.021916319424786</v>
      </c>
    </row>
    <row r="58" spans="6:27" ht="15.75" thickBot="1" x14ac:dyDescent="0.3">
      <c r="V58" s="20" t="s">
        <v>81</v>
      </c>
      <c r="W58" s="20">
        <v>30</v>
      </c>
    </row>
    <row r="60" spans="6:27" ht="15.75" thickBot="1" x14ac:dyDescent="0.3">
      <c r="V60" t="s">
        <v>294</v>
      </c>
    </row>
    <row r="61" spans="6:27" x14ac:dyDescent="0.25">
      <c r="V61" s="309"/>
      <c r="W61" s="309" t="s">
        <v>60</v>
      </c>
      <c r="X61" s="309" t="s">
        <v>219</v>
      </c>
      <c r="Y61" s="309" t="s">
        <v>240</v>
      </c>
      <c r="Z61" s="309" t="s">
        <v>135</v>
      </c>
      <c r="AA61" s="309" t="s">
        <v>297</v>
      </c>
    </row>
    <row r="62" spans="6:27" x14ac:dyDescent="0.25">
      <c r="V62" s="19" t="s">
        <v>222</v>
      </c>
      <c r="W62" s="19">
        <v>2</v>
      </c>
      <c r="X62" s="19">
        <v>553.26666666666642</v>
      </c>
      <c r="Y62" s="19">
        <v>276.63333333333321</v>
      </c>
      <c r="Z62" s="19">
        <v>0.44183831619795771</v>
      </c>
      <c r="AA62" s="19">
        <v>0.64741880368758675</v>
      </c>
    </row>
    <row r="63" spans="6:27" x14ac:dyDescent="0.25">
      <c r="V63" s="19" t="s">
        <v>295</v>
      </c>
      <c r="W63" s="19">
        <v>27</v>
      </c>
      <c r="X63" s="19">
        <v>16904.600000000002</v>
      </c>
      <c r="Y63" s="19">
        <v>626.09629629629637</v>
      </c>
      <c r="Z63" s="19"/>
      <c r="AA63" s="19"/>
    </row>
    <row r="64" spans="6:27" ht="15.75" thickBot="1" x14ac:dyDescent="0.3">
      <c r="V64" s="20" t="s">
        <v>1</v>
      </c>
      <c r="W64" s="20">
        <v>29</v>
      </c>
      <c r="X64" s="20">
        <v>17457.866666666669</v>
      </c>
      <c r="Y64" s="20"/>
      <c r="Z64" s="20"/>
      <c r="AA64" s="20"/>
    </row>
    <row r="65" spans="22:28" ht="15.75" thickBot="1" x14ac:dyDescent="0.3"/>
    <row r="66" spans="22:28" x14ac:dyDescent="0.25">
      <c r="V66" s="309"/>
      <c r="W66" s="309" t="s">
        <v>298</v>
      </c>
      <c r="X66" s="309" t="s">
        <v>11</v>
      </c>
      <c r="Y66" s="309" t="s">
        <v>85</v>
      </c>
      <c r="Z66" s="309" t="s">
        <v>119</v>
      </c>
      <c r="AA66" s="309" t="s">
        <v>299</v>
      </c>
      <c r="AB66" s="309" t="s">
        <v>300</v>
      </c>
    </row>
    <row r="67" spans="22:28" x14ac:dyDescent="0.25">
      <c r="V67" s="19" t="s">
        <v>296</v>
      </c>
      <c r="W67" s="19">
        <v>153.30000000000001</v>
      </c>
      <c r="X67" s="19">
        <v>7.9126246991519587</v>
      </c>
      <c r="Y67" s="19">
        <v>19.374102251611916</v>
      </c>
      <c r="Z67" s="19">
        <v>2.2773089840122635E-17</v>
      </c>
      <c r="AA67" s="19">
        <v>137.06463517682437</v>
      </c>
      <c r="AB67" s="19">
        <v>169.53536482317566</v>
      </c>
    </row>
    <row r="68" spans="22:28" x14ac:dyDescent="0.25">
      <c r="V68" s="19" t="s">
        <v>569</v>
      </c>
      <c r="W68" s="19">
        <v>-5.8000000000000025</v>
      </c>
      <c r="X68" s="19">
        <v>11.190141163509033</v>
      </c>
      <c r="Y68" s="19">
        <v>-0.51831338990733733</v>
      </c>
      <c r="Z68" s="19">
        <v>0.60846147622121627</v>
      </c>
      <c r="AA68" s="19">
        <v>-28.760273123010052</v>
      </c>
      <c r="AB68" s="19">
        <v>17.160273123010043</v>
      </c>
    </row>
    <row r="69" spans="22:28" ht="15.75" thickBot="1" x14ac:dyDescent="0.3">
      <c r="V69" s="20" t="s">
        <v>663</v>
      </c>
      <c r="W69" s="20">
        <v>4.6999999999999984</v>
      </c>
      <c r="X69" s="20">
        <v>11.190141163509031</v>
      </c>
      <c r="Y69" s="20">
        <v>0.42001257458008345</v>
      </c>
      <c r="Z69" s="20">
        <v>0.67779993734881439</v>
      </c>
      <c r="AA69" s="20">
        <v>-18.260273123010045</v>
      </c>
      <c r="AB69" s="20">
        <v>27.660273123010043</v>
      </c>
    </row>
  </sheetData>
  <mergeCells count="1">
    <mergeCell ref="B3:D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AA119"/>
  <sheetViews>
    <sheetView zoomScaleNormal="100" workbookViewId="0"/>
  </sheetViews>
  <sheetFormatPr defaultRowHeight="15" x14ac:dyDescent="0.25"/>
  <cols>
    <col min="6" max="11" width="7.42578125" customWidth="1"/>
    <col min="13" max="13" width="18" customWidth="1"/>
    <col min="14" max="14" width="11.5703125" customWidth="1"/>
    <col min="15" max="15" width="14.140625" customWidth="1"/>
    <col min="16" max="17" width="11.5703125" customWidth="1"/>
    <col min="18" max="18" width="12.28515625" customWidth="1"/>
    <col min="19" max="19" width="11.5703125" customWidth="1"/>
    <col min="21" max="21" width="19.5703125" customWidth="1"/>
  </cols>
  <sheetData>
    <row r="1" spans="1:25" x14ac:dyDescent="0.25">
      <c r="A1" s="1" t="s">
        <v>662</v>
      </c>
    </row>
    <row r="2" spans="1:25" x14ac:dyDescent="0.25">
      <c r="M2" t="s">
        <v>290</v>
      </c>
    </row>
    <row r="3" spans="1:25" ht="15.75" thickBot="1" x14ac:dyDescent="0.3">
      <c r="A3" s="11"/>
      <c r="B3" s="1294" t="s">
        <v>601</v>
      </c>
      <c r="C3" s="1295"/>
      <c r="D3" s="1296"/>
      <c r="F3" s="13" t="s">
        <v>568</v>
      </c>
      <c r="G3" s="13" t="s">
        <v>569</v>
      </c>
      <c r="H3" s="13" t="s">
        <v>663</v>
      </c>
      <c r="I3" s="26" t="s">
        <v>664</v>
      </c>
      <c r="J3" s="26" t="s">
        <v>665</v>
      </c>
      <c r="K3" s="26" t="s">
        <v>142</v>
      </c>
      <c r="U3" t="s">
        <v>599</v>
      </c>
    </row>
    <row r="4" spans="1:25" x14ac:dyDescent="0.25">
      <c r="A4" s="284" t="s">
        <v>602</v>
      </c>
      <c r="B4" s="270" t="s">
        <v>591</v>
      </c>
      <c r="C4" s="270" t="s">
        <v>592</v>
      </c>
      <c r="D4" s="270" t="s">
        <v>596</v>
      </c>
      <c r="F4" s="289">
        <v>1</v>
      </c>
      <c r="G4" s="287">
        <v>1</v>
      </c>
      <c r="H4" s="288">
        <v>0</v>
      </c>
      <c r="I4" s="289">
        <f>F4*G4</f>
        <v>1</v>
      </c>
      <c r="J4" s="288">
        <f>F4*H4</f>
        <v>0</v>
      </c>
      <c r="K4" s="271">
        <v>128</v>
      </c>
      <c r="M4" s="21" t="s">
        <v>291</v>
      </c>
      <c r="N4" s="21"/>
    </row>
    <row r="5" spans="1:25" x14ac:dyDescent="0.25">
      <c r="A5" s="296" t="s">
        <v>593</v>
      </c>
      <c r="B5" s="271">
        <v>128</v>
      </c>
      <c r="C5" s="271">
        <v>166</v>
      </c>
      <c r="D5" s="271">
        <v>151</v>
      </c>
      <c r="F5" s="273">
        <v>1</v>
      </c>
      <c r="G5" s="7">
        <v>1</v>
      </c>
      <c r="H5" s="8">
        <v>0</v>
      </c>
      <c r="I5">
        <f>F5*G5</f>
        <v>1</v>
      </c>
      <c r="J5">
        <f>F5*H5</f>
        <v>0</v>
      </c>
      <c r="K5" s="272">
        <v>150</v>
      </c>
      <c r="M5" s="19" t="s">
        <v>292</v>
      </c>
      <c r="N5" s="19">
        <v>0.56029164944145027</v>
      </c>
      <c r="U5" t="s">
        <v>62</v>
      </c>
      <c r="V5" t="s">
        <v>591</v>
      </c>
      <c r="W5" t="s">
        <v>592</v>
      </c>
      <c r="X5" t="s">
        <v>596</v>
      </c>
      <c r="Y5" t="s">
        <v>1</v>
      </c>
    </row>
    <row r="6" spans="1:25" ht="15.75" thickBot="1" x14ac:dyDescent="0.3">
      <c r="A6" s="272"/>
      <c r="B6" s="272">
        <v>150</v>
      </c>
      <c r="C6" s="272">
        <v>178</v>
      </c>
      <c r="D6" s="272">
        <v>125</v>
      </c>
      <c r="F6" s="273">
        <v>1</v>
      </c>
      <c r="G6" s="7">
        <v>1</v>
      </c>
      <c r="H6" s="8">
        <v>0</v>
      </c>
      <c r="I6">
        <f>F6*G6</f>
        <v>1</v>
      </c>
      <c r="J6">
        <f>F6*H6</f>
        <v>0</v>
      </c>
      <c r="K6" s="272">
        <v>174</v>
      </c>
      <c r="M6" s="19" t="s">
        <v>285</v>
      </c>
      <c r="N6" s="19">
        <v>0.31392673243382097</v>
      </c>
      <c r="U6" s="274" t="s">
        <v>593</v>
      </c>
      <c r="V6" s="274"/>
      <c r="W6" s="274"/>
      <c r="X6" s="274"/>
      <c r="Y6" s="274"/>
    </row>
    <row r="7" spans="1:25" x14ac:dyDescent="0.25">
      <c r="A7" s="272"/>
      <c r="B7" s="272">
        <v>174</v>
      </c>
      <c r="C7" s="272">
        <v>187</v>
      </c>
      <c r="D7" s="272">
        <v>117</v>
      </c>
      <c r="F7" s="273">
        <v>1</v>
      </c>
      <c r="G7" s="7">
        <v>1</v>
      </c>
      <c r="H7" s="8">
        <v>0</v>
      </c>
      <c r="I7">
        <f>F7*G7</f>
        <v>1</v>
      </c>
      <c r="J7">
        <f>F7*H7</f>
        <v>0</v>
      </c>
      <c r="K7" s="272">
        <v>116</v>
      </c>
      <c r="M7" s="19" t="s">
        <v>293</v>
      </c>
      <c r="N7" s="19">
        <v>0.15057595444187358</v>
      </c>
      <c r="U7" s="19" t="s">
        <v>22</v>
      </c>
      <c r="V7" s="19">
        <v>5</v>
      </c>
      <c r="W7" s="19">
        <v>5</v>
      </c>
      <c r="X7" s="19">
        <v>5</v>
      </c>
      <c r="Y7" s="19">
        <v>15</v>
      </c>
    </row>
    <row r="8" spans="1:25" x14ac:dyDescent="0.25">
      <c r="A8" s="272"/>
      <c r="B8" s="272">
        <v>116</v>
      </c>
      <c r="C8" s="272">
        <v>153</v>
      </c>
      <c r="D8" s="272">
        <v>155</v>
      </c>
      <c r="F8" s="9">
        <v>1</v>
      </c>
      <c r="G8" s="10">
        <v>1</v>
      </c>
      <c r="H8" s="11">
        <v>0</v>
      </c>
      <c r="I8">
        <f>F8*G8</f>
        <v>1</v>
      </c>
      <c r="J8">
        <f>F8*H8</f>
        <v>0</v>
      </c>
      <c r="K8" s="24">
        <v>109</v>
      </c>
      <c r="M8" s="19" t="s">
        <v>11</v>
      </c>
      <c r="N8" s="19">
        <v>21.916182323092858</v>
      </c>
      <c r="U8" s="19" t="s">
        <v>21</v>
      </c>
      <c r="V8" s="19">
        <v>677</v>
      </c>
      <c r="W8" s="19">
        <v>879</v>
      </c>
      <c r="X8" s="19">
        <v>706</v>
      </c>
      <c r="Y8" s="19">
        <v>2262</v>
      </c>
    </row>
    <row r="9" spans="1:25" ht="15.75" thickBot="1" x14ac:dyDescent="0.3">
      <c r="A9" s="272"/>
      <c r="B9" s="24">
        <v>109</v>
      </c>
      <c r="C9" s="24"/>
      <c r="D9" s="24">
        <v>158</v>
      </c>
      <c r="F9" s="289">
        <v>-1</v>
      </c>
      <c r="G9" s="287">
        <v>1</v>
      </c>
      <c r="H9" s="288">
        <v>0</v>
      </c>
      <c r="I9" s="289">
        <f t="shared" ref="I9:I30" si="0">F9*G9</f>
        <v>-1</v>
      </c>
      <c r="J9" s="288">
        <f t="shared" ref="J9:J30" si="1">F9*H9</f>
        <v>0</v>
      </c>
      <c r="K9" s="271">
        <v>175</v>
      </c>
      <c r="M9" s="20" t="s">
        <v>81</v>
      </c>
      <c r="N9" s="20">
        <v>27</v>
      </c>
      <c r="U9" s="19" t="s">
        <v>465</v>
      </c>
      <c r="V9" s="19">
        <v>135.4</v>
      </c>
      <c r="W9" s="19">
        <v>175.8</v>
      </c>
      <c r="X9" s="19">
        <v>141.19999999999999</v>
      </c>
      <c r="Y9" s="19">
        <v>150.80000000000001</v>
      </c>
    </row>
    <row r="10" spans="1:25" x14ac:dyDescent="0.25">
      <c r="A10" s="296" t="s">
        <v>594</v>
      </c>
      <c r="B10" s="271">
        <v>175</v>
      </c>
      <c r="C10" s="271">
        <v>140</v>
      </c>
      <c r="D10" s="271">
        <v>167</v>
      </c>
      <c r="F10" s="273">
        <v>-1</v>
      </c>
      <c r="G10" s="7">
        <v>1</v>
      </c>
      <c r="H10" s="8">
        <v>0</v>
      </c>
      <c r="I10">
        <f t="shared" si="0"/>
        <v>-1</v>
      </c>
      <c r="J10">
        <f t="shared" si="1"/>
        <v>0</v>
      </c>
      <c r="K10" s="272">
        <v>132</v>
      </c>
      <c r="U10" s="19" t="s">
        <v>80</v>
      </c>
      <c r="V10" s="19">
        <v>707.79999999999927</v>
      </c>
      <c r="W10" s="19">
        <v>278.7</v>
      </c>
      <c r="X10" s="19">
        <v>354.20000000000073</v>
      </c>
      <c r="Y10" s="19">
        <v>723.88571428571595</v>
      </c>
    </row>
    <row r="11" spans="1:25" ht="15.75" thickBot="1" x14ac:dyDescent="0.3">
      <c r="A11" s="272"/>
      <c r="B11" s="272">
        <v>132</v>
      </c>
      <c r="C11" s="272">
        <v>145</v>
      </c>
      <c r="D11" s="272">
        <v>183</v>
      </c>
      <c r="F11" s="273">
        <v>-1</v>
      </c>
      <c r="G11" s="7">
        <v>1</v>
      </c>
      <c r="H11" s="8">
        <v>0</v>
      </c>
      <c r="I11">
        <f t="shared" si="0"/>
        <v>-1</v>
      </c>
      <c r="J11">
        <f t="shared" si="1"/>
        <v>0</v>
      </c>
      <c r="K11" s="272">
        <v>120</v>
      </c>
      <c r="M11" t="s">
        <v>294</v>
      </c>
      <c r="U11" s="19"/>
      <c r="V11" s="19"/>
      <c r="W11" s="19"/>
      <c r="X11" s="19"/>
      <c r="Y11" s="19"/>
    </row>
    <row r="12" spans="1:25" ht="15.75" thickBot="1" x14ac:dyDescent="0.3">
      <c r="A12" s="272"/>
      <c r="B12" s="272">
        <v>120</v>
      </c>
      <c r="C12" s="272">
        <v>159</v>
      </c>
      <c r="D12" s="272">
        <v>142</v>
      </c>
      <c r="F12" s="273">
        <v>-1</v>
      </c>
      <c r="G12" s="7">
        <v>1</v>
      </c>
      <c r="H12" s="8">
        <v>0</v>
      </c>
      <c r="I12">
        <f t="shared" si="0"/>
        <v>-1</v>
      </c>
      <c r="J12">
        <f t="shared" si="1"/>
        <v>0</v>
      </c>
      <c r="K12" s="272">
        <v>187</v>
      </c>
      <c r="M12" s="309"/>
      <c r="N12" s="309" t="s">
        <v>60</v>
      </c>
      <c r="O12" s="309" t="s">
        <v>219</v>
      </c>
      <c r="P12" s="309" t="s">
        <v>240</v>
      </c>
      <c r="Q12" s="309" t="s">
        <v>135</v>
      </c>
      <c r="R12" s="309" t="s">
        <v>297</v>
      </c>
      <c r="U12" s="274" t="s">
        <v>594</v>
      </c>
      <c r="V12" s="274"/>
      <c r="W12" s="274"/>
      <c r="X12" s="274"/>
      <c r="Y12" s="274"/>
    </row>
    <row r="13" spans="1:25" x14ac:dyDescent="0.25">
      <c r="A13" s="272"/>
      <c r="B13" s="272">
        <v>187</v>
      </c>
      <c r="C13" s="272">
        <v>131</v>
      </c>
      <c r="D13" s="272">
        <v>167</v>
      </c>
      <c r="F13" s="9">
        <v>-1</v>
      </c>
      <c r="G13" s="10">
        <v>1</v>
      </c>
      <c r="H13" s="11">
        <v>0</v>
      </c>
      <c r="I13">
        <f t="shared" si="0"/>
        <v>-1</v>
      </c>
      <c r="J13">
        <f t="shared" si="1"/>
        <v>0</v>
      </c>
      <c r="K13" s="24">
        <v>184</v>
      </c>
      <c r="M13" s="19" t="s">
        <v>222</v>
      </c>
      <c r="N13" s="19">
        <v>5</v>
      </c>
      <c r="O13" s="19">
        <v>4615.3740740740668</v>
      </c>
      <c r="P13" s="19">
        <v>923.07481481481341</v>
      </c>
      <c r="Q13" s="19">
        <v>1.9217951471850134</v>
      </c>
      <c r="R13" s="19">
        <v>0.13335730785056746</v>
      </c>
      <c r="U13" s="19" t="s">
        <v>22</v>
      </c>
      <c r="V13" s="19">
        <v>5</v>
      </c>
      <c r="W13" s="19">
        <v>5</v>
      </c>
      <c r="X13" s="19">
        <v>5</v>
      </c>
      <c r="Y13" s="19">
        <v>15</v>
      </c>
    </row>
    <row r="14" spans="1:25" x14ac:dyDescent="0.25">
      <c r="A14" s="168"/>
      <c r="B14" s="24">
        <v>184</v>
      </c>
      <c r="C14" s="24"/>
      <c r="D14" s="24"/>
      <c r="F14" s="289">
        <v>1</v>
      </c>
      <c r="G14" s="298">
        <v>0</v>
      </c>
      <c r="H14" s="288">
        <v>1</v>
      </c>
      <c r="I14" s="289">
        <f t="shared" si="0"/>
        <v>0</v>
      </c>
      <c r="J14" s="288">
        <f t="shared" si="1"/>
        <v>1</v>
      </c>
      <c r="K14" s="271">
        <v>166</v>
      </c>
      <c r="M14" s="19" t="s">
        <v>295</v>
      </c>
      <c r="N14" s="19">
        <v>21</v>
      </c>
      <c r="O14" s="19">
        <v>10086.700000000004</v>
      </c>
      <c r="P14" s="19">
        <v>480.31904761904781</v>
      </c>
      <c r="Q14" s="19"/>
      <c r="R14" s="19"/>
      <c r="U14" s="19" t="s">
        <v>21</v>
      </c>
      <c r="V14" s="19">
        <v>798</v>
      </c>
      <c r="W14" s="19">
        <v>701</v>
      </c>
      <c r="X14" s="19">
        <v>827</v>
      </c>
      <c r="Y14" s="19">
        <v>2326</v>
      </c>
    </row>
    <row r="15" spans="1:25" ht="15.75" thickBot="1" x14ac:dyDescent="0.3">
      <c r="F15" s="273">
        <v>1</v>
      </c>
      <c r="G15" s="31">
        <v>0</v>
      </c>
      <c r="H15" s="8">
        <v>1</v>
      </c>
      <c r="I15">
        <f t="shared" si="0"/>
        <v>0</v>
      </c>
      <c r="J15">
        <f t="shared" si="1"/>
        <v>1</v>
      </c>
      <c r="K15" s="272">
        <v>178</v>
      </c>
      <c r="M15" s="20" t="s">
        <v>1</v>
      </c>
      <c r="N15" s="20">
        <v>26</v>
      </c>
      <c r="O15" s="20">
        <v>14702.074074074071</v>
      </c>
      <c r="P15" s="20"/>
      <c r="Q15" s="20"/>
      <c r="R15" s="20"/>
      <c r="U15" s="19" t="s">
        <v>465</v>
      </c>
      <c r="V15" s="19">
        <v>159.6</v>
      </c>
      <c r="W15" s="19">
        <v>140.19999999999999</v>
      </c>
      <c r="X15" s="19">
        <v>165.4</v>
      </c>
      <c r="Y15" s="19">
        <v>155.06666666666666</v>
      </c>
    </row>
    <row r="16" spans="1:25" ht="15.75" thickBot="1" x14ac:dyDescent="0.3">
      <c r="A16" t="s">
        <v>693</v>
      </c>
      <c r="F16" s="273">
        <v>1</v>
      </c>
      <c r="G16" s="31">
        <v>0</v>
      </c>
      <c r="H16" s="8">
        <v>1</v>
      </c>
      <c r="I16">
        <f t="shared" si="0"/>
        <v>0</v>
      </c>
      <c r="J16">
        <f t="shared" si="1"/>
        <v>1</v>
      </c>
      <c r="K16" s="272">
        <v>187</v>
      </c>
      <c r="U16" s="19" t="s">
        <v>80</v>
      </c>
      <c r="V16" s="19">
        <v>978.29999999999927</v>
      </c>
      <c r="W16" s="19">
        <v>165.7</v>
      </c>
      <c r="X16" s="19">
        <v>217.3</v>
      </c>
      <c r="Y16" s="19">
        <v>513.35238095238208</v>
      </c>
    </row>
    <row r="17" spans="1:27" x14ac:dyDescent="0.25">
      <c r="A17" t="s">
        <v>694</v>
      </c>
      <c r="F17" s="273">
        <v>1</v>
      </c>
      <c r="G17" s="31">
        <v>0</v>
      </c>
      <c r="H17" s="8">
        <v>1</v>
      </c>
      <c r="I17">
        <f t="shared" si="0"/>
        <v>0</v>
      </c>
      <c r="J17">
        <f t="shared" si="1"/>
        <v>1</v>
      </c>
      <c r="K17" s="272">
        <v>153</v>
      </c>
      <c r="M17" s="309"/>
      <c r="N17" s="309" t="s">
        <v>298</v>
      </c>
      <c r="O17" s="309" t="s">
        <v>11</v>
      </c>
      <c r="P17" s="309" t="s">
        <v>85</v>
      </c>
      <c r="Q17" s="309" t="s">
        <v>119</v>
      </c>
      <c r="R17" s="309" t="s">
        <v>299</v>
      </c>
      <c r="S17" s="309" t="s">
        <v>300</v>
      </c>
      <c r="U17" s="19"/>
      <c r="V17" s="19"/>
      <c r="W17" s="19"/>
      <c r="X17" s="19"/>
      <c r="Y17" s="19"/>
    </row>
    <row r="18" spans="1:27" ht="15.75" thickBot="1" x14ac:dyDescent="0.3">
      <c r="A18" t="s">
        <v>695</v>
      </c>
      <c r="F18" s="289">
        <v>-1</v>
      </c>
      <c r="G18" s="298">
        <v>0</v>
      </c>
      <c r="H18" s="288">
        <v>1</v>
      </c>
      <c r="I18" s="289">
        <f t="shared" si="0"/>
        <v>0</v>
      </c>
      <c r="J18" s="288">
        <f t="shared" si="1"/>
        <v>-1</v>
      </c>
      <c r="K18" s="271">
        <v>140</v>
      </c>
      <c r="M18" s="19" t="s">
        <v>296</v>
      </c>
      <c r="N18" s="19">
        <v>152.61666666666667</v>
      </c>
      <c r="O18" s="19">
        <v>4.2440504574892008</v>
      </c>
      <c r="P18" s="19">
        <v>35.960144252609894</v>
      </c>
      <c r="Q18" s="19">
        <v>2.3792900077186923E-20</v>
      </c>
      <c r="R18" s="19">
        <v>143.7906805775493</v>
      </c>
      <c r="S18" s="19">
        <v>161.44265275578405</v>
      </c>
      <c r="U18" s="274" t="s">
        <v>1</v>
      </c>
      <c r="V18" s="274"/>
      <c r="W18" s="274"/>
      <c r="X18" s="274"/>
    </row>
    <row r="19" spans="1:27" x14ac:dyDescent="0.25">
      <c r="F19" s="273">
        <v>-1</v>
      </c>
      <c r="G19" s="31">
        <v>0</v>
      </c>
      <c r="H19" s="8">
        <v>1</v>
      </c>
      <c r="I19">
        <f t="shared" si="0"/>
        <v>0</v>
      </c>
      <c r="J19">
        <f t="shared" si="1"/>
        <v>-1</v>
      </c>
      <c r="K19" s="272">
        <v>145</v>
      </c>
      <c r="M19" s="19" t="s">
        <v>568</v>
      </c>
      <c r="N19" s="19">
        <v>-3.4166666666666652</v>
      </c>
      <c r="O19" s="19">
        <v>4.2440504574892017</v>
      </c>
      <c r="P19" s="19">
        <v>-0.80504854993830111</v>
      </c>
      <c r="Q19" s="19">
        <v>0.42981280716326731</v>
      </c>
      <c r="R19" s="19">
        <v>-12.242652755784054</v>
      </c>
      <c r="S19" s="19">
        <v>5.4093194224507224</v>
      </c>
      <c r="U19" s="19" t="s">
        <v>22</v>
      </c>
      <c r="V19" s="19">
        <v>10</v>
      </c>
      <c r="W19" s="19">
        <v>10</v>
      </c>
      <c r="X19" s="19">
        <v>10</v>
      </c>
    </row>
    <row r="20" spans="1:27" x14ac:dyDescent="0.25">
      <c r="F20" s="273">
        <v>-1</v>
      </c>
      <c r="G20" s="31">
        <v>0</v>
      </c>
      <c r="H20" s="8">
        <v>1</v>
      </c>
      <c r="I20">
        <f t="shared" si="0"/>
        <v>0</v>
      </c>
      <c r="J20">
        <f t="shared" si="1"/>
        <v>-1</v>
      </c>
      <c r="K20" s="272">
        <v>159</v>
      </c>
      <c r="M20" s="19" t="s">
        <v>569</v>
      </c>
      <c r="N20" s="19">
        <v>-5.1166666666666645</v>
      </c>
      <c r="O20" s="19">
        <v>5.8328894388929777</v>
      </c>
      <c r="P20" s="19">
        <v>-0.87720960945177029</v>
      </c>
      <c r="Q20" s="19">
        <v>0.39029810809252885</v>
      </c>
      <c r="R20" s="19">
        <v>-17.246824298554369</v>
      </c>
      <c r="S20" s="19">
        <v>7.0134909652210409</v>
      </c>
      <c r="U20" s="19" t="s">
        <v>21</v>
      </c>
      <c r="V20" s="19">
        <v>1475</v>
      </c>
      <c r="W20" s="19">
        <v>1580</v>
      </c>
      <c r="X20" s="19">
        <v>1533</v>
      </c>
    </row>
    <row r="21" spans="1:27" x14ac:dyDescent="0.25">
      <c r="F21" s="273">
        <v>-1</v>
      </c>
      <c r="G21" s="31">
        <v>0</v>
      </c>
      <c r="H21" s="8">
        <v>1</v>
      </c>
      <c r="I21">
        <f t="shared" si="0"/>
        <v>0</v>
      </c>
      <c r="J21">
        <f t="shared" si="1"/>
        <v>-1</v>
      </c>
      <c r="K21" s="272">
        <v>131</v>
      </c>
      <c r="M21" s="19" t="s">
        <v>663</v>
      </c>
      <c r="N21" s="19">
        <v>4.7583333333333293</v>
      </c>
      <c r="O21" s="19">
        <v>6.1664623518276622</v>
      </c>
      <c r="P21" s="19">
        <v>0.7716471879412381</v>
      </c>
      <c r="Q21" s="19">
        <v>0.44892011727768966</v>
      </c>
      <c r="R21" s="19">
        <v>-8.0655271465194875</v>
      </c>
      <c r="S21" s="19">
        <v>17.582193813186144</v>
      </c>
      <c r="U21" s="19" t="s">
        <v>465</v>
      </c>
      <c r="V21" s="19">
        <v>147.5</v>
      </c>
      <c r="W21" s="19">
        <v>158</v>
      </c>
      <c r="X21" s="19">
        <v>153.30000000000001</v>
      </c>
    </row>
    <row r="22" spans="1:27" x14ac:dyDescent="0.25">
      <c r="F22" s="289">
        <v>1</v>
      </c>
      <c r="G22" s="298">
        <v>-1</v>
      </c>
      <c r="H22" s="300">
        <v>-1</v>
      </c>
      <c r="I22" s="289">
        <f t="shared" si="0"/>
        <v>-1</v>
      </c>
      <c r="J22" s="288">
        <f t="shared" si="1"/>
        <v>-1</v>
      </c>
      <c r="K22" s="271">
        <v>151</v>
      </c>
      <c r="M22" s="19" t="s">
        <v>664</v>
      </c>
      <c r="N22" s="19">
        <v>-8.6833333333333318</v>
      </c>
      <c r="O22" s="19">
        <v>5.832889438892976</v>
      </c>
      <c r="P22" s="19">
        <v>-1.4886847118057738</v>
      </c>
      <c r="Q22" s="19">
        <v>0.15143508092319719</v>
      </c>
      <c r="R22" s="19">
        <v>-20.813490965221035</v>
      </c>
      <c r="S22" s="19">
        <v>3.44682429855437</v>
      </c>
      <c r="U22" s="19" t="s">
        <v>80</v>
      </c>
      <c r="V22" s="19">
        <v>912.05555555555554</v>
      </c>
      <c r="W22" s="19">
        <v>549.55555555555554</v>
      </c>
      <c r="X22" s="19">
        <v>416.67777777777843</v>
      </c>
    </row>
    <row r="23" spans="1:27" ht="15.75" thickBot="1" x14ac:dyDescent="0.3">
      <c r="F23" s="273">
        <v>1</v>
      </c>
      <c r="G23" s="31">
        <v>-1</v>
      </c>
      <c r="H23" s="263">
        <v>-1</v>
      </c>
      <c r="I23">
        <f t="shared" si="0"/>
        <v>-1</v>
      </c>
      <c r="J23">
        <f t="shared" si="1"/>
        <v>-1</v>
      </c>
      <c r="K23" s="272">
        <v>125</v>
      </c>
      <c r="M23" s="20" t="s">
        <v>665</v>
      </c>
      <c r="N23" s="20">
        <v>17.041666666666668</v>
      </c>
      <c r="O23" s="20">
        <v>6.1664623518276622</v>
      </c>
      <c r="P23" s="20">
        <v>2.7636050776529482</v>
      </c>
      <c r="Q23" s="20">
        <v>1.1640056661955401E-2</v>
      </c>
      <c r="R23" s="20">
        <v>4.217806186813851</v>
      </c>
      <c r="S23" s="20">
        <v>29.865527146519483</v>
      </c>
      <c r="U23" s="19"/>
      <c r="V23" s="19"/>
      <c r="W23" s="19"/>
      <c r="X23" s="19"/>
    </row>
    <row r="24" spans="1:27" x14ac:dyDescent="0.25">
      <c r="F24" s="273">
        <v>1</v>
      </c>
      <c r="G24" s="31">
        <v>-1</v>
      </c>
      <c r="H24" s="263">
        <v>-1</v>
      </c>
      <c r="I24">
        <f t="shared" si="0"/>
        <v>-1</v>
      </c>
      <c r="J24">
        <f t="shared" si="1"/>
        <v>-1</v>
      </c>
      <c r="K24" s="272">
        <v>117</v>
      </c>
    </row>
    <row r="25" spans="1:27" ht="15.75" thickBot="1" x14ac:dyDescent="0.3">
      <c r="F25" s="273">
        <v>1</v>
      </c>
      <c r="G25" s="31">
        <v>-1</v>
      </c>
      <c r="H25" s="263">
        <v>-1</v>
      </c>
      <c r="I25">
        <f t="shared" si="0"/>
        <v>-1</v>
      </c>
      <c r="J25">
        <f t="shared" si="1"/>
        <v>-1</v>
      </c>
      <c r="K25" s="272">
        <v>155</v>
      </c>
      <c r="M25" s="30" t="s">
        <v>698</v>
      </c>
      <c r="U25" t="s">
        <v>294</v>
      </c>
    </row>
    <row r="26" spans="1:27" x14ac:dyDescent="0.25">
      <c r="F26" s="9">
        <v>1</v>
      </c>
      <c r="G26" s="299">
        <v>-1</v>
      </c>
      <c r="H26" s="301">
        <v>-1</v>
      </c>
      <c r="I26">
        <f t="shared" si="0"/>
        <v>-1</v>
      </c>
      <c r="J26">
        <f t="shared" si="1"/>
        <v>-1</v>
      </c>
      <c r="K26" s="24">
        <v>158</v>
      </c>
      <c r="U26" s="309" t="s">
        <v>466</v>
      </c>
      <c r="V26" s="309" t="s">
        <v>219</v>
      </c>
      <c r="W26" s="309" t="s">
        <v>60</v>
      </c>
      <c r="X26" s="309" t="s">
        <v>240</v>
      </c>
      <c r="Y26" s="309" t="s">
        <v>135</v>
      </c>
      <c r="Z26" s="309" t="s">
        <v>119</v>
      </c>
      <c r="AA26" s="309" t="s">
        <v>467</v>
      </c>
    </row>
    <row r="27" spans="1:27" x14ac:dyDescent="0.25">
      <c r="F27" s="289">
        <v>-1</v>
      </c>
      <c r="G27" s="298">
        <v>-1</v>
      </c>
      <c r="H27" s="300">
        <v>-1</v>
      </c>
      <c r="I27" s="289">
        <f t="shared" si="0"/>
        <v>1</v>
      </c>
      <c r="J27" s="288">
        <f t="shared" si="1"/>
        <v>1</v>
      </c>
      <c r="K27" s="271">
        <v>167</v>
      </c>
      <c r="M27" t="s">
        <v>290</v>
      </c>
      <c r="U27" s="19" t="s">
        <v>136</v>
      </c>
      <c r="V27" s="19">
        <v>136.53333333333285</v>
      </c>
      <c r="W27" s="19">
        <v>1</v>
      </c>
      <c r="X27" s="19">
        <v>136.53333333333285</v>
      </c>
      <c r="Y27" s="19">
        <v>0.30318282753515807</v>
      </c>
      <c r="Z27" s="19">
        <v>0.58698317897716845</v>
      </c>
      <c r="AA27" s="19">
        <v>4.2596772726902348</v>
      </c>
    </row>
    <row r="28" spans="1:27" ht="15.75" thickBot="1" x14ac:dyDescent="0.3">
      <c r="F28" s="273">
        <v>-1</v>
      </c>
      <c r="G28" s="31">
        <v>-1</v>
      </c>
      <c r="H28" s="263">
        <v>-1</v>
      </c>
      <c r="I28" s="273">
        <f t="shared" si="0"/>
        <v>1</v>
      </c>
      <c r="J28" s="8">
        <f t="shared" si="1"/>
        <v>1</v>
      </c>
      <c r="K28" s="272">
        <v>183</v>
      </c>
      <c r="U28" s="19" t="s">
        <v>589</v>
      </c>
      <c r="V28" s="19">
        <v>553.26666666666642</v>
      </c>
      <c r="W28" s="19">
        <v>2</v>
      </c>
      <c r="X28" s="19">
        <v>276.63333333333321</v>
      </c>
      <c r="Y28" s="19">
        <v>0.61428571428571399</v>
      </c>
      <c r="Z28" s="19">
        <v>0.54931693706660334</v>
      </c>
      <c r="AA28" s="19">
        <v>3.4028261053501945</v>
      </c>
    </row>
    <row r="29" spans="1:27" x14ac:dyDescent="0.25">
      <c r="F29" s="273">
        <v>-1</v>
      </c>
      <c r="G29" s="31">
        <v>-1</v>
      </c>
      <c r="H29" s="263">
        <v>-1</v>
      </c>
      <c r="I29" s="273">
        <f t="shared" si="0"/>
        <v>1</v>
      </c>
      <c r="J29" s="8">
        <f t="shared" si="1"/>
        <v>1</v>
      </c>
      <c r="K29" s="272">
        <v>142</v>
      </c>
      <c r="M29" s="21" t="s">
        <v>291</v>
      </c>
      <c r="N29" s="21"/>
      <c r="U29" s="19" t="s">
        <v>437</v>
      </c>
      <c r="V29" s="19">
        <v>5960.0666666666657</v>
      </c>
      <c r="W29" s="19">
        <v>2</v>
      </c>
      <c r="X29" s="19">
        <v>2980.0333333333328</v>
      </c>
      <c r="Y29" s="19">
        <v>6.6173945225758688</v>
      </c>
      <c r="Z29" s="19">
        <v>5.1421901060349955E-3</v>
      </c>
      <c r="AA29" s="19">
        <v>3.4028261053501945</v>
      </c>
    </row>
    <row r="30" spans="1:27" x14ac:dyDescent="0.25">
      <c r="F30" s="9">
        <v>-1</v>
      </c>
      <c r="G30" s="299">
        <v>-1</v>
      </c>
      <c r="H30" s="301">
        <v>-1</v>
      </c>
      <c r="I30" s="9">
        <f t="shared" si="0"/>
        <v>1</v>
      </c>
      <c r="J30" s="11">
        <f t="shared" si="1"/>
        <v>1</v>
      </c>
      <c r="K30" s="24">
        <v>167</v>
      </c>
      <c r="M30" s="19" t="s">
        <v>292</v>
      </c>
      <c r="N30" s="19">
        <v>0.25284299482842942</v>
      </c>
      <c r="U30" s="19" t="s">
        <v>600</v>
      </c>
      <c r="V30" s="19">
        <v>10808</v>
      </c>
      <c r="W30" s="19">
        <v>24</v>
      </c>
      <c r="X30" s="19">
        <v>450.33333333333331</v>
      </c>
      <c r="Y30" s="19"/>
      <c r="Z30" s="19"/>
      <c r="AA30" s="19"/>
    </row>
    <row r="31" spans="1:27" x14ac:dyDescent="0.25">
      <c r="M31" s="19" t="s">
        <v>285</v>
      </c>
      <c r="N31" s="19">
        <v>6.3929580033809177E-2</v>
      </c>
      <c r="U31" s="19"/>
      <c r="V31" s="19"/>
      <c r="W31" s="19"/>
      <c r="X31" s="19"/>
      <c r="Y31" s="19"/>
      <c r="Z31" s="19"/>
      <c r="AA31" s="19"/>
    </row>
    <row r="32" spans="1:27" ht="15.75" thickBot="1" x14ac:dyDescent="0.3">
      <c r="F32" t="s">
        <v>696</v>
      </c>
      <c r="M32" s="19" t="s">
        <v>293</v>
      </c>
      <c r="N32" s="19">
        <v>-5.8166561700911369E-2</v>
      </c>
      <c r="U32" s="20" t="s">
        <v>1</v>
      </c>
      <c r="V32" s="20">
        <v>17457.866666666665</v>
      </c>
      <c r="W32" s="20">
        <v>29</v>
      </c>
      <c r="X32" s="20"/>
      <c r="Y32" s="20"/>
      <c r="Z32" s="20"/>
      <c r="AA32" s="20"/>
    </row>
    <row r="33" spans="6:23" x14ac:dyDescent="0.25">
      <c r="M33" s="19" t="s">
        <v>11</v>
      </c>
      <c r="N33" s="19">
        <v>24.46130631522983</v>
      </c>
    </row>
    <row r="34" spans="6:23" ht="15.75" thickBot="1" x14ac:dyDescent="0.3">
      <c r="F34" s="7"/>
      <c r="G34" s="25" t="s">
        <v>591</v>
      </c>
      <c r="H34" s="25" t="s">
        <v>592</v>
      </c>
      <c r="I34" s="25" t="s">
        <v>596</v>
      </c>
      <c r="J34" s="7"/>
      <c r="M34" s="20" t="s">
        <v>81</v>
      </c>
      <c r="N34" s="20">
        <v>27</v>
      </c>
      <c r="V34" t="s">
        <v>689</v>
      </c>
      <c r="W34">
        <f>V32/W32</f>
        <v>601.99540229885054</v>
      </c>
    </row>
    <row r="35" spans="6:23" x14ac:dyDescent="0.25">
      <c r="F35" s="7" t="s">
        <v>593</v>
      </c>
      <c r="G35" s="313">
        <f>AVERAGE(B5:B9)</f>
        <v>135.4</v>
      </c>
      <c r="H35" s="314">
        <f>AVERAGE(C5:C9)</f>
        <v>171</v>
      </c>
      <c r="I35" s="315">
        <f>AVERAGE(D5:D9)</f>
        <v>141.19999999999999</v>
      </c>
      <c r="J35" s="7">
        <f>AVERAGE(G35:I35)</f>
        <v>149.19999999999999</v>
      </c>
      <c r="V35" t="s">
        <v>690</v>
      </c>
      <c r="W35">
        <f>1-V30/V32</f>
        <v>0.38090946583775021</v>
      </c>
    </row>
    <row r="36" spans="6:23" ht="15.75" thickBot="1" x14ac:dyDescent="0.3">
      <c r="F36" s="7" t="s">
        <v>594</v>
      </c>
      <c r="G36" s="9">
        <f>AVERAGE(B10:B14)</f>
        <v>159.6</v>
      </c>
      <c r="H36" s="10">
        <f>AVERAGE(C10:C14)</f>
        <v>143.75</v>
      </c>
      <c r="I36" s="11">
        <f>AVERAGE(D10:D14)</f>
        <v>164.75</v>
      </c>
      <c r="J36" s="7">
        <f>AVERAGE(G36:I36)</f>
        <v>156.03333333333333</v>
      </c>
      <c r="M36" t="s">
        <v>294</v>
      </c>
    </row>
    <row r="37" spans="6:23" x14ac:dyDescent="0.25">
      <c r="F37" s="7"/>
      <c r="G37" s="7">
        <f>AVERAGE(G35:G36)</f>
        <v>147.5</v>
      </c>
      <c r="H37" s="7">
        <f>AVERAGE(H35:H36)</f>
        <v>157.375</v>
      </c>
      <c r="I37" s="7">
        <f>AVERAGE(I35:I36)</f>
        <v>152.97499999999999</v>
      </c>
      <c r="J37" s="7">
        <f>AVERAGE(J35:J36)</f>
        <v>152.61666666666667</v>
      </c>
      <c r="M37" s="309"/>
      <c r="N37" s="309" t="s">
        <v>60</v>
      </c>
      <c r="O37" s="309" t="s">
        <v>219</v>
      </c>
      <c r="P37" s="309" t="s">
        <v>240</v>
      </c>
      <c r="Q37" s="309" t="s">
        <v>135</v>
      </c>
      <c r="R37" s="309" t="s">
        <v>297</v>
      </c>
    </row>
    <row r="38" spans="6:23" x14ac:dyDescent="0.25">
      <c r="M38" s="19" t="s">
        <v>222</v>
      </c>
      <c r="N38" s="19">
        <v>3</v>
      </c>
      <c r="O38" s="19">
        <v>939.89742118150934</v>
      </c>
      <c r="P38" s="19">
        <v>313.29914039383647</v>
      </c>
      <c r="Q38" s="19">
        <v>0.52360032942490187</v>
      </c>
      <c r="R38" s="19">
        <v>0.67037893748451094</v>
      </c>
    </row>
    <row r="39" spans="6:23" x14ac:dyDescent="0.25">
      <c r="F39" t="s">
        <v>697</v>
      </c>
      <c r="M39" s="19" t="s">
        <v>295</v>
      </c>
      <c r="N39" s="19">
        <v>23</v>
      </c>
      <c r="O39" s="19">
        <v>13762.176652892562</v>
      </c>
      <c r="P39" s="19">
        <v>598.35550664750269</v>
      </c>
      <c r="Q39" s="19"/>
      <c r="R39" s="19"/>
    </row>
    <row r="40" spans="6:23" ht="15.75" thickBot="1" x14ac:dyDescent="0.3">
      <c r="M40" s="20" t="s">
        <v>1</v>
      </c>
      <c r="N40" s="20">
        <v>26</v>
      </c>
      <c r="O40" s="20">
        <v>14702.074074074071</v>
      </c>
      <c r="P40" s="20"/>
      <c r="Q40" s="20"/>
      <c r="R40" s="20"/>
    </row>
    <row r="41" spans="6:23" ht="15.75" thickBot="1" x14ac:dyDescent="0.3">
      <c r="F41" t="s">
        <v>389</v>
      </c>
      <c r="G41">
        <f>J37</f>
        <v>152.61666666666667</v>
      </c>
    </row>
    <row r="42" spans="6:23" x14ac:dyDescent="0.25">
      <c r="F42" t="s">
        <v>387</v>
      </c>
      <c r="G42">
        <f>J35-J37</f>
        <v>-3.4166666666666856</v>
      </c>
      <c r="M42" s="309"/>
      <c r="N42" s="309" t="s">
        <v>298</v>
      </c>
      <c r="O42" s="309" t="s">
        <v>11</v>
      </c>
      <c r="P42" s="309" t="s">
        <v>85</v>
      </c>
      <c r="Q42" s="309" t="s">
        <v>119</v>
      </c>
      <c r="R42" s="309" t="s">
        <v>299</v>
      </c>
      <c r="S42" s="309" t="s">
        <v>300</v>
      </c>
    </row>
    <row r="43" spans="6:23" x14ac:dyDescent="0.25">
      <c r="F43" t="s">
        <v>388</v>
      </c>
      <c r="G43">
        <f>G37-J37</f>
        <v>-5.1166666666666742</v>
      </c>
      <c r="M43" s="19" t="s">
        <v>296</v>
      </c>
      <c r="N43" s="19">
        <v>152.34125344352617</v>
      </c>
      <c r="O43" s="19">
        <v>4.7303824278681619</v>
      </c>
      <c r="P43" s="19">
        <v>32.204849347071011</v>
      </c>
      <c r="Q43" s="19">
        <v>1.2270731664950653E-20</v>
      </c>
      <c r="R43" s="19">
        <v>142.55571183392416</v>
      </c>
      <c r="S43" s="19">
        <v>162.12679505312818</v>
      </c>
    </row>
    <row r="44" spans="6:23" x14ac:dyDescent="0.25">
      <c r="F44" t="s">
        <v>401</v>
      </c>
      <c r="G44">
        <f>H37-J37</f>
        <v>4.7583333333333258</v>
      </c>
      <c r="M44" s="19" t="s">
        <v>568</v>
      </c>
      <c r="N44" s="19">
        <v>-4.3388429752066129</v>
      </c>
      <c r="O44" s="19">
        <v>4.717296974231</v>
      </c>
      <c r="P44" s="19">
        <v>-0.91977312408106726</v>
      </c>
      <c r="Q44" s="19">
        <v>0.36723788404834612</v>
      </c>
      <c r="R44" s="19">
        <v>-14.097315261556325</v>
      </c>
      <c r="S44" s="19">
        <v>5.4196293111430984</v>
      </c>
    </row>
    <row r="45" spans="6:23" x14ac:dyDescent="0.25">
      <c r="F45" t="s">
        <v>688</v>
      </c>
      <c r="G45">
        <f>G35-J35-G37+J37</f>
        <v>-8.6833333333333087</v>
      </c>
      <c r="M45" s="19" t="s">
        <v>569</v>
      </c>
      <c r="N45" s="19">
        <v>-4.8412534435261785</v>
      </c>
      <c r="O45" s="19">
        <v>6.5055131595286655</v>
      </c>
      <c r="P45" s="19">
        <v>-0.74417702720886281</v>
      </c>
      <c r="Q45" s="19">
        <v>0.46430515688438911</v>
      </c>
      <c r="R45" s="19">
        <v>-18.298932750666424</v>
      </c>
      <c r="S45" s="19">
        <v>8.6164258636140687</v>
      </c>
    </row>
    <row r="46" spans="6:23" ht="15.75" thickBot="1" x14ac:dyDescent="0.3">
      <c r="F46" t="s">
        <v>687</v>
      </c>
      <c r="G46">
        <f>H35-J35-H37+J37</f>
        <v>17.041666666666686</v>
      </c>
      <c r="M46" s="20" t="s">
        <v>663</v>
      </c>
      <c r="N46" s="20">
        <v>5.0337465564738348</v>
      </c>
      <c r="O46" s="20">
        <v>6.8780809356629291</v>
      </c>
      <c r="P46" s="20">
        <v>0.73185334740302355</v>
      </c>
      <c r="Q46" s="20">
        <v>0.47165002115399124</v>
      </c>
      <c r="R46" s="20">
        <v>-9.1946479161634578</v>
      </c>
      <c r="S46" s="20">
        <v>19.262141029111127</v>
      </c>
    </row>
    <row r="48" spans="6:23" x14ac:dyDescent="0.25">
      <c r="F48" s="13" t="s">
        <v>569</v>
      </c>
      <c r="G48" s="13" t="s">
        <v>663</v>
      </c>
      <c r="H48" s="13" t="s">
        <v>568</v>
      </c>
      <c r="I48" s="26" t="s">
        <v>664</v>
      </c>
      <c r="J48" s="26" t="s">
        <v>665</v>
      </c>
      <c r="K48" s="26" t="s">
        <v>142</v>
      </c>
      <c r="M48" s="30" t="s">
        <v>699</v>
      </c>
    </row>
    <row r="49" spans="6:18" x14ac:dyDescent="0.25">
      <c r="F49" s="313">
        <v>1</v>
      </c>
      <c r="G49" s="315">
        <v>0</v>
      </c>
      <c r="H49" s="289">
        <v>1</v>
      </c>
      <c r="I49" s="313">
        <f t="shared" ref="I49:I75" si="2">H49*F49</f>
        <v>1</v>
      </c>
      <c r="J49" s="288">
        <f t="shared" ref="J49:J75" si="3">H49*G49</f>
        <v>0</v>
      </c>
      <c r="K49" s="271">
        <v>128</v>
      </c>
    </row>
    <row r="50" spans="6:18" x14ac:dyDescent="0.25">
      <c r="F50" s="6">
        <v>1</v>
      </c>
      <c r="G50" s="8">
        <v>0</v>
      </c>
      <c r="H50" s="273">
        <v>1</v>
      </c>
      <c r="I50" s="6">
        <f t="shared" si="2"/>
        <v>1</v>
      </c>
      <c r="J50">
        <f t="shared" si="3"/>
        <v>0</v>
      </c>
      <c r="K50" s="272">
        <v>150</v>
      </c>
      <c r="M50" t="s">
        <v>290</v>
      </c>
    </row>
    <row r="51" spans="6:18" ht="15.75" thickBot="1" x14ac:dyDescent="0.3">
      <c r="F51" s="6">
        <v>1</v>
      </c>
      <c r="G51" s="8">
        <v>0</v>
      </c>
      <c r="H51" s="273">
        <v>1</v>
      </c>
      <c r="I51" s="6">
        <f t="shared" si="2"/>
        <v>1</v>
      </c>
      <c r="J51">
        <f t="shared" si="3"/>
        <v>0</v>
      </c>
      <c r="K51" s="272">
        <v>174</v>
      </c>
    </row>
    <row r="52" spans="6:18" x14ac:dyDescent="0.25">
      <c r="F52" s="6">
        <v>1</v>
      </c>
      <c r="G52" s="8">
        <v>0</v>
      </c>
      <c r="H52" s="273">
        <v>1</v>
      </c>
      <c r="I52" s="6">
        <f t="shared" si="2"/>
        <v>1</v>
      </c>
      <c r="J52">
        <f t="shared" si="3"/>
        <v>0</v>
      </c>
      <c r="K52" s="272">
        <v>116</v>
      </c>
      <c r="M52" s="21" t="s">
        <v>291</v>
      </c>
      <c r="N52" s="21"/>
    </row>
    <row r="53" spans="6:18" x14ac:dyDescent="0.25">
      <c r="F53" s="9">
        <v>1</v>
      </c>
      <c r="G53" s="11">
        <v>0</v>
      </c>
      <c r="H53" s="9">
        <v>1</v>
      </c>
      <c r="I53" s="6">
        <f t="shared" si="2"/>
        <v>1</v>
      </c>
      <c r="J53">
        <f t="shared" si="3"/>
        <v>0</v>
      </c>
      <c r="K53" s="24">
        <v>109</v>
      </c>
      <c r="M53" s="19" t="s">
        <v>292</v>
      </c>
      <c r="N53" s="19">
        <v>0.53288861079418526</v>
      </c>
    </row>
    <row r="54" spans="6:18" x14ac:dyDescent="0.25">
      <c r="F54" s="313">
        <v>1</v>
      </c>
      <c r="G54" s="315">
        <v>0</v>
      </c>
      <c r="H54" s="289">
        <v>-1</v>
      </c>
      <c r="I54" s="313">
        <f t="shared" si="2"/>
        <v>-1</v>
      </c>
      <c r="J54" s="288">
        <f t="shared" si="3"/>
        <v>0</v>
      </c>
      <c r="K54" s="271">
        <v>175</v>
      </c>
      <c r="M54" s="19" t="s">
        <v>285</v>
      </c>
      <c r="N54" s="19">
        <v>0.28397027151415666</v>
      </c>
    </row>
    <row r="55" spans="6:18" x14ac:dyDescent="0.25">
      <c r="F55" s="6">
        <v>1</v>
      </c>
      <c r="G55" s="8">
        <v>0</v>
      </c>
      <c r="H55" s="273">
        <v>-1</v>
      </c>
      <c r="I55" s="6">
        <f t="shared" si="2"/>
        <v>-1</v>
      </c>
      <c r="J55">
        <f t="shared" si="3"/>
        <v>0</v>
      </c>
      <c r="K55" s="272">
        <v>132</v>
      </c>
      <c r="M55" s="19" t="s">
        <v>293</v>
      </c>
      <c r="N55" s="19">
        <v>0.1905750895377423</v>
      </c>
    </row>
    <row r="56" spans="6:18" x14ac:dyDescent="0.25">
      <c r="F56" s="6">
        <v>1</v>
      </c>
      <c r="G56" s="8">
        <v>0</v>
      </c>
      <c r="H56" s="273">
        <v>-1</v>
      </c>
      <c r="I56" s="6">
        <f t="shared" si="2"/>
        <v>-1</v>
      </c>
      <c r="J56">
        <f t="shared" si="3"/>
        <v>0</v>
      </c>
      <c r="K56" s="272">
        <v>120</v>
      </c>
      <c r="M56" s="19" t="s">
        <v>11</v>
      </c>
      <c r="N56" s="19">
        <v>21.393946835330716</v>
      </c>
    </row>
    <row r="57" spans="6:18" ht="15.75" thickBot="1" x14ac:dyDescent="0.3">
      <c r="F57" s="6">
        <v>1</v>
      </c>
      <c r="G57" s="8">
        <v>0</v>
      </c>
      <c r="H57" s="273">
        <v>-1</v>
      </c>
      <c r="I57" s="6">
        <f t="shared" si="2"/>
        <v>-1</v>
      </c>
      <c r="J57">
        <f t="shared" si="3"/>
        <v>0</v>
      </c>
      <c r="K57" s="272">
        <v>187</v>
      </c>
      <c r="M57" s="20" t="s">
        <v>81</v>
      </c>
      <c r="N57" s="20">
        <v>27</v>
      </c>
    </row>
    <row r="58" spans="6:18" x14ac:dyDescent="0.25">
      <c r="F58" s="9">
        <v>1</v>
      </c>
      <c r="G58" s="11">
        <v>0</v>
      </c>
      <c r="H58" s="9">
        <v>-1</v>
      </c>
      <c r="I58" s="6">
        <f t="shared" si="2"/>
        <v>-1</v>
      </c>
      <c r="J58">
        <f t="shared" si="3"/>
        <v>0</v>
      </c>
      <c r="K58" s="24">
        <v>184</v>
      </c>
    </row>
    <row r="59" spans="6:18" ht="15.75" thickBot="1" x14ac:dyDescent="0.3">
      <c r="F59" s="317">
        <v>0</v>
      </c>
      <c r="G59" s="315">
        <v>1</v>
      </c>
      <c r="H59" s="289">
        <v>1</v>
      </c>
      <c r="I59" s="313">
        <f t="shared" si="2"/>
        <v>0</v>
      </c>
      <c r="J59" s="288">
        <f t="shared" si="3"/>
        <v>1</v>
      </c>
      <c r="K59" s="271">
        <v>166</v>
      </c>
      <c r="M59" t="s">
        <v>294</v>
      </c>
    </row>
    <row r="60" spans="6:18" x14ac:dyDescent="0.25">
      <c r="F60" s="307">
        <v>0</v>
      </c>
      <c r="G60" s="8">
        <v>1</v>
      </c>
      <c r="H60" s="273">
        <v>1</v>
      </c>
      <c r="I60" s="6">
        <f t="shared" si="2"/>
        <v>0</v>
      </c>
      <c r="J60">
        <f t="shared" si="3"/>
        <v>1</v>
      </c>
      <c r="K60" s="272">
        <v>178</v>
      </c>
      <c r="M60" s="309"/>
      <c r="N60" s="309" t="s">
        <v>60</v>
      </c>
      <c r="O60" s="309" t="s">
        <v>219</v>
      </c>
      <c r="P60" s="309" t="s">
        <v>240</v>
      </c>
      <c r="Q60" s="309" t="s">
        <v>135</v>
      </c>
      <c r="R60" s="309" t="s">
        <v>297</v>
      </c>
    </row>
    <row r="61" spans="6:18" x14ac:dyDescent="0.25">
      <c r="F61" s="307">
        <v>0</v>
      </c>
      <c r="G61" s="8">
        <v>1</v>
      </c>
      <c r="H61" s="273">
        <v>1</v>
      </c>
      <c r="I61" s="6">
        <f t="shared" si="2"/>
        <v>0</v>
      </c>
      <c r="J61">
        <f t="shared" si="3"/>
        <v>1</v>
      </c>
      <c r="K61" s="272">
        <v>187</v>
      </c>
      <c r="M61" s="19" t="s">
        <v>222</v>
      </c>
      <c r="N61" s="19">
        <v>3</v>
      </c>
      <c r="O61" s="19">
        <v>4174.9519666360575</v>
      </c>
      <c r="P61" s="19">
        <v>1391.6506555453525</v>
      </c>
      <c r="Q61" s="19">
        <v>3.0405237776170235</v>
      </c>
      <c r="R61" s="19">
        <v>4.9388235315860701E-2</v>
      </c>
    </row>
    <row r="62" spans="6:18" x14ac:dyDescent="0.25">
      <c r="F62" s="307">
        <v>0</v>
      </c>
      <c r="G62" s="8">
        <v>1</v>
      </c>
      <c r="H62" s="273">
        <v>1</v>
      </c>
      <c r="I62" s="6">
        <f t="shared" si="2"/>
        <v>0</v>
      </c>
      <c r="J62">
        <f t="shared" si="3"/>
        <v>1</v>
      </c>
      <c r="K62" s="272">
        <v>153</v>
      </c>
      <c r="M62" s="19" t="s">
        <v>295</v>
      </c>
      <c r="N62" s="19">
        <v>23</v>
      </c>
      <c r="O62" s="19">
        <v>10527.122107438014</v>
      </c>
      <c r="P62" s="19">
        <v>457.7009611929571</v>
      </c>
      <c r="Q62" s="19"/>
      <c r="R62" s="19"/>
    </row>
    <row r="63" spans="6:18" ht="15.75" thickBot="1" x14ac:dyDescent="0.3">
      <c r="F63" s="317">
        <v>0</v>
      </c>
      <c r="G63" s="315">
        <v>1</v>
      </c>
      <c r="H63" s="289">
        <v>-1</v>
      </c>
      <c r="I63" s="313">
        <f t="shared" si="2"/>
        <v>0</v>
      </c>
      <c r="J63" s="288">
        <f t="shared" si="3"/>
        <v>-1</v>
      </c>
      <c r="K63" s="271">
        <v>140</v>
      </c>
      <c r="M63" s="20" t="s">
        <v>1</v>
      </c>
      <c r="N63" s="20">
        <v>26</v>
      </c>
      <c r="O63" s="20">
        <v>14702.074074074071</v>
      </c>
      <c r="P63" s="20"/>
      <c r="Q63" s="20"/>
      <c r="R63" s="20"/>
    </row>
    <row r="64" spans="6:18" ht="15.75" thickBot="1" x14ac:dyDescent="0.3">
      <c r="F64" s="307">
        <v>0</v>
      </c>
      <c r="G64" s="8">
        <v>1</v>
      </c>
      <c r="H64" s="273">
        <v>-1</v>
      </c>
      <c r="I64" s="6">
        <f t="shared" si="2"/>
        <v>0</v>
      </c>
      <c r="J64">
        <f t="shared" si="3"/>
        <v>-1</v>
      </c>
      <c r="K64" s="272">
        <v>145</v>
      </c>
    </row>
    <row r="65" spans="6:19" x14ac:dyDescent="0.25">
      <c r="F65" s="307">
        <v>0</v>
      </c>
      <c r="G65" s="8">
        <v>1</v>
      </c>
      <c r="H65" s="273">
        <v>-1</v>
      </c>
      <c r="I65" s="6">
        <f t="shared" si="2"/>
        <v>0</v>
      </c>
      <c r="J65">
        <f t="shared" si="3"/>
        <v>-1</v>
      </c>
      <c r="K65" s="272">
        <v>159</v>
      </c>
      <c r="M65" s="309"/>
      <c r="N65" s="309" t="s">
        <v>298</v>
      </c>
      <c r="O65" s="309" t="s">
        <v>11</v>
      </c>
      <c r="P65" s="309" t="s">
        <v>85</v>
      </c>
      <c r="Q65" s="309" t="s">
        <v>119</v>
      </c>
      <c r="R65" s="309" t="s">
        <v>299</v>
      </c>
      <c r="S65" s="309" t="s">
        <v>300</v>
      </c>
    </row>
    <row r="66" spans="6:19" x14ac:dyDescent="0.25">
      <c r="F66" s="307">
        <v>0</v>
      </c>
      <c r="G66" s="8">
        <v>1</v>
      </c>
      <c r="H66" s="273">
        <v>-1</v>
      </c>
      <c r="I66" s="6">
        <f t="shared" si="2"/>
        <v>0</v>
      </c>
      <c r="J66">
        <f t="shared" si="3"/>
        <v>-1</v>
      </c>
      <c r="K66" s="272">
        <v>131</v>
      </c>
      <c r="M66" s="19" t="s">
        <v>296</v>
      </c>
      <c r="N66" s="19">
        <v>152.24793388429751</v>
      </c>
      <c r="O66" s="19">
        <v>4.1257649682564077</v>
      </c>
      <c r="P66" s="19">
        <v>36.901746719866864</v>
      </c>
      <c r="Q66" s="19">
        <v>5.6733608544716497E-22</v>
      </c>
      <c r="R66" s="19">
        <v>143.71313878391359</v>
      </c>
      <c r="S66" s="19">
        <v>160.78272898468143</v>
      </c>
    </row>
    <row r="67" spans="6:19" x14ac:dyDescent="0.25">
      <c r="F67" s="317">
        <v>-1</v>
      </c>
      <c r="G67" s="316">
        <v>-1</v>
      </c>
      <c r="H67" s="289">
        <v>1</v>
      </c>
      <c r="I67" s="313">
        <f t="shared" si="2"/>
        <v>-1</v>
      </c>
      <c r="J67" s="288">
        <f t="shared" si="3"/>
        <v>-1</v>
      </c>
      <c r="K67" s="271">
        <v>151</v>
      </c>
      <c r="M67" s="19" t="s">
        <v>568</v>
      </c>
      <c r="N67" s="19">
        <v>-3.3897382920110184</v>
      </c>
      <c r="O67" s="19">
        <v>4.1372095532602486</v>
      </c>
      <c r="P67" s="19">
        <v>-0.81932961054385078</v>
      </c>
      <c r="Q67" s="19">
        <v>0.42100775586952588</v>
      </c>
      <c r="R67" s="19">
        <v>-11.948208320261227</v>
      </c>
      <c r="S67" s="19">
        <v>5.1687317362391889</v>
      </c>
    </row>
    <row r="68" spans="6:19" x14ac:dyDescent="0.25">
      <c r="F68" s="307">
        <v>-1</v>
      </c>
      <c r="G68" s="263">
        <v>-1</v>
      </c>
      <c r="H68" s="273">
        <v>1</v>
      </c>
      <c r="I68" s="6">
        <f t="shared" si="2"/>
        <v>-1</v>
      </c>
      <c r="J68">
        <f t="shared" si="3"/>
        <v>-1</v>
      </c>
      <c r="K68" s="272">
        <v>125</v>
      </c>
      <c r="M68" s="19" t="s">
        <v>664</v>
      </c>
      <c r="N68" s="19">
        <v>-8.7102617079889733</v>
      </c>
      <c r="O68" s="19">
        <v>5.6897453013311372</v>
      </c>
      <c r="P68" s="19">
        <v>-1.5308702317397538</v>
      </c>
      <c r="Q68" s="19">
        <v>0.13944088670310667</v>
      </c>
      <c r="R68" s="19">
        <v>-20.480396626933654</v>
      </c>
      <c r="S68" s="19">
        <v>3.0598732109557094</v>
      </c>
    </row>
    <row r="69" spans="6:19" ht="15.75" thickBot="1" x14ac:dyDescent="0.3">
      <c r="F69" s="307">
        <v>-1</v>
      </c>
      <c r="G69" s="263">
        <v>-1</v>
      </c>
      <c r="H69" s="273">
        <v>1</v>
      </c>
      <c r="I69" s="6">
        <f t="shared" si="2"/>
        <v>-1</v>
      </c>
      <c r="J69">
        <f t="shared" si="3"/>
        <v>-1</v>
      </c>
      <c r="K69" s="272">
        <v>117</v>
      </c>
      <c r="M69" s="20" t="s">
        <v>665</v>
      </c>
      <c r="N69" s="20">
        <v>17.01473829201101</v>
      </c>
      <c r="O69" s="20">
        <v>6.0155944237147283</v>
      </c>
      <c r="P69" s="20">
        <v>2.8284384041808672</v>
      </c>
      <c r="Q69" s="20">
        <v>9.5257546521778126E-3</v>
      </c>
      <c r="R69" s="20">
        <v>4.5705331061991448</v>
      </c>
      <c r="S69" s="20">
        <v>29.458943477822878</v>
      </c>
    </row>
    <row r="70" spans="6:19" x14ac:dyDescent="0.25">
      <c r="F70" s="307">
        <v>-1</v>
      </c>
      <c r="G70" s="263">
        <v>-1</v>
      </c>
      <c r="H70" s="273">
        <v>1</v>
      </c>
      <c r="I70" s="6">
        <f t="shared" si="2"/>
        <v>-1</v>
      </c>
      <c r="J70">
        <f t="shared" si="3"/>
        <v>-1</v>
      </c>
      <c r="K70" s="272">
        <v>155</v>
      </c>
    </row>
    <row r="71" spans="6:19" x14ac:dyDescent="0.25">
      <c r="F71" s="291">
        <v>-1</v>
      </c>
      <c r="G71" s="301">
        <v>-1</v>
      </c>
      <c r="H71" s="9">
        <v>1</v>
      </c>
      <c r="I71" s="6">
        <f t="shared" si="2"/>
        <v>-1</v>
      </c>
      <c r="J71">
        <f t="shared" si="3"/>
        <v>-1</v>
      </c>
      <c r="K71" s="24">
        <v>158</v>
      </c>
      <c r="M71" s="30" t="s">
        <v>700</v>
      </c>
    </row>
    <row r="72" spans="6:19" x14ac:dyDescent="0.25">
      <c r="F72" s="317">
        <v>-1</v>
      </c>
      <c r="G72" s="316">
        <v>-1</v>
      </c>
      <c r="H72" s="289">
        <v>-1</v>
      </c>
      <c r="I72" s="313">
        <f t="shared" si="2"/>
        <v>1</v>
      </c>
      <c r="J72" s="288">
        <f t="shared" si="3"/>
        <v>1</v>
      </c>
      <c r="K72" s="271">
        <v>167</v>
      </c>
    </row>
    <row r="73" spans="6:19" x14ac:dyDescent="0.25">
      <c r="F73" s="307">
        <v>-1</v>
      </c>
      <c r="G73" s="263">
        <v>-1</v>
      </c>
      <c r="H73" s="273">
        <v>-1</v>
      </c>
      <c r="I73" s="6">
        <f t="shared" si="2"/>
        <v>1</v>
      </c>
      <c r="J73" s="8">
        <f t="shared" si="3"/>
        <v>1</v>
      </c>
      <c r="K73" s="272">
        <v>183</v>
      </c>
      <c r="M73" t="s">
        <v>290</v>
      </c>
    </row>
    <row r="74" spans="6:19" ht="15.75" thickBot="1" x14ac:dyDescent="0.3">
      <c r="F74" s="307">
        <v>-1</v>
      </c>
      <c r="G74" s="263">
        <v>-1</v>
      </c>
      <c r="H74" s="273">
        <v>-1</v>
      </c>
      <c r="I74" s="6">
        <f t="shared" si="2"/>
        <v>1</v>
      </c>
      <c r="J74" s="8">
        <f t="shared" si="3"/>
        <v>1</v>
      </c>
      <c r="K74" s="272">
        <v>142</v>
      </c>
    </row>
    <row r="75" spans="6:19" x14ac:dyDescent="0.25">
      <c r="F75" s="291">
        <v>-1</v>
      </c>
      <c r="G75" s="301">
        <v>-1</v>
      </c>
      <c r="H75" s="9">
        <v>-1</v>
      </c>
      <c r="I75" s="9">
        <f t="shared" si="2"/>
        <v>1</v>
      </c>
      <c r="J75" s="11">
        <f t="shared" si="3"/>
        <v>1</v>
      </c>
      <c r="K75" s="24">
        <v>167</v>
      </c>
      <c r="M75" s="21" t="s">
        <v>291</v>
      </c>
      <c r="N75" s="21"/>
    </row>
    <row r="76" spans="6:19" x14ac:dyDescent="0.25">
      <c r="M76" s="19" t="s">
        <v>292</v>
      </c>
      <c r="N76" s="19">
        <v>0.54106663277212563</v>
      </c>
    </row>
    <row r="77" spans="6:19" x14ac:dyDescent="0.25">
      <c r="M77" s="19" t="s">
        <v>285</v>
      </c>
      <c r="N77" s="19">
        <v>0.29275310109936631</v>
      </c>
    </row>
    <row r="78" spans="6:19" x14ac:dyDescent="0.25">
      <c r="M78" s="19" t="s">
        <v>293</v>
      </c>
      <c r="N78" s="19">
        <v>0.16416275584470563</v>
      </c>
    </row>
    <row r="79" spans="6:19" x14ac:dyDescent="0.25">
      <c r="M79" s="19" t="s">
        <v>11</v>
      </c>
      <c r="N79" s="19">
        <v>21.740197682776373</v>
      </c>
    </row>
    <row r="80" spans="6:19" ht="15.75" thickBot="1" x14ac:dyDescent="0.3">
      <c r="M80" s="20" t="s">
        <v>81</v>
      </c>
      <c r="N80" s="20">
        <v>27</v>
      </c>
    </row>
    <row r="82" spans="13:19" ht="15.75" thickBot="1" x14ac:dyDescent="0.3">
      <c r="M82" t="s">
        <v>294</v>
      </c>
    </row>
    <row r="83" spans="13:19" x14ac:dyDescent="0.25">
      <c r="M83" s="309"/>
      <c r="N83" s="309" t="s">
        <v>60</v>
      </c>
      <c r="O83" s="309" t="s">
        <v>219</v>
      </c>
      <c r="P83" s="309" t="s">
        <v>240</v>
      </c>
      <c r="Q83" s="309" t="s">
        <v>135</v>
      </c>
      <c r="R83" s="309" t="s">
        <v>297</v>
      </c>
    </row>
    <row r="84" spans="13:19" x14ac:dyDescent="0.25">
      <c r="M84" s="19" t="s">
        <v>222</v>
      </c>
      <c r="N84" s="19">
        <v>4</v>
      </c>
      <c r="O84" s="19">
        <v>4304.0777777777785</v>
      </c>
      <c r="P84" s="19">
        <v>1076.0194444444446</v>
      </c>
      <c r="Q84" s="19">
        <v>2.2766336035539623</v>
      </c>
      <c r="R84" s="19">
        <v>9.3459458279901708E-2</v>
      </c>
    </row>
    <row r="85" spans="13:19" x14ac:dyDescent="0.25">
      <c r="M85" s="19" t="s">
        <v>295</v>
      </c>
      <c r="N85" s="19">
        <v>22</v>
      </c>
      <c r="O85" s="19">
        <v>10397.996296296293</v>
      </c>
      <c r="P85" s="19">
        <v>472.63619528619512</v>
      </c>
      <c r="Q85" s="19"/>
      <c r="R85" s="19"/>
    </row>
    <row r="86" spans="13:19" ht="15.75" thickBot="1" x14ac:dyDescent="0.3">
      <c r="M86" s="20" t="s">
        <v>1</v>
      </c>
      <c r="N86" s="20">
        <v>26</v>
      </c>
      <c r="O86" s="20">
        <v>14702.074074074071</v>
      </c>
      <c r="P86" s="20"/>
      <c r="Q86" s="20"/>
      <c r="R86" s="20"/>
    </row>
    <row r="87" spans="13:19" ht="15.75" thickBot="1" x14ac:dyDescent="0.3"/>
    <row r="88" spans="13:19" x14ac:dyDescent="0.25">
      <c r="M88" s="309"/>
      <c r="N88" s="309" t="s">
        <v>298</v>
      </c>
      <c r="O88" s="309" t="s">
        <v>11</v>
      </c>
      <c r="P88" s="309" t="s">
        <v>85</v>
      </c>
      <c r="Q88" s="309" t="s">
        <v>119</v>
      </c>
      <c r="R88" s="309" t="s">
        <v>299</v>
      </c>
      <c r="S88" s="309" t="s">
        <v>300</v>
      </c>
    </row>
    <row r="89" spans="13:19" x14ac:dyDescent="0.25">
      <c r="M89" s="19" t="s">
        <v>296</v>
      </c>
      <c r="N89" s="19">
        <v>152.49012345679012</v>
      </c>
      <c r="O89" s="19">
        <v>4.207082690148412</v>
      </c>
      <c r="P89" s="19">
        <v>36.246048553757035</v>
      </c>
      <c r="Q89" s="19">
        <v>4.0990029137263698E-21</v>
      </c>
      <c r="R89" s="19">
        <v>143.76516797124611</v>
      </c>
      <c r="S89" s="19">
        <v>161.21507894233412</v>
      </c>
    </row>
    <row r="90" spans="13:19" x14ac:dyDescent="0.25">
      <c r="M90" s="19" t="s">
        <v>569</v>
      </c>
      <c r="N90" s="19">
        <v>-4.9901234567901289</v>
      </c>
      <c r="O90" s="19">
        <v>5.7839506053059937</v>
      </c>
      <c r="P90" s="19">
        <v>-0.86275347030321536</v>
      </c>
      <c r="Q90" s="19">
        <v>0.39758081615311081</v>
      </c>
      <c r="R90" s="19">
        <v>-16.985302843221419</v>
      </c>
      <c r="S90" s="19">
        <v>7.0050559296411601</v>
      </c>
    </row>
    <row r="91" spans="13:19" x14ac:dyDescent="0.25">
      <c r="M91" s="19" t="s">
        <v>663</v>
      </c>
      <c r="N91" s="19">
        <v>4.8848765432098835</v>
      </c>
      <c r="O91" s="19">
        <v>6.1149586724145459</v>
      </c>
      <c r="P91" s="19">
        <v>0.79884048362358706</v>
      </c>
      <c r="Q91" s="19">
        <v>0.43292294119814867</v>
      </c>
      <c r="R91" s="19">
        <v>-7.7967715588567996</v>
      </c>
      <c r="S91" s="19">
        <v>17.566524645276566</v>
      </c>
    </row>
    <row r="92" spans="13:19" x14ac:dyDescent="0.25">
      <c r="M92" s="19" t="s">
        <v>664</v>
      </c>
      <c r="N92" s="19">
        <v>-9.0629629629629633</v>
      </c>
      <c r="O92" s="19">
        <v>5.7671122854277979</v>
      </c>
      <c r="P92" s="19">
        <v>-1.5714906376737354</v>
      </c>
      <c r="Q92" s="19">
        <v>0.13034096665888897</v>
      </c>
      <c r="R92" s="19">
        <v>-21.023221811290107</v>
      </c>
      <c r="S92" s="19">
        <v>2.8972958853641817</v>
      </c>
    </row>
    <row r="93" spans="13:19" ht="15.75" thickBot="1" x14ac:dyDescent="0.3">
      <c r="M93" s="20" t="s">
        <v>665</v>
      </c>
      <c r="N93" s="20">
        <v>17.421296296296298</v>
      </c>
      <c r="O93" s="20">
        <v>6.0990342738379937</v>
      </c>
      <c r="P93" s="20">
        <v>2.8564024260407122</v>
      </c>
      <c r="Q93" s="20">
        <v>9.1774119848700604E-3</v>
      </c>
      <c r="R93" s="20">
        <v>4.7726733755600961</v>
      </c>
      <c r="S93" s="20">
        <v>30.069919217032499</v>
      </c>
    </row>
    <row r="95" spans="13:19" x14ac:dyDescent="0.25">
      <c r="M95" s="1" t="s">
        <v>701</v>
      </c>
    </row>
    <row r="97" spans="13:18" ht="15.75" thickBot="1" x14ac:dyDescent="0.3">
      <c r="M97" t="s">
        <v>294</v>
      </c>
    </row>
    <row r="98" spans="13:18" x14ac:dyDescent="0.25">
      <c r="M98" s="309"/>
      <c r="N98" s="309" t="s">
        <v>711</v>
      </c>
      <c r="O98" s="309" t="s">
        <v>710</v>
      </c>
      <c r="P98" s="309" t="s">
        <v>285</v>
      </c>
      <c r="R98" s="309" t="s">
        <v>702</v>
      </c>
    </row>
    <row r="99" spans="13:18" x14ac:dyDescent="0.25">
      <c r="M99" t="s">
        <v>703</v>
      </c>
      <c r="N99" s="19">
        <f>N13</f>
        <v>5</v>
      </c>
      <c r="O99" s="19">
        <f>O13</f>
        <v>4615.3740740740668</v>
      </c>
      <c r="P99" s="19">
        <f>N6</f>
        <v>0.31392673243382097</v>
      </c>
    </row>
    <row r="100" spans="13:18" x14ac:dyDescent="0.25">
      <c r="M100" t="s">
        <v>704</v>
      </c>
      <c r="N100" s="19">
        <f>N61</f>
        <v>3</v>
      </c>
      <c r="O100" s="19">
        <f>O61</f>
        <v>4174.9519666360575</v>
      </c>
      <c r="P100" s="7">
        <f>N54</f>
        <v>0.28397027151415666</v>
      </c>
    </row>
    <row r="101" spans="13:18" x14ac:dyDescent="0.25">
      <c r="M101" t="s">
        <v>705</v>
      </c>
      <c r="N101" s="7">
        <f>N84</f>
        <v>4</v>
      </c>
      <c r="O101" s="7">
        <f>O84</f>
        <v>4304.0777777777785</v>
      </c>
      <c r="P101" s="7">
        <f>N77</f>
        <v>0.29275310109936631</v>
      </c>
    </row>
    <row r="102" spans="13:18" ht="15.75" thickBot="1" x14ac:dyDescent="0.3">
      <c r="M102" s="22" t="s">
        <v>706</v>
      </c>
      <c r="N102" s="22">
        <f>N38</f>
        <v>3</v>
      </c>
      <c r="O102" s="22">
        <f>O38</f>
        <v>939.89742118150934</v>
      </c>
      <c r="P102" s="22">
        <f>N31</f>
        <v>6.3929580033809177E-2</v>
      </c>
      <c r="R102" s="22"/>
    </row>
    <row r="103" spans="13:18" x14ac:dyDescent="0.25">
      <c r="M103" t="s">
        <v>213</v>
      </c>
      <c r="N103">
        <f>N99-N101</f>
        <v>1</v>
      </c>
      <c r="O103">
        <f>O99-O101</f>
        <v>311.29629629628835</v>
      </c>
      <c r="P103">
        <f>P99-P101</f>
        <v>2.1173631334454657E-2</v>
      </c>
      <c r="R103">
        <f>P103*O15</f>
        <v>311.29629629628818</v>
      </c>
    </row>
    <row r="104" spans="13:18" x14ac:dyDescent="0.25">
      <c r="M104" t="s">
        <v>131</v>
      </c>
      <c r="N104">
        <f>N99-N100</f>
        <v>2</v>
      </c>
      <c r="O104">
        <f>O99-O100</f>
        <v>440.42210743800933</v>
      </c>
      <c r="P104">
        <f>P99-P100</f>
        <v>2.9956460919664307E-2</v>
      </c>
      <c r="R104">
        <f>P104*O15</f>
        <v>440.42210743800973</v>
      </c>
    </row>
    <row r="105" spans="13:18" ht="15.75" thickBot="1" x14ac:dyDescent="0.3">
      <c r="M105" s="22" t="s">
        <v>707</v>
      </c>
      <c r="N105" s="22">
        <f>N99-N102</f>
        <v>2</v>
      </c>
      <c r="O105" s="22">
        <f>O99-O102</f>
        <v>3675.4766528925575</v>
      </c>
      <c r="P105" s="22">
        <f>P99-P102</f>
        <v>0.2499971524000118</v>
      </c>
      <c r="R105" s="22">
        <f>P105*O15</f>
        <v>3675.4766528925579</v>
      </c>
    </row>
    <row r="108" spans="13:18" x14ac:dyDescent="0.25">
      <c r="M108" s="1" t="s">
        <v>708</v>
      </c>
    </row>
    <row r="110" spans="13:18" ht="15.75" thickBot="1" x14ac:dyDescent="0.3">
      <c r="M110" t="s">
        <v>294</v>
      </c>
    </row>
    <row r="111" spans="13:18" x14ac:dyDescent="0.25">
      <c r="M111" s="309" t="s">
        <v>466</v>
      </c>
      <c r="N111" s="309" t="s">
        <v>219</v>
      </c>
      <c r="O111" s="309" t="s">
        <v>60</v>
      </c>
      <c r="P111" s="309" t="s">
        <v>240</v>
      </c>
      <c r="Q111" s="309" t="s">
        <v>135</v>
      </c>
      <c r="R111" s="309" t="s">
        <v>119</v>
      </c>
    </row>
    <row r="112" spans="13:18" x14ac:dyDescent="0.25">
      <c r="M112" s="19" t="s">
        <v>709</v>
      </c>
      <c r="N112" s="19">
        <f>O103</f>
        <v>311.29629629628835</v>
      </c>
      <c r="O112" s="19">
        <f>N103</f>
        <v>1</v>
      </c>
      <c r="P112" s="19">
        <f>N112/O112</f>
        <v>311.29629629628835</v>
      </c>
      <c r="Q112" s="19">
        <f>P112/P115</f>
        <v>0.64810316775774557</v>
      </c>
      <c r="R112" s="19">
        <f>FDIST(Q112,O112,O115)</f>
        <v>0.42981280716327275</v>
      </c>
    </row>
    <row r="113" spans="13:18" x14ac:dyDescent="0.25">
      <c r="M113" s="19" t="s">
        <v>606</v>
      </c>
      <c r="N113" s="19">
        <f>O104</f>
        <v>440.42210743800933</v>
      </c>
      <c r="O113" s="19">
        <f>N104</f>
        <v>2</v>
      </c>
      <c r="P113" s="19">
        <f>N113/O113</f>
        <v>220.21105371900467</v>
      </c>
      <c r="Q113" s="19">
        <f>P113/P115</f>
        <v>0.45846829271209577</v>
      </c>
      <c r="R113" s="19">
        <f>FDIST(Q113,O113,O115)</f>
        <v>0.63843128233853208</v>
      </c>
    </row>
    <row r="114" spans="13:18" x14ac:dyDescent="0.25">
      <c r="M114" s="19" t="s">
        <v>437</v>
      </c>
      <c r="N114" s="19">
        <f>O105</f>
        <v>3675.4766528925575</v>
      </c>
      <c r="O114" s="19">
        <f>N105</f>
        <v>2</v>
      </c>
      <c r="P114" s="19">
        <f>N114/O114</f>
        <v>1837.7383264462787</v>
      </c>
      <c r="Q114" s="19">
        <f>P114/P115</f>
        <v>3.8260783859311607</v>
      </c>
      <c r="R114" s="19">
        <f>FDIST(Q114,O114,O115)</f>
        <v>3.8295764848006966E-2</v>
      </c>
    </row>
    <row r="115" spans="13:18" x14ac:dyDescent="0.25">
      <c r="M115" s="19" t="s">
        <v>600</v>
      </c>
      <c r="N115">
        <f>O14</f>
        <v>10086.700000000004</v>
      </c>
      <c r="O115" s="19">
        <f>N14</f>
        <v>21</v>
      </c>
      <c r="P115" s="19">
        <f>N115/O115</f>
        <v>480.31904761904781</v>
      </c>
      <c r="Q115" s="19"/>
      <c r="R115" s="19"/>
    </row>
    <row r="116" spans="13:18" x14ac:dyDescent="0.25">
      <c r="M116" s="19"/>
      <c r="N116" s="19"/>
      <c r="O116" s="19"/>
      <c r="P116" s="19"/>
      <c r="Q116" s="19"/>
      <c r="R116" s="19"/>
    </row>
    <row r="117" spans="13:18" ht="15.75" thickBot="1" x14ac:dyDescent="0.3">
      <c r="M117" s="20" t="s">
        <v>1</v>
      </c>
      <c r="N117" s="20">
        <f>O15</f>
        <v>14702.074074074071</v>
      </c>
      <c r="O117" s="20">
        <f>N15</f>
        <v>26</v>
      </c>
      <c r="P117" s="20"/>
      <c r="Q117" s="20"/>
      <c r="R117" s="20"/>
    </row>
    <row r="119" spans="13:18" x14ac:dyDescent="0.25">
      <c r="M119" t="s">
        <v>712</v>
      </c>
      <c r="N119">
        <f>SUM(N112:N115)</f>
        <v>14513.89505662686</v>
      </c>
    </row>
  </sheetData>
  <mergeCells count="1">
    <mergeCell ref="B3:D3"/>
  </mergeCells>
  <pageMargins left="0.7" right="0.7" top="0.75" bottom="0.75" header="0.3" footer="0.3"/>
  <ignoredErrors>
    <ignoredError sqref="G35:I36" formulaRange="1"/>
  </ignoredError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Z29"/>
  <sheetViews>
    <sheetView zoomScaleNormal="100" workbookViewId="0"/>
  </sheetViews>
  <sheetFormatPr defaultRowHeight="15" x14ac:dyDescent="0.25"/>
  <sheetData>
    <row r="1" spans="1:26" x14ac:dyDescent="0.25">
      <c r="A1" s="1" t="s">
        <v>2326</v>
      </c>
      <c r="F1" t="s">
        <v>1665</v>
      </c>
      <c r="J1" t="s">
        <v>27</v>
      </c>
      <c r="P1" t="s">
        <v>1668</v>
      </c>
      <c r="X1" t="s">
        <v>1669</v>
      </c>
    </row>
    <row r="3" spans="1:26" ht="15.75" thickBot="1" x14ac:dyDescent="0.3">
      <c r="A3" s="11"/>
      <c r="B3" s="1294" t="s">
        <v>601</v>
      </c>
      <c r="C3" s="1295"/>
      <c r="D3" s="1296"/>
      <c r="F3" s="772" t="str">
        <f t="array" ref="F3:H29">[1]!Anova2Std(A4:D14, 5)</f>
        <v>Blend X</v>
      </c>
      <c r="G3" s="773" t="str">
        <v>Corn</v>
      </c>
      <c r="H3" s="774">
        <v>128</v>
      </c>
      <c r="J3" t="s">
        <v>1666</v>
      </c>
      <c r="K3" t="str">
        <f>IF(COUNTIF(K5:M6,K5)=COUNT(K5:M6),"balanced","unbalanced")</f>
        <v>unbalanced</v>
      </c>
      <c r="P3" t="s">
        <v>294</v>
      </c>
      <c r="T3" s="771" t="s">
        <v>34</v>
      </c>
      <c r="U3" s="771">
        <v>0.05</v>
      </c>
      <c r="Y3" s="776" t="str">
        <f>A5</f>
        <v>Blend X</v>
      </c>
      <c r="Z3" s="776" t="str">
        <f>A10</f>
        <v>Blend Y</v>
      </c>
    </row>
    <row r="4" spans="1:26" ht="15.75" thickTop="1" x14ac:dyDescent="0.25">
      <c r="A4" s="284" t="s">
        <v>602</v>
      </c>
      <c r="B4" s="270" t="s">
        <v>591</v>
      </c>
      <c r="C4" s="270" t="s">
        <v>592</v>
      </c>
      <c r="D4" s="270" t="s">
        <v>596</v>
      </c>
      <c r="F4" s="501" t="str">
        <v>Blend X</v>
      </c>
      <c r="G4" s="7" t="str">
        <v>Corn</v>
      </c>
      <c r="H4" s="57">
        <v>150</v>
      </c>
      <c r="K4" t="str">
        <f t="array" ref="K4:M4">TRANSPOSE([1]!SortUnique(G3:G29))</f>
        <v>Corn</v>
      </c>
      <c r="L4" t="str">
        <v>Rice</v>
      </c>
      <c r="M4" t="str">
        <v>Soy</v>
      </c>
      <c r="P4" s="754"/>
      <c r="Q4" s="754" t="s">
        <v>219</v>
      </c>
      <c r="R4" s="754" t="s">
        <v>60</v>
      </c>
      <c r="S4" s="754" t="s">
        <v>240</v>
      </c>
      <c r="T4" s="754" t="s">
        <v>135</v>
      </c>
      <c r="U4" s="754" t="s">
        <v>67</v>
      </c>
      <c r="V4" s="754" t="s">
        <v>527</v>
      </c>
      <c r="X4" s="775" t="str">
        <f>B4</f>
        <v>Corn</v>
      </c>
      <c r="Y4" s="775">
        <f>IF(B5="","",B5)</f>
        <v>128</v>
      </c>
      <c r="Z4" s="775">
        <f>IF(B10="","",B10)</f>
        <v>175</v>
      </c>
    </row>
    <row r="5" spans="1:26" x14ac:dyDescent="0.25">
      <c r="A5" s="296" t="s">
        <v>593</v>
      </c>
      <c r="B5" s="271">
        <v>128</v>
      </c>
      <c r="C5" s="271">
        <v>166</v>
      </c>
      <c r="D5" s="271">
        <v>151</v>
      </c>
      <c r="F5" s="501" t="str">
        <v>Blend X</v>
      </c>
      <c r="G5" s="7" t="str">
        <v>Corn</v>
      </c>
      <c r="H5" s="57">
        <v>174</v>
      </c>
      <c r="J5" t="str">
        <f t="array" ref="J5:J6">[1]!SortUnique(F3:F29)</f>
        <v>Blend X</v>
      </c>
      <c r="K5" s="772">
        <f t="array" ref="K5">COUNTIFS($F$3:$F$29,$J5,$G$3:$G$29,K$4)</f>
        <v>5</v>
      </c>
      <c r="L5" s="773">
        <f t="array" ref="L5">COUNTIFS($F$3:$F$29,$J5,$G$3:$G$29,L$4)</f>
        <v>5</v>
      </c>
      <c r="M5" s="774">
        <f t="array" ref="M5">COUNTIFS($F$3:$F$29,$J5,$G$3:$G$29,M$4)</f>
        <v>4</v>
      </c>
      <c r="N5">
        <f t="array" ref="N5">SUM(K5:M5)</f>
        <v>14</v>
      </c>
      <c r="P5" t="s">
        <v>136</v>
      </c>
      <c r="Q5">
        <f t="array" ref="Q5:Q8">[1]!SSAnova2(F3:H29)</f>
        <v>311.29629629629744</v>
      </c>
      <c r="R5">
        <f>COUNT(N11:N12)-1</f>
        <v>1</v>
      </c>
      <c r="S5">
        <f>Q5/R5</f>
        <v>311.29629629629744</v>
      </c>
      <c r="T5">
        <f>S5/S8</f>
        <v>0.64810316775776489</v>
      </c>
      <c r="U5">
        <f>FDIST(T5,R5,R8)</f>
        <v>0.42981280716326598</v>
      </c>
      <c r="V5" s="771" t="str">
        <f>IF(U5&lt;U3,"yes","no")</f>
        <v>no</v>
      </c>
      <c r="X5" s="680"/>
      <c r="Y5" s="680">
        <f>IF(B6="","",B6)</f>
        <v>150</v>
      </c>
      <c r="Z5" s="680">
        <f>IF(B11="","",B11)</f>
        <v>132</v>
      </c>
    </row>
    <row r="6" spans="1:26" x14ac:dyDescent="0.25">
      <c r="A6" s="272"/>
      <c r="B6" s="272">
        <v>150</v>
      </c>
      <c r="C6" s="272">
        <v>178</v>
      </c>
      <c r="D6" s="272">
        <v>125</v>
      </c>
      <c r="F6" s="501" t="str">
        <v>Blend X</v>
      </c>
      <c r="G6" s="7" t="str">
        <v>Corn</v>
      </c>
      <c r="H6" s="57">
        <v>116</v>
      </c>
      <c r="J6" t="str">
        <v>Blend Y</v>
      </c>
      <c r="K6" s="759">
        <f t="array" ref="K6">COUNTIFS($F$3:$F$29,$J6,$G$3:$G$29,K$4)</f>
        <v>5</v>
      </c>
      <c r="L6" s="760">
        <f t="array" ref="L6">COUNTIFS($F$3:$F$29,$J6,$G$3:$G$29,L$4)</f>
        <v>4</v>
      </c>
      <c r="M6" s="761">
        <f t="array" ref="M6">COUNTIFS($F$3:$F$29,$J6,$G$3:$G$29,M$4)</f>
        <v>4</v>
      </c>
      <c r="N6">
        <f t="array" ref="N6">SUM(K6:M6)</f>
        <v>13</v>
      </c>
      <c r="P6" t="s">
        <v>589</v>
      </c>
      <c r="Q6">
        <v>440.42210743801479</v>
      </c>
      <c r="R6">
        <f>COUNT(K13:M13)-1</f>
        <v>2</v>
      </c>
      <c r="S6">
        <f>Q6/R6</f>
        <v>220.2110537190074</v>
      </c>
      <c r="T6">
        <f>S6/S8</f>
        <v>0.45846829271210165</v>
      </c>
      <c r="U6">
        <f>FDIST(T6,R6,R8)</f>
        <v>0.63843128233852853</v>
      </c>
      <c r="V6" s="771" t="str">
        <f>IF(U6&lt;U3,"yes","no")</f>
        <v>no</v>
      </c>
      <c r="X6" s="680"/>
      <c r="Y6" s="680">
        <f>IF(B7="","",B7)</f>
        <v>174</v>
      </c>
      <c r="Z6" s="680">
        <f>IF(B12="","",B12)</f>
        <v>120</v>
      </c>
    </row>
    <row r="7" spans="1:26" x14ac:dyDescent="0.25">
      <c r="A7" s="272"/>
      <c r="B7" s="272">
        <v>174</v>
      </c>
      <c r="C7" s="272">
        <v>187</v>
      </c>
      <c r="D7" s="272">
        <v>117</v>
      </c>
      <c r="F7" s="501" t="str">
        <v>Blend X</v>
      </c>
      <c r="G7" s="7" t="str">
        <v>Corn</v>
      </c>
      <c r="H7" s="57">
        <v>109</v>
      </c>
      <c r="K7">
        <f t="array" ref="K7">SUM(K5:K6)</f>
        <v>10</v>
      </c>
      <c r="L7">
        <f t="array" ref="L7">SUM(L5:L6)</f>
        <v>9</v>
      </c>
      <c r="M7">
        <f t="array" ref="M7">SUM(M5:M6)</f>
        <v>8</v>
      </c>
      <c r="N7">
        <f t="array" ref="N7">SUM(N5:N6)</f>
        <v>27</v>
      </c>
      <c r="P7" t="s">
        <v>1319</v>
      </c>
      <c r="Q7">
        <v>3675.4766528925611</v>
      </c>
      <c r="R7">
        <f>R6*R5</f>
        <v>2</v>
      </c>
      <c r="S7">
        <f>Q7/R7</f>
        <v>1837.7383264462806</v>
      </c>
      <c r="T7">
        <f>S7/S8</f>
        <v>3.8260783859311664</v>
      </c>
      <c r="U7">
        <f>FDIST(T7,R7,R8)</f>
        <v>3.8295764848006848E-2</v>
      </c>
      <c r="V7" s="771" t="str">
        <f>IF(U7&lt;U3,"yes","no")</f>
        <v>yes</v>
      </c>
      <c r="X7" s="680"/>
      <c r="Y7" s="680">
        <f>IF(B8="","",B8)</f>
        <v>116</v>
      </c>
      <c r="Z7" s="680">
        <f>IF(B13="","",B13)</f>
        <v>187</v>
      </c>
    </row>
    <row r="8" spans="1:26" x14ac:dyDescent="0.25">
      <c r="A8" s="272"/>
      <c r="B8" s="272">
        <v>116</v>
      </c>
      <c r="C8" s="272">
        <v>153</v>
      </c>
      <c r="D8" s="272">
        <v>155</v>
      </c>
      <c r="F8" s="501" t="str">
        <v>Blend X</v>
      </c>
      <c r="G8" s="7" t="str">
        <v>Soy</v>
      </c>
      <c r="H8" s="57">
        <v>166</v>
      </c>
      <c r="P8" t="s">
        <v>600</v>
      </c>
      <c r="Q8">
        <v>10086.699999999999</v>
      </c>
      <c r="R8">
        <f>R9-R5-R6-R7</f>
        <v>21</v>
      </c>
      <c r="S8">
        <f>Q8/R8</f>
        <v>480.31904761904758</v>
      </c>
      <c r="X8" s="757"/>
      <c r="Y8" s="757">
        <f>IF(B9="","",B9)</f>
        <v>109</v>
      </c>
      <c r="Z8" s="757">
        <f>IF(B14="","",B14)</f>
        <v>184</v>
      </c>
    </row>
    <row r="9" spans="1:26" x14ac:dyDescent="0.25">
      <c r="A9" s="272"/>
      <c r="B9" s="24">
        <v>109</v>
      </c>
      <c r="C9" s="24"/>
      <c r="D9" s="24">
        <v>158</v>
      </c>
      <c r="F9" s="501" t="str">
        <v>Blend X</v>
      </c>
      <c r="G9" s="7" t="str">
        <v>Soy</v>
      </c>
      <c r="H9" s="57">
        <v>178</v>
      </c>
      <c r="J9" t="s">
        <v>610</v>
      </c>
      <c r="P9" s="762" t="s">
        <v>1</v>
      </c>
      <c r="Q9" s="762">
        <f>S9*R9</f>
        <v>14702.074074074044</v>
      </c>
      <c r="R9" s="762">
        <f>N7-1</f>
        <v>26</v>
      </c>
      <c r="S9" s="762">
        <f>N19</f>
        <v>565.46438746438628</v>
      </c>
      <c r="T9" s="762"/>
      <c r="U9" s="762"/>
      <c r="V9" s="762"/>
      <c r="X9" s="775" t="str">
        <f>C4</f>
        <v>Soy</v>
      </c>
      <c r="Y9" s="775">
        <f>IF(C5="","",C5)</f>
        <v>166</v>
      </c>
      <c r="Z9" s="775">
        <f>IF(C10="","",C10)</f>
        <v>140</v>
      </c>
    </row>
    <row r="10" spans="1:26" x14ac:dyDescent="0.25">
      <c r="A10" s="296" t="s">
        <v>594</v>
      </c>
      <c r="B10" s="271">
        <v>175</v>
      </c>
      <c r="C10" s="271">
        <v>140</v>
      </c>
      <c r="D10" s="271">
        <v>167</v>
      </c>
      <c r="F10" s="501" t="str">
        <v>Blend X</v>
      </c>
      <c r="G10" s="7" t="str">
        <v>Soy</v>
      </c>
      <c r="H10" s="57">
        <v>187</v>
      </c>
      <c r="K10" t="str">
        <f t="array" ref="K10:M10">TRANSPOSE([1]!SortUnique(G3:G29))</f>
        <v>Corn</v>
      </c>
      <c r="L10" t="str">
        <v>Rice</v>
      </c>
      <c r="M10" t="str">
        <v>Soy</v>
      </c>
      <c r="X10" s="680"/>
      <c r="Y10" s="680">
        <f>IF(C6="","",C6)</f>
        <v>178</v>
      </c>
      <c r="Z10" s="680">
        <f>IF(C11="","",C11)</f>
        <v>145</v>
      </c>
    </row>
    <row r="11" spans="1:26" x14ac:dyDescent="0.25">
      <c r="A11" s="272"/>
      <c r="B11" s="272">
        <v>132</v>
      </c>
      <c r="C11" s="272">
        <v>145</v>
      </c>
      <c r="D11" s="272">
        <v>183</v>
      </c>
      <c r="F11" s="501" t="str">
        <v>Blend X</v>
      </c>
      <c r="G11" s="7" t="str">
        <v>Soy</v>
      </c>
      <c r="H11" s="57">
        <v>153</v>
      </c>
      <c r="J11" t="str">
        <f t="array" ref="J11:J12">[1]!SortUnique(F3:F29)</f>
        <v>Blend X</v>
      </c>
      <c r="K11" s="772">
        <f t="array" ref="K11">AVERAGEIFS($H$3:$H$29,$F$3:$F$29,$J11,$G$3:$G$29,K$10)</f>
        <v>135.4</v>
      </c>
      <c r="L11" s="773">
        <f t="array" ref="L11">AVERAGEIFS($H$3:$H$29,$F$3:$F$29,$J11,$G$3:$G$29,L$10)</f>
        <v>141.19999999999999</v>
      </c>
      <c r="M11" s="774">
        <f t="array" ref="M11">AVERAGEIFS($H$3:$H$29,$F$3:$F$29,$J11,$G$3:$G$29,M$10)</f>
        <v>171</v>
      </c>
      <c r="N11">
        <f t="array" ref="N11">AVERAGE(K11:M11)</f>
        <v>149.20000000000002</v>
      </c>
      <c r="X11" s="680"/>
      <c r="Y11" s="680">
        <f>IF(C7="","",C7)</f>
        <v>187</v>
      </c>
      <c r="Z11" s="680">
        <f>IF(C12="","",C12)</f>
        <v>159</v>
      </c>
    </row>
    <row r="12" spans="1:26" x14ac:dyDescent="0.25">
      <c r="A12" s="272"/>
      <c r="B12" s="272">
        <v>120</v>
      </c>
      <c r="C12" s="272">
        <v>159</v>
      </c>
      <c r="D12" s="272">
        <v>142</v>
      </c>
      <c r="F12" s="501" t="str">
        <v>Blend X</v>
      </c>
      <c r="G12" s="7" t="str">
        <v>Rice</v>
      </c>
      <c r="H12" s="57">
        <v>151</v>
      </c>
      <c r="J12" t="str">
        <v>Blend Y</v>
      </c>
      <c r="K12" s="759">
        <f t="array" ref="K12">AVERAGEIFS($H$3:$H$29,$F$3:$F$29,$J12,$G$3:$G$29,K$10)</f>
        <v>159.6</v>
      </c>
      <c r="L12" s="760">
        <f t="array" ref="L12">AVERAGEIFS($H$3:$H$29,$F$3:$F$29,$J12,$G$3:$G$29,L$10)</f>
        <v>164.75</v>
      </c>
      <c r="M12" s="761">
        <f t="array" ref="M12">AVERAGEIFS($H$3:$H$29,$F$3:$F$29,$J12,$G$3:$G$29,M$10)</f>
        <v>143.75</v>
      </c>
      <c r="N12">
        <f t="array" ref="N12">AVERAGE(K12:M12)</f>
        <v>156.03333333333333</v>
      </c>
      <c r="X12" s="680"/>
      <c r="Y12" s="680">
        <f>IF(C8="","",C8)</f>
        <v>153</v>
      </c>
      <c r="Z12" s="680">
        <f>IF(C13="","",C13)</f>
        <v>131</v>
      </c>
    </row>
    <row r="13" spans="1:26" x14ac:dyDescent="0.25">
      <c r="A13" s="272"/>
      <c r="B13" s="272">
        <v>187</v>
      </c>
      <c r="C13" s="272">
        <v>131</v>
      </c>
      <c r="D13" s="272">
        <v>167</v>
      </c>
      <c r="F13" s="501" t="str">
        <v>Blend X</v>
      </c>
      <c r="G13" s="7" t="str">
        <v>Rice</v>
      </c>
      <c r="H13" s="57">
        <v>125</v>
      </c>
      <c r="K13">
        <f t="array" ref="K13">AVERAGE(K11:K12)</f>
        <v>147.5</v>
      </c>
      <c r="L13">
        <f t="array" ref="L13">AVERAGE(L11:L12)</f>
        <v>152.97499999999999</v>
      </c>
      <c r="M13">
        <f t="array" ref="M13">AVERAGE(M11:M12)</f>
        <v>157.375</v>
      </c>
      <c r="N13">
        <f t="array" ref="N13">AVERAGE(N11:N12)</f>
        <v>152.61666666666667</v>
      </c>
      <c r="X13" s="757"/>
      <c r="Y13" s="757" t="str">
        <f>IF(C9="","",C9)</f>
        <v/>
      </c>
      <c r="Z13" s="757" t="str">
        <f>IF(C14="","",C14)</f>
        <v/>
      </c>
    </row>
    <row r="14" spans="1:26" x14ac:dyDescent="0.25">
      <c r="A14" s="168"/>
      <c r="B14" s="24">
        <v>184</v>
      </c>
      <c r="C14" s="24"/>
      <c r="D14" s="24"/>
      <c r="F14" s="501" t="str">
        <v>Blend X</v>
      </c>
      <c r="G14" s="7" t="str">
        <v>Rice</v>
      </c>
      <c r="H14" s="57">
        <v>117</v>
      </c>
      <c r="X14" s="775" t="str">
        <f>D4</f>
        <v>Rice</v>
      </c>
      <c r="Y14" s="775">
        <f>IF(D5="","",D5)</f>
        <v>151</v>
      </c>
      <c r="Z14" s="775">
        <f>IF(D10="","",D10)</f>
        <v>167</v>
      </c>
    </row>
    <row r="15" spans="1:26" x14ac:dyDescent="0.25">
      <c r="F15" s="501" t="str">
        <v>Blend X</v>
      </c>
      <c r="G15" s="7" t="str">
        <v>Rice</v>
      </c>
      <c r="H15" s="57">
        <v>155</v>
      </c>
      <c r="J15" t="s">
        <v>1667</v>
      </c>
      <c r="X15" s="680"/>
      <c r="Y15" s="680">
        <f>IF(D6="","",D6)</f>
        <v>125</v>
      </c>
      <c r="Z15" s="680">
        <f>IF(D11="","",D11)</f>
        <v>183</v>
      </c>
    </row>
    <row r="16" spans="1:26" x14ac:dyDescent="0.25">
      <c r="F16" s="501" t="str">
        <v>Blend X</v>
      </c>
      <c r="G16" s="7" t="str">
        <v>Rice</v>
      </c>
      <c r="H16" s="57">
        <v>158</v>
      </c>
      <c r="K16" t="str">
        <f t="array" ref="K16:M16">TRANSPOSE([1]!SortUnique(G3:G29))</f>
        <v>Corn</v>
      </c>
      <c r="L16" t="str">
        <v>Rice</v>
      </c>
      <c r="M16" t="str">
        <v>Soy</v>
      </c>
      <c r="X16" s="680"/>
      <c r="Y16" s="680">
        <f>IF(D7="","",D7)</f>
        <v>117</v>
      </c>
      <c r="Z16" s="680">
        <f>IF(D12="","",D12)</f>
        <v>142</v>
      </c>
    </row>
    <row r="17" spans="6:26" x14ac:dyDescent="0.25">
      <c r="F17" s="501" t="str">
        <v>Blend Y</v>
      </c>
      <c r="G17" s="7" t="str">
        <v>Corn</v>
      </c>
      <c r="H17" s="57">
        <v>175</v>
      </c>
      <c r="J17" t="str">
        <f t="array" ref="J17:J18">[1]!SortUnique(F3:F29)</f>
        <v>Blend X</v>
      </c>
      <c r="K17" s="772">
        <f t="array" ref="K17">VAR(IF(($F$3:$F$29=$J17)*($G$3:$G$29=K$16),$H$3:$H$29))</f>
        <v>707.79999999999927</v>
      </c>
      <c r="L17" s="773">
        <f t="array" ref="L17">VAR(IF(($F$3:$F$29=$J17)*($G$3:$G$29=L$16),$H$3:$H$29))</f>
        <v>354.20000000000073</v>
      </c>
      <c r="M17" s="774">
        <f t="array" ref="M17">VAR(IF(($F$3:$F$29=$J17)*($G$3:$G$29=M$16),$H$3:$H$29))</f>
        <v>218</v>
      </c>
      <c r="N17">
        <f t="array" ref="N17">VAR(IF($F$3:$F$29=$J17,$H$3:$H$29))</f>
        <v>618.55494505494312</v>
      </c>
      <c r="X17" s="680"/>
      <c r="Y17" s="680">
        <f>IF(D8="","",D8)</f>
        <v>155</v>
      </c>
      <c r="Z17" s="680">
        <f>IF(D13="","",D13)</f>
        <v>167</v>
      </c>
    </row>
    <row r="18" spans="6:26" x14ac:dyDescent="0.25">
      <c r="F18" s="501" t="str">
        <v>Blend Y</v>
      </c>
      <c r="G18" s="7" t="str">
        <v>Corn</v>
      </c>
      <c r="H18" s="57">
        <v>132</v>
      </c>
      <c r="J18" t="str">
        <v>Blend Y</v>
      </c>
      <c r="K18" s="759">
        <f t="array" ref="K18">VAR(IF(($F$3:$F$29=$J18)*($G$3:$G$29=K$16),$H$3:$H$29))</f>
        <v>978.29999999999927</v>
      </c>
      <c r="L18" s="760">
        <f t="array" ref="L18">VAR(IF(($F$3:$F$29=$J18)*($G$3:$G$29=L$16),$H$3:$H$29))</f>
        <v>286.91666666666669</v>
      </c>
      <c r="M18" s="761">
        <f t="array" ref="M18">VAR(IF(($F$3:$F$29=$J18)*($G$3:$G$29=M$16),$H$3:$H$29))</f>
        <v>136.91666666666666</v>
      </c>
      <c r="N18">
        <f t="array" ref="N18">VAR(IF($F$3:$F$29=$J18,$H$3:$H$29))</f>
        <v>512.89743589743739</v>
      </c>
      <c r="X18" s="757"/>
      <c r="Y18" s="757">
        <f>IF(D9="","",D9)</f>
        <v>158</v>
      </c>
      <c r="Z18" s="757" t="str">
        <f>IF(D14="","",D14)</f>
        <v/>
      </c>
    </row>
    <row r="19" spans="6:26" x14ac:dyDescent="0.25">
      <c r="F19" s="501" t="str">
        <v>Blend Y</v>
      </c>
      <c r="G19" s="7" t="str">
        <v>Corn</v>
      </c>
      <c r="H19" s="57">
        <v>120</v>
      </c>
      <c r="K19">
        <f t="array" ref="K19">VAR(IF($G$3:$G$29=K$16,$H$3:$H$29))</f>
        <v>912.05555555555554</v>
      </c>
      <c r="L19">
        <f t="array" ref="L19">VAR(IF($G$3:$G$29=L$16,$H$3:$H$29))</f>
        <v>438.75</v>
      </c>
      <c r="M19">
        <f t="array" ref="M19">VAR(IF($G$3:$G$29=M$16,$H$3:$H$29))</f>
        <v>364.26785714285717</v>
      </c>
      <c r="N19">
        <f>VAR(H3:H29)</f>
        <v>565.46438746438628</v>
      </c>
    </row>
    <row r="20" spans="6:26" x14ac:dyDescent="0.25">
      <c r="F20" s="501" t="str">
        <v>Blend Y</v>
      </c>
      <c r="G20" s="7" t="str">
        <v>Corn</v>
      </c>
      <c r="H20" s="57">
        <v>187</v>
      </c>
    </row>
    <row r="21" spans="6:26" x14ac:dyDescent="0.25">
      <c r="F21" s="501" t="str">
        <v>Blend Y</v>
      </c>
      <c r="G21" s="7" t="str">
        <v>Corn</v>
      </c>
      <c r="H21" s="57">
        <v>184</v>
      </c>
    </row>
    <row r="22" spans="6:26" x14ac:dyDescent="0.25">
      <c r="F22" s="501" t="str">
        <v>Blend Y</v>
      </c>
      <c r="G22" s="7" t="str">
        <v>Soy</v>
      </c>
      <c r="H22" s="57">
        <v>140</v>
      </c>
    </row>
    <row r="23" spans="6:26" x14ac:dyDescent="0.25">
      <c r="F23" s="501" t="str">
        <v>Blend Y</v>
      </c>
      <c r="G23" s="7" t="str">
        <v>Soy</v>
      </c>
      <c r="H23" s="57">
        <v>145</v>
      </c>
    </row>
    <row r="24" spans="6:26" x14ac:dyDescent="0.25">
      <c r="F24" s="501" t="str">
        <v>Blend Y</v>
      </c>
      <c r="G24" s="7" t="str">
        <v>Soy</v>
      </c>
      <c r="H24" s="57">
        <v>159</v>
      </c>
    </row>
    <row r="25" spans="6:26" x14ac:dyDescent="0.25">
      <c r="F25" s="501" t="str">
        <v>Blend Y</v>
      </c>
      <c r="G25" s="7" t="str">
        <v>Soy</v>
      </c>
      <c r="H25" s="57">
        <v>131</v>
      </c>
    </row>
    <row r="26" spans="6:26" x14ac:dyDescent="0.25">
      <c r="F26" s="501" t="str">
        <v>Blend Y</v>
      </c>
      <c r="G26" s="7" t="str">
        <v>Rice</v>
      </c>
      <c r="H26" s="57">
        <v>167</v>
      </c>
    </row>
    <row r="27" spans="6:26" x14ac:dyDescent="0.25">
      <c r="F27" s="501" t="str">
        <v>Blend Y</v>
      </c>
      <c r="G27" s="7" t="str">
        <v>Rice</v>
      </c>
      <c r="H27" s="57">
        <v>183</v>
      </c>
    </row>
    <row r="28" spans="6:26" x14ac:dyDescent="0.25">
      <c r="F28" s="501" t="str">
        <v>Blend Y</v>
      </c>
      <c r="G28" s="7" t="str">
        <v>Rice</v>
      </c>
      <c r="H28" s="57">
        <v>142</v>
      </c>
    </row>
    <row r="29" spans="6:26" x14ac:dyDescent="0.25">
      <c r="F29" s="759" t="str">
        <v>Blend Y</v>
      </c>
      <c r="G29" s="760" t="str">
        <v>Rice</v>
      </c>
      <c r="H29" s="761">
        <v>167</v>
      </c>
    </row>
  </sheetData>
  <mergeCells count="1">
    <mergeCell ref="B3:D3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/>
  <dimension ref="A1:CB98"/>
  <sheetViews>
    <sheetView zoomScale="95" zoomScaleNormal="95" workbookViewId="0"/>
  </sheetViews>
  <sheetFormatPr defaultRowHeight="15" x14ac:dyDescent="0.25"/>
  <cols>
    <col min="4" max="15" width="4.42578125" customWidth="1"/>
    <col min="46" max="48" width="8.140625" customWidth="1"/>
    <col min="49" max="60" width="4.140625" customWidth="1"/>
    <col min="61" max="61" width="8.42578125" customWidth="1"/>
    <col min="62" max="64" width="6.7109375" customWidth="1"/>
    <col min="65" max="65" width="3.7109375" customWidth="1"/>
    <col min="66" max="66" width="5.7109375" customWidth="1"/>
    <col min="67" max="69" width="6.7109375" customWidth="1"/>
    <col min="70" max="70" width="3.7109375" customWidth="1"/>
    <col min="71" max="71" width="5.7109375" customWidth="1"/>
    <col min="72" max="74" width="6.7109375" customWidth="1"/>
    <col min="75" max="75" width="3.7109375" customWidth="1"/>
    <col min="76" max="76" width="5.7109375" customWidth="1"/>
    <col min="77" max="79" width="6.7109375" customWidth="1"/>
    <col min="80" max="80" width="3.7109375" customWidth="1"/>
  </cols>
  <sheetData>
    <row r="1" spans="1:80" x14ac:dyDescent="0.25">
      <c r="A1" s="1" t="s">
        <v>1704</v>
      </c>
      <c r="Q1" t="s">
        <v>1693</v>
      </c>
      <c r="V1" t="s">
        <v>27</v>
      </c>
      <c r="AB1" t="s">
        <v>1694</v>
      </c>
      <c r="AT1" t="s">
        <v>1705</v>
      </c>
      <c r="BJ1" t="s">
        <v>1693</v>
      </c>
    </row>
    <row r="3" spans="1:80" ht="15.75" thickBot="1" x14ac:dyDescent="0.3">
      <c r="A3" s="283" t="s">
        <v>620</v>
      </c>
      <c r="B3" s="284" t="s">
        <v>653</v>
      </c>
      <c r="C3" s="285" t="s">
        <v>657</v>
      </c>
      <c r="D3" s="1294" t="s">
        <v>621</v>
      </c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6"/>
      <c r="Q3" s="788" t="str">
        <f t="array" ref="Q3:T98">[1]!Anova3Cols(A4:O11)</f>
        <v>Male</v>
      </c>
      <c r="R3" s="789" t="str">
        <v>Italian</v>
      </c>
      <c r="S3" s="789" t="str">
        <v>Seated</v>
      </c>
      <c r="T3" s="790">
        <v>23</v>
      </c>
      <c r="Y3" s="13" t="s">
        <v>22</v>
      </c>
      <c r="Z3" s="13" t="s">
        <v>10</v>
      </c>
      <c r="AB3" t="s">
        <v>294</v>
      </c>
      <c r="AF3" s="778" t="s">
        <v>34</v>
      </c>
      <c r="AG3" s="778">
        <v>0.05</v>
      </c>
      <c r="AT3" s="283" t="s">
        <v>620</v>
      </c>
      <c r="AU3" s="284" t="s">
        <v>653</v>
      </c>
      <c r="AV3" s="285" t="s">
        <v>657</v>
      </c>
      <c r="AW3" s="1300" t="s">
        <v>621</v>
      </c>
      <c r="AX3" s="1301"/>
      <c r="AY3" s="1301"/>
      <c r="AZ3" s="1301"/>
      <c r="BA3" s="1301"/>
      <c r="BB3" s="1301"/>
      <c r="BC3" s="1301"/>
      <c r="BD3" s="1301"/>
      <c r="BE3" s="1301"/>
      <c r="BF3" s="1301"/>
      <c r="BG3" s="1301"/>
      <c r="BH3" s="1302"/>
      <c r="BJ3" s="788" t="s">
        <v>130</v>
      </c>
      <c r="BK3" s="789" t="s">
        <v>654</v>
      </c>
      <c r="BL3" s="789" t="s">
        <v>658</v>
      </c>
      <c r="BM3" s="790">
        <v>23</v>
      </c>
      <c r="BO3" s="501" t="s">
        <v>130</v>
      </c>
      <c r="BP3" s="7" t="s">
        <v>655</v>
      </c>
      <c r="BQ3" s="7" t="s">
        <v>658</v>
      </c>
      <c r="BR3" s="57">
        <v>16</v>
      </c>
      <c r="BT3" s="501" t="s">
        <v>108</v>
      </c>
      <c r="BU3" s="7" t="s">
        <v>654</v>
      </c>
      <c r="BV3" s="7" t="s">
        <v>658</v>
      </c>
      <c r="BW3" s="57">
        <v>19</v>
      </c>
      <c r="BY3" s="501" t="s">
        <v>108</v>
      </c>
      <c r="BZ3" s="7" t="s">
        <v>655</v>
      </c>
      <c r="CA3" s="7" t="s">
        <v>658</v>
      </c>
      <c r="CB3" s="57">
        <v>28</v>
      </c>
    </row>
    <row r="4" spans="1:80" ht="15.75" thickTop="1" x14ac:dyDescent="0.25">
      <c r="A4" s="273" t="s">
        <v>130</v>
      </c>
      <c r="B4" s="272" t="s">
        <v>654</v>
      </c>
      <c r="C4" s="8" t="s">
        <v>658</v>
      </c>
      <c r="D4" s="287">
        <v>23</v>
      </c>
      <c r="E4" s="287">
        <v>18</v>
      </c>
      <c r="F4" s="287">
        <v>26</v>
      </c>
      <c r="G4" s="287">
        <v>32</v>
      </c>
      <c r="H4" s="287">
        <v>13</v>
      </c>
      <c r="I4" s="287">
        <v>31</v>
      </c>
      <c r="J4" s="287">
        <v>26</v>
      </c>
      <c r="K4" s="287">
        <v>34</v>
      </c>
      <c r="L4" s="287">
        <v>17</v>
      </c>
      <c r="M4" s="287">
        <v>23</v>
      </c>
      <c r="N4" s="287">
        <v>28</v>
      </c>
      <c r="O4" s="288">
        <v>26</v>
      </c>
      <c r="Q4" s="501" t="str">
        <v>Male</v>
      </c>
      <c r="R4" s="7" t="str">
        <v>Italian</v>
      </c>
      <c r="S4" s="7" t="str">
        <v>Seated</v>
      </c>
      <c r="T4" s="57">
        <v>18</v>
      </c>
      <c r="V4" s="788" t="str">
        <f t="array" ref="V4:V5">[1]!SortUnique(Q3:Q98)</f>
        <v>Female</v>
      </c>
      <c r="W4" s="789"/>
      <c r="X4" s="790"/>
      <c r="Y4" s="788">
        <f>SUMIF($V$22:$V$29,V4,$Y$22:$Y$29)</f>
        <v>48</v>
      </c>
      <c r="Z4" s="790">
        <f>IF(Y4=0,"",AVERAGEIF($V$22:$V$29,V4,$Z$22:$Z$29))</f>
        <v>24.75</v>
      </c>
      <c r="AB4" s="754"/>
      <c r="AC4" s="754" t="s">
        <v>219</v>
      </c>
      <c r="AD4" s="754" t="s">
        <v>60</v>
      </c>
      <c r="AE4" s="754" t="s">
        <v>240</v>
      </c>
      <c r="AF4" s="754" t="s">
        <v>135</v>
      </c>
      <c r="AG4" s="754" t="s">
        <v>67</v>
      </c>
      <c r="AH4" s="754" t="s">
        <v>527</v>
      </c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73" t="s">
        <v>130</v>
      </c>
      <c r="AU4" s="272" t="s">
        <v>654</v>
      </c>
      <c r="AV4" s="8" t="s">
        <v>658</v>
      </c>
      <c r="AW4" s="287">
        <v>23</v>
      </c>
      <c r="AX4" s="287">
        <v>18</v>
      </c>
      <c r="AY4" s="287">
        <v>26</v>
      </c>
      <c r="AZ4" s="287">
        <v>32</v>
      </c>
      <c r="BA4" s="287">
        <v>13</v>
      </c>
      <c r="BB4" s="287">
        <v>31</v>
      </c>
      <c r="BC4" s="287">
        <v>26</v>
      </c>
      <c r="BD4" s="287">
        <v>34</v>
      </c>
      <c r="BE4" s="287">
        <v>17</v>
      </c>
      <c r="BF4" s="287">
        <v>23</v>
      </c>
      <c r="BG4" s="287">
        <v>28</v>
      </c>
      <c r="BH4" s="288">
        <v>26</v>
      </c>
      <c r="BJ4" s="501" t="s">
        <v>130</v>
      </c>
      <c r="BK4" s="7" t="s">
        <v>654</v>
      </c>
      <c r="BL4" s="7" t="s">
        <v>658</v>
      </c>
      <c r="BM4" s="57">
        <v>18</v>
      </c>
      <c r="BO4" s="501" t="s">
        <v>130</v>
      </c>
      <c r="BP4" s="7" t="s">
        <v>655</v>
      </c>
      <c r="BQ4" s="7" t="s">
        <v>658</v>
      </c>
      <c r="BR4" s="57">
        <v>31</v>
      </c>
      <c r="BT4" s="501" t="s">
        <v>108</v>
      </c>
      <c r="BU4" s="7" t="s">
        <v>654</v>
      </c>
      <c r="BV4" s="7" t="s">
        <v>658</v>
      </c>
      <c r="BW4" s="57">
        <v>28</v>
      </c>
      <c r="BY4" s="501" t="s">
        <v>108</v>
      </c>
      <c r="BZ4" s="7" t="s">
        <v>655</v>
      </c>
      <c r="CA4" s="7" t="s">
        <v>658</v>
      </c>
      <c r="CB4" s="57">
        <v>37</v>
      </c>
    </row>
    <row r="5" spans="1:80" x14ac:dyDescent="0.25">
      <c r="A5" s="273" t="s">
        <v>130</v>
      </c>
      <c r="B5" s="272" t="s">
        <v>654</v>
      </c>
      <c r="C5" s="8" t="s">
        <v>659</v>
      </c>
      <c r="D5" s="7">
        <v>24</v>
      </c>
      <c r="E5" s="7">
        <v>25</v>
      </c>
      <c r="F5" s="7">
        <v>14</v>
      </c>
      <c r="G5" s="7">
        <v>17</v>
      </c>
      <c r="H5" s="7">
        <v>30</v>
      </c>
      <c r="I5" s="7">
        <v>18</v>
      </c>
      <c r="J5" s="7">
        <v>11</v>
      </c>
      <c r="K5" s="7">
        <v>16</v>
      </c>
      <c r="L5" s="7">
        <v>25</v>
      </c>
      <c r="M5" s="7">
        <v>18</v>
      </c>
      <c r="N5" s="7">
        <v>14</v>
      </c>
      <c r="O5" s="8">
        <v>25</v>
      </c>
      <c r="Q5" s="501" t="str">
        <v>Male</v>
      </c>
      <c r="R5" s="7" t="str">
        <v>Italian</v>
      </c>
      <c r="S5" s="7" t="str">
        <v>Seated</v>
      </c>
      <c r="T5" s="57">
        <v>26</v>
      </c>
      <c r="V5" s="501" t="str">
        <v>Male</v>
      </c>
      <c r="W5" s="7"/>
      <c r="X5" s="57"/>
      <c r="Y5" s="501">
        <f>SUMIF($V$22:$V$29,V5,$Y$22:$Y$29)</f>
        <v>48</v>
      </c>
      <c r="Z5" s="57">
        <f>IF(Y5=0,"",AVERAGEIF($V$22:$V$29,V5,$Z$22:$Z$29))</f>
        <v>24.5625</v>
      </c>
      <c r="AB5" t="s">
        <v>213</v>
      </c>
      <c r="AC5">
        <f t="array" ref="AC5:AC12">[1]!SSAnova3(Q3:T98)</f>
        <v>0.84374999999727152</v>
      </c>
      <c r="AD5">
        <f>COUNT(Z4:Z5)-1</f>
        <v>1</v>
      </c>
      <c r="AE5">
        <f t="shared" ref="AE5:AE13" si="0">AC5/AD5</f>
        <v>0.84374999999727152</v>
      </c>
      <c r="AF5">
        <f>AE5/AE12</f>
        <v>1.749356998404018E-2</v>
      </c>
      <c r="AG5">
        <f>FDIST(AF5,AD5,AD12)</f>
        <v>0.89507801695336087</v>
      </c>
      <c r="AH5" s="778" t="str">
        <f>IF(AG5&lt;AG3,"yes","no")</f>
        <v>no</v>
      </c>
      <c r="AI5" s="778"/>
      <c r="AJ5" s="778"/>
      <c r="AK5" s="778"/>
      <c r="AL5" s="778"/>
      <c r="AM5" s="778"/>
      <c r="AN5" s="778"/>
      <c r="AO5" s="778"/>
      <c r="AP5" s="778"/>
      <c r="AQ5" s="778"/>
      <c r="AR5" s="778"/>
      <c r="AS5" s="778"/>
      <c r="AT5" s="273" t="s">
        <v>130</v>
      </c>
      <c r="AU5" s="272" t="s">
        <v>654</v>
      </c>
      <c r="AV5" s="8" t="s">
        <v>659</v>
      </c>
      <c r="AW5" s="7">
        <v>24</v>
      </c>
      <c r="AX5" s="7">
        <v>25</v>
      </c>
      <c r="AY5" s="7">
        <v>14</v>
      </c>
      <c r="AZ5" s="7">
        <v>17</v>
      </c>
      <c r="BA5" s="7">
        <v>30</v>
      </c>
      <c r="BB5" s="7">
        <v>18</v>
      </c>
      <c r="BC5" s="7">
        <v>11</v>
      </c>
      <c r="BD5" s="7">
        <v>16</v>
      </c>
      <c r="BE5" s="7">
        <v>25</v>
      </c>
      <c r="BF5" s="7">
        <v>18</v>
      </c>
      <c r="BG5" s="7">
        <v>14</v>
      </c>
      <c r="BH5" s="8">
        <v>25</v>
      </c>
      <c r="BJ5" s="501" t="s">
        <v>130</v>
      </c>
      <c r="BK5" s="7" t="s">
        <v>654</v>
      </c>
      <c r="BL5" s="7" t="s">
        <v>658</v>
      </c>
      <c r="BM5" s="57">
        <v>26</v>
      </c>
      <c r="BO5" s="501" t="s">
        <v>130</v>
      </c>
      <c r="BP5" s="7" t="s">
        <v>655</v>
      </c>
      <c r="BQ5" s="7" t="s">
        <v>658</v>
      </c>
      <c r="BR5" s="57">
        <v>17</v>
      </c>
      <c r="BT5" s="501" t="s">
        <v>108</v>
      </c>
      <c r="BU5" s="7" t="s">
        <v>654</v>
      </c>
      <c r="BV5" s="7" t="s">
        <v>658</v>
      </c>
      <c r="BW5" s="57">
        <v>31</v>
      </c>
      <c r="BY5" s="501" t="s">
        <v>108</v>
      </c>
      <c r="BZ5" s="7" t="s">
        <v>655</v>
      </c>
      <c r="CA5" s="7" t="s">
        <v>658</v>
      </c>
      <c r="CB5" s="57">
        <v>22</v>
      </c>
    </row>
    <row r="6" spans="1:80" x14ac:dyDescent="0.25">
      <c r="A6" s="273" t="s">
        <v>130</v>
      </c>
      <c r="B6" s="272" t="s">
        <v>655</v>
      </c>
      <c r="C6" s="8" t="s">
        <v>658</v>
      </c>
      <c r="D6" s="7">
        <v>16</v>
      </c>
      <c r="E6" s="7">
        <v>31</v>
      </c>
      <c r="F6" s="7">
        <v>17</v>
      </c>
      <c r="G6" s="7">
        <v>11</v>
      </c>
      <c r="H6" s="7">
        <v>34</v>
      </c>
      <c r="I6" s="7">
        <v>24</v>
      </c>
      <c r="J6" s="7">
        <v>24</v>
      </c>
      <c r="K6" s="7">
        <v>19</v>
      </c>
      <c r="L6" s="7">
        <v>31</v>
      </c>
      <c r="M6" s="7">
        <v>16</v>
      </c>
      <c r="N6" s="7">
        <v>11</v>
      </c>
      <c r="O6" s="8">
        <v>19</v>
      </c>
      <c r="Q6" s="501" t="str">
        <v>Male</v>
      </c>
      <c r="R6" s="7" t="str">
        <v>Italian</v>
      </c>
      <c r="S6" s="7" t="str">
        <v>Seated</v>
      </c>
      <c r="T6" s="57">
        <v>32</v>
      </c>
      <c r="V6" s="501"/>
      <c r="W6" s="7" t="str">
        <f t="array" ref="W6:W7">[1]!SortUnique(R3:R98)</f>
        <v>Foreign</v>
      </c>
      <c r="X6" s="57"/>
      <c r="Y6" s="501">
        <f>SUMIF($W$22:$W$29,W6,$Y$22:$Y$29)</f>
        <v>48</v>
      </c>
      <c r="Z6" s="57">
        <f>IF(Y6=0,"",AVERAGEIF($W$22:$W$29,W6,$Z$22:$Z$29))</f>
        <v>27.562499999999996</v>
      </c>
      <c r="AB6" t="s">
        <v>131</v>
      </c>
      <c r="AC6">
        <v>810.84375</v>
      </c>
      <c r="AD6">
        <f>COUNT(Z6:Z7)-1</f>
        <v>1</v>
      </c>
      <c r="AE6">
        <f t="shared" si="0"/>
        <v>810.84375</v>
      </c>
      <c r="AF6">
        <f>AE6/AE12</f>
        <v>16.811320754716977</v>
      </c>
      <c r="AG6">
        <f>FDIST(AF6,AD6,AD12)</f>
        <v>9.1779267270436851E-5</v>
      </c>
      <c r="AH6" s="778" t="str">
        <f>IF(AG6&lt;AG3,"yes","no")</f>
        <v>yes</v>
      </c>
      <c r="AI6" s="778"/>
      <c r="AJ6" s="778"/>
      <c r="AK6" s="778"/>
      <c r="AL6" s="778"/>
      <c r="AM6" s="778"/>
      <c r="AN6" s="778"/>
      <c r="AO6" s="778"/>
      <c r="AP6" s="778"/>
      <c r="AQ6" s="778"/>
      <c r="AR6" s="778"/>
      <c r="AS6" s="778"/>
      <c r="AT6" s="273" t="s">
        <v>130</v>
      </c>
      <c r="AU6" s="272" t="s">
        <v>655</v>
      </c>
      <c r="AV6" s="8" t="s">
        <v>658</v>
      </c>
      <c r="AW6" s="7">
        <v>16</v>
      </c>
      <c r="AX6" s="7">
        <v>31</v>
      </c>
      <c r="AY6" s="7">
        <v>17</v>
      </c>
      <c r="AZ6" s="7">
        <v>11</v>
      </c>
      <c r="BA6" s="7">
        <v>34</v>
      </c>
      <c r="BB6" s="7">
        <v>24</v>
      </c>
      <c r="BC6" s="7">
        <v>24</v>
      </c>
      <c r="BD6" s="7">
        <v>19</v>
      </c>
      <c r="BE6" s="7">
        <v>31</v>
      </c>
      <c r="BF6" s="7">
        <v>16</v>
      </c>
      <c r="BG6" s="7">
        <v>11</v>
      </c>
      <c r="BH6" s="8">
        <v>19</v>
      </c>
      <c r="BJ6" s="501" t="s">
        <v>130</v>
      </c>
      <c r="BK6" s="7" t="s">
        <v>654</v>
      </c>
      <c r="BL6" s="7" t="s">
        <v>658</v>
      </c>
      <c r="BM6" s="57">
        <v>32</v>
      </c>
      <c r="BO6" s="501" t="s">
        <v>130</v>
      </c>
      <c r="BP6" s="7" t="s">
        <v>655</v>
      </c>
      <c r="BQ6" s="7" t="s">
        <v>658</v>
      </c>
      <c r="BR6" s="57">
        <v>11</v>
      </c>
      <c r="BT6" s="501" t="s">
        <v>108</v>
      </c>
      <c r="BU6" s="7" t="s">
        <v>654</v>
      </c>
      <c r="BV6" s="7" t="s">
        <v>658</v>
      </c>
      <c r="BW6" s="57">
        <v>23</v>
      </c>
      <c r="BY6" s="501" t="s">
        <v>108</v>
      </c>
      <c r="BZ6" s="7" t="s">
        <v>655</v>
      </c>
      <c r="CA6" s="7" t="s">
        <v>658</v>
      </c>
      <c r="CB6" s="57">
        <v>44</v>
      </c>
    </row>
    <row r="7" spans="1:80" x14ac:dyDescent="0.25">
      <c r="A7" s="273" t="s">
        <v>130</v>
      </c>
      <c r="B7" s="272" t="s">
        <v>655</v>
      </c>
      <c r="C7" s="8" t="s">
        <v>659</v>
      </c>
      <c r="D7" s="7">
        <v>31</v>
      </c>
      <c r="E7" s="7">
        <v>29</v>
      </c>
      <c r="F7" s="7">
        <v>40</v>
      </c>
      <c r="G7" s="7">
        <v>31</v>
      </c>
      <c r="H7" s="7">
        <v>35</v>
      </c>
      <c r="I7" s="7">
        <v>25</v>
      </c>
      <c r="J7" s="7">
        <v>18</v>
      </c>
      <c r="K7" s="7">
        <v>29</v>
      </c>
      <c r="L7" s="7">
        <v>36</v>
      </c>
      <c r="M7" s="7">
        <v>42</v>
      </c>
      <c r="N7" s="7">
        <v>40</v>
      </c>
      <c r="O7" s="8">
        <v>36</v>
      </c>
      <c r="Q7" s="501" t="str">
        <v>Male</v>
      </c>
      <c r="R7" s="7" t="str">
        <v>Italian</v>
      </c>
      <c r="S7" s="7" t="str">
        <v>Seated</v>
      </c>
      <c r="T7" s="57">
        <v>13</v>
      </c>
      <c r="V7" s="501"/>
      <c r="W7" s="7" t="str">
        <v>Italian</v>
      </c>
      <c r="X7" s="57"/>
      <c r="Y7" s="501">
        <f>SUMIF($W$22:$W$29,W7,$Y$22:$Y$29)</f>
        <v>48</v>
      </c>
      <c r="Z7" s="57">
        <f>IF(Y7=0,"",AVERAGEIF($W$22:$W$29,W7,$Z$22:$Z$29))</f>
        <v>21.75</v>
      </c>
      <c r="AB7" t="s">
        <v>132</v>
      </c>
      <c r="AC7">
        <v>25.01041666666606</v>
      </c>
      <c r="AD7">
        <f>COUNT(Z8:Z9)-1</f>
        <v>1</v>
      </c>
      <c r="AE7">
        <f t="shared" si="0"/>
        <v>25.01041666666606</v>
      </c>
      <c r="AF7">
        <f>AE7/AE12</f>
        <v>0.51854396952858361</v>
      </c>
      <c r="AG7">
        <f>FDIST(AF7,AD7,AD12)</f>
        <v>0.47337178271107583</v>
      </c>
      <c r="AH7" s="778" t="str">
        <f>IF(AG7&lt;AG3,"yes","no")</f>
        <v>no</v>
      </c>
      <c r="AI7" s="778"/>
      <c r="AJ7" s="778"/>
      <c r="AK7" s="778"/>
      <c r="AL7" s="778"/>
      <c r="AM7" s="778"/>
      <c r="AN7" s="778"/>
      <c r="AO7" s="778"/>
      <c r="AP7" s="778"/>
      <c r="AQ7" s="778"/>
      <c r="AR7" s="778"/>
      <c r="AS7" s="778"/>
      <c r="AT7" s="273" t="s">
        <v>130</v>
      </c>
      <c r="AU7" s="272" t="s">
        <v>655</v>
      </c>
      <c r="AV7" s="8" t="s">
        <v>659</v>
      </c>
      <c r="AW7" s="7">
        <v>31</v>
      </c>
      <c r="AX7" s="7">
        <v>29</v>
      </c>
      <c r="AY7" s="7">
        <v>40</v>
      </c>
      <c r="AZ7" s="7">
        <v>31</v>
      </c>
      <c r="BA7" s="7">
        <v>35</v>
      </c>
      <c r="BB7" s="7">
        <v>25</v>
      </c>
      <c r="BC7" s="7">
        <v>18</v>
      </c>
      <c r="BD7" s="7">
        <v>29</v>
      </c>
      <c r="BE7" s="7">
        <v>36</v>
      </c>
      <c r="BF7" s="7">
        <v>42</v>
      </c>
      <c r="BG7" s="7">
        <v>40</v>
      </c>
      <c r="BH7" s="8">
        <v>36</v>
      </c>
      <c r="BJ7" s="501" t="s">
        <v>130</v>
      </c>
      <c r="BK7" s="7" t="s">
        <v>654</v>
      </c>
      <c r="BL7" s="7" t="s">
        <v>658</v>
      </c>
      <c r="BM7" s="57">
        <v>13</v>
      </c>
      <c r="BO7" s="501" t="s">
        <v>130</v>
      </c>
      <c r="BP7" s="7" t="s">
        <v>655</v>
      </c>
      <c r="BQ7" s="7" t="s">
        <v>658</v>
      </c>
      <c r="BR7" s="57">
        <v>34</v>
      </c>
      <c r="BT7" s="501" t="s">
        <v>108</v>
      </c>
      <c r="BU7" s="7" t="s">
        <v>654</v>
      </c>
      <c r="BV7" s="7" t="s">
        <v>658</v>
      </c>
      <c r="BW7" s="57">
        <v>19</v>
      </c>
      <c r="BY7" s="501" t="s">
        <v>108</v>
      </c>
      <c r="BZ7" s="7" t="s">
        <v>655</v>
      </c>
      <c r="CA7" s="7" t="s">
        <v>658</v>
      </c>
      <c r="CB7" s="57">
        <v>37</v>
      </c>
    </row>
    <row r="8" spans="1:80" x14ac:dyDescent="0.25">
      <c r="A8" s="273" t="s">
        <v>108</v>
      </c>
      <c r="B8" s="272" t="s">
        <v>654</v>
      </c>
      <c r="C8" s="8" t="s">
        <v>658</v>
      </c>
      <c r="D8" s="7">
        <v>19</v>
      </c>
      <c r="E8" s="7">
        <v>28</v>
      </c>
      <c r="F8" s="7">
        <v>31</v>
      </c>
      <c r="G8" s="7">
        <v>23</v>
      </c>
      <c r="H8" s="7">
        <v>19</v>
      </c>
      <c r="I8" s="7">
        <v>14</v>
      </c>
      <c r="J8" s="7">
        <v>4</v>
      </c>
      <c r="K8" s="7">
        <v>29</v>
      </c>
      <c r="L8" s="7">
        <v>18</v>
      </c>
      <c r="M8" s="7">
        <v>22</v>
      </c>
      <c r="N8" s="7">
        <v>18</v>
      </c>
      <c r="O8" s="8">
        <v>24</v>
      </c>
      <c r="Q8" s="501" t="str">
        <v>Male</v>
      </c>
      <c r="R8" s="7" t="str">
        <v>Italian</v>
      </c>
      <c r="S8" s="7" t="str">
        <v>Seated</v>
      </c>
      <c r="T8" s="57">
        <v>31</v>
      </c>
      <c r="V8" s="501"/>
      <c r="W8" s="7"/>
      <c r="X8" s="57" t="str">
        <f t="array" ref="X8:X9">[1]!SortUnique(S3:S98)</f>
        <v>Prone</v>
      </c>
      <c r="Y8" s="501">
        <f>SUMIF($X$22:$X$29,X8,$Y$22:$Y$29)</f>
        <v>48</v>
      </c>
      <c r="Z8" s="57">
        <f>IF(Y8=0,"",AVERAGEIF($X$22:$X$29,X8,$Z$22:$Z$29))</f>
        <v>24.145833333333336</v>
      </c>
      <c r="AB8" t="s">
        <v>622</v>
      </c>
      <c r="AC8">
        <v>33.843749999995453</v>
      </c>
      <c r="AD8">
        <f>AD6*AD5</f>
        <v>1</v>
      </c>
      <c r="AE8">
        <f t="shared" si="0"/>
        <v>33.843749999995453</v>
      </c>
      <c r="AF8">
        <f>AE8/AE12</f>
        <v>0.70168652936200859</v>
      </c>
      <c r="AG8">
        <f>FDIST(AF8,AD8,AD12)</f>
        <v>0.40448689763878154</v>
      </c>
      <c r="AH8" s="778" t="str">
        <f>IF(AG8&lt;AG3,"yes","no")</f>
        <v>no</v>
      </c>
      <c r="AI8" s="778"/>
      <c r="AJ8" s="778"/>
      <c r="AK8" s="778"/>
      <c r="AL8" s="778"/>
      <c r="AM8" s="778"/>
      <c r="AN8" s="778"/>
      <c r="AO8" s="778"/>
      <c r="AP8" s="778"/>
      <c r="AQ8" s="778"/>
      <c r="AR8" s="778"/>
      <c r="AS8" s="778"/>
      <c r="AT8" s="273" t="s">
        <v>108</v>
      </c>
      <c r="AU8" s="272" t="s">
        <v>654</v>
      </c>
      <c r="AV8" s="8" t="s">
        <v>658</v>
      </c>
      <c r="AW8" s="7">
        <v>19</v>
      </c>
      <c r="AX8" s="7">
        <v>28</v>
      </c>
      <c r="AY8" s="7">
        <v>31</v>
      </c>
      <c r="AZ8" s="7">
        <v>23</v>
      </c>
      <c r="BA8" s="7">
        <v>19</v>
      </c>
      <c r="BB8" s="7">
        <v>14</v>
      </c>
      <c r="BC8" s="7">
        <v>4</v>
      </c>
      <c r="BD8" s="7">
        <v>29</v>
      </c>
      <c r="BE8" s="7">
        <v>18</v>
      </c>
      <c r="BF8" s="7">
        <v>22</v>
      </c>
      <c r="BG8" s="7">
        <v>18</v>
      </c>
      <c r="BH8" s="8">
        <v>24</v>
      </c>
      <c r="BJ8" s="501" t="s">
        <v>130</v>
      </c>
      <c r="BK8" s="7" t="s">
        <v>654</v>
      </c>
      <c r="BL8" s="7" t="s">
        <v>658</v>
      </c>
      <c r="BM8" s="57">
        <v>31</v>
      </c>
      <c r="BO8" s="501" t="s">
        <v>130</v>
      </c>
      <c r="BP8" s="7" t="s">
        <v>655</v>
      </c>
      <c r="BQ8" s="7" t="s">
        <v>658</v>
      </c>
      <c r="BR8" s="57">
        <v>24</v>
      </c>
      <c r="BT8" s="501" t="s">
        <v>108</v>
      </c>
      <c r="BU8" s="7" t="s">
        <v>654</v>
      </c>
      <c r="BV8" s="7" t="s">
        <v>658</v>
      </c>
      <c r="BW8" s="57">
        <v>14</v>
      </c>
      <c r="BY8" s="501" t="s">
        <v>108</v>
      </c>
      <c r="BZ8" s="7" t="s">
        <v>655</v>
      </c>
      <c r="CA8" s="7" t="s">
        <v>658</v>
      </c>
      <c r="CB8" s="57">
        <v>42</v>
      </c>
    </row>
    <row r="9" spans="1:80" x14ac:dyDescent="0.25">
      <c r="A9" s="273" t="s">
        <v>108</v>
      </c>
      <c r="B9" s="272" t="s">
        <v>654</v>
      </c>
      <c r="C9" s="8" t="s">
        <v>659</v>
      </c>
      <c r="D9" s="7">
        <v>29</v>
      </c>
      <c r="E9" s="7">
        <v>25</v>
      </c>
      <c r="F9" s="7">
        <v>17</v>
      </c>
      <c r="G9" s="7">
        <v>12</v>
      </c>
      <c r="H9" s="7">
        <v>26</v>
      </c>
      <c r="I9" s="7">
        <v>35</v>
      </c>
      <c r="J9" s="7">
        <v>10</v>
      </c>
      <c r="K9" s="7">
        <v>23</v>
      </c>
      <c r="L9" s="7">
        <v>26</v>
      </c>
      <c r="M9" s="7">
        <v>18</v>
      </c>
      <c r="N9" s="7">
        <v>24</v>
      </c>
      <c r="O9" s="8">
        <v>16</v>
      </c>
      <c r="Q9" s="501" t="str">
        <v>Male</v>
      </c>
      <c r="R9" s="7" t="str">
        <v>Italian</v>
      </c>
      <c r="S9" s="7" t="str">
        <v>Seated</v>
      </c>
      <c r="T9" s="57">
        <v>26</v>
      </c>
      <c r="V9" s="759"/>
      <c r="W9" s="760"/>
      <c r="X9" s="761" t="str">
        <v>Seated</v>
      </c>
      <c r="Y9" s="759">
        <f>SUMIF($X$22:$X$29,X9,$Y$22:$Y$29)</f>
        <v>48</v>
      </c>
      <c r="Z9" s="761">
        <f>IF(Y9=0,"",AVERAGEIF($X$22:$X$29,X9,$Z$22:$Z$29))</f>
        <v>25.166666666666668</v>
      </c>
      <c r="AB9" t="s">
        <v>624</v>
      </c>
      <c r="AC9">
        <v>446.34374999999818</v>
      </c>
      <c r="AD9">
        <f>AD7*AD5</f>
        <v>1</v>
      </c>
      <c r="AE9">
        <f t="shared" si="0"/>
        <v>446.34374999999818</v>
      </c>
      <c r="AF9">
        <f>AE9/AE12</f>
        <v>9.2540985215871423</v>
      </c>
      <c r="AG9">
        <f>FDIST(AF9,AD8,AD12)</f>
        <v>3.0965102604329033E-3</v>
      </c>
      <c r="AH9" s="778" t="str">
        <f>IF(AG9&lt;AG3,"yes","no")</f>
        <v>yes</v>
      </c>
      <c r="AI9" s="778"/>
      <c r="AJ9" s="778"/>
      <c r="AK9" s="778"/>
      <c r="AL9" s="778"/>
      <c r="AM9" s="778"/>
      <c r="AN9" s="778"/>
      <c r="AO9" s="778"/>
      <c r="AP9" s="778"/>
      <c r="AQ9" s="778"/>
      <c r="AR9" s="778"/>
      <c r="AS9" s="778"/>
      <c r="AT9" s="273" t="s">
        <v>108</v>
      </c>
      <c r="AU9" s="272" t="s">
        <v>654</v>
      </c>
      <c r="AV9" s="8" t="s">
        <v>659</v>
      </c>
      <c r="AW9" s="7">
        <v>29</v>
      </c>
      <c r="AX9" s="7">
        <v>25</v>
      </c>
      <c r="AY9" s="7">
        <v>17</v>
      </c>
      <c r="AZ9" s="7">
        <v>12</v>
      </c>
      <c r="BA9" s="7">
        <v>26</v>
      </c>
      <c r="BB9" s="7">
        <v>35</v>
      </c>
      <c r="BC9" s="7">
        <v>10</v>
      </c>
      <c r="BD9" s="7">
        <v>23</v>
      </c>
      <c r="BE9" s="7">
        <v>26</v>
      </c>
      <c r="BF9" s="7">
        <v>18</v>
      </c>
      <c r="BG9" s="7">
        <v>24</v>
      </c>
      <c r="BH9" s="8">
        <v>16</v>
      </c>
      <c r="BJ9" s="501" t="s">
        <v>130</v>
      </c>
      <c r="BK9" s="7" t="s">
        <v>654</v>
      </c>
      <c r="BL9" s="7" t="s">
        <v>658</v>
      </c>
      <c r="BM9" s="57">
        <v>26</v>
      </c>
      <c r="BO9" s="501" t="s">
        <v>130</v>
      </c>
      <c r="BP9" s="7" t="s">
        <v>655</v>
      </c>
      <c r="BQ9" s="7" t="s">
        <v>658</v>
      </c>
      <c r="BR9" s="57">
        <v>24</v>
      </c>
      <c r="BT9" s="501" t="s">
        <v>108</v>
      </c>
      <c r="BU9" s="7" t="s">
        <v>654</v>
      </c>
      <c r="BV9" s="7" t="s">
        <v>658</v>
      </c>
      <c r="BW9" s="57">
        <v>4</v>
      </c>
      <c r="BY9" s="501" t="s">
        <v>108</v>
      </c>
      <c r="BZ9" s="7" t="s">
        <v>655</v>
      </c>
      <c r="CA9" s="7" t="s">
        <v>658</v>
      </c>
      <c r="CB9" s="57">
        <v>30</v>
      </c>
    </row>
    <row r="10" spans="1:80" x14ac:dyDescent="0.25">
      <c r="A10" s="273" t="s">
        <v>108</v>
      </c>
      <c r="B10" s="272" t="s">
        <v>655</v>
      </c>
      <c r="C10" s="8" t="s">
        <v>658</v>
      </c>
      <c r="D10" s="7">
        <v>28</v>
      </c>
      <c r="E10" s="7">
        <v>37</v>
      </c>
      <c r="F10" s="7">
        <v>22</v>
      </c>
      <c r="G10" s="7">
        <v>44</v>
      </c>
      <c r="H10" s="7">
        <v>37</v>
      </c>
      <c r="I10" s="7">
        <v>42</v>
      </c>
      <c r="J10" s="7">
        <v>30</v>
      </c>
      <c r="K10" s="7">
        <v>37</v>
      </c>
      <c r="L10" s="7">
        <v>25</v>
      </c>
      <c r="M10" s="7">
        <v>38</v>
      </c>
      <c r="N10" s="7">
        <v>41</v>
      </c>
      <c r="O10" s="8">
        <v>28</v>
      </c>
      <c r="Q10" s="501" t="str">
        <v>Male</v>
      </c>
      <c r="R10" s="7" t="str">
        <v>Italian</v>
      </c>
      <c r="S10" s="7" t="str">
        <v>Seated</v>
      </c>
      <c r="T10" s="57">
        <v>34</v>
      </c>
      <c r="V10" s="788" t="str">
        <f>$V$4</f>
        <v>Female</v>
      </c>
      <c r="W10" s="789" t="str">
        <f>$W6</f>
        <v>Foreign</v>
      </c>
      <c r="X10" s="790"/>
      <c r="Y10" s="788">
        <f>SUMIFS($Y$22:$Y$29,$V$22:$V$29,V10,$W$22:$W$29,W10)</f>
        <v>24</v>
      </c>
      <c r="Z10" s="790">
        <f>IF(Y10=0,"",AVERAGEIFS($Z$22:$Z$29,$V$22:$V$29,V10,$W$22:$W$29,W10))</f>
        <v>28.25</v>
      </c>
      <c r="AB10" t="s">
        <v>626</v>
      </c>
      <c r="AC10">
        <v>23.01041666666606</v>
      </c>
      <c r="AD10">
        <f>AD7*AD6</f>
        <v>1</v>
      </c>
      <c r="AE10">
        <f t="shared" si="0"/>
        <v>23.01041666666606</v>
      </c>
      <c r="AF10">
        <f>AE10/AE12</f>
        <v>0.47707772956628025</v>
      </c>
      <c r="AG10">
        <f>FDIST(AF10,AD10,AD12)</f>
        <v>0.49156686051231357</v>
      </c>
      <c r="AH10" s="778" t="str">
        <f>IF(AG10&lt;AG3,"yes","no")</f>
        <v>no</v>
      </c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273" t="s">
        <v>108</v>
      </c>
      <c r="AU10" s="272" t="s">
        <v>655</v>
      </c>
      <c r="AV10" s="8" t="s">
        <v>658</v>
      </c>
      <c r="AW10" s="7">
        <v>28</v>
      </c>
      <c r="AX10" s="7">
        <v>37</v>
      </c>
      <c r="AY10" s="7">
        <v>22</v>
      </c>
      <c r="AZ10" s="7">
        <v>44</v>
      </c>
      <c r="BA10" s="7">
        <v>37</v>
      </c>
      <c r="BB10" s="7">
        <v>42</v>
      </c>
      <c r="BC10" s="7">
        <v>30</v>
      </c>
      <c r="BD10" s="7">
        <v>37</v>
      </c>
      <c r="BE10" s="7">
        <v>25</v>
      </c>
      <c r="BF10" s="7">
        <v>38</v>
      </c>
      <c r="BG10" s="7">
        <v>41</v>
      </c>
      <c r="BH10" s="8">
        <v>28</v>
      </c>
      <c r="BJ10" s="501" t="s">
        <v>130</v>
      </c>
      <c r="BK10" s="7" t="s">
        <v>654</v>
      </c>
      <c r="BL10" s="7" t="s">
        <v>658</v>
      </c>
      <c r="BM10" s="57">
        <v>34</v>
      </c>
      <c r="BO10" s="501" t="s">
        <v>130</v>
      </c>
      <c r="BP10" s="7" t="s">
        <v>655</v>
      </c>
      <c r="BQ10" s="7" t="s">
        <v>658</v>
      </c>
      <c r="BR10" s="57">
        <v>19</v>
      </c>
      <c r="BT10" s="501" t="s">
        <v>108</v>
      </c>
      <c r="BU10" s="7" t="s">
        <v>654</v>
      </c>
      <c r="BV10" s="7" t="s">
        <v>658</v>
      </c>
      <c r="BW10" s="57">
        <v>29</v>
      </c>
      <c r="BY10" s="501" t="s">
        <v>108</v>
      </c>
      <c r="BZ10" s="7" t="s">
        <v>655</v>
      </c>
      <c r="CA10" s="7" t="s">
        <v>658</v>
      </c>
      <c r="CB10" s="57">
        <v>37</v>
      </c>
    </row>
    <row r="11" spans="1:80" x14ac:dyDescent="0.25">
      <c r="A11" s="9" t="s">
        <v>108</v>
      </c>
      <c r="B11" s="168" t="s">
        <v>655</v>
      </c>
      <c r="C11" s="11" t="s">
        <v>659</v>
      </c>
      <c r="D11" s="10">
        <v>35</v>
      </c>
      <c r="E11" s="10">
        <v>23</v>
      </c>
      <c r="F11" s="10">
        <v>24</v>
      </c>
      <c r="G11" s="10">
        <v>11</v>
      </c>
      <c r="H11" s="10">
        <v>23</v>
      </c>
      <c r="I11" s="10">
        <v>30</v>
      </c>
      <c r="J11" s="10">
        <v>26</v>
      </c>
      <c r="K11" s="10">
        <v>16</v>
      </c>
      <c r="L11" s="10">
        <v>23</v>
      </c>
      <c r="M11" s="10">
        <v>14</v>
      </c>
      <c r="N11" s="10">
        <v>19</v>
      </c>
      <c r="O11" s="11">
        <v>25</v>
      </c>
      <c r="Q11" s="501" t="str">
        <v>Male</v>
      </c>
      <c r="R11" s="7" t="str">
        <v>Italian</v>
      </c>
      <c r="S11" s="7" t="str">
        <v>Seated</v>
      </c>
      <c r="T11" s="57">
        <v>17</v>
      </c>
      <c r="V11" s="501" t="str">
        <f>$V$4</f>
        <v>Female</v>
      </c>
      <c r="W11" s="7" t="str">
        <f>$W7</f>
        <v>Italian</v>
      </c>
      <c r="X11" s="57"/>
      <c r="Y11" s="501">
        <f>SUMIFS($Y$22:$Y$29,$V$22:$V$29,V11,$W$22:$W$29,W11)</f>
        <v>24</v>
      </c>
      <c r="Z11" s="57">
        <f>IF(Y11=0,"",AVERAGEIFS($Z$22:$Z$29,$V$22:$V$29,V11,$W$22:$W$29,W11))</f>
        <v>21.25</v>
      </c>
      <c r="AB11" t="s">
        <v>628</v>
      </c>
      <c r="AC11">
        <v>1283.3437499999982</v>
      </c>
      <c r="AD11">
        <f>AD7*AD6*AD5</f>
        <v>1</v>
      </c>
      <c r="AE11">
        <f t="shared" si="0"/>
        <v>1283.3437499999982</v>
      </c>
      <c r="AF11">
        <f>AE11/AE12</f>
        <v>26.607719945811116</v>
      </c>
      <c r="AG11">
        <f>FDIST(AF11,AD11,AD12)</f>
        <v>1.522873244778166E-6</v>
      </c>
      <c r="AH11" s="778" t="str">
        <f>IF(AG11&lt;AG3,"yes","no")</f>
        <v>yes</v>
      </c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9" t="s">
        <v>108</v>
      </c>
      <c r="AU11" s="168" t="s">
        <v>655</v>
      </c>
      <c r="AV11" s="11" t="s">
        <v>659</v>
      </c>
      <c r="AW11" s="10">
        <v>35</v>
      </c>
      <c r="AX11" s="10">
        <v>23</v>
      </c>
      <c r="AY11" s="10">
        <v>24</v>
      </c>
      <c r="AZ11" s="10">
        <v>11</v>
      </c>
      <c r="BA11" s="10">
        <v>23</v>
      </c>
      <c r="BB11" s="10">
        <v>30</v>
      </c>
      <c r="BC11" s="10">
        <v>26</v>
      </c>
      <c r="BD11" s="10">
        <v>16</v>
      </c>
      <c r="BE11" s="10">
        <v>23</v>
      </c>
      <c r="BF11" s="10">
        <v>14</v>
      </c>
      <c r="BG11" s="10">
        <v>19</v>
      </c>
      <c r="BH11" s="11">
        <v>25</v>
      </c>
      <c r="BJ11" s="501" t="s">
        <v>130</v>
      </c>
      <c r="BK11" s="7" t="s">
        <v>654</v>
      </c>
      <c r="BL11" s="7" t="s">
        <v>658</v>
      </c>
      <c r="BM11" s="57">
        <v>17</v>
      </c>
      <c r="BO11" s="501" t="s">
        <v>130</v>
      </c>
      <c r="BP11" s="7" t="s">
        <v>655</v>
      </c>
      <c r="BQ11" s="7" t="s">
        <v>658</v>
      </c>
      <c r="BR11" s="57">
        <v>31</v>
      </c>
      <c r="BT11" s="501" t="s">
        <v>108</v>
      </c>
      <c r="BU11" s="7" t="s">
        <v>654</v>
      </c>
      <c r="BV11" s="7" t="s">
        <v>658</v>
      </c>
      <c r="BW11" s="57">
        <v>18</v>
      </c>
      <c r="BY11" s="501" t="s">
        <v>108</v>
      </c>
      <c r="BZ11" s="7" t="s">
        <v>655</v>
      </c>
      <c r="CA11" s="7" t="s">
        <v>658</v>
      </c>
      <c r="CB11" s="57">
        <v>25</v>
      </c>
    </row>
    <row r="12" spans="1:80" x14ac:dyDescent="0.25">
      <c r="Q12" s="501" t="str">
        <v>Male</v>
      </c>
      <c r="R12" s="7" t="str">
        <v>Italian</v>
      </c>
      <c r="S12" s="7" t="str">
        <v>Seated</v>
      </c>
      <c r="T12" s="57">
        <v>23</v>
      </c>
      <c r="V12" s="501" t="str">
        <f>$V$5</f>
        <v>Male</v>
      </c>
      <c r="W12" s="7" t="str">
        <f>$W6</f>
        <v>Foreign</v>
      </c>
      <c r="X12" s="57"/>
      <c r="Y12" s="501">
        <f>SUMIFS($Y$22:$Y$29,$V$22:$V$29,V12,$W$22:$W$29,W12)</f>
        <v>24</v>
      </c>
      <c r="Z12" s="57">
        <f>IF(Y12=0,"",AVERAGEIFS($Z$22:$Z$29,$V$22:$V$29,V12,$W$22:$W$29,W12))</f>
        <v>26.875</v>
      </c>
      <c r="AB12" t="s">
        <v>600</v>
      </c>
      <c r="AC12">
        <v>4244.4166666666679</v>
      </c>
      <c r="AD12">
        <f>Y30-(AD5+1)*(AD6+1)*(AD7+1)</f>
        <v>88</v>
      </c>
      <c r="AE12">
        <f t="shared" si="0"/>
        <v>48.232007575757592</v>
      </c>
      <c r="BJ12" s="501" t="s">
        <v>130</v>
      </c>
      <c r="BK12" s="7" t="s">
        <v>654</v>
      </c>
      <c r="BL12" s="7" t="s">
        <v>658</v>
      </c>
      <c r="BM12" s="57">
        <v>23</v>
      </c>
      <c r="BO12" s="501" t="s">
        <v>130</v>
      </c>
      <c r="BP12" s="7" t="s">
        <v>655</v>
      </c>
      <c r="BQ12" s="7" t="s">
        <v>658</v>
      </c>
      <c r="BR12" s="57">
        <v>16</v>
      </c>
      <c r="BT12" s="501" t="s">
        <v>108</v>
      </c>
      <c r="BU12" s="7" t="s">
        <v>654</v>
      </c>
      <c r="BV12" s="7" t="s">
        <v>658</v>
      </c>
      <c r="BW12" s="57">
        <v>22</v>
      </c>
      <c r="BY12" s="501" t="s">
        <v>108</v>
      </c>
      <c r="BZ12" s="7" t="s">
        <v>655</v>
      </c>
      <c r="CA12" s="7" t="s">
        <v>658</v>
      </c>
      <c r="CB12" s="57">
        <v>38</v>
      </c>
    </row>
    <row r="13" spans="1:80" x14ac:dyDescent="0.25">
      <c r="Q13" s="501" t="str">
        <v>Male</v>
      </c>
      <c r="R13" s="7" t="str">
        <v>Italian</v>
      </c>
      <c r="S13" s="7" t="str">
        <v>Seated</v>
      </c>
      <c r="T13" s="57">
        <v>28</v>
      </c>
      <c r="V13" s="759" t="str">
        <f>$V$5</f>
        <v>Male</v>
      </c>
      <c r="W13" s="760" t="str">
        <f>$W7</f>
        <v>Italian</v>
      </c>
      <c r="X13" s="761"/>
      <c r="Y13" s="759">
        <f>SUMIFS($Y$22:$Y$29,$V$22:$V$29,V13,$W$22:$W$29,W13)</f>
        <v>24</v>
      </c>
      <c r="Z13" s="761">
        <f>IF(Y13=0,"",AVERAGEIFS($Z$22:$Z$29,$V$22:$V$29,V13,$W$22:$W$29,W13))</f>
        <v>22.25</v>
      </c>
      <c r="AB13" s="762" t="s">
        <v>1</v>
      </c>
      <c r="AC13" s="762">
        <f>Z31</f>
        <v>6867.65625</v>
      </c>
      <c r="AD13" s="762">
        <f>Y30-1</f>
        <v>95</v>
      </c>
      <c r="AE13" s="762">
        <f t="shared" si="0"/>
        <v>72.29111842105263</v>
      </c>
      <c r="AF13" s="762"/>
      <c r="AG13" s="762"/>
      <c r="AH13" s="762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BJ13" s="501" t="s">
        <v>130</v>
      </c>
      <c r="BK13" s="7" t="s">
        <v>654</v>
      </c>
      <c r="BL13" s="7" t="s">
        <v>658</v>
      </c>
      <c r="BM13" s="57">
        <v>28</v>
      </c>
      <c r="BO13" s="501" t="s">
        <v>130</v>
      </c>
      <c r="BP13" s="7" t="s">
        <v>655</v>
      </c>
      <c r="BQ13" s="7" t="s">
        <v>658</v>
      </c>
      <c r="BR13" s="57">
        <v>11</v>
      </c>
      <c r="BT13" s="501" t="s">
        <v>108</v>
      </c>
      <c r="BU13" s="7" t="s">
        <v>654</v>
      </c>
      <c r="BV13" s="7" t="s">
        <v>658</v>
      </c>
      <c r="BW13" s="57">
        <v>18</v>
      </c>
      <c r="BY13" s="501" t="s">
        <v>108</v>
      </c>
      <c r="BZ13" s="7" t="s">
        <v>655</v>
      </c>
      <c r="CA13" s="7" t="s">
        <v>658</v>
      </c>
      <c r="CB13" s="57">
        <v>41</v>
      </c>
    </row>
    <row r="14" spans="1:80" x14ac:dyDescent="0.25">
      <c r="Q14" s="501" t="str">
        <v>Male</v>
      </c>
      <c r="R14" s="7" t="str">
        <v>Italian</v>
      </c>
      <c r="S14" s="7" t="str">
        <v>Seated</v>
      </c>
      <c r="T14" s="57">
        <v>26</v>
      </c>
      <c r="V14" s="788" t="str">
        <f>$V$4</f>
        <v>Female</v>
      </c>
      <c r="W14" s="789"/>
      <c r="X14" s="790" t="str">
        <f>$X8</f>
        <v>Prone</v>
      </c>
      <c r="Y14" s="788">
        <f>SUMIFS($Y$22:$Y$29,$V$22:$V$29,V14,$X$22:$X$29,X14)</f>
        <v>24</v>
      </c>
      <c r="Z14" s="790">
        <f>IF(Y14=0,"",AVERAGEIFS($Z$22:$Z$29,$V$22:$V$29,V14,$X$22:$X$29,X14))</f>
        <v>22.083333333333336</v>
      </c>
      <c r="BJ14" s="501" t="s">
        <v>130</v>
      </c>
      <c r="BK14" s="7" t="s">
        <v>654</v>
      </c>
      <c r="BL14" s="7" t="s">
        <v>658</v>
      </c>
      <c r="BM14" s="57">
        <v>26</v>
      </c>
      <c r="BO14" s="501" t="s">
        <v>130</v>
      </c>
      <c r="BP14" s="7" t="s">
        <v>655</v>
      </c>
      <c r="BQ14" s="7" t="s">
        <v>658</v>
      </c>
      <c r="BR14" s="57">
        <v>19</v>
      </c>
      <c r="BT14" s="501" t="s">
        <v>108</v>
      </c>
      <c r="BU14" s="7" t="s">
        <v>654</v>
      </c>
      <c r="BV14" s="7" t="s">
        <v>658</v>
      </c>
      <c r="BW14" s="57">
        <v>24</v>
      </c>
      <c r="BY14" s="501" t="s">
        <v>108</v>
      </c>
      <c r="BZ14" s="7" t="s">
        <v>655</v>
      </c>
      <c r="CA14" s="7" t="s">
        <v>658</v>
      </c>
      <c r="CB14" s="57">
        <v>28</v>
      </c>
    </row>
    <row r="15" spans="1:80" x14ac:dyDescent="0.25">
      <c r="Q15" s="501" t="str">
        <v>Male</v>
      </c>
      <c r="R15" s="7" t="str">
        <v>Italian</v>
      </c>
      <c r="S15" s="7" t="str">
        <v>Prone</v>
      </c>
      <c r="T15" s="57">
        <v>24</v>
      </c>
      <c r="V15" s="501" t="str">
        <f>$V$4</f>
        <v>Female</v>
      </c>
      <c r="W15" s="7"/>
      <c r="X15" s="57" t="str">
        <f>$X9</f>
        <v>Seated</v>
      </c>
      <c r="Y15" s="501">
        <f>SUMIFS($Y$22:$Y$29,$V$22:$V$29,V15,$X$22:$X$29,X15)</f>
        <v>24</v>
      </c>
      <c r="Z15" s="57">
        <f>IF(Y15=0,"",AVERAGEIFS($Z$22:$Z$29,$V$22:$V$29,V15,$X$22:$X$29,X15))</f>
        <v>27.416666666666668</v>
      </c>
      <c r="BJ15" s="501" t="s">
        <v>130</v>
      </c>
      <c r="BK15" s="7" t="s">
        <v>654</v>
      </c>
      <c r="BL15" s="7" t="s">
        <v>659</v>
      </c>
      <c r="BM15" s="57">
        <v>24</v>
      </c>
      <c r="BO15" s="501" t="s">
        <v>130</v>
      </c>
      <c r="BP15" s="7" t="s">
        <v>655</v>
      </c>
      <c r="BQ15" s="7" t="s">
        <v>659</v>
      </c>
      <c r="BR15" s="57">
        <v>31</v>
      </c>
      <c r="BT15" s="501" t="s">
        <v>108</v>
      </c>
      <c r="BU15" s="7" t="s">
        <v>654</v>
      </c>
      <c r="BV15" s="7" t="s">
        <v>659</v>
      </c>
      <c r="BW15" s="57">
        <v>29</v>
      </c>
      <c r="BY15" s="501" t="s">
        <v>108</v>
      </c>
      <c r="BZ15" s="7" t="s">
        <v>655</v>
      </c>
      <c r="CA15" s="7" t="s">
        <v>659</v>
      </c>
      <c r="CB15" s="57">
        <v>35</v>
      </c>
    </row>
    <row r="16" spans="1:80" x14ac:dyDescent="0.25">
      <c r="Q16" s="501" t="str">
        <v>Male</v>
      </c>
      <c r="R16" s="7" t="str">
        <v>Italian</v>
      </c>
      <c r="S16" s="7" t="str">
        <v>Prone</v>
      </c>
      <c r="T16" s="57">
        <v>25</v>
      </c>
      <c r="V16" s="501" t="str">
        <f>$V$5</f>
        <v>Male</v>
      </c>
      <c r="W16" s="7"/>
      <c r="X16" s="57" t="str">
        <f>$X8</f>
        <v>Prone</v>
      </c>
      <c r="Y16" s="501">
        <f>SUMIFS($Y$22:$Y$29,$V$22:$V$29,V16,$X$22:$X$29,X16)</f>
        <v>24</v>
      </c>
      <c r="Z16" s="57">
        <f>IF(Y16=0,"",AVERAGEIFS($Z$22:$Z$29,$V$22:$V$29,V16,$X$22:$X$29,X16))</f>
        <v>26.208333333333332</v>
      </c>
      <c r="BJ16" s="501" t="s">
        <v>130</v>
      </c>
      <c r="BK16" s="7" t="s">
        <v>654</v>
      </c>
      <c r="BL16" s="7" t="s">
        <v>659</v>
      </c>
      <c r="BM16" s="57">
        <v>25</v>
      </c>
      <c r="BO16" s="501" t="s">
        <v>130</v>
      </c>
      <c r="BP16" s="7" t="s">
        <v>655</v>
      </c>
      <c r="BQ16" s="7" t="s">
        <v>659</v>
      </c>
      <c r="BR16" s="57">
        <v>29</v>
      </c>
      <c r="BT16" s="501" t="s">
        <v>108</v>
      </c>
      <c r="BU16" s="7" t="s">
        <v>654</v>
      </c>
      <c r="BV16" s="7" t="s">
        <v>659</v>
      </c>
      <c r="BW16" s="57">
        <v>25</v>
      </c>
      <c r="BY16" s="501" t="s">
        <v>108</v>
      </c>
      <c r="BZ16" s="7" t="s">
        <v>655</v>
      </c>
      <c r="CA16" s="7" t="s">
        <v>659</v>
      </c>
      <c r="CB16" s="57">
        <v>23</v>
      </c>
    </row>
    <row r="17" spans="17:80" x14ac:dyDescent="0.25">
      <c r="Q17" s="501" t="str">
        <v>Male</v>
      </c>
      <c r="R17" s="7" t="str">
        <v>Italian</v>
      </c>
      <c r="S17" s="7" t="str">
        <v>Prone</v>
      </c>
      <c r="T17" s="57">
        <v>14</v>
      </c>
      <c r="V17" s="759" t="str">
        <f>$V$5</f>
        <v>Male</v>
      </c>
      <c r="W17" s="760"/>
      <c r="X17" s="761" t="str">
        <f>$X9</f>
        <v>Seated</v>
      </c>
      <c r="Y17" s="759">
        <f>SUMIFS($Y$22:$Y$29,$V$22:$V$29,V17,$X$22:$X$29,X17)</f>
        <v>24</v>
      </c>
      <c r="Z17" s="761">
        <f>IF(Y17=0,"",AVERAGEIFS($Z$22:$Z$29,$V$22:$V$29,V17,$X$22:$X$29,X17))</f>
        <v>22.916666666666664</v>
      </c>
      <c r="BJ17" s="501" t="s">
        <v>130</v>
      </c>
      <c r="BK17" s="7" t="s">
        <v>654</v>
      </c>
      <c r="BL17" s="7" t="s">
        <v>659</v>
      </c>
      <c r="BM17" s="57">
        <v>14</v>
      </c>
      <c r="BO17" s="501" t="s">
        <v>130</v>
      </c>
      <c r="BP17" s="7" t="s">
        <v>655</v>
      </c>
      <c r="BQ17" s="7" t="s">
        <v>659</v>
      </c>
      <c r="BR17" s="57">
        <v>40</v>
      </c>
      <c r="BT17" s="501" t="s">
        <v>108</v>
      </c>
      <c r="BU17" s="7" t="s">
        <v>654</v>
      </c>
      <c r="BV17" s="7" t="s">
        <v>659</v>
      </c>
      <c r="BW17" s="57">
        <v>17</v>
      </c>
      <c r="BY17" s="501" t="s">
        <v>108</v>
      </c>
      <c r="BZ17" s="7" t="s">
        <v>655</v>
      </c>
      <c r="CA17" s="7" t="s">
        <v>659</v>
      </c>
      <c r="CB17" s="57">
        <v>24</v>
      </c>
    </row>
    <row r="18" spans="17:80" x14ac:dyDescent="0.25">
      <c r="Q18" s="501" t="str">
        <v>Male</v>
      </c>
      <c r="R18" s="7" t="str">
        <v>Italian</v>
      </c>
      <c r="S18" s="7" t="str">
        <v>Prone</v>
      </c>
      <c r="T18" s="57">
        <v>17</v>
      </c>
      <c r="V18" s="788"/>
      <c r="W18" s="789" t="str">
        <f>$W$6</f>
        <v>Foreign</v>
      </c>
      <c r="X18" s="790" t="str">
        <f>$X8</f>
        <v>Prone</v>
      </c>
      <c r="Y18" s="788">
        <f>SUMIFS($Y$22:$Y$29,$W$22:$W$29,W18,$X$22:$X$29,X18)</f>
        <v>24</v>
      </c>
      <c r="Z18" s="790">
        <f>IF(Y18=0,"",AVERAGEIFS($Z$22:$Z$29,$W$22:$W$29,W18,$X$22:$X$29,X18))</f>
        <v>27.541666666666664</v>
      </c>
      <c r="BJ18" s="501" t="s">
        <v>130</v>
      </c>
      <c r="BK18" s="7" t="s">
        <v>654</v>
      </c>
      <c r="BL18" s="7" t="s">
        <v>659</v>
      </c>
      <c r="BM18" s="57">
        <v>17</v>
      </c>
      <c r="BO18" s="501" t="s">
        <v>130</v>
      </c>
      <c r="BP18" s="7" t="s">
        <v>655</v>
      </c>
      <c r="BQ18" s="7" t="s">
        <v>659</v>
      </c>
      <c r="BR18" s="57">
        <v>31</v>
      </c>
      <c r="BT18" s="501" t="s">
        <v>108</v>
      </c>
      <c r="BU18" s="7" t="s">
        <v>654</v>
      </c>
      <c r="BV18" s="7" t="s">
        <v>659</v>
      </c>
      <c r="BW18" s="57">
        <v>12</v>
      </c>
      <c r="BY18" s="501" t="s">
        <v>108</v>
      </c>
      <c r="BZ18" s="7" t="s">
        <v>655</v>
      </c>
      <c r="CA18" s="7" t="s">
        <v>659</v>
      </c>
      <c r="CB18" s="57">
        <v>11</v>
      </c>
    </row>
    <row r="19" spans="17:80" x14ac:dyDescent="0.25">
      <c r="Q19" s="501" t="str">
        <v>Male</v>
      </c>
      <c r="R19" s="7" t="str">
        <v>Italian</v>
      </c>
      <c r="S19" s="7" t="str">
        <v>Prone</v>
      </c>
      <c r="T19" s="57">
        <v>30</v>
      </c>
      <c r="V19" s="501"/>
      <c r="W19" s="7" t="str">
        <f>$W$6</f>
        <v>Foreign</v>
      </c>
      <c r="X19" s="57" t="str">
        <f>$X9</f>
        <v>Seated</v>
      </c>
      <c r="Y19" s="501">
        <f>SUMIFS($Y$22:$Y$29,$W$22:$W$29,W19,$X$22:$X$29,X19)</f>
        <v>24</v>
      </c>
      <c r="Z19" s="57">
        <f>IF(Y19=0,"",AVERAGEIFS($Z$22:$Z$29,$W$22:$W$29,W19,$X$22:$X$29,X19))</f>
        <v>27.583333333333336</v>
      </c>
      <c r="BJ19" s="501" t="s">
        <v>130</v>
      </c>
      <c r="BK19" s="7" t="s">
        <v>654</v>
      </c>
      <c r="BL19" s="7" t="s">
        <v>659</v>
      </c>
      <c r="BM19" s="57">
        <v>30</v>
      </c>
      <c r="BO19" s="501" t="s">
        <v>130</v>
      </c>
      <c r="BP19" s="7" t="s">
        <v>655</v>
      </c>
      <c r="BQ19" s="7" t="s">
        <v>659</v>
      </c>
      <c r="BR19" s="57">
        <v>35</v>
      </c>
      <c r="BT19" s="501" t="s">
        <v>108</v>
      </c>
      <c r="BU19" s="7" t="s">
        <v>654</v>
      </c>
      <c r="BV19" s="7" t="s">
        <v>659</v>
      </c>
      <c r="BW19" s="57">
        <v>26</v>
      </c>
      <c r="BY19" s="501" t="s">
        <v>108</v>
      </c>
      <c r="BZ19" s="7" t="s">
        <v>655</v>
      </c>
      <c r="CA19" s="7" t="s">
        <v>659</v>
      </c>
      <c r="CB19" s="57">
        <v>23</v>
      </c>
    </row>
    <row r="20" spans="17:80" x14ac:dyDescent="0.25">
      <c r="Q20" s="501" t="str">
        <v>Male</v>
      </c>
      <c r="R20" s="7" t="str">
        <v>Italian</v>
      </c>
      <c r="S20" s="7" t="str">
        <v>Prone</v>
      </c>
      <c r="T20" s="57">
        <v>18</v>
      </c>
      <c r="V20" s="501"/>
      <c r="W20" s="7" t="str">
        <f>$W$7</f>
        <v>Italian</v>
      </c>
      <c r="X20" s="57" t="str">
        <f>$X8</f>
        <v>Prone</v>
      </c>
      <c r="Y20" s="501">
        <f>SUMIFS($Y$22:$Y$29,$W$22:$W$29,W20,$X$22:$X$29,X20)</f>
        <v>24</v>
      </c>
      <c r="Z20" s="57">
        <f>IF(Y20=0,"",AVERAGEIFS($Z$22:$Z$29,$W$22:$W$29,W20,$X$22:$X$29,X20))</f>
        <v>20.75</v>
      </c>
      <c r="BJ20" s="501" t="s">
        <v>130</v>
      </c>
      <c r="BK20" s="7" t="s">
        <v>654</v>
      </c>
      <c r="BL20" s="7" t="s">
        <v>659</v>
      </c>
      <c r="BM20" s="57">
        <v>18</v>
      </c>
      <c r="BO20" s="501" t="s">
        <v>130</v>
      </c>
      <c r="BP20" s="7" t="s">
        <v>655</v>
      </c>
      <c r="BQ20" s="7" t="s">
        <v>659</v>
      </c>
      <c r="BR20" s="57">
        <v>25</v>
      </c>
      <c r="BT20" s="501" t="s">
        <v>108</v>
      </c>
      <c r="BU20" s="7" t="s">
        <v>654</v>
      </c>
      <c r="BV20" s="7" t="s">
        <v>659</v>
      </c>
      <c r="BW20" s="57">
        <v>35</v>
      </c>
      <c r="BY20" s="501" t="s">
        <v>108</v>
      </c>
      <c r="BZ20" s="7" t="s">
        <v>655</v>
      </c>
      <c r="CA20" s="7" t="s">
        <v>659</v>
      </c>
      <c r="CB20" s="57">
        <v>30</v>
      </c>
    </row>
    <row r="21" spans="17:80" x14ac:dyDescent="0.25">
      <c r="Q21" s="501" t="str">
        <v>Male</v>
      </c>
      <c r="R21" s="7" t="str">
        <v>Italian</v>
      </c>
      <c r="S21" s="7" t="str">
        <v>Prone</v>
      </c>
      <c r="T21" s="57">
        <v>11</v>
      </c>
      <c r="V21" s="759"/>
      <c r="W21" s="760" t="str">
        <f>$W$7</f>
        <v>Italian</v>
      </c>
      <c r="X21" s="761" t="str">
        <f>$X9</f>
        <v>Seated</v>
      </c>
      <c r="Y21" s="759">
        <f>SUMIFS($Y$22:$Y$29,$W$22:$W$29,W21,$X$22:$X$29,X21)</f>
        <v>24</v>
      </c>
      <c r="Z21" s="761">
        <f>IF(Y21=0,"",AVERAGEIFS($Z$22:$Z$29,$W$22:$W$29,W21,$X$22:$X$29,X21))</f>
        <v>22.75</v>
      </c>
      <c r="BJ21" s="501" t="s">
        <v>130</v>
      </c>
      <c r="BK21" s="7" t="s">
        <v>654</v>
      </c>
      <c r="BL21" s="7" t="s">
        <v>659</v>
      </c>
      <c r="BM21" s="57">
        <v>11</v>
      </c>
      <c r="BO21" s="501" t="s">
        <v>130</v>
      </c>
      <c r="BP21" s="7" t="s">
        <v>655</v>
      </c>
      <c r="BQ21" s="7" t="s">
        <v>659</v>
      </c>
      <c r="BR21" s="57">
        <v>18</v>
      </c>
      <c r="BT21" s="501" t="s">
        <v>108</v>
      </c>
      <c r="BU21" s="7" t="s">
        <v>654</v>
      </c>
      <c r="BV21" s="7" t="s">
        <v>659</v>
      </c>
      <c r="BW21" s="57">
        <v>10</v>
      </c>
      <c r="BY21" s="501" t="s">
        <v>108</v>
      </c>
      <c r="BZ21" s="7" t="s">
        <v>655</v>
      </c>
      <c r="CA21" s="7" t="s">
        <v>659</v>
      </c>
      <c r="CB21" s="57">
        <v>26</v>
      </c>
    </row>
    <row r="22" spans="17:80" x14ac:dyDescent="0.25">
      <c r="Q22" s="501" t="str">
        <v>Male</v>
      </c>
      <c r="R22" s="7" t="str">
        <v>Italian</v>
      </c>
      <c r="S22" s="7" t="str">
        <v>Prone</v>
      </c>
      <c r="T22" s="57">
        <v>16</v>
      </c>
      <c r="V22" s="788" t="str">
        <f>$V$4</f>
        <v>Female</v>
      </c>
      <c r="W22" s="789" t="str">
        <f t="shared" ref="W22:X29" si="1">W18</f>
        <v>Foreign</v>
      </c>
      <c r="X22" s="790" t="str">
        <f t="shared" si="1"/>
        <v>Prone</v>
      </c>
      <c r="Y22" s="788">
        <f>COUNTIFS($Q$3:$Q$98,$V22,$R$3:$R$98,$W22,$S$3:$S$98,$X22)</f>
        <v>12</v>
      </c>
      <c r="Z22" s="790">
        <f>IF(Y22=0,"",AVERAGEIFS($T$3:$T$98,$Q$3:$Q$98,$V22,$R$3:$R$98,$W22,$S$3:$S$98,$X22))</f>
        <v>22.416666666666668</v>
      </c>
      <c r="BJ22" s="501" t="s">
        <v>130</v>
      </c>
      <c r="BK22" s="7" t="s">
        <v>654</v>
      </c>
      <c r="BL22" s="7" t="s">
        <v>659</v>
      </c>
      <c r="BM22" s="57">
        <v>16</v>
      </c>
      <c r="BO22" s="501" t="s">
        <v>130</v>
      </c>
      <c r="BP22" s="7" t="s">
        <v>655</v>
      </c>
      <c r="BQ22" s="7" t="s">
        <v>659</v>
      </c>
      <c r="BR22" s="57">
        <v>29</v>
      </c>
      <c r="BT22" s="501" t="s">
        <v>108</v>
      </c>
      <c r="BU22" s="7" t="s">
        <v>654</v>
      </c>
      <c r="BV22" s="7" t="s">
        <v>659</v>
      </c>
      <c r="BW22" s="57">
        <v>23</v>
      </c>
      <c r="BY22" s="501" t="s">
        <v>108</v>
      </c>
      <c r="BZ22" s="7" t="s">
        <v>655</v>
      </c>
      <c r="CA22" s="7" t="s">
        <v>659</v>
      </c>
      <c r="CB22" s="57">
        <v>16</v>
      </c>
    </row>
    <row r="23" spans="17:80" x14ac:dyDescent="0.25">
      <c r="Q23" s="501" t="str">
        <v>Male</v>
      </c>
      <c r="R23" s="7" t="str">
        <v>Italian</v>
      </c>
      <c r="S23" s="7" t="str">
        <v>Prone</v>
      </c>
      <c r="T23" s="57">
        <v>25</v>
      </c>
      <c r="V23" s="501" t="str">
        <f>$V$4</f>
        <v>Female</v>
      </c>
      <c r="W23" s="7" t="str">
        <f t="shared" si="1"/>
        <v>Foreign</v>
      </c>
      <c r="X23" s="57" t="str">
        <f t="shared" si="1"/>
        <v>Seated</v>
      </c>
      <c r="Y23" s="501">
        <f t="shared" ref="Y23:Y29" si="2">COUNTIFS($Q$3:$Q$98,$V23,$R$3:$R$98,$W23,$S$3:$S$98,$X23)</f>
        <v>12</v>
      </c>
      <c r="Z23" s="57">
        <f t="shared" ref="Z23:Z29" si="3">IF(Y23=0,"",AVERAGEIFS($T$3:$T$98,$Q$3:$Q$98,$V23,$R$3:$R$98,$W23,$S$3:$S$98,$X23))</f>
        <v>34.083333333333336</v>
      </c>
      <c r="BJ23" s="501" t="s">
        <v>130</v>
      </c>
      <c r="BK23" s="7" t="s">
        <v>654</v>
      </c>
      <c r="BL23" s="7" t="s">
        <v>659</v>
      </c>
      <c r="BM23" s="57">
        <v>25</v>
      </c>
      <c r="BO23" s="501" t="s">
        <v>130</v>
      </c>
      <c r="BP23" s="7" t="s">
        <v>655</v>
      </c>
      <c r="BQ23" s="7" t="s">
        <v>659</v>
      </c>
      <c r="BR23" s="57">
        <v>36</v>
      </c>
      <c r="BT23" s="501" t="s">
        <v>108</v>
      </c>
      <c r="BU23" s="7" t="s">
        <v>654</v>
      </c>
      <c r="BV23" s="7" t="s">
        <v>659</v>
      </c>
      <c r="BW23" s="57">
        <v>26</v>
      </c>
      <c r="BY23" s="501" t="s">
        <v>108</v>
      </c>
      <c r="BZ23" s="7" t="s">
        <v>655</v>
      </c>
      <c r="CA23" s="7" t="s">
        <v>659</v>
      </c>
      <c r="CB23" s="57">
        <v>23</v>
      </c>
    </row>
    <row r="24" spans="17:80" x14ac:dyDescent="0.25">
      <c r="Q24" s="501" t="str">
        <v>Male</v>
      </c>
      <c r="R24" s="7" t="str">
        <v>Italian</v>
      </c>
      <c r="S24" s="7" t="str">
        <v>Prone</v>
      </c>
      <c r="T24" s="57">
        <v>18</v>
      </c>
      <c r="V24" s="501" t="str">
        <f>$V$4</f>
        <v>Female</v>
      </c>
      <c r="W24" s="7" t="str">
        <f t="shared" si="1"/>
        <v>Italian</v>
      </c>
      <c r="X24" s="57" t="str">
        <f t="shared" si="1"/>
        <v>Prone</v>
      </c>
      <c r="Y24" s="501">
        <f t="shared" si="2"/>
        <v>12</v>
      </c>
      <c r="Z24" s="57">
        <f t="shared" si="3"/>
        <v>21.75</v>
      </c>
      <c r="BJ24" s="501" t="s">
        <v>130</v>
      </c>
      <c r="BK24" s="7" t="s">
        <v>654</v>
      </c>
      <c r="BL24" s="7" t="s">
        <v>659</v>
      </c>
      <c r="BM24" s="57">
        <v>18</v>
      </c>
      <c r="BO24" s="501" t="s">
        <v>130</v>
      </c>
      <c r="BP24" s="7" t="s">
        <v>655</v>
      </c>
      <c r="BQ24" s="7" t="s">
        <v>659</v>
      </c>
      <c r="BR24" s="57">
        <v>42</v>
      </c>
      <c r="BT24" s="501" t="s">
        <v>108</v>
      </c>
      <c r="BU24" s="7" t="s">
        <v>654</v>
      </c>
      <c r="BV24" s="7" t="s">
        <v>659</v>
      </c>
      <c r="BW24" s="57">
        <v>18</v>
      </c>
      <c r="BY24" s="501" t="s">
        <v>108</v>
      </c>
      <c r="BZ24" s="7" t="s">
        <v>655</v>
      </c>
      <c r="CA24" s="7" t="s">
        <v>659</v>
      </c>
      <c r="CB24" s="57">
        <v>14</v>
      </c>
    </row>
    <row r="25" spans="17:80" x14ac:dyDescent="0.25">
      <c r="Q25" s="501" t="str">
        <v>Male</v>
      </c>
      <c r="R25" s="7" t="str">
        <v>Italian</v>
      </c>
      <c r="S25" s="7" t="str">
        <v>Prone</v>
      </c>
      <c r="T25" s="57">
        <v>14</v>
      </c>
      <c r="V25" s="501" t="str">
        <f>$V$4</f>
        <v>Female</v>
      </c>
      <c r="W25" s="7" t="str">
        <f t="shared" si="1"/>
        <v>Italian</v>
      </c>
      <c r="X25" s="57" t="str">
        <f t="shared" si="1"/>
        <v>Seated</v>
      </c>
      <c r="Y25" s="501">
        <f t="shared" si="2"/>
        <v>12</v>
      </c>
      <c r="Z25" s="57">
        <f t="shared" si="3"/>
        <v>20.75</v>
      </c>
      <c r="BJ25" s="501" t="s">
        <v>130</v>
      </c>
      <c r="BK25" s="7" t="s">
        <v>654</v>
      </c>
      <c r="BL25" s="7" t="s">
        <v>659</v>
      </c>
      <c r="BM25" s="57">
        <v>14</v>
      </c>
      <c r="BO25" s="501" t="s">
        <v>130</v>
      </c>
      <c r="BP25" s="7" t="s">
        <v>655</v>
      </c>
      <c r="BQ25" s="7" t="s">
        <v>659</v>
      </c>
      <c r="BR25" s="57">
        <v>40</v>
      </c>
      <c r="BT25" s="501" t="s">
        <v>108</v>
      </c>
      <c r="BU25" s="7" t="s">
        <v>654</v>
      </c>
      <c r="BV25" s="7" t="s">
        <v>659</v>
      </c>
      <c r="BW25" s="57">
        <v>24</v>
      </c>
      <c r="BY25" s="501" t="s">
        <v>108</v>
      </c>
      <c r="BZ25" s="7" t="s">
        <v>655</v>
      </c>
      <c r="CA25" s="7" t="s">
        <v>659</v>
      </c>
      <c r="CB25" s="57">
        <v>19</v>
      </c>
    </row>
    <row r="26" spans="17:80" x14ac:dyDescent="0.25">
      <c r="Q26" s="501" t="str">
        <v>Male</v>
      </c>
      <c r="R26" s="7" t="str">
        <v>Italian</v>
      </c>
      <c r="S26" s="7" t="str">
        <v>Prone</v>
      </c>
      <c r="T26" s="57">
        <v>25</v>
      </c>
      <c r="V26" s="501" t="str">
        <f>$V$5</f>
        <v>Male</v>
      </c>
      <c r="W26" s="7" t="str">
        <f t="shared" si="1"/>
        <v>Foreign</v>
      </c>
      <c r="X26" s="57" t="str">
        <f t="shared" si="1"/>
        <v>Prone</v>
      </c>
      <c r="Y26" s="501">
        <f t="shared" si="2"/>
        <v>12</v>
      </c>
      <c r="Z26" s="57">
        <f t="shared" si="3"/>
        <v>32.666666666666664</v>
      </c>
      <c r="BJ26" s="501" t="s">
        <v>130</v>
      </c>
      <c r="BK26" s="7" t="s">
        <v>654</v>
      </c>
      <c r="BL26" s="7" t="s">
        <v>659</v>
      </c>
      <c r="BM26" s="57">
        <v>25</v>
      </c>
      <c r="BO26" s="501" t="s">
        <v>130</v>
      </c>
      <c r="BP26" s="7" t="s">
        <v>655</v>
      </c>
      <c r="BQ26" s="7" t="s">
        <v>659</v>
      </c>
      <c r="BR26" s="57">
        <v>36</v>
      </c>
      <c r="BT26" s="501" t="s">
        <v>108</v>
      </c>
      <c r="BU26" s="7" t="s">
        <v>654</v>
      </c>
      <c r="BV26" s="7" t="s">
        <v>659</v>
      </c>
      <c r="BW26" s="57">
        <v>16</v>
      </c>
      <c r="BY26" s="759" t="s">
        <v>108</v>
      </c>
      <c r="BZ26" s="760" t="s">
        <v>655</v>
      </c>
      <c r="CA26" s="760" t="s">
        <v>659</v>
      </c>
      <c r="CB26" s="761">
        <v>25</v>
      </c>
    </row>
    <row r="27" spans="17:80" x14ac:dyDescent="0.25">
      <c r="Q27" s="501" t="str">
        <v>Male</v>
      </c>
      <c r="R27" s="7" t="str">
        <v>Foreign</v>
      </c>
      <c r="S27" s="7" t="str">
        <v>Seated</v>
      </c>
      <c r="T27" s="57">
        <v>16</v>
      </c>
      <c r="V27" s="501" t="str">
        <f>$V$5</f>
        <v>Male</v>
      </c>
      <c r="W27" s="7" t="str">
        <f t="shared" si="1"/>
        <v>Foreign</v>
      </c>
      <c r="X27" s="57" t="str">
        <f t="shared" si="1"/>
        <v>Seated</v>
      </c>
      <c r="Y27" s="501">
        <f t="shared" si="2"/>
        <v>12</v>
      </c>
      <c r="Z27" s="57">
        <f t="shared" si="3"/>
        <v>21.083333333333332</v>
      </c>
    </row>
    <row r="28" spans="17:80" x14ac:dyDescent="0.25">
      <c r="Q28" s="501" t="str">
        <v>Male</v>
      </c>
      <c r="R28" s="7" t="str">
        <v>Foreign</v>
      </c>
      <c r="S28" s="7" t="str">
        <v>Seated</v>
      </c>
      <c r="T28" s="57">
        <v>31</v>
      </c>
      <c r="V28" s="501" t="str">
        <f>$V$5</f>
        <v>Male</v>
      </c>
      <c r="W28" s="7" t="str">
        <f t="shared" si="1"/>
        <v>Italian</v>
      </c>
      <c r="X28" s="57" t="str">
        <f t="shared" si="1"/>
        <v>Prone</v>
      </c>
      <c r="Y28" s="501">
        <f t="shared" si="2"/>
        <v>12</v>
      </c>
      <c r="Z28" s="57">
        <f t="shared" si="3"/>
        <v>19.75</v>
      </c>
    </row>
    <row r="29" spans="17:80" x14ac:dyDescent="0.25">
      <c r="Q29" s="501" t="str">
        <v>Male</v>
      </c>
      <c r="R29" s="7" t="str">
        <v>Foreign</v>
      </c>
      <c r="S29" s="7" t="str">
        <v>Seated</v>
      </c>
      <c r="T29" s="57">
        <v>17</v>
      </c>
      <c r="V29" s="759" t="str">
        <f>$V$5</f>
        <v>Male</v>
      </c>
      <c r="W29" s="760" t="str">
        <f t="shared" si="1"/>
        <v>Italian</v>
      </c>
      <c r="X29" s="761" t="str">
        <f t="shared" si="1"/>
        <v>Seated</v>
      </c>
      <c r="Y29" s="759">
        <f t="shared" si="2"/>
        <v>12</v>
      </c>
      <c r="Z29" s="761">
        <f t="shared" si="3"/>
        <v>24.75</v>
      </c>
    </row>
    <row r="30" spans="17:80" x14ac:dyDescent="0.25">
      <c r="Q30" s="501" t="str">
        <v>Male</v>
      </c>
      <c r="R30" s="7" t="str">
        <v>Foreign</v>
      </c>
      <c r="S30" s="7" t="str">
        <v>Seated</v>
      </c>
      <c r="T30" s="57">
        <v>11</v>
      </c>
      <c r="Y30">
        <f>SUM(Y22:Y29)</f>
        <v>96</v>
      </c>
      <c r="Z30">
        <f>AVERAGE(Z22:Z29)</f>
        <v>24.65625</v>
      </c>
    </row>
    <row r="31" spans="17:80" x14ac:dyDescent="0.25">
      <c r="Q31" s="501" t="str">
        <v>Male</v>
      </c>
      <c r="R31" s="7" t="str">
        <v>Foreign</v>
      </c>
      <c r="S31" s="7" t="str">
        <v>Seated</v>
      </c>
      <c r="T31" s="57">
        <v>34</v>
      </c>
      <c r="Y31" s="13" t="s">
        <v>619</v>
      </c>
      <c r="Z31" s="791">
        <f>DEVSQ(T3:T98)</f>
        <v>6867.65625</v>
      </c>
    </row>
    <row r="32" spans="17:80" x14ac:dyDescent="0.25">
      <c r="Q32" s="501" t="str">
        <v>Male</v>
      </c>
      <c r="R32" s="7" t="str">
        <v>Foreign</v>
      </c>
      <c r="S32" s="7" t="str">
        <v>Seated</v>
      </c>
      <c r="T32" s="57">
        <v>24</v>
      </c>
    </row>
    <row r="33" spans="17:20" x14ac:dyDescent="0.25">
      <c r="Q33" s="501" t="str">
        <v>Male</v>
      </c>
      <c r="R33" s="7" t="str">
        <v>Foreign</v>
      </c>
      <c r="S33" s="7" t="str">
        <v>Seated</v>
      </c>
      <c r="T33" s="57">
        <v>24</v>
      </c>
    </row>
    <row r="34" spans="17:20" x14ac:dyDescent="0.25">
      <c r="Q34" s="501" t="str">
        <v>Male</v>
      </c>
      <c r="R34" s="7" t="str">
        <v>Foreign</v>
      </c>
      <c r="S34" s="7" t="str">
        <v>Seated</v>
      </c>
      <c r="T34" s="57">
        <v>19</v>
      </c>
    </row>
    <row r="35" spans="17:20" x14ac:dyDescent="0.25">
      <c r="Q35" s="501" t="str">
        <v>Male</v>
      </c>
      <c r="R35" s="7" t="str">
        <v>Foreign</v>
      </c>
      <c r="S35" s="7" t="str">
        <v>Seated</v>
      </c>
      <c r="T35" s="57">
        <v>31</v>
      </c>
    </row>
    <row r="36" spans="17:20" x14ac:dyDescent="0.25">
      <c r="Q36" s="501" t="str">
        <v>Male</v>
      </c>
      <c r="R36" s="7" t="str">
        <v>Foreign</v>
      </c>
      <c r="S36" s="7" t="str">
        <v>Seated</v>
      </c>
      <c r="T36" s="57">
        <v>16</v>
      </c>
    </row>
    <row r="37" spans="17:20" x14ac:dyDescent="0.25">
      <c r="Q37" s="501" t="str">
        <v>Male</v>
      </c>
      <c r="R37" s="7" t="str">
        <v>Foreign</v>
      </c>
      <c r="S37" s="7" t="str">
        <v>Seated</v>
      </c>
      <c r="T37" s="57">
        <v>11</v>
      </c>
    </row>
    <row r="38" spans="17:20" x14ac:dyDescent="0.25">
      <c r="Q38" s="501" t="str">
        <v>Male</v>
      </c>
      <c r="R38" s="7" t="str">
        <v>Foreign</v>
      </c>
      <c r="S38" s="7" t="str">
        <v>Seated</v>
      </c>
      <c r="T38" s="57">
        <v>19</v>
      </c>
    </row>
    <row r="39" spans="17:20" x14ac:dyDescent="0.25">
      <c r="Q39" s="501" t="str">
        <v>Male</v>
      </c>
      <c r="R39" s="7" t="str">
        <v>Foreign</v>
      </c>
      <c r="S39" s="7" t="str">
        <v>Prone</v>
      </c>
      <c r="T39" s="57">
        <v>31</v>
      </c>
    </row>
    <row r="40" spans="17:20" x14ac:dyDescent="0.25">
      <c r="Q40" s="501" t="str">
        <v>Male</v>
      </c>
      <c r="R40" s="7" t="str">
        <v>Foreign</v>
      </c>
      <c r="S40" s="7" t="str">
        <v>Prone</v>
      </c>
      <c r="T40" s="57">
        <v>29</v>
      </c>
    </row>
    <row r="41" spans="17:20" x14ac:dyDescent="0.25">
      <c r="Q41" s="501" t="str">
        <v>Male</v>
      </c>
      <c r="R41" s="7" t="str">
        <v>Foreign</v>
      </c>
      <c r="S41" s="7" t="str">
        <v>Prone</v>
      </c>
      <c r="T41" s="57">
        <v>40</v>
      </c>
    </row>
    <row r="42" spans="17:20" x14ac:dyDescent="0.25">
      <c r="Q42" s="501" t="str">
        <v>Male</v>
      </c>
      <c r="R42" s="7" t="str">
        <v>Foreign</v>
      </c>
      <c r="S42" s="7" t="str">
        <v>Prone</v>
      </c>
      <c r="T42" s="57">
        <v>31</v>
      </c>
    </row>
    <row r="43" spans="17:20" x14ac:dyDescent="0.25">
      <c r="Q43" s="501" t="str">
        <v>Male</v>
      </c>
      <c r="R43" s="7" t="str">
        <v>Foreign</v>
      </c>
      <c r="S43" s="7" t="str">
        <v>Prone</v>
      </c>
      <c r="T43" s="57">
        <v>35</v>
      </c>
    </row>
    <row r="44" spans="17:20" x14ac:dyDescent="0.25">
      <c r="Q44" s="501" t="str">
        <v>Male</v>
      </c>
      <c r="R44" s="7" t="str">
        <v>Foreign</v>
      </c>
      <c r="S44" s="7" t="str">
        <v>Prone</v>
      </c>
      <c r="T44" s="57">
        <v>25</v>
      </c>
    </row>
    <row r="45" spans="17:20" x14ac:dyDescent="0.25">
      <c r="Q45" s="501" t="str">
        <v>Male</v>
      </c>
      <c r="R45" s="7" t="str">
        <v>Foreign</v>
      </c>
      <c r="S45" s="7" t="str">
        <v>Prone</v>
      </c>
      <c r="T45" s="57">
        <v>18</v>
      </c>
    </row>
    <row r="46" spans="17:20" x14ac:dyDescent="0.25">
      <c r="Q46" s="501" t="str">
        <v>Male</v>
      </c>
      <c r="R46" s="7" t="str">
        <v>Foreign</v>
      </c>
      <c r="S46" s="7" t="str">
        <v>Prone</v>
      </c>
      <c r="T46" s="57">
        <v>29</v>
      </c>
    </row>
    <row r="47" spans="17:20" x14ac:dyDescent="0.25">
      <c r="Q47" s="501" t="str">
        <v>Male</v>
      </c>
      <c r="R47" s="7" t="str">
        <v>Foreign</v>
      </c>
      <c r="S47" s="7" t="str">
        <v>Prone</v>
      </c>
      <c r="T47" s="57">
        <v>36</v>
      </c>
    </row>
    <row r="48" spans="17:20" x14ac:dyDescent="0.25">
      <c r="Q48" s="501" t="str">
        <v>Male</v>
      </c>
      <c r="R48" s="7" t="str">
        <v>Foreign</v>
      </c>
      <c r="S48" s="7" t="str">
        <v>Prone</v>
      </c>
      <c r="T48" s="57">
        <v>42</v>
      </c>
    </row>
    <row r="49" spans="17:20" x14ac:dyDescent="0.25">
      <c r="Q49" s="501" t="str">
        <v>Male</v>
      </c>
      <c r="R49" s="7" t="str">
        <v>Foreign</v>
      </c>
      <c r="S49" s="7" t="str">
        <v>Prone</v>
      </c>
      <c r="T49" s="57">
        <v>40</v>
      </c>
    </row>
    <row r="50" spans="17:20" x14ac:dyDescent="0.25">
      <c r="Q50" s="501" t="str">
        <v>Male</v>
      </c>
      <c r="R50" s="7" t="str">
        <v>Foreign</v>
      </c>
      <c r="S50" s="7" t="str">
        <v>Prone</v>
      </c>
      <c r="T50" s="57">
        <v>36</v>
      </c>
    </row>
    <row r="51" spans="17:20" x14ac:dyDescent="0.25">
      <c r="Q51" s="501" t="str">
        <v>Female</v>
      </c>
      <c r="R51" s="7" t="str">
        <v>Italian</v>
      </c>
      <c r="S51" s="7" t="str">
        <v>Seated</v>
      </c>
      <c r="T51" s="57">
        <v>19</v>
      </c>
    </row>
    <row r="52" spans="17:20" x14ac:dyDescent="0.25">
      <c r="Q52" s="501" t="str">
        <v>Female</v>
      </c>
      <c r="R52" s="7" t="str">
        <v>Italian</v>
      </c>
      <c r="S52" s="7" t="str">
        <v>Seated</v>
      </c>
      <c r="T52" s="57">
        <v>28</v>
      </c>
    </row>
    <row r="53" spans="17:20" x14ac:dyDescent="0.25">
      <c r="Q53" s="501" t="str">
        <v>Female</v>
      </c>
      <c r="R53" s="7" t="str">
        <v>Italian</v>
      </c>
      <c r="S53" s="7" t="str">
        <v>Seated</v>
      </c>
      <c r="T53" s="57">
        <v>31</v>
      </c>
    </row>
    <row r="54" spans="17:20" x14ac:dyDescent="0.25">
      <c r="Q54" s="501" t="str">
        <v>Female</v>
      </c>
      <c r="R54" s="7" t="str">
        <v>Italian</v>
      </c>
      <c r="S54" s="7" t="str">
        <v>Seated</v>
      </c>
      <c r="T54" s="57">
        <v>23</v>
      </c>
    </row>
    <row r="55" spans="17:20" x14ac:dyDescent="0.25">
      <c r="Q55" s="501" t="str">
        <v>Female</v>
      </c>
      <c r="R55" s="7" t="str">
        <v>Italian</v>
      </c>
      <c r="S55" s="7" t="str">
        <v>Seated</v>
      </c>
      <c r="T55" s="57">
        <v>19</v>
      </c>
    </row>
    <row r="56" spans="17:20" x14ac:dyDescent="0.25">
      <c r="Q56" s="501" t="str">
        <v>Female</v>
      </c>
      <c r="R56" s="7" t="str">
        <v>Italian</v>
      </c>
      <c r="S56" s="7" t="str">
        <v>Seated</v>
      </c>
      <c r="T56" s="57">
        <v>14</v>
      </c>
    </row>
    <row r="57" spans="17:20" x14ac:dyDescent="0.25">
      <c r="Q57" s="501" t="str">
        <v>Female</v>
      </c>
      <c r="R57" s="7" t="str">
        <v>Italian</v>
      </c>
      <c r="S57" s="7" t="str">
        <v>Seated</v>
      </c>
      <c r="T57" s="57">
        <v>4</v>
      </c>
    </row>
    <row r="58" spans="17:20" x14ac:dyDescent="0.25">
      <c r="Q58" s="501" t="str">
        <v>Female</v>
      </c>
      <c r="R58" s="7" t="str">
        <v>Italian</v>
      </c>
      <c r="S58" s="7" t="str">
        <v>Seated</v>
      </c>
      <c r="T58" s="57">
        <v>29</v>
      </c>
    </row>
    <row r="59" spans="17:20" x14ac:dyDescent="0.25">
      <c r="Q59" s="501" t="str">
        <v>Female</v>
      </c>
      <c r="R59" s="7" t="str">
        <v>Italian</v>
      </c>
      <c r="S59" s="7" t="str">
        <v>Seated</v>
      </c>
      <c r="T59" s="57">
        <v>18</v>
      </c>
    </row>
    <row r="60" spans="17:20" x14ac:dyDescent="0.25">
      <c r="Q60" s="501" t="str">
        <v>Female</v>
      </c>
      <c r="R60" s="7" t="str">
        <v>Italian</v>
      </c>
      <c r="S60" s="7" t="str">
        <v>Seated</v>
      </c>
      <c r="T60" s="57">
        <v>22</v>
      </c>
    </row>
    <row r="61" spans="17:20" x14ac:dyDescent="0.25">
      <c r="Q61" s="501" t="str">
        <v>Female</v>
      </c>
      <c r="R61" s="7" t="str">
        <v>Italian</v>
      </c>
      <c r="S61" s="7" t="str">
        <v>Seated</v>
      </c>
      <c r="T61" s="57">
        <v>18</v>
      </c>
    </row>
    <row r="62" spans="17:20" x14ac:dyDescent="0.25">
      <c r="Q62" s="501" t="str">
        <v>Female</v>
      </c>
      <c r="R62" s="7" t="str">
        <v>Italian</v>
      </c>
      <c r="S62" s="7" t="str">
        <v>Seated</v>
      </c>
      <c r="T62" s="57">
        <v>24</v>
      </c>
    </row>
    <row r="63" spans="17:20" x14ac:dyDescent="0.25">
      <c r="Q63" s="501" t="str">
        <v>Female</v>
      </c>
      <c r="R63" s="7" t="str">
        <v>Italian</v>
      </c>
      <c r="S63" s="7" t="str">
        <v>Prone</v>
      </c>
      <c r="T63" s="57">
        <v>29</v>
      </c>
    </row>
    <row r="64" spans="17:20" x14ac:dyDescent="0.25">
      <c r="Q64" s="501" t="str">
        <v>Female</v>
      </c>
      <c r="R64" s="7" t="str">
        <v>Italian</v>
      </c>
      <c r="S64" s="7" t="str">
        <v>Prone</v>
      </c>
      <c r="T64" s="57">
        <v>25</v>
      </c>
    </row>
    <row r="65" spans="17:20" x14ac:dyDescent="0.25">
      <c r="Q65" s="501" t="str">
        <v>Female</v>
      </c>
      <c r="R65" s="7" t="str">
        <v>Italian</v>
      </c>
      <c r="S65" s="7" t="str">
        <v>Prone</v>
      </c>
      <c r="T65" s="57">
        <v>17</v>
      </c>
    </row>
    <row r="66" spans="17:20" x14ac:dyDescent="0.25">
      <c r="Q66" s="501" t="str">
        <v>Female</v>
      </c>
      <c r="R66" s="7" t="str">
        <v>Italian</v>
      </c>
      <c r="S66" s="7" t="str">
        <v>Prone</v>
      </c>
      <c r="T66" s="57">
        <v>12</v>
      </c>
    </row>
    <row r="67" spans="17:20" x14ac:dyDescent="0.25">
      <c r="Q67" s="501" t="str">
        <v>Female</v>
      </c>
      <c r="R67" s="7" t="str">
        <v>Italian</v>
      </c>
      <c r="S67" s="7" t="str">
        <v>Prone</v>
      </c>
      <c r="T67" s="57">
        <v>26</v>
      </c>
    </row>
    <row r="68" spans="17:20" x14ac:dyDescent="0.25">
      <c r="Q68" s="501" t="str">
        <v>Female</v>
      </c>
      <c r="R68" s="7" t="str">
        <v>Italian</v>
      </c>
      <c r="S68" s="7" t="str">
        <v>Prone</v>
      </c>
      <c r="T68" s="57">
        <v>35</v>
      </c>
    </row>
    <row r="69" spans="17:20" x14ac:dyDescent="0.25">
      <c r="Q69" s="501" t="str">
        <v>Female</v>
      </c>
      <c r="R69" s="7" t="str">
        <v>Italian</v>
      </c>
      <c r="S69" s="7" t="str">
        <v>Prone</v>
      </c>
      <c r="T69" s="57">
        <v>10</v>
      </c>
    </row>
    <row r="70" spans="17:20" x14ac:dyDescent="0.25">
      <c r="Q70" s="501" t="str">
        <v>Female</v>
      </c>
      <c r="R70" s="7" t="str">
        <v>Italian</v>
      </c>
      <c r="S70" s="7" t="str">
        <v>Prone</v>
      </c>
      <c r="T70" s="57">
        <v>23</v>
      </c>
    </row>
    <row r="71" spans="17:20" x14ac:dyDescent="0.25">
      <c r="Q71" s="501" t="str">
        <v>Female</v>
      </c>
      <c r="R71" s="7" t="str">
        <v>Italian</v>
      </c>
      <c r="S71" s="7" t="str">
        <v>Prone</v>
      </c>
      <c r="T71" s="57">
        <v>26</v>
      </c>
    </row>
    <row r="72" spans="17:20" x14ac:dyDescent="0.25">
      <c r="Q72" s="501" t="str">
        <v>Female</v>
      </c>
      <c r="R72" s="7" t="str">
        <v>Italian</v>
      </c>
      <c r="S72" s="7" t="str">
        <v>Prone</v>
      </c>
      <c r="T72" s="57">
        <v>18</v>
      </c>
    </row>
    <row r="73" spans="17:20" x14ac:dyDescent="0.25">
      <c r="Q73" s="501" t="str">
        <v>Female</v>
      </c>
      <c r="R73" s="7" t="str">
        <v>Italian</v>
      </c>
      <c r="S73" s="7" t="str">
        <v>Prone</v>
      </c>
      <c r="T73" s="57">
        <v>24</v>
      </c>
    </row>
    <row r="74" spans="17:20" x14ac:dyDescent="0.25">
      <c r="Q74" s="501" t="str">
        <v>Female</v>
      </c>
      <c r="R74" s="7" t="str">
        <v>Italian</v>
      </c>
      <c r="S74" s="7" t="str">
        <v>Prone</v>
      </c>
      <c r="T74" s="57">
        <v>16</v>
      </c>
    </row>
    <row r="75" spans="17:20" x14ac:dyDescent="0.25">
      <c r="Q75" s="501" t="str">
        <v>Female</v>
      </c>
      <c r="R75" s="7" t="str">
        <v>Foreign</v>
      </c>
      <c r="S75" s="7" t="str">
        <v>Seated</v>
      </c>
      <c r="T75" s="57">
        <v>28</v>
      </c>
    </row>
    <row r="76" spans="17:20" x14ac:dyDescent="0.25">
      <c r="Q76" s="501" t="str">
        <v>Female</v>
      </c>
      <c r="R76" s="7" t="str">
        <v>Foreign</v>
      </c>
      <c r="S76" s="7" t="str">
        <v>Seated</v>
      </c>
      <c r="T76" s="57">
        <v>37</v>
      </c>
    </row>
    <row r="77" spans="17:20" x14ac:dyDescent="0.25">
      <c r="Q77" s="501" t="str">
        <v>Female</v>
      </c>
      <c r="R77" s="7" t="str">
        <v>Foreign</v>
      </c>
      <c r="S77" s="7" t="str">
        <v>Seated</v>
      </c>
      <c r="T77" s="57">
        <v>22</v>
      </c>
    </row>
    <row r="78" spans="17:20" x14ac:dyDescent="0.25">
      <c r="Q78" s="501" t="str">
        <v>Female</v>
      </c>
      <c r="R78" s="7" t="str">
        <v>Foreign</v>
      </c>
      <c r="S78" s="7" t="str">
        <v>Seated</v>
      </c>
      <c r="T78" s="57">
        <v>44</v>
      </c>
    </row>
    <row r="79" spans="17:20" x14ac:dyDescent="0.25">
      <c r="Q79" s="501" t="str">
        <v>Female</v>
      </c>
      <c r="R79" s="7" t="str">
        <v>Foreign</v>
      </c>
      <c r="S79" s="7" t="str">
        <v>Seated</v>
      </c>
      <c r="T79" s="57">
        <v>37</v>
      </c>
    </row>
    <row r="80" spans="17:20" x14ac:dyDescent="0.25">
      <c r="Q80" s="501" t="str">
        <v>Female</v>
      </c>
      <c r="R80" s="7" t="str">
        <v>Foreign</v>
      </c>
      <c r="S80" s="7" t="str">
        <v>Seated</v>
      </c>
      <c r="T80" s="57">
        <v>42</v>
      </c>
    </row>
    <row r="81" spans="17:20" x14ac:dyDescent="0.25">
      <c r="Q81" s="501" t="str">
        <v>Female</v>
      </c>
      <c r="R81" s="7" t="str">
        <v>Foreign</v>
      </c>
      <c r="S81" s="7" t="str">
        <v>Seated</v>
      </c>
      <c r="T81" s="57">
        <v>30</v>
      </c>
    </row>
    <row r="82" spans="17:20" x14ac:dyDescent="0.25">
      <c r="Q82" s="501" t="str">
        <v>Female</v>
      </c>
      <c r="R82" s="7" t="str">
        <v>Foreign</v>
      </c>
      <c r="S82" s="7" t="str">
        <v>Seated</v>
      </c>
      <c r="T82" s="57">
        <v>37</v>
      </c>
    </row>
    <row r="83" spans="17:20" x14ac:dyDescent="0.25">
      <c r="Q83" s="501" t="str">
        <v>Female</v>
      </c>
      <c r="R83" s="7" t="str">
        <v>Foreign</v>
      </c>
      <c r="S83" s="7" t="str">
        <v>Seated</v>
      </c>
      <c r="T83" s="57">
        <v>25</v>
      </c>
    </row>
    <row r="84" spans="17:20" x14ac:dyDescent="0.25">
      <c r="Q84" s="501" t="str">
        <v>Female</v>
      </c>
      <c r="R84" s="7" t="str">
        <v>Foreign</v>
      </c>
      <c r="S84" s="7" t="str">
        <v>Seated</v>
      </c>
      <c r="T84" s="57">
        <v>38</v>
      </c>
    </row>
    <row r="85" spans="17:20" x14ac:dyDescent="0.25">
      <c r="Q85" s="501" t="str">
        <v>Female</v>
      </c>
      <c r="R85" s="7" t="str">
        <v>Foreign</v>
      </c>
      <c r="S85" s="7" t="str">
        <v>Seated</v>
      </c>
      <c r="T85" s="57">
        <v>41</v>
      </c>
    </row>
    <row r="86" spans="17:20" x14ac:dyDescent="0.25">
      <c r="Q86" s="501" t="str">
        <v>Female</v>
      </c>
      <c r="R86" s="7" t="str">
        <v>Foreign</v>
      </c>
      <c r="S86" s="7" t="str">
        <v>Seated</v>
      </c>
      <c r="T86" s="57">
        <v>28</v>
      </c>
    </row>
    <row r="87" spans="17:20" x14ac:dyDescent="0.25">
      <c r="Q87" s="501" t="str">
        <v>Female</v>
      </c>
      <c r="R87" s="7" t="str">
        <v>Foreign</v>
      </c>
      <c r="S87" s="7" t="str">
        <v>Prone</v>
      </c>
      <c r="T87" s="57">
        <v>35</v>
      </c>
    </row>
    <row r="88" spans="17:20" x14ac:dyDescent="0.25">
      <c r="Q88" s="501" t="str">
        <v>Female</v>
      </c>
      <c r="R88" s="7" t="str">
        <v>Foreign</v>
      </c>
      <c r="S88" s="7" t="str">
        <v>Prone</v>
      </c>
      <c r="T88" s="57">
        <v>23</v>
      </c>
    </row>
    <row r="89" spans="17:20" x14ac:dyDescent="0.25">
      <c r="Q89" s="501" t="str">
        <v>Female</v>
      </c>
      <c r="R89" s="7" t="str">
        <v>Foreign</v>
      </c>
      <c r="S89" s="7" t="str">
        <v>Prone</v>
      </c>
      <c r="T89" s="57">
        <v>24</v>
      </c>
    </row>
    <row r="90" spans="17:20" x14ac:dyDescent="0.25">
      <c r="Q90" s="501" t="str">
        <v>Female</v>
      </c>
      <c r="R90" s="7" t="str">
        <v>Foreign</v>
      </c>
      <c r="S90" s="7" t="str">
        <v>Prone</v>
      </c>
      <c r="T90" s="57">
        <v>11</v>
      </c>
    </row>
    <row r="91" spans="17:20" x14ac:dyDescent="0.25">
      <c r="Q91" s="501" t="str">
        <v>Female</v>
      </c>
      <c r="R91" s="7" t="str">
        <v>Foreign</v>
      </c>
      <c r="S91" s="7" t="str">
        <v>Prone</v>
      </c>
      <c r="T91" s="57">
        <v>23</v>
      </c>
    </row>
    <row r="92" spans="17:20" x14ac:dyDescent="0.25">
      <c r="Q92" s="501" t="str">
        <v>Female</v>
      </c>
      <c r="R92" s="7" t="str">
        <v>Foreign</v>
      </c>
      <c r="S92" s="7" t="str">
        <v>Prone</v>
      </c>
      <c r="T92" s="57">
        <v>30</v>
      </c>
    </row>
    <row r="93" spans="17:20" x14ac:dyDescent="0.25">
      <c r="Q93" s="501" t="str">
        <v>Female</v>
      </c>
      <c r="R93" s="7" t="str">
        <v>Foreign</v>
      </c>
      <c r="S93" s="7" t="str">
        <v>Prone</v>
      </c>
      <c r="T93" s="57">
        <v>26</v>
      </c>
    </row>
    <row r="94" spans="17:20" x14ac:dyDescent="0.25">
      <c r="Q94" s="501" t="str">
        <v>Female</v>
      </c>
      <c r="R94" s="7" t="str">
        <v>Foreign</v>
      </c>
      <c r="S94" s="7" t="str">
        <v>Prone</v>
      </c>
      <c r="T94" s="57">
        <v>16</v>
      </c>
    </row>
    <row r="95" spans="17:20" x14ac:dyDescent="0.25">
      <c r="Q95" s="501" t="str">
        <v>Female</v>
      </c>
      <c r="R95" s="7" t="str">
        <v>Foreign</v>
      </c>
      <c r="S95" s="7" t="str">
        <v>Prone</v>
      </c>
      <c r="T95" s="57">
        <v>23</v>
      </c>
    </row>
    <row r="96" spans="17:20" x14ac:dyDescent="0.25">
      <c r="Q96" s="501" t="str">
        <v>Female</v>
      </c>
      <c r="R96" s="7" t="str">
        <v>Foreign</v>
      </c>
      <c r="S96" s="7" t="str">
        <v>Prone</v>
      </c>
      <c r="T96" s="57">
        <v>14</v>
      </c>
    </row>
    <row r="97" spans="17:20" x14ac:dyDescent="0.25">
      <c r="Q97" s="501" t="str">
        <v>Female</v>
      </c>
      <c r="R97" s="7" t="str">
        <v>Foreign</v>
      </c>
      <c r="S97" s="7" t="str">
        <v>Prone</v>
      </c>
      <c r="T97" s="57">
        <v>19</v>
      </c>
    </row>
    <row r="98" spans="17:20" x14ac:dyDescent="0.25">
      <c r="Q98" s="759" t="str">
        <v>Female</v>
      </c>
      <c r="R98" s="760" t="str">
        <v>Foreign</v>
      </c>
      <c r="S98" s="760" t="str">
        <v>Prone</v>
      </c>
      <c r="T98" s="761">
        <v>25</v>
      </c>
    </row>
  </sheetData>
  <mergeCells count="2">
    <mergeCell ref="D3:O3"/>
    <mergeCell ref="AW3:BH3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/>
  <dimension ref="A1:AH91"/>
  <sheetViews>
    <sheetView zoomScaleNormal="100" workbookViewId="0"/>
  </sheetViews>
  <sheetFormatPr defaultRowHeight="15" x14ac:dyDescent="0.25"/>
  <cols>
    <col min="3" max="3" width="9.140625" customWidth="1"/>
    <col min="4" max="15" width="4.42578125" customWidth="1"/>
    <col min="16" max="16" width="9.140625" customWidth="1"/>
    <col min="19" max="21" width="9.140625" customWidth="1"/>
    <col min="24" max="25" width="9.140625" customWidth="1"/>
    <col min="27" max="28" width="9.140625" customWidth="1"/>
    <col min="30" max="30" width="9.140625" customWidth="1"/>
    <col min="34" max="34" width="9.140625" customWidth="1"/>
  </cols>
  <sheetData>
    <row r="1" spans="1:34" x14ac:dyDescent="0.25">
      <c r="A1" s="1" t="s">
        <v>1704</v>
      </c>
      <c r="Q1" t="s">
        <v>1693</v>
      </c>
      <c r="V1" t="s">
        <v>27</v>
      </c>
      <c r="AB1" t="s">
        <v>1694</v>
      </c>
    </row>
    <row r="3" spans="1:34" ht="15.75" thickBot="1" x14ac:dyDescent="0.3">
      <c r="A3" s="283" t="s">
        <v>620</v>
      </c>
      <c r="B3" s="284" t="s">
        <v>653</v>
      </c>
      <c r="C3" s="285" t="s">
        <v>657</v>
      </c>
      <c r="D3" s="1294" t="s">
        <v>621</v>
      </c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6"/>
      <c r="Q3" s="793" t="str">
        <f t="array" ref="Q3:T91">[1]!Anova3Cols(A4:O11)</f>
        <v>Male</v>
      </c>
      <c r="R3" s="794" t="str">
        <v>Italian</v>
      </c>
      <c r="S3" s="794" t="str">
        <v>Seated</v>
      </c>
      <c r="T3" s="795">
        <v>23</v>
      </c>
      <c r="Y3" s="13" t="s">
        <v>22</v>
      </c>
      <c r="Z3" s="13" t="s">
        <v>10</v>
      </c>
      <c r="AB3" t="s">
        <v>294</v>
      </c>
      <c r="AF3" s="784" t="s">
        <v>34</v>
      </c>
      <c r="AG3" s="784">
        <v>0.05</v>
      </c>
    </row>
    <row r="4" spans="1:34" ht="15.75" thickTop="1" x14ac:dyDescent="0.25">
      <c r="A4" s="273" t="s">
        <v>130</v>
      </c>
      <c r="B4" s="272" t="s">
        <v>654</v>
      </c>
      <c r="C4" s="8" t="s">
        <v>658</v>
      </c>
      <c r="D4" s="287">
        <v>23</v>
      </c>
      <c r="E4" s="287">
        <v>18</v>
      </c>
      <c r="F4" s="287">
        <v>26</v>
      </c>
      <c r="G4" s="287">
        <v>32</v>
      </c>
      <c r="H4" s="287">
        <v>13</v>
      </c>
      <c r="I4" s="287">
        <v>31</v>
      </c>
      <c r="J4" s="287">
        <v>26</v>
      </c>
      <c r="K4" s="287">
        <v>34</v>
      </c>
      <c r="L4" s="287">
        <v>17</v>
      </c>
      <c r="M4" s="287">
        <v>23</v>
      </c>
      <c r="N4" s="287">
        <v>28</v>
      </c>
      <c r="O4" s="288">
        <v>26</v>
      </c>
      <c r="Q4" s="501" t="str">
        <v>Male</v>
      </c>
      <c r="R4" s="7" t="str">
        <v>Italian</v>
      </c>
      <c r="S4" s="7" t="str">
        <v>Seated</v>
      </c>
      <c r="T4" s="57">
        <v>18</v>
      </c>
      <c r="V4" s="793" t="str">
        <f t="array" ref="V4:V5">[1]!SortUnique(Q3:Q91)</f>
        <v>Female</v>
      </c>
      <c r="W4" s="794"/>
      <c r="X4" s="795"/>
      <c r="Y4" s="793">
        <f>SUMIF($V$22:$V$29,V4,$Y$22:$Y$29)</f>
        <v>45</v>
      </c>
      <c r="Z4" s="795">
        <f>IF(Y4=0,"",AVERAGEIF($V$22:$V$29,V4,$Z$22:$Z$29))</f>
        <v>24.778787878787881</v>
      </c>
      <c r="AB4" s="754"/>
      <c r="AC4" s="754" t="s">
        <v>219</v>
      </c>
      <c r="AD4" s="754" t="s">
        <v>60</v>
      </c>
      <c r="AE4" s="754" t="s">
        <v>240</v>
      </c>
      <c r="AF4" s="754" t="s">
        <v>135</v>
      </c>
      <c r="AG4" s="754" t="s">
        <v>67</v>
      </c>
      <c r="AH4" s="754" t="s">
        <v>527</v>
      </c>
    </row>
    <row r="5" spans="1:34" x14ac:dyDescent="0.25">
      <c r="A5" s="273" t="s">
        <v>130</v>
      </c>
      <c r="B5" s="272" t="s">
        <v>654</v>
      </c>
      <c r="C5" s="8" t="s">
        <v>659</v>
      </c>
      <c r="D5" s="7">
        <v>24</v>
      </c>
      <c r="E5" s="7">
        <v>25</v>
      </c>
      <c r="F5" s="7">
        <v>14</v>
      </c>
      <c r="G5" s="7">
        <v>17</v>
      </c>
      <c r="H5" s="7">
        <v>30</v>
      </c>
      <c r="I5" s="7">
        <v>18</v>
      </c>
      <c r="J5" s="7">
        <v>11</v>
      </c>
      <c r="K5" s="7">
        <v>16</v>
      </c>
      <c r="L5" s="7">
        <v>25</v>
      </c>
      <c r="M5" s="7"/>
      <c r="N5" s="7"/>
      <c r="O5" s="8"/>
      <c r="Q5" s="501" t="str">
        <v>Male</v>
      </c>
      <c r="R5" s="7" t="str">
        <v>Italian</v>
      </c>
      <c r="S5" s="7" t="str">
        <v>Seated</v>
      </c>
      <c r="T5" s="57">
        <v>26</v>
      </c>
      <c r="V5" s="501" t="str">
        <v>Male</v>
      </c>
      <c r="W5" s="7"/>
      <c r="X5" s="57"/>
      <c r="Y5" s="501">
        <f>SUMIF($V$22:$V$29,V5,$Y$22:$Y$29)</f>
        <v>44</v>
      </c>
      <c r="Z5" s="57">
        <f>IF(Y5=0,"",AVERAGEIF($V$22:$V$29,V5,$Z$22:$Z$29))</f>
        <v>24.672348484848484</v>
      </c>
      <c r="AB5" t="s">
        <v>213</v>
      </c>
      <c r="AC5">
        <f t="array" ref="AC5:AC12">[1]!SSAnova3(Q3:T91)</f>
        <v>0.24959223669065977</v>
      </c>
      <c r="AD5">
        <f>COUNT(Z4:Z5)-1</f>
        <v>1</v>
      </c>
      <c r="AE5">
        <f t="shared" ref="AE5:AE13" si="0">AC5/AD5</f>
        <v>0.24959223669065977</v>
      </c>
      <c r="AF5">
        <f>AE5/AE12</f>
        <v>4.8965713410424223E-3</v>
      </c>
      <c r="AG5">
        <f>FDIST(AF5,AD5,AD12)</f>
        <v>0.94438562673016735</v>
      </c>
      <c r="AH5" s="784" t="str">
        <f>IF(AG5&lt;AG3,"yes","no")</f>
        <v>no</v>
      </c>
    </row>
    <row r="6" spans="1:34" x14ac:dyDescent="0.25">
      <c r="A6" s="273" t="s">
        <v>130</v>
      </c>
      <c r="B6" s="272" t="s">
        <v>655</v>
      </c>
      <c r="C6" s="8" t="s">
        <v>658</v>
      </c>
      <c r="D6" s="7">
        <v>16</v>
      </c>
      <c r="E6" s="7">
        <v>31</v>
      </c>
      <c r="F6" s="7">
        <v>17</v>
      </c>
      <c r="G6" s="7">
        <v>11</v>
      </c>
      <c r="H6" s="7">
        <v>34</v>
      </c>
      <c r="I6" s="7">
        <v>24</v>
      </c>
      <c r="J6" s="7">
        <v>24</v>
      </c>
      <c r="K6" s="7">
        <v>19</v>
      </c>
      <c r="L6" s="7">
        <v>31</v>
      </c>
      <c r="M6" s="7">
        <v>16</v>
      </c>
      <c r="N6" s="7">
        <v>11</v>
      </c>
      <c r="O6" s="8"/>
      <c r="Q6" s="501" t="str">
        <v>Male</v>
      </c>
      <c r="R6" s="7" t="str">
        <v>Italian</v>
      </c>
      <c r="S6" s="7" t="str">
        <v>Seated</v>
      </c>
      <c r="T6" s="57">
        <v>32</v>
      </c>
      <c r="V6" s="501"/>
      <c r="W6" s="7" t="str">
        <f t="array" ref="W6:W7">[1]!SortUnique(R3:R91)</f>
        <v>Foreign</v>
      </c>
      <c r="X6" s="57"/>
      <c r="Y6" s="501">
        <f>SUMIF($W$22:$W$29,W6,$Y$22:$Y$29)</f>
        <v>46</v>
      </c>
      <c r="Z6" s="57">
        <f>IF(Y6=0,"",AVERAGEIF($W$22:$W$29,W6,$Z$22:$Z$29))</f>
        <v>27.551136363636367</v>
      </c>
      <c r="AB6" t="s">
        <v>131</v>
      </c>
      <c r="AC6">
        <v>703.55468769756135</v>
      </c>
      <c r="AD6">
        <f>COUNT(Z6:Z7)-1</f>
        <v>1</v>
      </c>
      <c r="AE6">
        <f t="shared" si="0"/>
        <v>703.55468769756135</v>
      </c>
      <c r="AF6">
        <f>AE6/AE12</f>
        <v>13.802535552840972</v>
      </c>
      <c r="AG6">
        <f>FDIST(AF6,AD6,AD12)</f>
        <v>3.7202509924245117E-4</v>
      </c>
      <c r="AH6" s="784" t="str">
        <f>IF(AG6&lt;AG3,"yes","no")</f>
        <v>yes</v>
      </c>
    </row>
    <row r="7" spans="1:34" x14ac:dyDescent="0.25">
      <c r="A7" s="273" t="s">
        <v>130</v>
      </c>
      <c r="B7" s="272" t="s">
        <v>655</v>
      </c>
      <c r="C7" s="8" t="s">
        <v>659</v>
      </c>
      <c r="D7" s="7">
        <v>31</v>
      </c>
      <c r="E7" s="7">
        <v>29</v>
      </c>
      <c r="F7" s="7">
        <v>40</v>
      </c>
      <c r="G7" s="7">
        <v>31</v>
      </c>
      <c r="H7" s="7">
        <v>35</v>
      </c>
      <c r="I7" s="7">
        <v>25</v>
      </c>
      <c r="J7" s="7">
        <v>18</v>
      </c>
      <c r="K7" s="7">
        <v>29</v>
      </c>
      <c r="L7" s="7">
        <v>36</v>
      </c>
      <c r="M7" s="7">
        <v>42</v>
      </c>
      <c r="N7" s="7">
        <v>40</v>
      </c>
      <c r="O7" s="8">
        <v>36</v>
      </c>
      <c r="Q7" s="501" t="str">
        <v>Male</v>
      </c>
      <c r="R7" s="7" t="str">
        <v>Italian</v>
      </c>
      <c r="S7" s="7" t="str">
        <v>Seated</v>
      </c>
      <c r="T7" s="57">
        <v>13</v>
      </c>
      <c r="V7" s="501"/>
      <c r="W7" s="7" t="str">
        <v>Italian</v>
      </c>
      <c r="X7" s="57"/>
      <c r="Y7" s="501">
        <f>SUMIF($W$22:$W$29,W7,$Y$22:$Y$29)</f>
        <v>43</v>
      </c>
      <c r="Z7" s="57">
        <f>IF(Y7=0,"",AVERAGEIF($W$22:$W$29,W7,$Z$22:$Z$29))</f>
        <v>21.9</v>
      </c>
      <c r="AB7" t="s">
        <v>132</v>
      </c>
      <c r="AC7">
        <v>21.024279302061586</v>
      </c>
      <c r="AD7">
        <f>COUNT(Z8:Z9)-1</f>
        <v>1</v>
      </c>
      <c r="AE7">
        <f t="shared" si="0"/>
        <v>21.024279302061586</v>
      </c>
      <c r="AF7">
        <f>AE7/AE12</f>
        <v>0.41246027865897406</v>
      </c>
      <c r="AG7">
        <f>FDIST(AF7,AD7,AD12)</f>
        <v>0.52253696728527466</v>
      </c>
      <c r="AH7" s="784" t="str">
        <f>IF(AG7&lt;AG3,"yes","no")</f>
        <v>no</v>
      </c>
    </row>
    <row r="8" spans="1:34" x14ac:dyDescent="0.25">
      <c r="A8" s="273" t="s">
        <v>108</v>
      </c>
      <c r="B8" s="272" t="s">
        <v>654</v>
      </c>
      <c r="C8" s="8" t="s">
        <v>658</v>
      </c>
      <c r="D8" s="7">
        <v>19</v>
      </c>
      <c r="E8" s="7">
        <v>28</v>
      </c>
      <c r="F8" s="7">
        <v>31</v>
      </c>
      <c r="G8" s="7">
        <v>23</v>
      </c>
      <c r="H8" s="7">
        <v>19</v>
      </c>
      <c r="I8" s="7">
        <v>14</v>
      </c>
      <c r="J8" s="7">
        <v>4</v>
      </c>
      <c r="K8" s="7">
        <v>29</v>
      </c>
      <c r="L8" s="7">
        <v>18</v>
      </c>
      <c r="M8" s="7">
        <v>22</v>
      </c>
      <c r="N8" s="7">
        <v>18</v>
      </c>
      <c r="O8" s="8">
        <v>24</v>
      </c>
      <c r="Q8" s="501" t="str">
        <v>Male</v>
      </c>
      <c r="R8" s="7" t="str">
        <v>Italian</v>
      </c>
      <c r="S8" s="7" t="str">
        <v>Seated</v>
      </c>
      <c r="T8" s="57">
        <v>31</v>
      </c>
      <c r="V8" s="501"/>
      <c r="W8" s="7"/>
      <c r="X8" s="57" t="str">
        <f t="array" ref="X8:X9">[1]!SortUnique(S3:S91)</f>
        <v>Prone</v>
      </c>
      <c r="Y8" s="501">
        <f>SUMIF($X$22:$X$29,X8,$Y$22:$Y$29)</f>
        <v>42</v>
      </c>
      <c r="Z8" s="57">
        <f>IF(Y8=0,"",AVERAGEIF($X$22:$X$29,X8,$Z$22:$Z$29))</f>
        <v>24.23712121212121</v>
      </c>
      <c r="AB8" t="s">
        <v>622</v>
      </c>
      <c r="AC8">
        <v>24.587561638639272</v>
      </c>
      <c r="AD8">
        <f>AD6*AD5</f>
        <v>1</v>
      </c>
      <c r="AE8">
        <f t="shared" si="0"/>
        <v>24.587561638639272</v>
      </c>
      <c r="AF8">
        <f>AE8/AE12</f>
        <v>0.48236576290267491</v>
      </c>
      <c r="AG8">
        <f>FDIST(AF8,AD8,AD12)</f>
        <v>0.48934003163836859</v>
      </c>
      <c r="AH8" s="784" t="str">
        <f>IF(AG8&lt;AG3,"yes","no")</f>
        <v>no</v>
      </c>
    </row>
    <row r="9" spans="1:34" x14ac:dyDescent="0.25">
      <c r="A9" s="273" t="s">
        <v>108</v>
      </c>
      <c r="B9" s="272" t="s">
        <v>654</v>
      </c>
      <c r="C9" s="8" t="s">
        <v>659</v>
      </c>
      <c r="D9" s="7">
        <v>29</v>
      </c>
      <c r="E9" s="7">
        <v>25</v>
      </c>
      <c r="F9" s="7">
        <v>17</v>
      </c>
      <c r="G9" s="7">
        <v>12</v>
      </c>
      <c r="H9" s="7">
        <v>26</v>
      </c>
      <c r="I9" s="7">
        <v>35</v>
      </c>
      <c r="J9" s="7">
        <v>10</v>
      </c>
      <c r="K9" s="7">
        <v>23</v>
      </c>
      <c r="L9" s="7">
        <v>26</v>
      </c>
      <c r="M9" s="7">
        <v>18</v>
      </c>
      <c r="N9" s="7"/>
      <c r="O9" s="8"/>
      <c r="Q9" s="501" t="str">
        <v>Male</v>
      </c>
      <c r="R9" s="7" t="str">
        <v>Italian</v>
      </c>
      <c r="S9" s="7" t="str">
        <v>Seated</v>
      </c>
      <c r="T9" s="57">
        <v>26</v>
      </c>
      <c r="V9" s="759"/>
      <c r="W9" s="760"/>
      <c r="X9" s="761" t="str">
        <v>Seated</v>
      </c>
      <c r="Y9" s="759">
        <f>SUMIF($X$22:$X$29,X9,$Y$22:$Y$29)</f>
        <v>47</v>
      </c>
      <c r="Z9" s="761">
        <f>IF(Y9=0,"",AVERAGEIF($X$22:$X$29,X9,$Z$22:$Z$29))</f>
        <v>25.214015151515152</v>
      </c>
      <c r="AB9" t="s">
        <v>624</v>
      </c>
      <c r="AC9">
        <v>407.13048741939565</v>
      </c>
      <c r="AD9">
        <f>AD7*AD5</f>
        <v>1</v>
      </c>
      <c r="AE9">
        <f t="shared" si="0"/>
        <v>407.13048741939565</v>
      </c>
      <c r="AF9">
        <f>AE9/AE12</f>
        <v>7.9872014578450523</v>
      </c>
      <c r="AG9">
        <f>FDIST(AF9,AD8,AD12)</f>
        <v>5.9314595673458708E-3</v>
      </c>
      <c r="AH9" s="784" t="str">
        <f>IF(AG9&lt;AG3,"yes","no")</f>
        <v>yes</v>
      </c>
    </row>
    <row r="10" spans="1:34" x14ac:dyDescent="0.25">
      <c r="A10" s="273" t="s">
        <v>108</v>
      </c>
      <c r="B10" s="272" t="s">
        <v>655</v>
      </c>
      <c r="C10" s="8" t="s">
        <v>658</v>
      </c>
      <c r="D10" s="7">
        <v>28</v>
      </c>
      <c r="E10" s="7">
        <v>37</v>
      </c>
      <c r="F10" s="7">
        <v>22</v>
      </c>
      <c r="G10" s="7">
        <v>44</v>
      </c>
      <c r="H10" s="7">
        <v>37</v>
      </c>
      <c r="I10" s="7">
        <v>42</v>
      </c>
      <c r="J10" s="7">
        <v>30</v>
      </c>
      <c r="K10" s="7">
        <v>37</v>
      </c>
      <c r="L10" s="7">
        <v>25</v>
      </c>
      <c r="M10" s="7">
        <v>38</v>
      </c>
      <c r="N10" s="7">
        <v>41</v>
      </c>
      <c r="O10" s="8">
        <v>28</v>
      </c>
      <c r="Q10" s="501" t="str">
        <v>Male</v>
      </c>
      <c r="R10" s="7" t="str">
        <v>Italian</v>
      </c>
      <c r="S10" s="7" t="str">
        <v>Seated</v>
      </c>
      <c r="T10" s="57">
        <v>34</v>
      </c>
      <c r="V10" s="793" t="str">
        <f>$V$4</f>
        <v>Female</v>
      </c>
      <c r="W10" s="794" t="str">
        <f>$W6</f>
        <v>Foreign</v>
      </c>
      <c r="X10" s="795"/>
      <c r="Y10" s="793">
        <f>SUMIFS($Y$22:$Y$29,$V$22:$V$29,V10,$W$22:$W$29,W10)</f>
        <v>23</v>
      </c>
      <c r="Z10" s="795">
        <f>IF(Y10=0,"",AVERAGEIFS($Z$22:$Z$29,$V$22:$V$29,V10,$W$22:$W$29,W10))</f>
        <v>28.132575757575758</v>
      </c>
      <c r="AB10" t="s">
        <v>626</v>
      </c>
      <c r="AC10">
        <v>11.519411430017499</v>
      </c>
      <c r="AD10">
        <f>AD7*AD6</f>
        <v>1</v>
      </c>
      <c r="AE10">
        <f t="shared" si="0"/>
        <v>11.519411430017499</v>
      </c>
      <c r="AF10">
        <f>AE10/AE12</f>
        <v>0.22599108298311507</v>
      </c>
      <c r="AG10">
        <f>FDIST(AF10,AD10,AD12)</f>
        <v>0.63579192681539265</v>
      </c>
      <c r="AH10" s="784" t="str">
        <f>IF(AG10&lt;AG3,"yes","no")</f>
        <v>no</v>
      </c>
    </row>
    <row r="11" spans="1:34" x14ac:dyDescent="0.25">
      <c r="A11" s="9" t="s">
        <v>108</v>
      </c>
      <c r="B11" s="168" t="s">
        <v>655</v>
      </c>
      <c r="C11" s="11" t="s">
        <v>659</v>
      </c>
      <c r="D11" s="10">
        <v>35</v>
      </c>
      <c r="E11" s="10">
        <v>23</v>
      </c>
      <c r="F11" s="10">
        <v>24</v>
      </c>
      <c r="G11" s="10">
        <v>11</v>
      </c>
      <c r="H11" s="10">
        <v>23</v>
      </c>
      <c r="I11" s="10">
        <v>30</v>
      </c>
      <c r="J11" s="10">
        <v>26</v>
      </c>
      <c r="K11" s="10">
        <v>16</v>
      </c>
      <c r="L11" s="10">
        <v>23</v>
      </c>
      <c r="M11" s="10">
        <v>14</v>
      </c>
      <c r="N11" s="10">
        <v>19</v>
      </c>
      <c r="O11" s="11"/>
      <c r="Q11" s="501" t="str">
        <v>Male</v>
      </c>
      <c r="R11" s="7" t="str">
        <v>Italian</v>
      </c>
      <c r="S11" s="7" t="str">
        <v>Seated</v>
      </c>
      <c r="T11" s="57">
        <v>17</v>
      </c>
      <c r="V11" s="501" t="str">
        <f>$V$4</f>
        <v>Female</v>
      </c>
      <c r="W11" s="7" t="str">
        <f>$W7</f>
        <v>Italian</v>
      </c>
      <c r="X11" s="57"/>
      <c r="Y11" s="501">
        <f>SUMIFS($Y$22:$Y$29,$V$22:$V$29,V11,$W$22:$W$29,W11)</f>
        <v>22</v>
      </c>
      <c r="Z11" s="57">
        <f>IF(Y11=0,"",AVERAGEIFS($Z$22:$Z$29,$V$22:$V$29,V11,$W$22:$W$29,W11))</f>
        <v>21.425000000000001</v>
      </c>
      <c r="AB11" t="s">
        <v>628</v>
      </c>
      <c r="AC11">
        <v>1189.7800006321886</v>
      </c>
      <c r="AD11">
        <f>AD7*AD6*AD5</f>
        <v>1</v>
      </c>
      <c r="AE11">
        <f t="shared" si="0"/>
        <v>1189.7800006321886</v>
      </c>
      <c r="AF11">
        <f>AE11/AE12</f>
        <v>23.3414417470903</v>
      </c>
      <c r="AG11">
        <f>FDIST(AF11,AD11,AD12)</f>
        <v>6.3250483866490216E-6</v>
      </c>
      <c r="AH11" s="784" t="str">
        <f>IF(AG11&lt;AG3,"yes","no")</f>
        <v>yes</v>
      </c>
    </row>
    <row r="12" spans="1:34" x14ac:dyDescent="0.25">
      <c r="Q12" s="501" t="str">
        <v>Male</v>
      </c>
      <c r="R12" s="7" t="str">
        <v>Italian</v>
      </c>
      <c r="S12" s="7" t="str">
        <v>Seated</v>
      </c>
      <c r="T12" s="57">
        <v>23</v>
      </c>
      <c r="V12" s="501" t="str">
        <f>$V$5</f>
        <v>Male</v>
      </c>
      <c r="W12" s="7" t="str">
        <f>$W6</f>
        <v>Foreign</v>
      </c>
      <c r="X12" s="57"/>
      <c r="Y12" s="501">
        <f>SUMIFS($Y$22:$Y$29,$V$22:$V$29,V12,$W$22:$W$29,W12)</f>
        <v>23</v>
      </c>
      <c r="Z12" s="57">
        <f>IF(Y12=0,"",AVERAGEIFS($Z$22:$Z$29,$V$22:$V$29,V12,$W$22:$W$29,W12))</f>
        <v>26.969696969696969</v>
      </c>
      <c r="AB12" t="s">
        <v>600</v>
      </c>
      <c r="AC12">
        <v>4128.8015151515156</v>
      </c>
      <c r="AD12">
        <f>Y30-(AD5+1)*(AD6+1)*(AD7+1)</f>
        <v>81</v>
      </c>
      <c r="AE12">
        <f t="shared" si="0"/>
        <v>50.972858211747109</v>
      </c>
    </row>
    <row r="13" spans="1:34" x14ac:dyDescent="0.25">
      <c r="Q13" s="501" t="str">
        <v>Male</v>
      </c>
      <c r="R13" s="7" t="str">
        <v>Italian</v>
      </c>
      <c r="S13" s="7" t="str">
        <v>Seated</v>
      </c>
      <c r="T13" s="57">
        <v>28</v>
      </c>
      <c r="V13" s="759" t="str">
        <f>$V$5</f>
        <v>Male</v>
      </c>
      <c r="W13" s="760" t="str">
        <f>$W7</f>
        <v>Italian</v>
      </c>
      <c r="X13" s="761"/>
      <c r="Y13" s="759">
        <f>SUMIFS($Y$22:$Y$29,$V$22:$V$29,V13,$W$22:$W$29,W13)</f>
        <v>21</v>
      </c>
      <c r="Z13" s="761">
        <f>IF(Y13=0,"",AVERAGEIFS($Z$22:$Z$29,$V$22:$V$29,V13,$W$22:$W$29,W13))</f>
        <v>22.375</v>
      </c>
      <c r="AB13" s="762" t="s">
        <v>1</v>
      </c>
      <c r="AC13" s="762">
        <f>Z31</f>
        <v>6590.9887640449451</v>
      </c>
      <c r="AD13" s="762">
        <f>Y30-1</f>
        <v>88</v>
      </c>
      <c r="AE13" s="762">
        <f t="shared" si="0"/>
        <v>74.897599591419834</v>
      </c>
      <c r="AF13" s="762"/>
      <c r="AG13" s="762"/>
      <c r="AH13" s="762"/>
    </row>
    <row r="14" spans="1:34" x14ac:dyDescent="0.25">
      <c r="Q14" s="501" t="str">
        <v>Male</v>
      </c>
      <c r="R14" s="7" t="str">
        <v>Italian</v>
      </c>
      <c r="S14" s="7" t="str">
        <v>Seated</v>
      </c>
      <c r="T14" s="57">
        <v>26</v>
      </c>
      <c r="V14" s="793" t="str">
        <f>$V$4</f>
        <v>Female</v>
      </c>
      <c r="W14" s="794"/>
      <c r="X14" s="795" t="str">
        <f>$X8</f>
        <v>Prone</v>
      </c>
      <c r="Y14" s="793">
        <f>SUMIFS($Y$22:$Y$29,$V$22:$V$29,V14,$X$22:$X$29,X14)</f>
        <v>21</v>
      </c>
      <c r="Z14" s="795">
        <f>IF(Y14=0,"",AVERAGEIFS($Z$22:$Z$29,$V$22:$V$29,V14,$X$22:$X$29,X14))</f>
        <v>22.140909090909091</v>
      </c>
    </row>
    <row r="15" spans="1:34" x14ac:dyDescent="0.25">
      <c r="Q15" s="501" t="str">
        <v>Male</v>
      </c>
      <c r="R15" s="7" t="str">
        <v>Italian</v>
      </c>
      <c r="S15" s="7" t="str">
        <v>Prone</v>
      </c>
      <c r="T15" s="57">
        <v>24</v>
      </c>
      <c r="V15" s="501" t="str">
        <f>$V$4</f>
        <v>Female</v>
      </c>
      <c r="W15" s="7"/>
      <c r="X15" s="57" t="str">
        <f>$X9</f>
        <v>Seated</v>
      </c>
      <c r="Y15" s="501">
        <f>SUMIFS($Y$22:$Y$29,$V$22:$V$29,V15,$X$22:$X$29,X15)</f>
        <v>24</v>
      </c>
      <c r="Z15" s="57">
        <f>IF(Y15=0,"",AVERAGEIFS($Z$22:$Z$29,$V$22:$V$29,V15,$X$22:$X$29,X15))</f>
        <v>27.416666666666668</v>
      </c>
    </row>
    <row r="16" spans="1:34" x14ac:dyDescent="0.25">
      <c r="Q16" s="501" t="str">
        <v>Male</v>
      </c>
      <c r="R16" s="7" t="str">
        <v>Italian</v>
      </c>
      <c r="S16" s="7" t="str">
        <v>Prone</v>
      </c>
      <c r="T16" s="57">
        <v>25</v>
      </c>
      <c r="V16" s="501" t="str">
        <f>$V$5</f>
        <v>Male</v>
      </c>
      <c r="W16" s="7"/>
      <c r="X16" s="57" t="str">
        <f>$X8</f>
        <v>Prone</v>
      </c>
      <c r="Y16" s="501">
        <f>SUMIFS($Y$22:$Y$29,$V$22:$V$29,V16,$X$22:$X$29,X16)</f>
        <v>21</v>
      </c>
      <c r="Z16" s="57">
        <f>IF(Y16=0,"",AVERAGEIFS($Z$22:$Z$29,$V$22:$V$29,V16,$X$22:$X$29,X16))</f>
        <v>26.333333333333332</v>
      </c>
    </row>
    <row r="17" spans="17:26" x14ac:dyDescent="0.25">
      <c r="Q17" s="501" t="str">
        <v>Male</v>
      </c>
      <c r="R17" s="7" t="str">
        <v>Italian</v>
      </c>
      <c r="S17" s="7" t="str">
        <v>Prone</v>
      </c>
      <c r="T17" s="57">
        <v>14</v>
      </c>
      <c r="V17" s="759" t="str">
        <f>$V$5</f>
        <v>Male</v>
      </c>
      <c r="W17" s="760"/>
      <c r="X17" s="761" t="str">
        <f>$X9</f>
        <v>Seated</v>
      </c>
      <c r="Y17" s="759">
        <f>SUMIFS($Y$22:$Y$29,$V$22:$V$29,V17,$X$22:$X$29,X17)</f>
        <v>23</v>
      </c>
      <c r="Z17" s="761">
        <f>IF(Y17=0,"",AVERAGEIFS($Z$22:$Z$29,$V$22:$V$29,V17,$X$22:$X$29,X17))</f>
        <v>23.011363636363637</v>
      </c>
    </row>
    <row r="18" spans="17:26" x14ac:dyDescent="0.25">
      <c r="Q18" s="501" t="str">
        <v>Male</v>
      </c>
      <c r="R18" s="7" t="str">
        <v>Italian</v>
      </c>
      <c r="S18" s="7" t="str">
        <v>Prone</v>
      </c>
      <c r="T18" s="57">
        <v>17</v>
      </c>
      <c r="V18" s="793"/>
      <c r="W18" s="794" t="str">
        <f>$W$6</f>
        <v>Foreign</v>
      </c>
      <c r="X18" s="795" t="str">
        <f>$X8</f>
        <v>Prone</v>
      </c>
      <c r="Y18" s="793">
        <f>SUMIFS($Y$22:$Y$29,$W$22:$W$29,W18,$X$22:$X$29,X18)</f>
        <v>23</v>
      </c>
      <c r="Z18" s="795">
        <f>IF(Y18=0,"",AVERAGEIFS($Z$22:$Z$29,$W$22:$W$29,W18,$X$22:$X$29,X18))</f>
        <v>27.424242424242422</v>
      </c>
    </row>
    <row r="19" spans="17:26" x14ac:dyDescent="0.25">
      <c r="Q19" s="501" t="str">
        <v>Male</v>
      </c>
      <c r="R19" s="7" t="str">
        <v>Italian</v>
      </c>
      <c r="S19" s="7" t="str">
        <v>Prone</v>
      </c>
      <c r="T19" s="57">
        <v>30</v>
      </c>
      <c r="V19" s="501"/>
      <c r="W19" s="7" t="str">
        <f>$W$6</f>
        <v>Foreign</v>
      </c>
      <c r="X19" s="57" t="str">
        <f>$X9</f>
        <v>Seated</v>
      </c>
      <c r="Y19" s="501">
        <f>SUMIFS($Y$22:$Y$29,$W$22:$W$29,W19,$X$22:$X$29,X19)</f>
        <v>23</v>
      </c>
      <c r="Z19" s="57">
        <f>IF(Y19=0,"",AVERAGEIFS($Z$22:$Z$29,$W$22:$W$29,W19,$X$22:$X$29,X19))</f>
        <v>27.678030303030305</v>
      </c>
    </row>
    <row r="20" spans="17:26" x14ac:dyDescent="0.25">
      <c r="Q20" s="501" t="str">
        <v>Male</v>
      </c>
      <c r="R20" s="7" t="str">
        <v>Italian</v>
      </c>
      <c r="S20" s="7" t="str">
        <v>Prone</v>
      </c>
      <c r="T20" s="57">
        <v>18</v>
      </c>
      <c r="V20" s="501"/>
      <c r="W20" s="7" t="str">
        <f>$W$7</f>
        <v>Italian</v>
      </c>
      <c r="X20" s="57" t="str">
        <f>$X8</f>
        <v>Prone</v>
      </c>
      <c r="Y20" s="501">
        <f>SUMIFS($Y$22:$Y$29,$W$22:$W$29,W20,$X$22:$X$29,X20)</f>
        <v>19</v>
      </c>
      <c r="Z20" s="57">
        <f>IF(Y20=0,"",AVERAGEIFS($Z$22:$Z$29,$W$22:$W$29,W20,$X$22:$X$29,X20))</f>
        <v>21.05</v>
      </c>
    </row>
    <row r="21" spans="17:26" x14ac:dyDescent="0.25">
      <c r="Q21" s="501" t="str">
        <v>Male</v>
      </c>
      <c r="R21" s="7" t="str">
        <v>Italian</v>
      </c>
      <c r="S21" s="7" t="str">
        <v>Prone</v>
      </c>
      <c r="T21" s="57">
        <v>11</v>
      </c>
      <c r="V21" s="759"/>
      <c r="W21" s="760" t="str">
        <f>$W$7</f>
        <v>Italian</v>
      </c>
      <c r="X21" s="761" t="str">
        <f>$X9</f>
        <v>Seated</v>
      </c>
      <c r="Y21" s="759">
        <f>SUMIFS($Y$22:$Y$29,$W$22:$W$29,W21,$X$22:$X$29,X21)</f>
        <v>24</v>
      </c>
      <c r="Z21" s="761">
        <f>IF(Y21=0,"",AVERAGEIFS($Z$22:$Z$29,$W$22:$W$29,W21,$X$22:$X$29,X21))</f>
        <v>22.75</v>
      </c>
    </row>
    <row r="22" spans="17:26" x14ac:dyDescent="0.25">
      <c r="Q22" s="501" t="str">
        <v>Male</v>
      </c>
      <c r="R22" s="7" t="str">
        <v>Italian</v>
      </c>
      <c r="S22" s="7" t="str">
        <v>Prone</v>
      </c>
      <c r="T22" s="57">
        <v>16</v>
      </c>
      <c r="V22" s="793" t="str">
        <f>$V$4</f>
        <v>Female</v>
      </c>
      <c r="W22" s="794" t="str">
        <f t="shared" ref="W22:X29" si="1">W18</f>
        <v>Foreign</v>
      </c>
      <c r="X22" s="795" t="str">
        <f t="shared" si="1"/>
        <v>Prone</v>
      </c>
      <c r="Y22" s="793">
        <f>COUNTIFS($Q$3:$Q$91,$V22,$R$3:$R$91,$W22,$S$3:$S$91,$X22)</f>
        <v>11</v>
      </c>
      <c r="Z22" s="795">
        <f>IF(Y22=0,"",AVERAGEIFS($T$3:$T$91,$Q$3:$Q$91,$V22,$R$3:$R$91,$W22,$S$3:$S$91,$X22))</f>
        <v>22.181818181818183</v>
      </c>
    </row>
    <row r="23" spans="17:26" x14ac:dyDescent="0.25">
      <c r="Q23" s="501" t="str">
        <v>Male</v>
      </c>
      <c r="R23" s="7" t="str">
        <v>Italian</v>
      </c>
      <c r="S23" s="7" t="str">
        <v>Prone</v>
      </c>
      <c r="T23" s="57">
        <v>25</v>
      </c>
      <c r="V23" s="501" t="str">
        <f>$V$4</f>
        <v>Female</v>
      </c>
      <c r="W23" s="7" t="str">
        <f t="shared" si="1"/>
        <v>Foreign</v>
      </c>
      <c r="X23" s="57" t="str">
        <f t="shared" si="1"/>
        <v>Seated</v>
      </c>
      <c r="Y23" s="501">
        <f t="shared" ref="Y23:Y29" si="2">COUNTIFS($Q$3:$Q$91,$V23,$R$3:$R$91,$W23,$S$3:$S$91,$X23)</f>
        <v>12</v>
      </c>
      <c r="Z23" s="57">
        <f t="shared" ref="Z23:Z29" si="3">IF(Y23=0,"",AVERAGEIFS($T$3:$T$91,$Q$3:$Q$91,$V23,$R$3:$R$91,$W23,$S$3:$S$91,$X23))</f>
        <v>34.083333333333336</v>
      </c>
    </row>
    <row r="24" spans="17:26" x14ac:dyDescent="0.25">
      <c r="Q24" s="501" t="str">
        <v>Male</v>
      </c>
      <c r="R24" s="7" t="str">
        <v>Foreign</v>
      </c>
      <c r="S24" s="7" t="str">
        <v>Seated</v>
      </c>
      <c r="T24" s="57">
        <v>16</v>
      </c>
      <c r="V24" s="501" t="str">
        <f>$V$4</f>
        <v>Female</v>
      </c>
      <c r="W24" s="7" t="str">
        <f t="shared" si="1"/>
        <v>Italian</v>
      </c>
      <c r="X24" s="57" t="str">
        <f t="shared" si="1"/>
        <v>Prone</v>
      </c>
      <c r="Y24" s="501">
        <f t="shared" si="2"/>
        <v>10</v>
      </c>
      <c r="Z24" s="57">
        <f t="shared" si="3"/>
        <v>22.1</v>
      </c>
    </row>
    <row r="25" spans="17:26" x14ac:dyDescent="0.25">
      <c r="Q25" s="501" t="str">
        <v>Male</v>
      </c>
      <c r="R25" s="7" t="str">
        <v>Foreign</v>
      </c>
      <c r="S25" s="7" t="str">
        <v>Seated</v>
      </c>
      <c r="T25" s="57">
        <v>31</v>
      </c>
      <c r="V25" s="501" t="str">
        <f>$V$4</f>
        <v>Female</v>
      </c>
      <c r="W25" s="7" t="str">
        <f t="shared" si="1"/>
        <v>Italian</v>
      </c>
      <c r="X25" s="57" t="str">
        <f t="shared" si="1"/>
        <v>Seated</v>
      </c>
      <c r="Y25" s="501">
        <f t="shared" si="2"/>
        <v>12</v>
      </c>
      <c r="Z25" s="57">
        <f t="shared" si="3"/>
        <v>20.75</v>
      </c>
    </row>
    <row r="26" spans="17:26" x14ac:dyDescent="0.25">
      <c r="Q26" s="501" t="str">
        <v>Male</v>
      </c>
      <c r="R26" s="7" t="str">
        <v>Foreign</v>
      </c>
      <c r="S26" s="7" t="str">
        <v>Seated</v>
      </c>
      <c r="T26" s="57">
        <v>17</v>
      </c>
      <c r="V26" s="501" t="str">
        <f>$V$5</f>
        <v>Male</v>
      </c>
      <c r="W26" s="7" t="str">
        <f t="shared" si="1"/>
        <v>Foreign</v>
      </c>
      <c r="X26" s="57" t="str">
        <f t="shared" si="1"/>
        <v>Prone</v>
      </c>
      <c r="Y26" s="501">
        <f t="shared" si="2"/>
        <v>12</v>
      </c>
      <c r="Z26" s="57">
        <f t="shared" si="3"/>
        <v>32.666666666666664</v>
      </c>
    </row>
    <row r="27" spans="17:26" x14ac:dyDescent="0.25">
      <c r="Q27" s="501" t="str">
        <v>Male</v>
      </c>
      <c r="R27" s="7" t="str">
        <v>Foreign</v>
      </c>
      <c r="S27" s="7" t="str">
        <v>Seated</v>
      </c>
      <c r="T27" s="57">
        <v>11</v>
      </c>
      <c r="V27" s="501" t="str">
        <f>$V$5</f>
        <v>Male</v>
      </c>
      <c r="W27" s="7" t="str">
        <f t="shared" si="1"/>
        <v>Foreign</v>
      </c>
      <c r="X27" s="57" t="str">
        <f t="shared" si="1"/>
        <v>Seated</v>
      </c>
      <c r="Y27" s="501">
        <f t="shared" si="2"/>
        <v>11</v>
      </c>
      <c r="Z27" s="57">
        <f t="shared" si="3"/>
        <v>21.272727272727273</v>
      </c>
    </row>
    <row r="28" spans="17:26" x14ac:dyDescent="0.25">
      <c r="Q28" s="501" t="str">
        <v>Male</v>
      </c>
      <c r="R28" s="7" t="str">
        <v>Foreign</v>
      </c>
      <c r="S28" s="7" t="str">
        <v>Seated</v>
      </c>
      <c r="T28" s="57">
        <v>34</v>
      </c>
      <c r="V28" s="501" t="str">
        <f>$V$5</f>
        <v>Male</v>
      </c>
      <c r="W28" s="7" t="str">
        <f t="shared" si="1"/>
        <v>Italian</v>
      </c>
      <c r="X28" s="57" t="str">
        <f t="shared" si="1"/>
        <v>Prone</v>
      </c>
      <c r="Y28" s="501">
        <f t="shared" si="2"/>
        <v>9</v>
      </c>
      <c r="Z28" s="57">
        <f t="shared" si="3"/>
        <v>20</v>
      </c>
    </row>
    <row r="29" spans="17:26" x14ac:dyDescent="0.25">
      <c r="Q29" s="501" t="str">
        <v>Male</v>
      </c>
      <c r="R29" s="7" t="str">
        <v>Foreign</v>
      </c>
      <c r="S29" s="7" t="str">
        <v>Seated</v>
      </c>
      <c r="T29" s="57">
        <v>24</v>
      </c>
      <c r="V29" s="759" t="str">
        <f>$V$5</f>
        <v>Male</v>
      </c>
      <c r="W29" s="760" t="str">
        <f t="shared" si="1"/>
        <v>Italian</v>
      </c>
      <c r="X29" s="761" t="str">
        <f t="shared" si="1"/>
        <v>Seated</v>
      </c>
      <c r="Y29" s="759">
        <f t="shared" si="2"/>
        <v>12</v>
      </c>
      <c r="Z29" s="761">
        <f t="shared" si="3"/>
        <v>24.75</v>
      </c>
    </row>
    <row r="30" spans="17:26" x14ac:dyDescent="0.25">
      <c r="Q30" s="501" t="str">
        <v>Male</v>
      </c>
      <c r="R30" s="7" t="str">
        <v>Foreign</v>
      </c>
      <c r="S30" s="7" t="str">
        <v>Seated</v>
      </c>
      <c r="T30" s="57">
        <v>24</v>
      </c>
      <c r="Y30">
        <f>SUM(Y22:Y29)</f>
        <v>89</v>
      </c>
      <c r="Z30">
        <f>AVERAGE(Z22:Z29)</f>
        <v>24.725568181818183</v>
      </c>
    </row>
    <row r="31" spans="17:26" x14ac:dyDescent="0.25">
      <c r="Q31" s="501" t="str">
        <v>Male</v>
      </c>
      <c r="R31" s="7" t="str">
        <v>Foreign</v>
      </c>
      <c r="S31" s="7" t="str">
        <v>Seated</v>
      </c>
      <c r="T31" s="57">
        <v>19</v>
      </c>
      <c r="Y31" s="13" t="s">
        <v>619</v>
      </c>
      <c r="Z31" s="796">
        <f>DEVSQ(T3:T91)</f>
        <v>6590.9887640449451</v>
      </c>
    </row>
    <row r="32" spans="17:26" x14ac:dyDescent="0.25">
      <c r="Q32" s="501" t="str">
        <v>Male</v>
      </c>
      <c r="R32" s="7" t="str">
        <v>Foreign</v>
      </c>
      <c r="S32" s="7" t="str">
        <v>Seated</v>
      </c>
      <c r="T32" s="57">
        <v>31</v>
      </c>
    </row>
    <row r="33" spans="17:20" x14ac:dyDescent="0.25">
      <c r="Q33" s="501" t="str">
        <v>Male</v>
      </c>
      <c r="R33" s="7" t="str">
        <v>Foreign</v>
      </c>
      <c r="S33" s="7" t="str">
        <v>Seated</v>
      </c>
      <c r="T33" s="57">
        <v>16</v>
      </c>
    </row>
    <row r="34" spans="17:20" x14ac:dyDescent="0.25">
      <c r="Q34" s="501" t="str">
        <v>Male</v>
      </c>
      <c r="R34" s="7" t="str">
        <v>Foreign</v>
      </c>
      <c r="S34" s="7" t="str">
        <v>Seated</v>
      </c>
      <c r="T34" s="57">
        <v>11</v>
      </c>
    </row>
    <row r="35" spans="17:20" x14ac:dyDescent="0.25">
      <c r="Q35" s="501" t="str">
        <v>Male</v>
      </c>
      <c r="R35" s="7" t="str">
        <v>Foreign</v>
      </c>
      <c r="S35" s="7" t="str">
        <v>Prone</v>
      </c>
      <c r="T35" s="57">
        <v>31</v>
      </c>
    </row>
    <row r="36" spans="17:20" x14ac:dyDescent="0.25">
      <c r="Q36" s="501" t="str">
        <v>Male</v>
      </c>
      <c r="R36" s="7" t="str">
        <v>Foreign</v>
      </c>
      <c r="S36" s="7" t="str">
        <v>Prone</v>
      </c>
      <c r="T36" s="57">
        <v>29</v>
      </c>
    </row>
    <row r="37" spans="17:20" x14ac:dyDescent="0.25">
      <c r="Q37" s="501" t="str">
        <v>Male</v>
      </c>
      <c r="R37" s="7" t="str">
        <v>Foreign</v>
      </c>
      <c r="S37" s="7" t="str">
        <v>Prone</v>
      </c>
      <c r="T37" s="57">
        <v>40</v>
      </c>
    </row>
    <row r="38" spans="17:20" x14ac:dyDescent="0.25">
      <c r="Q38" s="501" t="str">
        <v>Male</v>
      </c>
      <c r="R38" s="7" t="str">
        <v>Foreign</v>
      </c>
      <c r="S38" s="7" t="str">
        <v>Prone</v>
      </c>
      <c r="T38" s="57">
        <v>31</v>
      </c>
    </row>
    <row r="39" spans="17:20" x14ac:dyDescent="0.25">
      <c r="Q39" s="501" t="str">
        <v>Male</v>
      </c>
      <c r="R39" s="7" t="str">
        <v>Foreign</v>
      </c>
      <c r="S39" s="7" t="str">
        <v>Prone</v>
      </c>
      <c r="T39" s="57">
        <v>35</v>
      </c>
    </row>
    <row r="40" spans="17:20" x14ac:dyDescent="0.25">
      <c r="Q40" s="501" t="str">
        <v>Male</v>
      </c>
      <c r="R40" s="7" t="str">
        <v>Foreign</v>
      </c>
      <c r="S40" s="7" t="str">
        <v>Prone</v>
      </c>
      <c r="T40" s="57">
        <v>25</v>
      </c>
    </row>
    <row r="41" spans="17:20" x14ac:dyDescent="0.25">
      <c r="Q41" s="501" t="str">
        <v>Male</v>
      </c>
      <c r="R41" s="7" t="str">
        <v>Foreign</v>
      </c>
      <c r="S41" s="7" t="str">
        <v>Prone</v>
      </c>
      <c r="T41" s="57">
        <v>18</v>
      </c>
    </row>
    <row r="42" spans="17:20" x14ac:dyDescent="0.25">
      <c r="Q42" s="501" t="str">
        <v>Male</v>
      </c>
      <c r="R42" s="7" t="str">
        <v>Foreign</v>
      </c>
      <c r="S42" s="7" t="str">
        <v>Prone</v>
      </c>
      <c r="T42" s="57">
        <v>29</v>
      </c>
    </row>
    <row r="43" spans="17:20" x14ac:dyDescent="0.25">
      <c r="Q43" s="501" t="str">
        <v>Male</v>
      </c>
      <c r="R43" s="7" t="str">
        <v>Foreign</v>
      </c>
      <c r="S43" s="7" t="str">
        <v>Prone</v>
      </c>
      <c r="T43" s="57">
        <v>36</v>
      </c>
    </row>
    <row r="44" spans="17:20" x14ac:dyDescent="0.25">
      <c r="Q44" s="501" t="str">
        <v>Male</v>
      </c>
      <c r="R44" s="7" t="str">
        <v>Foreign</v>
      </c>
      <c r="S44" s="7" t="str">
        <v>Prone</v>
      </c>
      <c r="T44" s="57">
        <v>42</v>
      </c>
    </row>
    <row r="45" spans="17:20" x14ac:dyDescent="0.25">
      <c r="Q45" s="501" t="str">
        <v>Male</v>
      </c>
      <c r="R45" s="7" t="str">
        <v>Foreign</v>
      </c>
      <c r="S45" s="7" t="str">
        <v>Prone</v>
      </c>
      <c r="T45" s="57">
        <v>40</v>
      </c>
    </row>
    <row r="46" spans="17:20" x14ac:dyDescent="0.25">
      <c r="Q46" s="501" t="str">
        <v>Male</v>
      </c>
      <c r="R46" s="7" t="str">
        <v>Foreign</v>
      </c>
      <c r="S46" s="7" t="str">
        <v>Prone</v>
      </c>
      <c r="T46" s="57">
        <v>36</v>
      </c>
    </row>
    <row r="47" spans="17:20" x14ac:dyDescent="0.25">
      <c r="Q47" s="501" t="str">
        <v>Female</v>
      </c>
      <c r="R47" s="7" t="str">
        <v>Italian</v>
      </c>
      <c r="S47" s="7" t="str">
        <v>Seated</v>
      </c>
      <c r="T47" s="57">
        <v>19</v>
      </c>
    </row>
    <row r="48" spans="17:20" x14ac:dyDescent="0.25">
      <c r="Q48" s="501" t="str">
        <v>Female</v>
      </c>
      <c r="R48" s="7" t="str">
        <v>Italian</v>
      </c>
      <c r="S48" s="7" t="str">
        <v>Seated</v>
      </c>
      <c r="T48" s="57">
        <v>28</v>
      </c>
    </row>
    <row r="49" spans="17:20" x14ac:dyDescent="0.25">
      <c r="Q49" s="501" t="str">
        <v>Female</v>
      </c>
      <c r="R49" s="7" t="str">
        <v>Italian</v>
      </c>
      <c r="S49" s="7" t="str">
        <v>Seated</v>
      </c>
      <c r="T49" s="57">
        <v>31</v>
      </c>
    </row>
    <row r="50" spans="17:20" x14ac:dyDescent="0.25">
      <c r="Q50" s="501" t="str">
        <v>Female</v>
      </c>
      <c r="R50" s="7" t="str">
        <v>Italian</v>
      </c>
      <c r="S50" s="7" t="str">
        <v>Seated</v>
      </c>
      <c r="T50" s="57">
        <v>23</v>
      </c>
    </row>
    <row r="51" spans="17:20" x14ac:dyDescent="0.25">
      <c r="Q51" s="501" t="str">
        <v>Female</v>
      </c>
      <c r="R51" s="7" t="str">
        <v>Italian</v>
      </c>
      <c r="S51" s="7" t="str">
        <v>Seated</v>
      </c>
      <c r="T51" s="57">
        <v>19</v>
      </c>
    </row>
    <row r="52" spans="17:20" x14ac:dyDescent="0.25">
      <c r="Q52" s="501" t="str">
        <v>Female</v>
      </c>
      <c r="R52" s="7" t="str">
        <v>Italian</v>
      </c>
      <c r="S52" s="7" t="str">
        <v>Seated</v>
      </c>
      <c r="T52" s="57">
        <v>14</v>
      </c>
    </row>
    <row r="53" spans="17:20" x14ac:dyDescent="0.25">
      <c r="Q53" s="501" t="str">
        <v>Female</v>
      </c>
      <c r="R53" s="7" t="str">
        <v>Italian</v>
      </c>
      <c r="S53" s="7" t="str">
        <v>Seated</v>
      </c>
      <c r="T53" s="57">
        <v>4</v>
      </c>
    </row>
    <row r="54" spans="17:20" x14ac:dyDescent="0.25">
      <c r="Q54" s="501" t="str">
        <v>Female</v>
      </c>
      <c r="R54" s="7" t="str">
        <v>Italian</v>
      </c>
      <c r="S54" s="7" t="str">
        <v>Seated</v>
      </c>
      <c r="T54" s="57">
        <v>29</v>
      </c>
    </row>
    <row r="55" spans="17:20" x14ac:dyDescent="0.25">
      <c r="Q55" s="501" t="str">
        <v>Female</v>
      </c>
      <c r="R55" s="7" t="str">
        <v>Italian</v>
      </c>
      <c r="S55" s="7" t="str">
        <v>Seated</v>
      </c>
      <c r="T55" s="57">
        <v>18</v>
      </c>
    </row>
    <row r="56" spans="17:20" x14ac:dyDescent="0.25">
      <c r="Q56" s="501" t="str">
        <v>Female</v>
      </c>
      <c r="R56" s="7" t="str">
        <v>Italian</v>
      </c>
      <c r="S56" s="7" t="str">
        <v>Seated</v>
      </c>
      <c r="T56" s="57">
        <v>22</v>
      </c>
    </row>
    <row r="57" spans="17:20" x14ac:dyDescent="0.25">
      <c r="Q57" s="501" t="str">
        <v>Female</v>
      </c>
      <c r="R57" s="7" t="str">
        <v>Italian</v>
      </c>
      <c r="S57" s="7" t="str">
        <v>Seated</v>
      </c>
      <c r="T57" s="57">
        <v>18</v>
      </c>
    </row>
    <row r="58" spans="17:20" x14ac:dyDescent="0.25">
      <c r="Q58" s="501" t="str">
        <v>Female</v>
      </c>
      <c r="R58" s="7" t="str">
        <v>Italian</v>
      </c>
      <c r="S58" s="7" t="str">
        <v>Seated</v>
      </c>
      <c r="T58" s="57">
        <v>24</v>
      </c>
    </row>
    <row r="59" spans="17:20" x14ac:dyDescent="0.25">
      <c r="Q59" s="501" t="str">
        <v>Female</v>
      </c>
      <c r="R59" s="7" t="str">
        <v>Italian</v>
      </c>
      <c r="S59" s="7" t="str">
        <v>Prone</v>
      </c>
      <c r="T59" s="57">
        <v>29</v>
      </c>
    </row>
    <row r="60" spans="17:20" x14ac:dyDescent="0.25">
      <c r="Q60" s="501" t="str">
        <v>Female</v>
      </c>
      <c r="R60" s="7" t="str">
        <v>Italian</v>
      </c>
      <c r="S60" s="7" t="str">
        <v>Prone</v>
      </c>
      <c r="T60" s="57">
        <v>25</v>
      </c>
    </row>
    <row r="61" spans="17:20" x14ac:dyDescent="0.25">
      <c r="Q61" s="501" t="str">
        <v>Female</v>
      </c>
      <c r="R61" s="7" t="str">
        <v>Italian</v>
      </c>
      <c r="S61" s="7" t="str">
        <v>Prone</v>
      </c>
      <c r="T61" s="57">
        <v>17</v>
      </c>
    </row>
    <row r="62" spans="17:20" x14ac:dyDescent="0.25">
      <c r="Q62" s="501" t="str">
        <v>Female</v>
      </c>
      <c r="R62" s="7" t="str">
        <v>Italian</v>
      </c>
      <c r="S62" s="7" t="str">
        <v>Prone</v>
      </c>
      <c r="T62" s="57">
        <v>12</v>
      </c>
    </row>
    <row r="63" spans="17:20" x14ac:dyDescent="0.25">
      <c r="Q63" s="501" t="str">
        <v>Female</v>
      </c>
      <c r="R63" s="7" t="str">
        <v>Italian</v>
      </c>
      <c r="S63" s="7" t="str">
        <v>Prone</v>
      </c>
      <c r="T63" s="57">
        <v>26</v>
      </c>
    </row>
    <row r="64" spans="17:20" x14ac:dyDescent="0.25">
      <c r="Q64" s="501" t="str">
        <v>Female</v>
      </c>
      <c r="R64" s="7" t="str">
        <v>Italian</v>
      </c>
      <c r="S64" s="7" t="str">
        <v>Prone</v>
      </c>
      <c r="T64" s="57">
        <v>35</v>
      </c>
    </row>
    <row r="65" spans="17:20" x14ac:dyDescent="0.25">
      <c r="Q65" s="501" t="str">
        <v>Female</v>
      </c>
      <c r="R65" s="7" t="str">
        <v>Italian</v>
      </c>
      <c r="S65" s="7" t="str">
        <v>Prone</v>
      </c>
      <c r="T65" s="57">
        <v>10</v>
      </c>
    </row>
    <row r="66" spans="17:20" x14ac:dyDescent="0.25">
      <c r="Q66" s="501" t="str">
        <v>Female</v>
      </c>
      <c r="R66" s="7" t="str">
        <v>Italian</v>
      </c>
      <c r="S66" s="7" t="str">
        <v>Prone</v>
      </c>
      <c r="T66" s="57">
        <v>23</v>
      </c>
    </row>
    <row r="67" spans="17:20" x14ac:dyDescent="0.25">
      <c r="Q67" s="501" t="str">
        <v>Female</v>
      </c>
      <c r="R67" s="7" t="str">
        <v>Italian</v>
      </c>
      <c r="S67" s="7" t="str">
        <v>Prone</v>
      </c>
      <c r="T67" s="57">
        <v>26</v>
      </c>
    </row>
    <row r="68" spans="17:20" x14ac:dyDescent="0.25">
      <c r="Q68" s="501" t="str">
        <v>Female</v>
      </c>
      <c r="R68" s="7" t="str">
        <v>Italian</v>
      </c>
      <c r="S68" s="7" t="str">
        <v>Prone</v>
      </c>
      <c r="T68" s="57">
        <v>18</v>
      </c>
    </row>
    <row r="69" spans="17:20" x14ac:dyDescent="0.25">
      <c r="Q69" s="501" t="str">
        <v>Female</v>
      </c>
      <c r="R69" s="7" t="str">
        <v>Foreign</v>
      </c>
      <c r="S69" s="7" t="str">
        <v>Seated</v>
      </c>
      <c r="T69" s="57">
        <v>28</v>
      </c>
    </row>
    <row r="70" spans="17:20" x14ac:dyDescent="0.25">
      <c r="Q70" s="501" t="str">
        <v>Female</v>
      </c>
      <c r="R70" s="7" t="str">
        <v>Foreign</v>
      </c>
      <c r="S70" s="7" t="str">
        <v>Seated</v>
      </c>
      <c r="T70" s="57">
        <v>37</v>
      </c>
    </row>
    <row r="71" spans="17:20" x14ac:dyDescent="0.25">
      <c r="Q71" s="501" t="str">
        <v>Female</v>
      </c>
      <c r="R71" s="7" t="str">
        <v>Foreign</v>
      </c>
      <c r="S71" s="7" t="str">
        <v>Seated</v>
      </c>
      <c r="T71" s="57">
        <v>22</v>
      </c>
    </row>
    <row r="72" spans="17:20" x14ac:dyDescent="0.25">
      <c r="Q72" s="501" t="str">
        <v>Female</v>
      </c>
      <c r="R72" s="7" t="str">
        <v>Foreign</v>
      </c>
      <c r="S72" s="7" t="str">
        <v>Seated</v>
      </c>
      <c r="T72" s="57">
        <v>44</v>
      </c>
    </row>
    <row r="73" spans="17:20" x14ac:dyDescent="0.25">
      <c r="Q73" s="501" t="str">
        <v>Female</v>
      </c>
      <c r="R73" s="7" t="str">
        <v>Foreign</v>
      </c>
      <c r="S73" s="7" t="str">
        <v>Seated</v>
      </c>
      <c r="T73" s="57">
        <v>37</v>
      </c>
    </row>
    <row r="74" spans="17:20" x14ac:dyDescent="0.25">
      <c r="Q74" s="501" t="str">
        <v>Female</v>
      </c>
      <c r="R74" s="7" t="str">
        <v>Foreign</v>
      </c>
      <c r="S74" s="7" t="str">
        <v>Seated</v>
      </c>
      <c r="T74" s="57">
        <v>42</v>
      </c>
    </row>
    <row r="75" spans="17:20" x14ac:dyDescent="0.25">
      <c r="Q75" s="501" t="str">
        <v>Female</v>
      </c>
      <c r="R75" s="7" t="str">
        <v>Foreign</v>
      </c>
      <c r="S75" s="7" t="str">
        <v>Seated</v>
      </c>
      <c r="T75" s="57">
        <v>30</v>
      </c>
    </row>
    <row r="76" spans="17:20" x14ac:dyDescent="0.25">
      <c r="Q76" s="501" t="str">
        <v>Female</v>
      </c>
      <c r="R76" s="7" t="str">
        <v>Foreign</v>
      </c>
      <c r="S76" s="7" t="str">
        <v>Seated</v>
      </c>
      <c r="T76" s="57">
        <v>37</v>
      </c>
    </row>
    <row r="77" spans="17:20" x14ac:dyDescent="0.25">
      <c r="Q77" s="501" t="str">
        <v>Female</v>
      </c>
      <c r="R77" s="7" t="str">
        <v>Foreign</v>
      </c>
      <c r="S77" s="7" t="str">
        <v>Seated</v>
      </c>
      <c r="T77" s="57">
        <v>25</v>
      </c>
    </row>
    <row r="78" spans="17:20" x14ac:dyDescent="0.25">
      <c r="Q78" s="501" t="str">
        <v>Female</v>
      </c>
      <c r="R78" s="7" t="str">
        <v>Foreign</v>
      </c>
      <c r="S78" s="7" t="str">
        <v>Seated</v>
      </c>
      <c r="T78" s="57">
        <v>38</v>
      </c>
    </row>
    <row r="79" spans="17:20" x14ac:dyDescent="0.25">
      <c r="Q79" s="501" t="str">
        <v>Female</v>
      </c>
      <c r="R79" s="7" t="str">
        <v>Foreign</v>
      </c>
      <c r="S79" s="7" t="str">
        <v>Seated</v>
      </c>
      <c r="T79" s="57">
        <v>41</v>
      </c>
    </row>
    <row r="80" spans="17:20" x14ac:dyDescent="0.25">
      <c r="Q80" s="501" t="str">
        <v>Female</v>
      </c>
      <c r="R80" s="7" t="str">
        <v>Foreign</v>
      </c>
      <c r="S80" s="7" t="str">
        <v>Seated</v>
      </c>
      <c r="T80" s="57">
        <v>28</v>
      </c>
    </row>
    <row r="81" spans="17:20" x14ac:dyDescent="0.25">
      <c r="Q81" s="501" t="str">
        <v>Female</v>
      </c>
      <c r="R81" s="7" t="str">
        <v>Foreign</v>
      </c>
      <c r="S81" s="7" t="str">
        <v>Prone</v>
      </c>
      <c r="T81" s="57">
        <v>35</v>
      </c>
    </row>
    <row r="82" spans="17:20" x14ac:dyDescent="0.25">
      <c r="Q82" s="501" t="str">
        <v>Female</v>
      </c>
      <c r="R82" s="7" t="str">
        <v>Foreign</v>
      </c>
      <c r="S82" s="7" t="str">
        <v>Prone</v>
      </c>
      <c r="T82" s="57">
        <v>23</v>
      </c>
    </row>
    <row r="83" spans="17:20" x14ac:dyDescent="0.25">
      <c r="Q83" s="501" t="str">
        <v>Female</v>
      </c>
      <c r="R83" s="7" t="str">
        <v>Foreign</v>
      </c>
      <c r="S83" s="7" t="str">
        <v>Prone</v>
      </c>
      <c r="T83" s="57">
        <v>24</v>
      </c>
    </row>
    <row r="84" spans="17:20" x14ac:dyDescent="0.25">
      <c r="Q84" s="501" t="str">
        <v>Female</v>
      </c>
      <c r="R84" s="7" t="str">
        <v>Foreign</v>
      </c>
      <c r="S84" s="7" t="str">
        <v>Prone</v>
      </c>
      <c r="T84" s="57">
        <v>11</v>
      </c>
    </row>
    <row r="85" spans="17:20" x14ac:dyDescent="0.25">
      <c r="Q85" s="501" t="str">
        <v>Female</v>
      </c>
      <c r="R85" s="7" t="str">
        <v>Foreign</v>
      </c>
      <c r="S85" s="7" t="str">
        <v>Prone</v>
      </c>
      <c r="T85" s="57">
        <v>23</v>
      </c>
    </row>
    <row r="86" spans="17:20" x14ac:dyDescent="0.25">
      <c r="Q86" s="501" t="str">
        <v>Female</v>
      </c>
      <c r="R86" s="7" t="str">
        <v>Foreign</v>
      </c>
      <c r="S86" s="7" t="str">
        <v>Prone</v>
      </c>
      <c r="T86" s="57">
        <v>30</v>
      </c>
    </row>
    <row r="87" spans="17:20" x14ac:dyDescent="0.25">
      <c r="Q87" s="501" t="str">
        <v>Female</v>
      </c>
      <c r="R87" s="7" t="str">
        <v>Foreign</v>
      </c>
      <c r="S87" s="7" t="str">
        <v>Prone</v>
      </c>
      <c r="T87" s="57">
        <v>26</v>
      </c>
    </row>
    <row r="88" spans="17:20" x14ac:dyDescent="0.25">
      <c r="Q88" s="501" t="str">
        <v>Female</v>
      </c>
      <c r="R88" s="7" t="str">
        <v>Foreign</v>
      </c>
      <c r="S88" s="7" t="str">
        <v>Prone</v>
      </c>
      <c r="T88" s="57">
        <v>16</v>
      </c>
    </row>
    <row r="89" spans="17:20" x14ac:dyDescent="0.25">
      <c r="Q89" s="501" t="str">
        <v>Female</v>
      </c>
      <c r="R89" s="7" t="str">
        <v>Foreign</v>
      </c>
      <c r="S89" s="7" t="str">
        <v>Prone</v>
      </c>
      <c r="T89" s="57">
        <v>23</v>
      </c>
    </row>
    <row r="90" spans="17:20" x14ac:dyDescent="0.25">
      <c r="Q90" s="501" t="str">
        <v>Female</v>
      </c>
      <c r="R90" s="7" t="str">
        <v>Foreign</v>
      </c>
      <c r="S90" s="7" t="str">
        <v>Prone</v>
      </c>
      <c r="T90" s="57">
        <v>14</v>
      </c>
    </row>
    <row r="91" spans="17:20" x14ac:dyDescent="0.25">
      <c r="Q91" s="759" t="str">
        <v>Female</v>
      </c>
      <c r="R91" s="760" t="str">
        <v>Foreign</v>
      </c>
      <c r="S91" s="760" t="str">
        <v>Prone</v>
      </c>
      <c r="T91" s="761">
        <v>19</v>
      </c>
    </row>
  </sheetData>
  <mergeCells count="1">
    <mergeCell ref="D3:O3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AC118"/>
  <sheetViews>
    <sheetView workbookViewId="0"/>
  </sheetViews>
  <sheetFormatPr defaultRowHeight="15" x14ac:dyDescent="0.25"/>
  <cols>
    <col min="1" max="2" width="8.28515625" customWidth="1"/>
    <col min="3" max="3" width="5.5703125" customWidth="1"/>
    <col min="4" max="8" width="5.85546875" customWidth="1"/>
    <col min="9" max="9" width="6.5703125" customWidth="1"/>
    <col min="10" max="10" width="5.42578125" customWidth="1"/>
    <col min="11" max="11" width="9.5703125" bestFit="1" customWidth="1"/>
    <col min="12" max="12" width="5.7109375" customWidth="1"/>
  </cols>
  <sheetData>
    <row r="1" spans="1:29" x14ac:dyDescent="0.25">
      <c r="A1" s="1" t="s">
        <v>303</v>
      </c>
    </row>
    <row r="3" spans="1:29" x14ac:dyDescent="0.25">
      <c r="A3" s="17" t="s">
        <v>375</v>
      </c>
    </row>
    <row r="5" spans="1:29" ht="17.25" x14ac:dyDescent="0.25">
      <c r="A5" s="99" t="s">
        <v>715</v>
      </c>
      <c r="B5" s="99" t="s">
        <v>214</v>
      </c>
      <c r="D5" s="1317" t="s">
        <v>377</v>
      </c>
      <c r="E5" s="1317"/>
      <c r="F5" s="311"/>
      <c r="G5" s="310" t="s">
        <v>378</v>
      </c>
      <c r="I5" s="310" t="s">
        <v>131</v>
      </c>
      <c r="K5" s="82" t="s">
        <v>391</v>
      </c>
      <c r="L5" s="310"/>
      <c r="M5" s="82" t="s">
        <v>134</v>
      </c>
      <c r="O5" t="s">
        <v>714</v>
      </c>
    </row>
    <row r="6" spans="1:29" x14ac:dyDescent="0.25">
      <c r="A6" s="50">
        <v>5</v>
      </c>
      <c r="B6" s="100">
        <v>80</v>
      </c>
      <c r="D6" s="140">
        <v>1</v>
      </c>
      <c r="E6" s="104">
        <f t="shared" ref="E6:E20" si="0">A6</f>
        <v>5</v>
      </c>
      <c r="G6" s="126">
        <f t="shared" ref="G6:G16" si="1">B6</f>
        <v>80</v>
      </c>
      <c r="I6" s="327">
        <f t="array" ref="I6:I7">MMULT(D23:E24,MMULT(TRANSPOSE(D6:E20),G6:G20))</f>
        <v>85.720421194817959</v>
      </c>
      <c r="K6" s="175">
        <f t="array" ref="K6:K20">MMULT(D6:E20,I6:I7)</f>
        <v>82.579419168662128</v>
      </c>
      <c r="M6" s="167">
        <f>G6-K6</f>
        <v>-2.5794191686621275</v>
      </c>
      <c r="O6" s="321">
        <f t="array" ref="O6:AC20">MMULT(MMULT(D6:E20,D23:E24),TRANSPOSE(D6:E20))</f>
        <v>0.16215386504574203</v>
      </c>
      <c r="P6" s="322">
        <v>4.2794867071897807E-2</v>
      </c>
      <c r="Q6" s="322">
        <v>2.9532756185915138E-2</v>
      </c>
      <c r="R6" s="322">
        <v>-0.12298151900288581</v>
      </c>
      <c r="S6" s="322">
        <v>8.2581199729845886E-2</v>
      </c>
      <c r="T6" s="322">
        <v>0.142260698716768</v>
      </c>
      <c r="U6" s="322">
        <v>0.16878492048873339</v>
      </c>
      <c r="V6" s="322">
        <v>2.2901700742923775E-2</v>
      </c>
      <c r="W6" s="322">
        <v>0.12236753238779396</v>
      </c>
      <c r="X6" s="322">
        <v>6.9319088843863202E-2</v>
      </c>
      <c r="Y6" s="322">
        <v>0.10247436605881993</v>
      </c>
      <c r="Z6" s="322">
        <v>-3.6777798243998322E-2</v>
      </c>
      <c r="AA6" s="322">
        <v>3.0085344139497427E-3</v>
      </c>
      <c r="AB6" s="322">
        <v>0.16878492048873339</v>
      </c>
      <c r="AC6" s="323">
        <v>4.2794867071897807E-2</v>
      </c>
    </row>
    <row r="7" spans="1:29" x14ac:dyDescent="0.25">
      <c r="A7" s="50">
        <v>23</v>
      </c>
      <c r="B7" s="50">
        <v>78</v>
      </c>
      <c r="D7" s="35">
        <v>1</v>
      </c>
      <c r="E7" s="36">
        <f t="shared" si="0"/>
        <v>23</v>
      </c>
      <c r="G7" s="124">
        <f t="shared" si="1"/>
        <v>78</v>
      </c>
      <c r="I7" s="168">
        <v>-0.6282004052311656</v>
      </c>
      <c r="K7" s="176">
        <v>71.271811874501154</v>
      </c>
      <c r="M7" s="23">
        <f t="shared" ref="M7:M20" si="2">G7-K7</f>
        <v>6.7281881254988463</v>
      </c>
      <c r="O7" s="273">
        <v>4.2794867071897863E-2</v>
      </c>
      <c r="P7" s="7">
        <v>7.2634616565358912E-2</v>
      </c>
      <c r="Q7" s="7">
        <v>7.5950144286854565E-2</v>
      </c>
      <c r="R7" s="7">
        <v>0.11407871308405479</v>
      </c>
      <c r="S7" s="7">
        <v>6.2688033400871895E-2</v>
      </c>
      <c r="T7" s="7">
        <v>4.7768158654141371E-2</v>
      </c>
      <c r="U7" s="7">
        <v>4.1137103211150029E-2</v>
      </c>
      <c r="V7" s="7">
        <v>7.7607908147602406E-2</v>
      </c>
      <c r="W7" s="7">
        <v>5.2741450236384879E-2</v>
      </c>
      <c r="X7" s="7">
        <v>6.6003561122367563E-2</v>
      </c>
      <c r="Y7" s="7">
        <v>5.7714741818628387E-2</v>
      </c>
      <c r="Z7" s="7">
        <v>9.252778289433293E-2</v>
      </c>
      <c r="AA7" s="7">
        <v>8.2581199729845914E-2</v>
      </c>
      <c r="AB7" s="7">
        <v>4.1137103211150029E-2</v>
      </c>
      <c r="AC7" s="8">
        <v>7.2634616565358912E-2</v>
      </c>
    </row>
    <row r="8" spans="1:29" x14ac:dyDescent="0.25">
      <c r="A8" s="50">
        <v>25</v>
      </c>
      <c r="B8" s="50">
        <v>60</v>
      </c>
      <c r="D8" s="35">
        <v>1</v>
      </c>
      <c r="E8" s="36">
        <f t="shared" si="0"/>
        <v>25</v>
      </c>
      <c r="G8" s="124">
        <f t="shared" si="1"/>
        <v>60</v>
      </c>
      <c r="K8" s="176">
        <v>70.015411064038815</v>
      </c>
      <c r="M8" s="23">
        <f t="shared" si="2"/>
        <v>-10.015411064038815</v>
      </c>
      <c r="O8" s="273">
        <v>2.9532756185915155E-2</v>
      </c>
      <c r="P8" s="7">
        <v>7.5950144286854537E-2</v>
      </c>
      <c r="Q8" s="7">
        <v>8.1107631853625572E-2</v>
      </c>
      <c r="R8" s="7">
        <v>0.14041873887149256</v>
      </c>
      <c r="S8" s="7">
        <v>6.0477681586541404E-2</v>
      </c>
      <c r="T8" s="7">
        <v>3.7268987536071718E-2</v>
      </c>
      <c r="U8" s="7">
        <v>2.6954012402529634E-2</v>
      </c>
      <c r="V8" s="7">
        <v>8.368637563701109E-2</v>
      </c>
      <c r="W8" s="7">
        <v>4.5005218886228285E-2</v>
      </c>
      <c r="X8" s="7">
        <v>6.5635169153312453E-2</v>
      </c>
      <c r="Y8" s="7">
        <v>5.2741450236384844E-2</v>
      </c>
      <c r="Z8" s="7">
        <v>0.10689506968748079</v>
      </c>
      <c r="AA8" s="7">
        <v>9.1422606987167657E-2</v>
      </c>
      <c r="AB8" s="7">
        <v>2.6954012402529634E-2</v>
      </c>
      <c r="AC8" s="8">
        <v>7.5950144286854537E-2</v>
      </c>
    </row>
    <row r="9" spans="1:29" x14ac:dyDescent="0.25">
      <c r="A9" s="50">
        <v>48</v>
      </c>
      <c r="B9" s="50">
        <v>53</v>
      </c>
      <c r="D9" s="35">
        <v>1</v>
      </c>
      <c r="E9" s="36">
        <f t="shared" si="0"/>
        <v>48</v>
      </c>
      <c r="G9" s="124">
        <f t="shared" si="1"/>
        <v>53</v>
      </c>
      <c r="K9" s="176">
        <v>55.56680174372201</v>
      </c>
      <c r="M9" s="23">
        <f t="shared" si="2"/>
        <v>-2.5668017437220101</v>
      </c>
      <c r="O9" s="273">
        <v>-0.1229815190028857</v>
      </c>
      <c r="P9" s="7">
        <v>0.11407871308405484</v>
      </c>
      <c r="Q9" s="7">
        <v>0.14041873887149273</v>
      </c>
      <c r="R9" s="7">
        <v>0.44332903542702784</v>
      </c>
      <c r="S9" s="7">
        <v>3.5058635721741338E-2</v>
      </c>
      <c r="T9" s="7">
        <v>-8.3471480321728936E-2</v>
      </c>
      <c r="U9" s="7">
        <v>-0.13615153189660462</v>
      </c>
      <c r="V9" s="7">
        <v>0.15358875176521161</v>
      </c>
      <c r="W9" s="7">
        <v>-4.3961441640572169E-2</v>
      </c>
      <c r="X9" s="7">
        <v>6.1398661509179192E-2</v>
      </c>
      <c r="Y9" s="7">
        <v>-4.4514029594154014E-3</v>
      </c>
      <c r="Z9" s="7">
        <v>0.27211886780868189</v>
      </c>
      <c r="AA9" s="7">
        <v>0.19309879044636838</v>
      </c>
      <c r="AB9" s="7">
        <v>-0.13615153189660462</v>
      </c>
      <c r="AC9" s="8">
        <v>0.11407871308405484</v>
      </c>
    </row>
    <row r="10" spans="1:29" x14ac:dyDescent="0.25">
      <c r="A10" s="101">
        <v>17</v>
      </c>
      <c r="B10" s="50">
        <v>85</v>
      </c>
      <c r="D10" s="35">
        <v>1</v>
      </c>
      <c r="E10" s="36">
        <f t="shared" si="0"/>
        <v>17</v>
      </c>
      <c r="G10" s="124">
        <f t="shared" si="1"/>
        <v>85</v>
      </c>
      <c r="I10" s="310" t="s">
        <v>425</v>
      </c>
      <c r="K10" s="176">
        <v>75.04101430588814</v>
      </c>
      <c r="M10" s="23">
        <f t="shared" si="2"/>
        <v>9.9589856941118597</v>
      </c>
      <c r="O10" s="273">
        <v>8.2581199729845928E-2</v>
      </c>
      <c r="P10" s="7">
        <v>6.2688033400871868E-2</v>
      </c>
      <c r="Q10" s="7">
        <v>6.0477681586541425E-2</v>
      </c>
      <c r="R10" s="7">
        <v>3.5058635721741255E-2</v>
      </c>
      <c r="S10" s="7">
        <v>6.931908884386323E-2</v>
      </c>
      <c r="T10" s="7">
        <v>7.9265672008350246E-2</v>
      </c>
      <c r="U10" s="7">
        <v>8.3686375637011146E-2</v>
      </c>
      <c r="V10" s="7">
        <v>5.93725056793762E-2</v>
      </c>
      <c r="W10" s="7">
        <v>7.5950144286854565E-2</v>
      </c>
      <c r="X10" s="7">
        <v>6.7108737029532767E-2</v>
      </c>
      <c r="Y10" s="7">
        <v>7.2634616565358898E-2</v>
      </c>
      <c r="Z10" s="7">
        <v>4.9425922514889177E-2</v>
      </c>
      <c r="AA10" s="7">
        <v>5.6056977957880526E-2</v>
      </c>
      <c r="AB10" s="7">
        <v>8.3686375637011146E-2</v>
      </c>
      <c r="AC10" s="8">
        <v>6.2688033400871868E-2</v>
      </c>
    </row>
    <row r="11" spans="1:29" x14ac:dyDescent="0.25">
      <c r="A11" s="101">
        <v>8</v>
      </c>
      <c r="B11" s="50">
        <v>84</v>
      </c>
      <c r="D11" s="35">
        <v>1</v>
      </c>
      <c r="E11" s="36">
        <f t="shared" si="0"/>
        <v>8</v>
      </c>
      <c r="G11" s="124">
        <f t="shared" si="1"/>
        <v>84</v>
      </c>
      <c r="I11" s="328">
        <f>SQRT(G23)</f>
        <v>3.9065908075799749</v>
      </c>
      <c r="K11" s="176">
        <v>80.694817952968634</v>
      </c>
      <c r="M11" s="23">
        <f t="shared" si="2"/>
        <v>3.3051820470313658</v>
      </c>
      <c r="O11" s="273">
        <v>0.14226069871676802</v>
      </c>
      <c r="P11" s="7">
        <v>4.7768158654141343E-2</v>
      </c>
      <c r="Q11" s="7">
        <v>3.7268987536071718E-2</v>
      </c>
      <c r="R11" s="7">
        <v>-8.3471480321729019E-2</v>
      </c>
      <c r="S11" s="7">
        <v>7.9265672008350233E-2</v>
      </c>
      <c r="T11" s="7">
        <v>0.12651194203966357</v>
      </c>
      <c r="U11" s="7">
        <v>0.14751028427580284</v>
      </c>
      <c r="V11" s="7">
        <v>3.2019401977036899E-2</v>
      </c>
      <c r="W11" s="7">
        <v>0.11076318536255914</v>
      </c>
      <c r="X11" s="7">
        <v>6.8766500890280607E-2</v>
      </c>
      <c r="Y11" s="7">
        <v>9.5014428685454677E-2</v>
      </c>
      <c r="Z11" s="7">
        <v>-1.5226868054276449E-2</v>
      </c>
      <c r="AA11" s="7">
        <v>1.6270645299932468E-2</v>
      </c>
      <c r="AB11" s="7">
        <v>0.14751028427580284</v>
      </c>
      <c r="AC11" s="8">
        <v>4.7768158654141343E-2</v>
      </c>
    </row>
    <row r="12" spans="1:29" x14ac:dyDescent="0.25">
      <c r="A12" s="50">
        <v>4</v>
      </c>
      <c r="B12" s="50">
        <v>73</v>
      </c>
      <c r="D12" s="35">
        <v>1</v>
      </c>
      <c r="E12" s="36">
        <f t="shared" si="0"/>
        <v>4</v>
      </c>
      <c r="G12" s="124">
        <f t="shared" si="1"/>
        <v>73</v>
      </c>
      <c r="I12" s="329">
        <f>SQRT(H24)</f>
        <v>0.17112895461639735</v>
      </c>
      <c r="K12" s="176">
        <v>83.207619573893297</v>
      </c>
      <c r="M12" s="23">
        <f t="shared" si="2"/>
        <v>-10.207619573893297</v>
      </c>
      <c r="O12" s="273">
        <v>0.16878492048873336</v>
      </c>
      <c r="P12" s="7">
        <v>4.1137103211149967E-2</v>
      </c>
      <c r="Q12" s="7">
        <v>2.6954012402529592E-2</v>
      </c>
      <c r="R12" s="7">
        <v>-0.13615153189660478</v>
      </c>
      <c r="S12" s="7">
        <v>8.3686375637011104E-2</v>
      </c>
      <c r="T12" s="7">
        <v>0.14751028427580282</v>
      </c>
      <c r="U12" s="7">
        <v>0.17587646589304357</v>
      </c>
      <c r="V12" s="7">
        <v>1.9862466998219391E-2</v>
      </c>
      <c r="W12" s="7">
        <v>0.12623564806287224</v>
      </c>
      <c r="X12" s="7">
        <v>6.9503284828390716E-2</v>
      </c>
      <c r="Y12" s="7">
        <v>0.10496101184994167</v>
      </c>
      <c r="Z12" s="7">
        <v>-4.3961441640572307E-2</v>
      </c>
      <c r="AA12" s="7">
        <v>-1.4121692147111564E-3</v>
      </c>
      <c r="AB12" s="7">
        <v>0.17587646589304357</v>
      </c>
      <c r="AC12" s="8">
        <v>4.1137103211149967E-2</v>
      </c>
    </row>
    <row r="13" spans="1:29" x14ac:dyDescent="0.25">
      <c r="A13" s="50">
        <v>26</v>
      </c>
      <c r="B13" s="50">
        <v>79</v>
      </c>
      <c r="D13" s="35">
        <v>1</v>
      </c>
      <c r="E13" s="36">
        <f t="shared" si="0"/>
        <v>26</v>
      </c>
      <c r="G13" s="124">
        <f t="shared" si="1"/>
        <v>79</v>
      </c>
      <c r="K13" s="176">
        <v>69.387210658807646</v>
      </c>
      <c r="M13" s="23">
        <f t="shared" si="2"/>
        <v>9.6127893411923537</v>
      </c>
      <c r="O13" s="273">
        <v>2.2901700742923817E-2</v>
      </c>
      <c r="P13" s="7">
        <v>7.7607908147602378E-2</v>
      </c>
      <c r="Q13" s="7">
        <v>8.3686375637011118E-2</v>
      </c>
      <c r="R13" s="7">
        <v>0.1535887517652115</v>
      </c>
      <c r="S13" s="7">
        <v>5.9372505679376193E-2</v>
      </c>
      <c r="T13" s="7">
        <v>3.2019401977036913E-2</v>
      </c>
      <c r="U13" s="7">
        <v>1.9862466998219454E-2</v>
      </c>
      <c r="V13" s="7">
        <v>8.6725609381715474E-2</v>
      </c>
      <c r="W13" s="7">
        <v>4.1137103211150008E-2</v>
      </c>
      <c r="X13" s="7">
        <v>6.5450973168784926E-2</v>
      </c>
      <c r="Y13" s="7">
        <v>5.0254804445263104E-2</v>
      </c>
      <c r="Z13" s="7">
        <v>0.11407871308405476</v>
      </c>
      <c r="AA13" s="7">
        <v>9.584331061582857E-2</v>
      </c>
      <c r="AB13" s="7">
        <v>1.9862466998219454E-2</v>
      </c>
      <c r="AC13" s="8">
        <v>7.7607908147602378E-2</v>
      </c>
    </row>
    <row r="14" spans="1:29" x14ac:dyDescent="0.25">
      <c r="A14" s="50">
        <v>11</v>
      </c>
      <c r="B14" s="50">
        <v>81</v>
      </c>
      <c r="D14" s="35">
        <v>1</v>
      </c>
      <c r="E14" s="36">
        <f t="shared" si="0"/>
        <v>11</v>
      </c>
      <c r="G14" s="124">
        <f t="shared" si="1"/>
        <v>81</v>
      </c>
      <c r="K14" s="176">
        <v>78.810216737275141</v>
      </c>
      <c r="M14" s="23">
        <f t="shared" si="2"/>
        <v>2.189783262724859</v>
      </c>
      <c r="O14" s="273">
        <v>0.12236753238779398</v>
      </c>
      <c r="P14" s="7">
        <v>5.2741450236384851E-2</v>
      </c>
      <c r="Q14" s="7">
        <v>4.5005218886228271E-2</v>
      </c>
      <c r="R14" s="7">
        <v>-4.396144164057228E-2</v>
      </c>
      <c r="S14" s="7">
        <v>7.5950144286854551E-2</v>
      </c>
      <c r="T14" s="7">
        <v>0.11076318536255912</v>
      </c>
      <c r="U14" s="7">
        <v>0.12623564806287227</v>
      </c>
      <c r="V14" s="7">
        <v>4.1137103211149995E-2</v>
      </c>
      <c r="W14" s="7">
        <v>9.9158838337324265E-2</v>
      </c>
      <c r="X14" s="7">
        <v>6.8213912936697985E-2</v>
      </c>
      <c r="Y14" s="7">
        <v>8.7554491312089408E-2</v>
      </c>
      <c r="Z14" s="7">
        <v>6.3240621354454241E-3</v>
      </c>
      <c r="AA14" s="7">
        <v>2.9532756185915138E-2</v>
      </c>
      <c r="AB14" s="7">
        <v>0.12623564806287227</v>
      </c>
      <c r="AC14" s="8">
        <v>5.2741450236384851E-2</v>
      </c>
    </row>
    <row r="15" spans="1:29" x14ac:dyDescent="0.25">
      <c r="A15" s="50">
        <v>19</v>
      </c>
      <c r="B15" s="50">
        <v>75</v>
      </c>
      <c r="D15" s="35">
        <v>1</v>
      </c>
      <c r="E15" s="36">
        <f t="shared" si="0"/>
        <v>19</v>
      </c>
      <c r="G15" s="124">
        <f t="shared" si="1"/>
        <v>75</v>
      </c>
      <c r="K15" s="176">
        <v>73.784613495425816</v>
      </c>
      <c r="M15" s="23">
        <f t="shared" si="2"/>
        <v>1.2153865045741838</v>
      </c>
      <c r="O15" s="273">
        <v>6.9319088843863216E-2</v>
      </c>
      <c r="P15" s="7">
        <v>6.6003561122367507E-2</v>
      </c>
      <c r="Q15" s="7">
        <v>6.5635169153312425E-2</v>
      </c>
      <c r="R15" s="7">
        <v>6.1398661509179026E-2</v>
      </c>
      <c r="S15" s="7">
        <v>6.7108737029532739E-2</v>
      </c>
      <c r="T15" s="7">
        <v>6.8766500890280594E-2</v>
      </c>
      <c r="U15" s="7">
        <v>6.9503284828390743E-2</v>
      </c>
      <c r="V15" s="7">
        <v>6.5450973168784884E-2</v>
      </c>
      <c r="W15" s="7">
        <v>6.8213912936697971E-2</v>
      </c>
      <c r="X15" s="7">
        <v>6.6740345060477657E-2</v>
      </c>
      <c r="Y15" s="7">
        <v>6.7661324983115362E-2</v>
      </c>
      <c r="Z15" s="7">
        <v>6.379320930803703E-2</v>
      </c>
      <c r="AA15" s="7">
        <v>6.4898385215202276E-2</v>
      </c>
      <c r="AB15" s="7">
        <v>6.9503284828390743E-2</v>
      </c>
      <c r="AC15" s="8">
        <v>6.6003561122367507E-2</v>
      </c>
    </row>
    <row r="16" spans="1:29" x14ac:dyDescent="0.25">
      <c r="A16" s="50">
        <v>14</v>
      </c>
      <c r="B16" s="50">
        <v>68</v>
      </c>
      <c r="D16" s="256">
        <v>1</v>
      </c>
      <c r="E16" s="36">
        <f t="shared" si="0"/>
        <v>14</v>
      </c>
      <c r="G16" s="325">
        <f t="shared" si="1"/>
        <v>68</v>
      </c>
      <c r="K16" s="326">
        <v>76.925615521581648</v>
      </c>
      <c r="M16" s="272">
        <f t="shared" si="2"/>
        <v>-8.9256155215816477</v>
      </c>
      <c r="O16" s="273">
        <v>0.10247436605881993</v>
      </c>
      <c r="P16" s="7">
        <v>5.7714741818628346E-2</v>
      </c>
      <c r="Q16" s="7">
        <v>5.2741450236384838E-2</v>
      </c>
      <c r="R16" s="7">
        <v>-4.4514029594155263E-3</v>
      </c>
      <c r="S16" s="7">
        <v>7.2634616565358884E-2</v>
      </c>
      <c r="T16" s="7">
        <v>9.5014428685454677E-2</v>
      </c>
      <c r="U16" s="7">
        <v>0.10496101184994169</v>
      </c>
      <c r="V16" s="7">
        <v>5.0254804445263077E-2</v>
      </c>
      <c r="W16" s="7">
        <v>8.7554491312089408E-2</v>
      </c>
      <c r="X16" s="7">
        <v>6.7661324983115362E-2</v>
      </c>
      <c r="Y16" s="7">
        <v>8.0094553938724139E-2</v>
      </c>
      <c r="Z16" s="7">
        <v>2.7874992325167283E-2</v>
      </c>
      <c r="AA16" s="7">
        <v>4.2794867071897821E-2</v>
      </c>
      <c r="AB16" s="7">
        <v>0.10496101184994169</v>
      </c>
      <c r="AC16" s="8">
        <v>5.7714741818628346E-2</v>
      </c>
    </row>
    <row r="17" spans="1:29" x14ac:dyDescent="0.25">
      <c r="A17" s="50">
        <v>35</v>
      </c>
      <c r="B17" s="50">
        <v>72</v>
      </c>
      <c r="D17" s="256">
        <v>1</v>
      </c>
      <c r="E17" s="36">
        <f t="shared" si="0"/>
        <v>35</v>
      </c>
      <c r="G17" s="325">
        <f>B17</f>
        <v>72</v>
      </c>
      <c r="K17" s="326">
        <v>63.733407011727166</v>
      </c>
      <c r="M17" s="272">
        <f t="shared" si="2"/>
        <v>8.2665929882728335</v>
      </c>
      <c r="O17" s="273">
        <v>-3.677779824399828E-2</v>
      </c>
      <c r="P17" s="7">
        <v>9.2527782894332888E-2</v>
      </c>
      <c r="Q17" s="7">
        <v>0.1068950696874808</v>
      </c>
      <c r="R17" s="7">
        <v>0.27211886780868177</v>
      </c>
      <c r="S17" s="7">
        <v>4.942592251488917E-2</v>
      </c>
      <c r="T17" s="7">
        <v>-1.5226868054276421E-2</v>
      </c>
      <c r="U17" s="7">
        <v>-4.3961441640572238E-2</v>
      </c>
      <c r="V17" s="7">
        <v>0.11407871308405476</v>
      </c>
      <c r="W17" s="7">
        <v>6.3240621354454379E-3</v>
      </c>
      <c r="X17" s="7">
        <v>6.3793209308037085E-2</v>
      </c>
      <c r="Y17" s="7">
        <v>2.7874992325167297E-2</v>
      </c>
      <c r="Z17" s="7">
        <v>0.17873150365322035</v>
      </c>
      <c r="AA17" s="7">
        <v>0.13562964327377661</v>
      </c>
      <c r="AB17" s="7">
        <v>-4.3961441640572238E-2</v>
      </c>
      <c r="AC17" s="8">
        <v>9.2527782894332888E-2</v>
      </c>
    </row>
    <row r="18" spans="1:29" x14ac:dyDescent="0.25">
      <c r="A18" s="50">
        <v>29</v>
      </c>
      <c r="B18" s="50">
        <v>58</v>
      </c>
      <c r="C18" s="310"/>
      <c r="D18" s="256">
        <v>1</v>
      </c>
      <c r="E18" s="36">
        <f t="shared" si="0"/>
        <v>29</v>
      </c>
      <c r="G18" s="325">
        <f>B18</f>
        <v>58</v>
      </c>
      <c r="K18" s="326">
        <v>67.502609443114153</v>
      </c>
      <c r="M18" s="272">
        <f t="shared" si="2"/>
        <v>-9.502609443114153</v>
      </c>
      <c r="O18" s="273">
        <v>3.0085344139498087E-3</v>
      </c>
      <c r="P18" s="7">
        <v>8.2581199729845928E-2</v>
      </c>
      <c r="Q18" s="7">
        <v>9.1422606987167726E-2</v>
      </c>
      <c r="R18" s="7">
        <v>0.19309879044636832</v>
      </c>
      <c r="S18" s="7">
        <v>5.605697795788056E-2</v>
      </c>
      <c r="T18" s="7">
        <v>1.6270645299932496E-2</v>
      </c>
      <c r="U18" s="7">
        <v>-1.412169214711087E-3</v>
      </c>
      <c r="V18" s="7">
        <v>9.5843310615828625E-2</v>
      </c>
      <c r="W18" s="7">
        <v>2.9532756185915179E-2</v>
      </c>
      <c r="X18" s="7">
        <v>6.4898385215202345E-2</v>
      </c>
      <c r="Y18" s="7">
        <v>4.279486707189787E-2</v>
      </c>
      <c r="Z18" s="7">
        <v>0.13562964327377669</v>
      </c>
      <c r="AA18" s="7">
        <v>0.10910542150181129</v>
      </c>
      <c r="AB18" s="7">
        <v>-1.412169214711087E-3</v>
      </c>
      <c r="AC18" s="8">
        <v>8.2581199729845928E-2</v>
      </c>
    </row>
    <row r="19" spans="1:29" x14ac:dyDescent="0.25">
      <c r="A19" s="50">
        <v>4</v>
      </c>
      <c r="B19" s="50">
        <v>92</v>
      </c>
      <c r="C19" s="310"/>
      <c r="D19" s="256">
        <v>1</v>
      </c>
      <c r="E19" s="36">
        <f t="shared" si="0"/>
        <v>4</v>
      </c>
      <c r="G19" s="325">
        <f>B19</f>
        <v>92</v>
      </c>
      <c r="K19" s="326">
        <v>83.207619573893297</v>
      </c>
      <c r="M19" s="272">
        <f t="shared" si="2"/>
        <v>8.7923804261067033</v>
      </c>
      <c r="O19" s="273">
        <v>0.16878492048873336</v>
      </c>
      <c r="P19" s="7">
        <v>4.1137103211149967E-2</v>
      </c>
      <c r="Q19" s="7">
        <v>2.6954012402529592E-2</v>
      </c>
      <c r="R19" s="7">
        <v>-0.13615153189660478</v>
      </c>
      <c r="S19" s="7">
        <v>8.3686375637011104E-2</v>
      </c>
      <c r="T19" s="7">
        <v>0.14751028427580282</v>
      </c>
      <c r="U19" s="7">
        <v>0.17587646589304357</v>
      </c>
      <c r="V19" s="7">
        <v>1.9862466998219391E-2</v>
      </c>
      <c r="W19" s="7">
        <v>0.12623564806287224</v>
      </c>
      <c r="X19" s="7">
        <v>6.9503284828390716E-2</v>
      </c>
      <c r="Y19" s="7">
        <v>0.10496101184994167</v>
      </c>
      <c r="Z19" s="7">
        <v>-4.3961441640572307E-2</v>
      </c>
      <c r="AA19" s="7">
        <v>-1.4121692147111564E-3</v>
      </c>
      <c r="AB19" s="7">
        <v>0.17587646589304357</v>
      </c>
      <c r="AC19" s="8">
        <v>4.1137103211149967E-2</v>
      </c>
    </row>
    <row r="20" spans="1:29" x14ac:dyDescent="0.25">
      <c r="A20" s="51">
        <v>23</v>
      </c>
      <c r="B20" s="51">
        <v>65</v>
      </c>
      <c r="D20" s="106">
        <v>1</v>
      </c>
      <c r="E20" s="107">
        <f t="shared" si="0"/>
        <v>23</v>
      </c>
      <c r="G20" s="125">
        <f>B20</f>
        <v>65</v>
      </c>
      <c r="K20" s="177">
        <v>71.271811874501154</v>
      </c>
      <c r="M20" s="168">
        <f t="shared" si="2"/>
        <v>-6.2718118745011537</v>
      </c>
      <c r="O20" s="9">
        <v>4.2794867071897863E-2</v>
      </c>
      <c r="P20" s="10">
        <v>7.2634616565358912E-2</v>
      </c>
      <c r="Q20" s="10">
        <v>7.5950144286854565E-2</v>
      </c>
      <c r="R20" s="10">
        <v>0.11407871308405479</v>
      </c>
      <c r="S20" s="10">
        <v>6.2688033400871895E-2</v>
      </c>
      <c r="T20" s="10">
        <v>4.7768158654141371E-2</v>
      </c>
      <c r="U20" s="10">
        <v>4.1137103211150029E-2</v>
      </c>
      <c r="V20" s="10">
        <v>7.7607908147602406E-2</v>
      </c>
      <c r="W20" s="10">
        <v>5.2741450236384879E-2</v>
      </c>
      <c r="X20" s="10">
        <v>6.6003561122367563E-2</v>
      </c>
      <c r="Y20" s="10">
        <v>5.7714741818628387E-2</v>
      </c>
      <c r="Z20" s="10">
        <v>9.252778289433293E-2</v>
      </c>
      <c r="AA20" s="10">
        <v>8.2581199729845914E-2</v>
      </c>
      <c r="AB20" s="10">
        <v>4.1137103211150029E-2</v>
      </c>
      <c r="AC20" s="11">
        <v>7.2634616565358912E-2</v>
      </c>
    </row>
    <row r="22" spans="1:29" ht="18.75" x14ac:dyDescent="0.35">
      <c r="D22" s="1317" t="s">
        <v>380</v>
      </c>
      <c r="E22" s="1317"/>
      <c r="G22" s="1317" t="s">
        <v>424</v>
      </c>
      <c r="H22" s="1317"/>
      <c r="L22" t="s">
        <v>289</v>
      </c>
      <c r="M22" s="167">
        <f>DEVSQ(M6:M20)</f>
        <v>826.74234051697704</v>
      </c>
    </row>
    <row r="23" spans="1:29" ht="18" x14ac:dyDescent="0.35">
      <c r="D23" s="321">
        <f t="array" ref="D23:E24">MINVERSE(MMULT(TRANSPOSE(D6:E20),D6:E20))</f>
        <v>0.23997666850862656</v>
      </c>
      <c r="E23" s="323">
        <v>-8.9335052495855619E-3</v>
      </c>
      <c r="G23" s="321">
        <f t="array" ref="G23:H24">M24*D23:E24</f>
        <v>15.261451737868359</v>
      </c>
      <c r="H23" s="323">
        <v>-0.56813131069715916</v>
      </c>
      <c r="L23" t="s">
        <v>287</v>
      </c>
      <c r="M23" s="23">
        <f>COUNT(A6:A20)-COUNT(A6:A6)-1</f>
        <v>13</v>
      </c>
    </row>
    <row r="24" spans="1:29" ht="18" x14ac:dyDescent="0.35">
      <c r="D24" s="9">
        <v>-8.9335052495855601E-3</v>
      </c>
      <c r="E24" s="11">
        <v>4.6048996131884334E-4</v>
      </c>
      <c r="G24" s="9">
        <v>-0.56813131069715905</v>
      </c>
      <c r="H24" s="11">
        <v>2.9285119108100981E-2</v>
      </c>
      <c r="L24" t="s">
        <v>423</v>
      </c>
      <c r="M24" s="168">
        <f>M22/M23</f>
        <v>63.595564655152081</v>
      </c>
    </row>
    <row r="26" spans="1:29" x14ac:dyDescent="0.25">
      <c r="M26" s="7"/>
    </row>
    <row r="27" spans="1:29" x14ac:dyDescent="0.25">
      <c r="N27" t="s">
        <v>719</v>
      </c>
    </row>
    <row r="29" spans="1:29" x14ac:dyDescent="0.25">
      <c r="N29" t="s">
        <v>303</v>
      </c>
      <c r="Q29" t="s">
        <v>716</v>
      </c>
      <c r="T29" t="s">
        <v>717</v>
      </c>
    </row>
    <row r="31" spans="1:29" ht="18" x14ac:dyDescent="0.35">
      <c r="N31" s="310" t="s">
        <v>377</v>
      </c>
      <c r="O31" s="310" t="s">
        <v>134</v>
      </c>
      <c r="Q31" s="310" t="s">
        <v>377</v>
      </c>
      <c r="R31" s="310" t="s">
        <v>723</v>
      </c>
      <c r="T31" s="310" t="s">
        <v>377</v>
      </c>
      <c r="U31" s="310" t="s">
        <v>724</v>
      </c>
    </row>
    <row r="32" spans="1:29" x14ac:dyDescent="0.25">
      <c r="N32" s="330">
        <f t="shared" ref="N32:N46" si="3">E6</f>
        <v>5</v>
      </c>
      <c r="O32" s="323">
        <f t="shared" ref="O32:O46" si="4">M6</f>
        <v>-2.5794191686621275</v>
      </c>
      <c r="Q32" s="330">
        <f>N32</f>
        <v>5</v>
      </c>
      <c r="R32" s="323">
        <f t="shared" ref="R32:R46" si="5">O32/SQRT($M$24)</f>
        <v>-0.32345100811793859</v>
      </c>
      <c r="S32">
        <v>1</v>
      </c>
      <c r="T32" s="330">
        <f>Q32</f>
        <v>5</v>
      </c>
      <c r="U32" s="323">
        <f t="array" ref="U32:U46">R32:R46/SQRT(1-INDEX(O6:AC20,S32:S46,S32:S46))</f>
        <v>-0.35336731270605498</v>
      </c>
    </row>
    <row r="33" spans="2:21" x14ac:dyDescent="0.25">
      <c r="N33" s="256">
        <f t="shared" si="3"/>
        <v>23</v>
      </c>
      <c r="O33" s="8">
        <f t="shared" si="4"/>
        <v>6.7281881254988463</v>
      </c>
      <c r="Q33" s="256">
        <f t="shared" ref="Q33:Q46" si="6">N33</f>
        <v>23</v>
      </c>
      <c r="R33" s="8">
        <f t="shared" si="5"/>
        <v>0.84369351768774359</v>
      </c>
      <c r="S33">
        <f>S32+1</f>
        <v>2</v>
      </c>
      <c r="T33" s="256">
        <f t="shared" ref="T33:T46" si="7">Q33</f>
        <v>23</v>
      </c>
      <c r="U33" s="8">
        <v>0.87611128018264017</v>
      </c>
    </row>
    <row r="34" spans="2:21" x14ac:dyDescent="0.25">
      <c r="N34" s="256">
        <f t="shared" si="3"/>
        <v>25</v>
      </c>
      <c r="O34" s="8">
        <f t="shared" si="4"/>
        <v>-10.015411064038815</v>
      </c>
      <c r="Q34" s="256">
        <f t="shared" si="6"/>
        <v>25</v>
      </c>
      <c r="R34" s="8">
        <f t="shared" si="5"/>
        <v>-1.2559008806076084</v>
      </c>
      <c r="S34">
        <f t="shared" ref="S34:S46" si="8">S33+1</f>
        <v>3</v>
      </c>
      <c r="T34" s="256">
        <f t="shared" si="7"/>
        <v>25</v>
      </c>
      <c r="U34" s="8">
        <v>-1.3101560983825884</v>
      </c>
    </row>
    <row r="35" spans="2:21" x14ac:dyDescent="0.25">
      <c r="N35" s="256">
        <f t="shared" si="3"/>
        <v>48</v>
      </c>
      <c r="O35" s="8">
        <f t="shared" si="4"/>
        <v>-2.5668017437220101</v>
      </c>
      <c r="Q35" s="256">
        <f t="shared" si="6"/>
        <v>48</v>
      </c>
      <c r="R35" s="8">
        <f t="shared" si="5"/>
        <v>-0.32186882292434321</v>
      </c>
      <c r="S35">
        <f t="shared" si="8"/>
        <v>4</v>
      </c>
      <c r="T35" s="256">
        <f t="shared" si="7"/>
        <v>48</v>
      </c>
      <c r="U35" s="8">
        <v>-0.43139948969891356</v>
      </c>
    </row>
    <row r="36" spans="2:21" x14ac:dyDescent="0.25">
      <c r="N36" s="256">
        <f t="shared" si="3"/>
        <v>17</v>
      </c>
      <c r="O36" s="8">
        <f t="shared" si="4"/>
        <v>9.9589856941118597</v>
      </c>
      <c r="Q36" s="256">
        <f t="shared" si="6"/>
        <v>17</v>
      </c>
      <c r="R36" s="8">
        <f t="shared" si="5"/>
        <v>1.2488253176250446</v>
      </c>
      <c r="S36">
        <f t="shared" si="8"/>
        <v>5</v>
      </c>
      <c r="T36" s="256">
        <f t="shared" si="7"/>
        <v>17</v>
      </c>
      <c r="U36" s="8">
        <v>1.2944977248762728</v>
      </c>
    </row>
    <row r="37" spans="2:21" x14ac:dyDescent="0.25">
      <c r="N37" s="256">
        <f t="shared" si="3"/>
        <v>8</v>
      </c>
      <c r="O37" s="8">
        <f t="shared" si="4"/>
        <v>3.3051820470313658</v>
      </c>
      <c r="Q37" s="256">
        <f t="shared" si="6"/>
        <v>8</v>
      </c>
      <c r="R37" s="8">
        <f t="shared" si="5"/>
        <v>0.41445937834140428</v>
      </c>
      <c r="S37">
        <f t="shared" si="8"/>
        <v>6</v>
      </c>
      <c r="T37" s="256">
        <f t="shared" si="7"/>
        <v>8</v>
      </c>
      <c r="U37" s="8">
        <v>0.44345901226089324</v>
      </c>
    </row>
    <row r="38" spans="2:21" x14ac:dyDescent="0.25">
      <c r="N38" s="256">
        <f t="shared" si="3"/>
        <v>4</v>
      </c>
      <c r="O38" s="8">
        <f t="shared" si="4"/>
        <v>-10.207619573893297</v>
      </c>
      <c r="Q38" s="256">
        <f t="shared" si="6"/>
        <v>4</v>
      </c>
      <c r="R38" s="8">
        <f t="shared" si="5"/>
        <v>-1.2800032200166485</v>
      </c>
      <c r="S38">
        <f t="shared" si="8"/>
        <v>7</v>
      </c>
      <c r="T38" s="256">
        <f t="shared" si="7"/>
        <v>4</v>
      </c>
      <c r="U38" s="8">
        <v>-1.4099863361999463</v>
      </c>
    </row>
    <row r="39" spans="2:21" x14ac:dyDescent="0.25">
      <c r="N39" s="256">
        <f t="shared" si="3"/>
        <v>26</v>
      </c>
      <c r="O39" s="8">
        <f t="shared" si="4"/>
        <v>9.6127893411923537</v>
      </c>
      <c r="Q39" s="256">
        <f t="shared" si="6"/>
        <v>26</v>
      </c>
      <c r="R39" s="8">
        <f t="shared" si="5"/>
        <v>1.2054133895758909</v>
      </c>
      <c r="S39">
        <f t="shared" si="8"/>
        <v>8</v>
      </c>
      <c r="T39" s="256">
        <f t="shared" si="7"/>
        <v>26</v>
      </c>
      <c r="U39" s="8">
        <v>1.2613493026239915</v>
      </c>
    </row>
    <row r="40" spans="2:21" x14ac:dyDescent="0.25">
      <c r="N40" s="256">
        <f t="shared" si="3"/>
        <v>11</v>
      </c>
      <c r="O40" s="8">
        <f t="shared" si="4"/>
        <v>2.189783262724859</v>
      </c>
      <c r="Q40" s="256">
        <f t="shared" si="6"/>
        <v>11</v>
      </c>
      <c r="R40" s="8">
        <f t="shared" si="5"/>
        <v>0.27459189746795337</v>
      </c>
      <c r="S40">
        <f t="shared" si="8"/>
        <v>9</v>
      </c>
      <c r="T40" s="256">
        <f t="shared" si="7"/>
        <v>11</v>
      </c>
      <c r="U40" s="8">
        <v>0.28931010782196626</v>
      </c>
    </row>
    <row r="41" spans="2:21" x14ac:dyDescent="0.25">
      <c r="N41" s="256">
        <f t="shared" si="3"/>
        <v>19</v>
      </c>
      <c r="O41" s="8">
        <f t="shared" si="4"/>
        <v>1.2153865045741838</v>
      </c>
      <c r="Q41" s="256">
        <f t="shared" si="6"/>
        <v>19</v>
      </c>
      <c r="R41" s="8">
        <f t="shared" si="5"/>
        <v>0.1524056248528837</v>
      </c>
      <c r="S41">
        <f t="shared" si="8"/>
        <v>10</v>
      </c>
      <c r="T41" s="256">
        <f t="shared" si="7"/>
        <v>19</v>
      </c>
      <c r="U41" s="8">
        <v>0.15776103618215834</v>
      </c>
    </row>
    <row r="42" spans="2:21" x14ac:dyDescent="0.25">
      <c r="N42" s="256">
        <f t="shared" si="3"/>
        <v>14</v>
      </c>
      <c r="O42" s="8">
        <f t="shared" si="4"/>
        <v>-8.9256155215816477</v>
      </c>
      <c r="Q42" s="256">
        <f t="shared" si="6"/>
        <v>14</v>
      </c>
      <c r="R42" s="8">
        <f t="shared" si="5"/>
        <v>-1.1192439653094886</v>
      </c>
      <c r="S42">
        <f t="shared" si="8"/>
        <v>11</v>
      </c>
      <c r="T42" s="256">
        <f t="shared" si="7"/>
        <v>14</v>
      </c>
      <c r="U42" s="8">
        <v>-1.1669524669732534</v>
      </c>
    </row>
    <row r="43" spans="2:21" x14ac:dyDescent="0.25">
      <c r="N43" s="256">
        <f t="shared" si="3"/>
        <v>35</v>
      </c>
      <c r="O43" s="8">
        <f t="shared" si="4"/>
        <v>8.2665929882728335</v>
      </c>
      <c r="Q43" s="256">
        <f t="shared" si="6"/>
        <v>35</v>
      </c>
      <c r="R43" s="8">
        <f t="shared" si="5"/>
        <v>1.0366046233363364</v>
      </c>
      <c r="S43">
        <f t="shared" si="8"/>
        <v>12</v>
      </c>
      <c r="T43" s="256">
        <f t="shared" si="7"/>
        <v>35</v>
      </c>
      <c r="U43" s="8">
        <v>1.1438539062603683</v>
      </c>
    </row>
    <row r="44" spans="2:21" x14ac:dyDescent="0.25">
      <c r="N44" s="256">
        <f t="shared" si="3"/>
        <v>29</v>
      </c>
      <c r="O44" s="8">
        <f t="shared" si="4"/>
        <v>-9.502609443114153</v>
      </c>
      <c r="Q44" s="256">
        <f t="shared" si="6"/>
        <v>29</v>
      </c>
      <c r="R44" s="8">
        <f t="shared" si="5"/>
        <v>-1.1915971787247441</v>
      </c>
      <c r="S44">
        <f t="shared" si="8"/>
        <v>13</v>
      </c>
      <c r="T44" s="256">
        <f t="shared" si="7"/>
        <v>29</v>
      </c>
      <c r="U44" s="8">
        <v>-1.2624561672637942</v>
      </c>
    </row>
    <row r="45" spans="2:21" x14ac:dyDescent="0.25">
      <c r="N45" s="256">
        <f t="shared" si="3"/>
        <v>4</v>
      </c>
      <c r="O45" s="8">
        <f t="shared" si="4"/>
        <v>8.7923804261067033</v>
      </c>
      <c r="Q45" s="256">
        <f t="shared" si="6"/>
        <v>4</v>
      </c>
      <c r="R45" s="8">
        <f t="shared" si="5"/>
        <v>1.1025367056009348</v>
      </c>
      <c r="S45">
        <f t="shared" si="8"/>
        <v>14</v>
      </c>
      <c r="T45" s="256">
        <f t="shared" si="7"/>
        <v>4</v>
      </c>
      <c r="U45" s="8">
        <v>1.2144982651184277</v>
      </c>
    </row>
    <row r="46" spans="2:21" x14ac:dyDescent="0.25">
      <c r="B46" t="s">
        <v>718</v>
      </c>
      <c r="N46" s="37">
        <f t="shared" si="3"/>
        <v>23</v>
      </c>
      <c r="O46" s="11">
        <f t="shared" si="4"/>
        <v>-6.2718118745011537</v>
      </c>
      <c r="Q46" s="37">
        <f t="shared" si="6"/>
        <v>23</v>
      </c>
      <c r="R46" s="11">
        <f t="shared" si="5"/>
        <v>-0.78646537878744494</v>
      </c>
      <c r="S46">
        <f t="shared" si="8"/>
        <v>15</v>
      </c>
      <c r="T46" s="37">
        <f t="shared" si="7"/>
        <v>23</v>
      </c>
      <c r="U46" s="11">
        <v>-0.81668422879101499</v>
      </c>
    </row>
    <row r="49" spans="14:17" x14ac:dyDescent="0.25">
      <c r="N49" t="s">
        <v>70</v>
      </c>
    </row>
    <row r="51" spans="14:17" x14ac:dyDescent="0.25">
      <c r="N51" t="s">
        <v>22</v>
      </c>
      <c r="O51">
        <f>COUNT(O32:O46)</f>
        <v>15</v>
      </c>
      <c r="P51">
        <f>2*O51</f>
        <v>30</v>
      </c>
    </row>
    <row r="52" spans="14:17" x14ac:dyDescent="0.25">
      <c r="N52" t="s">
        <v>10</v>
      </c>
      <c r="O52">
        <f>AVERAGE(O32:O46)</f>
        <v>-1.3263464400855204E-14</v>
      </c>
    </row>
    <row r="53" spans="14:17" x14ac:dyDescent="0.25">
      <c r="N53" t="s">
        <v>58</v>
      </c>
      <c r="O53">
        <f>STDEV(O32:O46)</f>
        <v>7.6845965621261607</v>
      </c>
    </row>
    <row r="55" spans="14:17" x14ac:dyDescent="0.25">
      <c r="N55" t="s">
        <v>71</v>
      </c>
      <c r="O55" t="s">
        <v>72</v>
      </c>
      <c r="P55" t="s">
        <v>217</v>
      </c>
      <c r="Q55" t="s">
        <v>73</v>
      </c>
    </row>
    <row r="56" spans="14:17" x14ac:dyDescent="0.25">
      <c r="N56">
        <v>1</v>
      </c>
      <c r="O56">
        <v>-10.207619573893297</v>
      </c>
      <c r="P56">
        <f>NORMSINV(N56/P$51)</f>
        <v>-1.8339146358159142</v>
      </c>
      <c r="Q56">
        <f>STANDARDIZE(O56,O$52,O$53)</f>
        <v>-1.3283221170258881</v>
      </c>
    </row>
    <row r="57" spans="14:17" x14ac:dyDescent="0.25">
      <c r="N57">
        <f>N56+2</f>
        <v>3</v>
      </c>
      <c r="O57">
        <v>-10.015411064038815</v>
      </c>
      <c r="P57">
        <f t="shared" ref="P57:P70" si="9">NORMSINV(N57/P$51)</f>
        <v>-1.2815515655446006</v>
      </c>
      <c r="Q57">
        <f t="shared" ref="Q57:Q70" si="10">STANDARDIZE(O57,O$52,O$53)</f>
        <v>-1.3033099373622494</v>
      </c>
    </row>
    <row r="58" spans="14:17" x14ac:dyDescent="0.25">
      <c r="N58">
        <f t="shared" ref="N58:N70" si="11">N57+2</f>
        <v>5</v>
      </c>
      <c r="O58">
        <v>-9.502609443114153</v>
      </c>
      <c r="P58">
        <f t="shared" si="9"/>
        <v>-0.96742156610170071</v>
      </c>
      <c r="Q58">
        <f t="shared" si="10"/>
        <v>-1.2365788322510161</v>
      </c>
    </row>
    <row r="59" spans="14:17" x14ac:dyDescent="0.25">
      <c r="N59">
        <f t="shared" si="11"/>
        <v>7</v>
      </c>
      <c r="O59">
        <v>-8.9256155215816477</v>
      </c>
      <c r="P59">
        <f t="shared" si="9"/>
        <v>-0.72791329088164469</v>
      </c>
      <c r="Q59">
        <f t="shared" si="10"/>
        <v>-1.161494354247806</v>
      </c>
    </row>
    <row r="60" spans="14:17" x14ac:dyDescent="0.25">
      <c r="N60">
        <f t="shared" si="11"/>
        <v>9</v>
      </c>
      <c r="O60">
        <v>-6.2718118745011537</v>
      </c>
      <c r="P60">
        <f t="shared" si="9"/>
        <v>-0.52440051270804089</v>
      </c>
      <c r="Q60">
        <f t="shared" si="10"/>
        <v>-0.81615369444532904</v>
      </c>
    </row>
    <row r="61" spans="14:17" x14ac:dyDescent="0.25">
      <c r="N61">
        <f t="shared" si="11"/>
        <v>11</v>
      </c>
      <c r="O61">
        <v>-2.5794191686621275</v>
      </c>
      <c r="P61">
        <f t="shared" si="9"/>
        <v>-0.34069482708779553</v>
      </c>
      <c r="Q61">
        <f t="shared" si="10"/>
        <v>-0.33566097423707109</v>
      </c>
    </row>
    <row r="62" spans="14:17" x14ac:dyDescent="0.25">
      <c r="N62">
        <f t="shared" si="11"/>
        <v>13</v>
      </c>
      <c r="O62">
        <v>-2.5668017437220101</v>
      </c>
      <c r="P62">
        <f t="shared" si="9"/>
        <v>-0.16789400478810546</v>
      </c>
      <c r="Q62">
        <f t="shared" si="10"/>
        <v>-0.33401906306605361</v>
      </c>
    </row>
    <row r="63" spans="14:17" x14ac:dyDescent="0.25">
      <c r="N63">
        <f t="shared" si="11"/>
        <v>15</v>
      </c>
      <c r="O63">
        <v>1.2153865045741838</v>
      </c>
      <c r="P63">
        <f t="shared" si="9"/>
        <v>0</v>
      </c>
      <c r="Q63">
        <f t="shared" si="10"/>
        <v>0.15815879138851319</v>
      </c>
    </row>
    <row r="64" spans="14:17" x14ac:dyDescent="0.25">
      <c r="N64">
        <f t="shared" si="11"/>
        <v>17</v>
      </c>
      <c r="O64">
        <v>2.189783262724859</v>
      </c>
      <c r="P64">
        <f t="shared" si="9"/>
        <v>0.16789400478810546</v>
      </c>
      <c r="Q64">
        <f t="shared" si="10"/>
        <v>0.2849574789023156</v>
      </c>
    </row>
    <row r="65" spans="14:17" x14ac:dyDescent="0.25">
      <c r="N65">
        <f t="shared" si="11"/>
        <v>19</v>
      </c>
      <c r="O65">
        <v>3.3051820470313658</v>
      </c>
      <c r="P65">
        <f t="shared" si="9"/>
        <v>0.34069482708779542</v>
      </c>
      <c r="Q65">
        <f t="shared" si="10"/>
        <v>0.43010482337109279</v>
      </c>
    </row>
    <row r="66" spans="14:17" x14ac:dyDescent="0.25">
      <c r="N66">
        <f t="shared" si="11"/>
        <v>21</v>
      </c>
      <c r="O66">
        <v>6.7281881254988463</v>
      </c>
      <c r="P66">
        <f t="shared" si="9"/>
        <v>0.52440051270804078</v>
      </c>
      <c r="Q66">
        <f t="shared" si="10"/>
        <v>0.87554214084041859</v>
      </c>
    </row>
    <row r="67" spans="14:17" x14ac:dyDescent="0.25">
      <c r="N67">
        <f t="shared" si="11"/>
        <v>23</v>
      </c>
      <c r="O67">
        <v>8.2665929882728335</v>
      </c>
      <c r="P67">
        <f t="shared" si="9"/>
        <v>0.72791329088164458</v>
      </c>
      <c r="Q67">
        <f t="shared" si="10"/>
        <v>1.0757354561741181</v>
      </c>
    </row>
    <row r="68" spans="14:17" x14ac:dyDescent="0.25">
      <c r="N68">
        <f t="shared" si="11"/>
        <v>25</v>
      </c>
      <c r="O68">
        <v>8.7923804261067033</v>
      </c>
      <c r="P68">
        <f t="shared" si="9"/>
        <v>0.96742156610170071</v>
      </c>
      <c r="Q68">
        <f t="shared" si="10"/>
        <v>1.144156411468666</v>
      </c>
    </row>
    <row r="69" spans="14:17" x14ac:dyDescent="0.25">
      <c r="N69">
        <f t="shared" si="11"/>
        <v>27</v>
      </c>
      <c r="O69">
        <v>9.6127893411923537</v>
      </c>
      <c r="P69">
        <f t="shared" si="9"/>
        <v>1.2815515655446006</v>
      </c>
      <c r="Q69">
        <f t="shared" si="10"/>
        <v>1.2509165918441809</v>
      </c>
    </row>
    <row r="70" spans="14:17" x14ac:dyDescent="0.25">
      <c r="N70">
        <f t="shared" si="11"/>
        <v>29</v>
      </c>
      <c r="O70">
        <v>9.9589856941118597</v>
      </c>
      <c r="P70">
        <f t="shared" si="9"/>
        <v>1.8339146358159142</v>
      </c>
      <c r="Q70">
        <f t="shared" si="10"/>
        <v>1.2959672786461074</v>
      </c>
    </row>
    <row r="73" spans="14:17" x14ac:dyDescent="0.25">
      <c r="N73" t="s">
        <v>70</v>
      </c>
    </row>
    <row r="75" spans="14:17" x14ac:dyDescent="0.25">
      <c r="N75" t="s">
        <v>22</v>
      </c>
      <c r="O75">
        <f>COUNT(G6:G20)</f>
        <v>15</v>
      </c>
      <c r="P75">
        <f>2*O75</f>
        <v>30</v>
      </c>
    </row>
    <row r="76" spans="14:17" x14ac:dyDescent="0.25">
      <c r="N76" t="s">
        <v>10</v>
      </c>
      <c r="O76">
        <f>AVERAGE(G6:G20)</f>
        <v>73.533333333333331</v>
      </c>
    </row>
    <row r="77" spans="14:17" x14ac:dyDescent="0.25">
      <c r="N77" t="s">
        <v>58</v>
      </c>
      <c r="O77">
        <f>STDEV(G6:G20)</f>
        <v>10.966616007988378</v>
      </c>
    </row>
    <row r="79" spans="14:17" x14ac:dyDescent="0.25">
      <c r="N79" t="s">
        <v>71</v>
      </c>
      <c r="O79" t="s">
        <v>72</v>
      </c>
      <c r="P79" t="s">
        <v>217</v>
      </c>
      <c r="Q79" t="s">
        <v>73</v>
      </c>
    </row>
    <row r="80" spans="14:17" x14ac:dyDescent="0.25">
      <c r="N80">
        <v>1</v>
      </c>
      <c r="O80">
        <v>53</v>
      </c>
      <c r="P80">
        <f>NORMSINV(N80/P$75)</f>
        <v>-1.8339146358159142</v>
      </c>
      <c r="Q80">
        <f>STANDARDIZE(O80,O$76,O$77)</f>
        <v>-1.8723490745345965</v>
      </c>
    </row>
    <row r="81" spans="14:17" x14ac:dyDescent="0.25">
      <c r="N81">
        <f>N80+2</f>
        <v>3</v>
      </c>
      <c r="O81">
        <v>58</v>
      </c>
      <c r="P81">
        <f t="shared" ref="P81:P94" si="12">NORMSINV(N81/P$75)</f>
        <v>-1.2815515655446006</v>
      </c>
      <c r="Q81">
        <f t="shared" ref="Q81:Q94" si="13">STANDARDIZE(O81,O$76,O$77)</f>
        <v>-1.4164199167745486</v>
      </c>
    </row>
    <row r="82" spans="14:17" x14ac:dyDescent="0.25">
      <c r="N82">
        <f t="shared" ref="N82:N94" si="14">N81+2</f>
        <v>5</v>
      </c>
      <c r="O82">
        <v>60</v>
      </c>
      <c r="P82">
        <f t="shared" si="12"/>
        <v>-0.96742156610170071</v>
      </c>
      <c r="Q82">
        <f t="shared" si="13"/>
        <v>-1.2340482536705295</v>
      </c>
    </row>
    <row r="83" spans="14:17" x14ac:dyDescent="0.25">
      <c r="N83">
        <f t="shared" si="14"/>
        <v>7</v>
      </c>
      <c r="O83">
        <v>65</v>
      </c>
      <c r="P83">
        <f t="shared" si="12"/>
        <v>-0.72791329088164469</v>
      </c>
      <c r="Q83">
        <f t="shared" si="13"/>
        <v>-0.77811909591048156</v>
      </c>
    </row>
    <row r="84" spans="14:17" x14ac:dyDescent="0.25">
      <c r="N84">
        <f t="shared" si="14"/>
        <v>9</v>
      </c>
      <c r="O84">
        <v>68</v>
      </c>
      <c r="P84">
        <f t="shared" si="12"/>
        <v>-0.52440051270804089</v>
      </c>
      <c r="Q84">
        <f t="shared" si="13"/>
        <v>-0.50456160125445282</v>
      </c>
    </row>
    <row r="85" spans="14:17" x14ac:dyDescent="0.25">
      <c r="N85">
        <f t="shared" si="14"/>
        <v>11</v>
      </c>
      <c r="O85">
        <v>72</v>
      </c>
      <c r="P85">
        <f t="shared" si="12"/>
        <v>-0.34069482708779553</v>
      </c>
      <c r="Q85">
        <f t="shared" si="13"/>
        <v>-0.13981827504641453</v>
      </c>
    </row>
    <row r="86" spans="14:17" x14ac:dyDescent="0.25">
      <c r="N86">
        <f t="shared" si="14"/>
        <v>13</v>
      </c>
      <c r="O86">
        <v>73</v>
      </c>
      <c r="P86">
        <f t="shared" si="12"/>
        <v>-0.16789400478810546</v>
      </c>
      <c r="Q86">
        <f t="shared" si="13"/>
        <v>-4.8632443494404938E-2</v>
      </c>
    </row>
    <row r="87" spans="14:17" x14ac:dyDescent="0.25">
      <c r="N87">
        <f t="shared" si="14"/>
        <v>15</v>
      </c>
      <c r="O87">
        <v>75</v>
      </c>
      <c r="P87">
        <f t="shared" si="12"/>
        <v>0</v>
      </c>
      <c r="Q87">
        <f t="shared" si="13"/>
        <v>0.13373921960961421</v>
      </c>
    </row>
    <row r="88" spans="14:17" x14ac:dyDescent="0.25">
      <c r="N88">
        <f t="shared" si="14"/>
        <v>17</v>
      </c>
      <c r="O88">
        <v>78</v>
      </c>
      <c r="P88">
        <f t="shared" si="12"/>
        <v>0.16789400478810546</v>
      </c>
      <c r="Q88">
        <f t="shared" si="13"/>
        <v>0.40729671426564296</v>
      </c>
    </row>
    <row r="89" spans="14:17" x14ac:dyDescent="0.25">
      <c r="N89">
        <f t="shared" si="14"/>
        <v>19</v>
      </c>
      <c r="O89">
        <v>79</v>
      </c>
      <c r="P89">
        <f t="shared" si="12"/>
        <v>0.34069482708779542</v>
      </c>
      <c r="Q89">
        <f t="shared" si="13"/>
        <v>0.49848254581765256</v>
      </c>
    </row>
    <row r="90" spans="14:17" x14ac:dyDescent="0.25">
      <c r="N90">
        <f t="shared" si="14"/>
        <v>21</v>
      </c>
      <c r="O90">
        <v>80</v>
      </c>
      <c r="P90">
        <f t="shared" si="12"/>
        <v>0.52440051270804078</v>
      </c>
      <c r="Q90">
        <f t="shared" si="13"/>
        <v>0.58966837736966216</v>
      </c>
    </row>
    <row r="91" spans="14:17" x14ac:dyDescent="0.25">
      <c r="N91">
        <f t="shared" si="14"/>
        <v>23</v>
      </c>
      <c r="O91">
        <v>81</v>
      </c>
      <c r="P91">
        <f t="shared" si="12"/>
        <v>0.72791329088164458</v>
      </c>
      <c r="Q91">
        <f t="shared" si="13"/>
        <v>0.6808542089216717</v>
      </c>
    </row>
    <row r="92" spans="14:17" x14ac:dyDescent="0.25">
      <c r="N92">
        <f t="shared" si="14"/>
        <v>25</v>
      </c>
      <c r="O92">
        <v>84</v>
      </c>
      <c r="P92">
        <f t="shared" si="12"/>
        <v>0.96742156610170071</v>
      </c>
      <c r="Q92">
        <f t="shared" si="13"/>
        <v>0.95441170357770044</v>
      </c>
    </row>
    <row r="93" spans="14:17" x14ac:dyDescent="0.25">
      <c r="N93">
        <f t="shared" si="14"/>
        <v>27</v>
      </c>
      <c r="O93">
        <v>85</v>
      </c>
      <c r="P93">
        <f t="shared" si="12"/>
        <v>1.2815515655446006</v>
      </c>
      <c r="Q93">
        <f t="shared" si="13"/>
        <v>1.04559753512971</v>
      </c>
    </row>
    <row r="94" spans="14:17" x14ac:dyDescent="0.25">
      <c r="N94">
        <f t="shared" si="14"/>
        <v>29</v>
      </c>
      <c r="O94">
        <v>92</v>
      </c>
      <c r="P94">
        <f t="shared" si="12"/>
        <v>1.8339146358159142</v>
      </c>
      <c r="Q94">
        <f t="shared" si="13"/>
        <v>1.683898355993777</v>
      </c>
    </row>
    <row r="97" spans="14:17" x14ac:dyDescent="0.25">
      <c r="N97" t="s">
        <v>70</v>
      </c>
    </row>
    <row r="99" spans="14:17" x14ac:dyDescent="0.25">
      <c r="N99" t="s">
        <v>22</v>
      </c>
      <c r="O99">
        <f>COUNT(U32:U46)</f>
        <v>15</v>
      </c>
      <c r="P99">
        <f>2*O99</f>
        <v>30</v>
      </c>
    </row>
    <row r="100" spans="14:17" x14ac:dyDescent="0.25">
      <c r="N100" t="s">
        <v>10</v>
      </c>
      <c r="O100">
        <f>AVERAGE(U32:U46)</f>
        <v>-4.6774309792564951E-3</v>
      </c>
    </row>
    <row r="101" spans="14:17" x14ac:dyDescent="0.25">
      <c r="N101" t="s">
        <v>58</v>
      </c>
      <c r="O101">
        <f>STDEV(U32:U46)</f>
        <v>1.026808961506215</v>
      </c>
    </row>
    <row r="103" spans="14:17" x14ac:dyDescent="0.25">
      <c r="N103" t="s">
        <v>71</v>
      </c>
      <c r="O103" t="s">
        <v>72</v>
      </c>
      <c r="P103" t="s">
        <v>217</v>
      </c>
      <c r="Q103" t="s">
        <v>73</v>
      </c>
    </row>
    <row r="104" spans="14:17" x14ac:dyDescent="0.25">
      <c r="N104">
        <v>1</v>
      </c>
      <c r="O104">
        <v>-4.4098569762515689</v>
      </c>
      <c r="P104">
        <f>NORMSINV(N104/P$99)</f>
        <v>-1.8339146358159142</v>
      </c>
      <c r="Q104">
        <f>STANDARDIZE(O104,O$100,O$101)</f>
        <v>-4.2901646853669853</v>
      </c>
    </row>
    <row r="105" spans="14:17" x14ac:dyDescent="0.25">
      <c r="N105">
        <f>N104+2</f>
        <v>3</v>
      </c>
      <c r="O105">
        <v>-3.9547885483193022</v>
      </c>
      <c r="P105">
        <f t="shared" ref="P105:P118" si="15">NORMSINV(N105/P$99)</f>
        <v>-1.2815515655446006</v>
      </c>
      <c r="Q105">
        <f t="shared" ref="Q105:Q118" si="16">STANDARDIZE(O105,O$100,O$101)</f>
        <v>-3.8469776418250872</v>
      </c>
    </row>
    <row r="106" spans="14:17" x14ac:dyDescent="0.25">
      <c r="N106">
        <f t="shared" ref="N106:N118" si="17">N105+2</f>
        <v>5</v>
      </c>
      <c r="O106">
        <v>-3.6074996744649384</v>
      </c>
      <c r="P106">
        <f t="shared" si="15"/>
        <v>-0.96742156610170071</v>
      </c>
      <c r="Q106">
        <f t="shared" si="16"/>
        <v>-3.5087561353192136</v>
      </c>
    </row>
    <row r="107" spans="14:17" x14ac:dyDescent="0.25">
      <c r="N107">
        <f t="shared" si="17"/>
        <v>7</v>
      </c>
      <c r="O107">
        <v>-3.0521593017915123</v>
      </c>
      <c r="P107">
        <f t="shared" si="15"/>
        <v>-0.72791329088164469</v>
      </c>
      <c r="Q107">
        <f t="shared" si="16"/>
        <v>-2.9679151478595762</v>
      </c>
    </row>
    <row r="108" spans="14:17" x14ac:dyDescent="0.25">
      <c r="N108">
        <f t="shared" si="17"/>
        <v>9</v>
      </c>
      <c r="O108">
        <v>-2.9181511633249473</v>
      </c>
      <c r="P108">
        <f t="shared" si="15"/>
        <v>-0.52440051270804089</v>
      </c>
      <c r="Q108">
        <f t="shared" si="16"/>
        <v>-2.837405828706391</v>
      </c>
    </row>
    <row r="109" spans="14:17" x14ac:dyDescent="0.25">
      <c r="N109">
        <f t="shared" si="17"/>
        <v>11</v>
      </c>
      <c r="O109">
        <v>-0.80323912920398621</v>
      </c>
      <c r="P109">
        <f t="shared" si="15"/>
        <v>-0.34069482708779553</v>
      </c>
      <c r="Q109">
        <f t="shared" si="16"/>
        <v>-0.77771204592266907</v>
      </c>
    </row>
    <row r="110" spans="14:17" x14ac:dyDescent="0.25">
      <c r="N110">
        <f t="shared" si="17"/>
        <v>13</v>
      </c>
      <c r="O110">
        <v>-0.48341021558419511</v>
      </c>
      <c r="P110">
        <f t="shared" si="15"/>
        <v>-0.16789400478810546</v>
      </c>
      <c r="Q110">
        <f t="shared" si="16"/>
        <v>-0.4662335473803137</v>
      </c>
    </row>
    <row r="111" spans="14:17" x14ac:dyDescent="0.25">
      <c r="N111">
        <f t="shared" si="17"/>
        <v>15</v>
      </c>
      <c r="O111">
        <v>0.58993854401092605</v>
      </c>
      <c r="P111">
        <f t="shared" si="15"/>
        <v>0</v>
      </c>
      <c r="Q111">
        <f t="shared" si="16"/>
        <v>0.5790911428333726</v>
      </c>
    </row>
    <row r="112" spans="14:17" x14ac:dyDescent="0.25">
      <c r="N112">
        <f t="shared" si="17"/>
        <v>17</v>
      </c>
      <c r="O112">
        <v>0.87201107950729451</v>
      </c>
      <c r="P112">
        <f t="shared" si="15"/>
        <v>0.16789400478810546</v>
      </c>
      <c r="Q112">
        <f t="shared" si="16"/>
        <v>0.85379904476149693</v>
      </c>
    </row>
    <row r="113" spans="14:17" x14ac:dyDescent="0.25">
      <c r="N113">
        <f t="shared" si="17"/>
        <v>19</v>
      </c>
      <c r="O113">
        <v>1.1652422147908958</v>
      </c>
      <c r="P113">
        <f t="shared" si="15"/>
        <v>0.34069482708779542</v>
      </c>
      <c r="Q113">
        <f t="shared" si="16"/>
        <v>1.1393742065262167</v>
      </c>
    </row>
    <row r="114" spans="14:17" x14ac:dyDescent="0.25">
      <c r="N114">
        <f t="shared" si="17"/>
        <v>21</v>
      </c>
      <c r="O114">
        <v>2.4519555167106906</v>
      </c>
      <c r="P114">
        <f t="shared" si="15"/>
        <v>0.52440051270804078</v>
      </c>
      <c r="Q114">
        <f t="shared" si="16"/>
        <v>2.3924927029136347</v>
      </c>
    </row>
    <row r="115" spans="14:17" x14ac:dyDescent="0.25">
      <c r="N115">
        <f t="shared" si="17"/>
        <v>23</v>
      </c>
      <c r="O115">
        <v>2.6289915595077131</v>
      </c>
      <c r="P115">
        <f t="shared" si="15"/>
        <v>0.72791329088164458</v>
      </c>
      <c r="Q115">
        <f t="shared" si="16"/>
        <v>2.5649065105778477</v>
      </c>
    </row>
    <row r="116" spans="14:17" x14ac:dyDescent="0.25">
      <c r="N116">
        <f t="shared" si="17"/>
        <v>25</v>
      </c>
      <c r="O116">
        <v>3.1304940898048206</v>
      </c>
      <c r="P116">
        <f t="shared" si="15"/>
        <v>0.96742156610170071</v>
      </c>
      <c r="Q116">
        <f t="shared" si="16"/>
        <v>3.0533153082196787</v>
      </c>
    </row>
    <row r="117" spans="14:17" x14ac:dyDescent="0.25">
      <c r="N117">
        <f t="shared" si="17"/>
        <v>27</v>
      </c>
      <c r="O117">
        <v>4.0931940220702412</v>
      </c>
      <c r="P117">
        <f t="shared" si="15"/>
        <v>1.2815515655446006</v>
      </c>
      <c r="Q117">
        <f t="shared" si="16"/>
        <v>3.9908801020185627</v>
      </c>
    </row>
    <row r="118" spans="14:17" x14ac:dyDescent="0.25">
      <c r="N118">
        <f t="shared" si="17"/>
        <v>29</v>
      </c>
      <c r="O118">
        <v>4.7432418796866473</v>
      </c>
      <c r="P118">
        <f t="shared" si="15"/>
        <v>1.8339146358159142</v>
      </c>
      <c r="Q118">
        <f t="shared" si="16"/>
        <v>4.6239558561129348</v>
      </c>
    </row>
  </sheetData>
  <mergeCells count="3">
    <mergeCell ref="D5:E5"/>
    <mergeCell ref="D22:E22"/>
    <mergeCell ref="G22:H22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AC70"/>
  <sheetViews>
    <sheetView workbookViewId="0"/>
  </sheetViews>
  <sheetFormatPr defaultRowHeight="15" x14ac:dyDescent="0.25"/>
  <cols>
    <col min="1" max="1" width="9.5703125" customWidth="1"/>
    <col min="2" max="2" width="9" customWidth="1"/>
    <col min="3" max="3" width="9.42578125" customWidth="1"/>
    <col min="5" max="7" width="6.140625" customWidth="1"/>
    <col min="8" max="8" width="5.7109375" customWidth="1"/>
    <col min="10" max="10" width="5.5703125" customWidth="1"/>
    <col min="14" max="14" width="5.42578125" customWidth="1"/>
    <col min="16" max="16" width="6.140625" customWidth="1"/>
    <col min="18" max="18" width="5.5703125" customWidth="1"/>
  </cols>
  <sheetData>
    <row r="1" spans="1:29" x14ac:dyDescent="0.25">
      <c r="A1" s="1" t="s">
        <v>303</v>
      </c>
    </row>
    <row r="2" spans="1:29" x14ac:dyDescent="0.25">
      <c r="A2" s="1"/>
    </row>
    <row r="3" spans="1:29" x14ac:dyDescent="0.25">
      <c r="A3" s="17" t="s">
        <v>720</v>
      </c>
    </row>
    <row r="5" spans="1:29" ht="15" customHeight="1" x14ac:dyDescent="0.25">
      <c r="A5" s="131" t="s">
        <v>382</v>
      </c>
      <c r="B5" s="131" t="s">
        <v>383</v>
      </c>
      <c r="C5" s="131" t="s">
        <v>376</v>
      </c>
      <c r="E5" s="1318" t="s">
        <v>377</v>
      </c>
      <c r="F5" s="1318"/>
      <c r="G5" s="1318"/>
      <c r="H5" s="17"/>
      <c r="I5" s="190" t="s">
        <v>378</v>
      </c>
      <c r="K5" s="310" t="s">
        <v>131</v>
      </c>
      <c r="M5" s="310" t="s">
        <v>425</v>
      </c>
      <c r="O5" s="82" t="s">
        <v>391</v>
      </c>
      <c r="Q5" s="310" t="s">
        <v>134</v>
      </c>
      <c r="S5" s="324" t="s">
        <v>714</v>
      </c>
    </row>
    <row r="6" spans="1:29" ht="15" customHeight="1" x14ac:dyDescent="0.25">
      <c r="A6" s="310">
        <v>7</v>
      </c>
      <c r="B6" s="310">
        <v>5</v>
      </c>
      <c r="C6" s="310">
        <v>65</v>
      </c>
      <c r="E6" s="332">
        <v>1</v>
      </c>
      <c r="F6" s="322">
        <f>A6</f>
        <v>7</v>
      </c>
      <c r="G6" s="323">
        <f>B6</f>
        <v>5</v>
      </c>
      <c r="I6" s="327">
        <f>C6</f>
        <v>65</v>
      </c>
      <c r="K6" s="327">
        <f t="array" ref="K6:K8">MMULT(K11:M13,MMULT(TRANSPOSE(E6:G16),I6:I16))</f>
        <v>1.7514036585681367</v>
      </c>
      <c r="L6">
        <v>1</v>
      </c>
      <c r="M6" s="327">
        <f t="array" ref="M6:M8">SQRT(INDEX($K$16:$M$18,L6:L8,L6:L8))</f>
        <v>16.613834897060123</v>
      </c>
      <c r="O6" s="327">
        <f t="array" ref="O6:O16">MMULT(E6:G16,K6:K8)</f>
        <v>54.810499624828537</v>
      </c>
      <c r="Q6" s="327">
        <f>I6-O6</f>
        <v>10.189500375171463</v>
      </c>
      <c r="S6" s="321">
        <f t="array" ref="S6:AC16">MMULT(E6:G16,MMULT(K11:M13,TRANSPOSE(E6:G16)))</f>
        <v>0.12773939817330326</v>
      </c>
      <c r="T6" s="322">
        <v>6.8695179694170494E-2</v>
      </c>
      <c r="U6" s="322">
        <v>0.13418199694688104</v>
      </c>
      <c r="V6" s="322">
        <v>7.95622137700846E-2</v>
      </c>
      <c r="W6" s="322">
        <v>0.13927915340629762</v>
      </c>
      <c r="X6" s="322">
        <v>6.225258092059309E-2</v>
      </c>
      <c r="Y6" s="322">
        <v>-3.3429066728764167E-2</v>
      </c>
      <c r="Z6" s="322">
        <v>2.6960594064529386E-2</v>
      </c>
      <c r="AA6" s="322">
        <v>0.18745633780951648</v>
      </c>
      <c r="AB6" s="322">
        <v>8.6004812543662087E-2</v>
      </c>
      <c r="AC6" s="323">
        <v>0.12129679939972567</v>
      </c>
    </row>
    <row r="7" spans="1:29" ht="15" customHeight="1" x14ac:dyDescent="0.25">
      <c r="A7" s="310">
        <v>3</v>
      </c>
      <c r="B7" s="310">
        <v>7</v>
      </c>
      <c r="C7" s="310">
        <v>38</v>
      </c>
      <c r="E7" s="333">
        <v>1</v>
      </c>
      <c r="F7" s="7">
        <f t="shared" ref="F7:F16" si="0">A7</f>
        <v>3</v>
      </c>
      <c r="G7" s="8">
        <f t="shared" ref="G7:G16" si="1">B7</f>
        <v>7</v>
      </c>
      <c r="I7" s="272">
        <f t="shared" ref="I7:I16" si="2">C7</f>
        <v>38</v>
      </c>
      <c r="K7" s="272">
        <v>4.8952883645113623</v>
      </c>
      <c r="L7">
        <f>L6+1</f>
        <v>2</v>
      </c>
      <c r="M7" s="272">
        <v>1.9578685795717163</v>
      </c>
      <c r="O7" s="272">
        <v>42.746177132655433</v>
      </c>
      <c r="Q7" s="272">
        <f t="shared" ref="Q7:Q16" si="3">I7-O7</f>
        <v>-4.7461771326554327</v>
      </c>
      <c r="S7" s="273">
        <v>6.8695179694170522E-2</v>
      </c>
      <c r="T7" s="7">
        <v>0.29053791818675778</v>
      </c>
      <c r="U7" s="7">
        <v>0.23379647597609268</v>
      </c>
      <c r="V7" s="7">
        <v>-8.158037724132583E-2</v>
      </c>
      <c r="W7" s="7">
        <v>-6.9316153069937325E-2</v>
      </c>
      <c r="X7" s="7">
        <v>0.12543662190483595</v>
      </c>
      <c r="Y7" s="7">
        <v>5.8992470697818877E-2</v>
      </c>
      <c r="Z7" s="7">
        <v>0.3053636575331834</v>
      </c>
      <c r="AA7" s="7">
        <v>8.0959403865559221E-2</v>
      </c>
      <c r="AB7" s="7">
        <v>8.3520919040596081E-2</v>
      </c>
      <c r="AC7" s="8">
        <v>-9.64061165877515E-2</v>
      </c>
    </row>
    <row r="8" spans="1:29" ht="15" customHeight="1" x14ac:dyDescent="0.25">
      <c r="A8" s="310">
        <v>5</v>
      </c>
      <c r="B8" s="310">
        <v>8</v>
      </c>
      <c r="C8" s="310">
        <v>51</v>
      </c>
      <c r="E8" s="333">
        <v>1</v>
      </c>
      <c r="F8" s="7">
        <f t="shared" si="0"/>
        <v>5</v>
      </c>
      <c r="G8" s="8">
        <f t="shared" si="1"/>
        <v>8</v>
      </c>
      <c r="I8" s="272">
        <f t="shared" si="2"/>
        <v>51</v>
      </c>
      <c r="K8" s="168">
        <v>3.7584154829361722</v>
      </c>
      <c r="L8">
        <f>L7+1</f>
        <v>3</v>
      </c>
      <c r="M8" s="168">
        <v>1.8057733712252741</v>
      </c>
      <c r="O8" s="272">
        <v>56.295169344614322</v>
      </c>
      <c r="Q8" s="272">
        <f t="shared" si="3"/>
        <v>-5.2951693446143224</v>
      </c>
      <c r="S8" s="273">
        <v>0.13418199694688085</v>
      </c>
      <c r="T8" s="7">
        <v>0.2337964759760924</v>
      </c>
      <c r="U8" s="7">
        <v>0.29509172294237906</v>
      </c>
      <c r="V8" s="7">
        <v>-8.515097415198325E-2</v>
      </c>
      <c r="W8" s="7">
        <v>2.8823514191828936E-2</v>
      </c>
      <c r="X8" s="7">
        <v>7.2886749980594634E-2</v>
      </c>
      <c r="Y8" s="7">
        <v>-0.15219022484411004</v>
      </c>
      <c r="Z8" s="7">
        <v>0.17537323087272622</v>
      </c>
      <c r="AA8" s="7">
        <v>0.24815648529069334</v>
      </c>
      <c r="AB8" s="7">
        <v>7.5758751843514618E-2</v>
      </c>
      <c r="AC8" s="8">
        <v>-2.6727729048617088E-2</v>
      </c>
    </row>
    <row r="9" spans="1:29" ht="15" customHeight="1" x14ac:dyDescent="0.25">
      <c r="A9" s="310">
        <v>8</v>
      </c>
      <c r="B9" s="310">
        <v>1</v>
      </c>
      <c r="C9" s="310">
        <v>38</v>
      </c>
      <c r="E9" s="333">
        <v>1</v>
      </c>
      <c r="F9" s="7">
        <f t="shared" si="0"/>
        <v>8</v>
      </c>
      <c r="G9" s="8">
        <f t="shared" si="1"/>
        <v>1</v>
      </c>
      <c r="I9" s="272">
        <f t="shared" si="2"/>
        <v>38</v>
      </c>
      <c r="O9" s="272">
        <v>44.672126057595207</v>
      </c>
      <c r="Q9" s="272">
        <f t="shared" si="3"/>
        <v>-6.6721260575952073</v>
      </c>
      <c r="S9" s="273">
        <v>7.9562213770084475E-2</v>
      </c>
      <c r="T9" s="7">
        <v>-8.1580377241325719E-2</v>
      </c>
      <c r="U9" s="7">
        <v>-8.5150974151983139E-2</v>
      </c>
      <c r="V9" s="7">
        <v>0.26709617325157176</v>
      </c>
      <c r="W9" s="7">
        <v>0.20220445548397092</v>
      </c>
      <c r="X9" s="7">
        <v>8.3132810680742172E-2</v>
      </c>
      <c r="Y9" s="7">
        <v>0.23216642086470551</v>
      </c>
      <c r="Z9" s="7">
        <v>-5.8759605681906246E-2</v>
      </c>
      <c r="AA9" s="7">
        <v>1.4670496002483838E-2</v>
      </c>
      <c r="AB9" s="7">
        <v>0.10238298532950392</v>
      </c>
      <c r="AC9" s="8">
        <v>0.24427540169215228</v>
      </c>
    </row>
    <row r="10" spans="1:29" ht="15" customHeight="1" x14ac:dyDescent="0.25">
      <c r="A10" s="310">
        <v>9</v>
      </c>
      <c r="B10" s="310">
        <v>3</v>
      </c>
      <c r="C10" s="310">
        <v>55</v>
      </c>
      <c r="E10" s="333">
        <v>1</v>
      </c>
      <c r="F10" s="7">
        <f t="shared" si="0"/>
        <v>9</v>
      </c>
      <c r="G10" s="8">
        <f t="shared" si="1"/>
        <v>3</v>
      </c>
      <c r="I10" s="272">
        <f t="shared" si="2"/>
        <v>55</v>
      </c>
      <c r="K10" s="1317" t="s">
        <v>380</v>
      </c>
      <c r="L10" s="1317"/>
      <c r="M10" s="1317"/>
      <c r="O10" s="272">
        <v>57.08424538797891</v>
      </c>
      <c r="Q10" s="272">
        <f t="shared" si="3"/>
        <v>-2.0842453879789105</v>
      </c>
      <c r="S10" s="273">
        <v>0.1392791534062976</v>
      </c>
      <c r="T10" s="7">
        <v>-6.9316153069937214E-2</v>
      </c>
      <c r="U10" s="7">
        <v>2.8823514191829158E-2</v>
      </c>
      <c r="V10" s="7">
        <v>0.20220445548397109</v>
      </c>
      <c r="W10" s="7">
        <v>0.24665579963259068</v>
      </c>
      <c r="X10" s="7">
        <v>4.113948614453157E-2</v>
      </c>
      <c r="Y10" s="7">
        <v>2.8461279722629684E-3</v>
      </c>
      <c r="Z10" s="7">
        <v>-0.11684649020673249</v>
      </c>
      <c r="AA10" s="7">
        <v>0.18373049755491749</v>
      </c>
      <c r="AB10" s="7">
        <v>9.1748816269502334E-2</v>
      </c>
      <c r="AC10" s="8">
        <v>0.24973479262076637</v>
      </c>
    </row>
    <row r="11" spans="1:29" ht="15" customHeight="1" x14ac:dyDescent="0.25">
      <c r="A11" s="310">
        <v>5</v>
      </c>
      <c r="B11" s="310">
        <v>4</v>
      </c>
      <c r="C11" s="310">
        <v>43</v>
      </c>
      <c r="E11" s="333">
        <v>1</v>
      </c>
      <c r="F11" s="7">
        <f t="shared" si="0"/>
        <v>5</v>
      </c>
      <c r="G11" s="8">
        <f t="shared" si="1"/>
        <v>4</v>
      </c>
      <c r="I11" s="272">
        <f t="shared" si="2"/>
        <v>43</v>
      </c>
      <c r="K11" s="321">
        <f t="array" ref="K11:M13">MINVERSE(MMULT(TRANSPOSE(E6:G16),E6:G16))</f>
        <v>1.3973194649279432</v>
      </c>
      <c r="L11" s="322">
        <v>-0.14197003803461952</v>
      </c>
      <c r="M11" s="323">
        <v>-0.10639343838132949</v>
      </c>
      <c r="O11" s="272">
        <v>41.261507412869634</v>
      </c>
      <c r="Q11" s="272">
        <f t="shared" si="3"/>
        <v>1.7384925871303665</v>
      </c>
      <c r="S11" s="273">
        <v>6.2252580920592909E-2</v>
      </c>
      <c r="T11" s="7">
        <v>0.12543662190483593</v>
      </c>
      <c r="U11" s="7">
        <v>7.2886749980594717E-2</v>
      </c>
      <c r="V11" s="7">
        <v>8.313281068074202E-2</v>
      </c>
      <c r="W11" s="7">
        <v>4.1139486144531306E-2</v>
      </c>
      <c r="X11" s="7">
        <v>0.11480245284483442</v>
      </c>
      <c r="Y11" s="7">
        <v>0.17775362881316475</v>
      </c>
      <c r="Z11" s="7">
        <v>0.15695102072498662</v>
      </c>
      <c r="AA11" s="7">
        <v>2.0259256384382474E-2</v>
      </c>
      <c r="AB11" s="7">
        <v>9.3766979740743564E-2</v>
      </c>
      <c r="AC11" s="8">
        <v>5.1618411860591296E-2</v>
      </c>
    </row>
    <row r="12" spans="1:29" ht="15" customHeight="1" x14ac:dyDescent="0.25">
      <c r="A12" s="310">
        <v>4</v>
      </c>
      <c r="B12" s="310">
        <v>0</v>
      </c>
      <c r="C12" s="310">
        <v>25</v>
      </c>
      <c r="E12" s="333">
        <v>1</v>
      </c>
      <c r="F12" s="7">
        <f t="shared" si="0"/>
        <v>4</v>
      </c>
      <c r="G12" s="8">
        <f t="shared" si="1"/>
        <v>0</v>
      </c>
      <c r="I12" s="272">
        <f t="shared" si="2"/>
        <v>25</v>
      </c>
      <c r="K12" s="273">
        <v>-0.14197003803461947</v>
      </c>
      <c r="L12" s="7">
        <v>1.9405417992703587E-2</v>
      </c>
      <c r="M12" s="8">
        <v>5.9768687417527068E-3</v>
      </c>
      <c r="O12" s="272">
        <v>21.332557116613586</v>
      </c>
      <c r="Q12" s="272">
        <f t="shared" si="3"/>
        <v>3.6674428833864141</v>
      </c>
      <c r="S12" s="273">
        <v>-3.3429066728764195E-2</v>
      </c>
      <c r="T12" s="7">
        <v>5.899247069781921E-2</v>
      </c>
      <c r="U12" s="7">
        <v>-0.15219022484410974</v>
      </c>
      <c r="V12" s="7">
        <v>0.23216642086470535</v>
      </c>
      <c r="W12" s="7">
        <v>2.8461279722627464E-3</v>
      </c>
      <c r="X12" s="7">
        <v>0.17775362881316492</v>
      </c>
      <c r="Y12" s="7">
        <v>0.57204584853424467</v>
      </c>
      <c r="Z12" s="7">
        <v>0.20582680017594307</v>
      </c>
      <c r="AA12" s="7">
        <v>-0.2627493596212066</v>
      </c>
      <c r="AB12" s="7">
        <v>0.11340526274935962</v>
      </c>
      <c r="AC12" s="8">
        <v>8.5332091386581432E-2</v>
      </c>
    </row>
    <row r="13" spans="1:29" ht="15" customHeight="1" x14ac:dyDescent="0.25">
      <c r="A13" s="310">
        <v>2</v>
      </c>
      <c r="B13" s="310">
        <v>6</v>
      </c>
      <c r="C13" s="310">
        <v>33</v>
      </c>
      <c r="E13" s="333">
        <v>1</v>
      </c>
      <c r="F13" s="7">
        <f t="shared" si="0"/>
        <v>2</v>
      </c>
      <c r="G13" s="8">
        <f t="shared" si="1"/>
        <v>6</v>
      </c>
      <c r="I13" s="272">
        <f t="shared" si="2"/>
        <v>33</v>
      </c>
      <c r="K13" s="9">
        <v>-0.10639343838132957</v>
      </c>
      <c r="L13" s="10">
        <v>5.976868741752718E-3</v>
      </c>
      <c r="M13" s="11">
        <v>1.6507542239126507E-2</v>
      </c>
      <c r="O13" s="272">
        <v>34.092473285207895</v>
      </c>
      <c r="Q13" s="272">
        <f t="shared" si="3"/>
        <v>-1.0924732852078947</v>
      </c>
      <c r="S13" s="273">
        <v>2.6960594064529372E-2</v>
      </c>
      <c r="T13" s="7">
        <v>0.30536365753318345</v>
      </c>
      <c r="U13" s="7">
        <v>0.17537323087272649</v>
      </c>
      <c r="V13" s="7">
        <v>-5.8759605681906468E-2</v>
      </c>
      <c r="W13" s="7">
        <v>-0.1168464902067327</v>
      </c>
      <c r="X13" s="7">
        <v>0.15695102072498662</v>
      </c>
      <c r="Y13" s="7">
        <v>0.20582680017594268</v>
      </c>
      <c r="Z13" s="7">
        <v>0.36805609459494459</v>
      </c>
      <c r="AA13" s="7">
        <v>-3.1126290460296635E-2</v>
      </c>
      <c r="AB13" s="7">
        <v>8.9653031126290444E-2</v>
      </c>
      <c r="AC13" s="8">
        <v>-0.12145204274366762</v>
      </c>
    </row>
    <row r="14" spans="1:29" ht="15" customHeight="1" x14ac:dyDescent="0.25">
      <c r="A14" s="310">
        <v>8</v>
      </c>
      <c r="B14" s="310">
        <v>7</v>
      </c>
      <c r="C14" s="310">
        <v>71</v>
      </c>
      <c r="E14" s="333">
        <v>1</v>
      </c>
      <c r="F14" s="7">
        <f t="shared" si="0"/>
        <v>8</v>
      </c>
      <c r="G14" s="8">
        <f t="shared" si="1"/>
        <v>7</v>
      </c>
      <c r="I14" s="272">
        <f t="shared" si="2"/>
        <v>71</v>
      </c>
      <c r="O14" s="272">
        <v>67.222618955212241</v>
      </c>
      <c r="Q14" s="272">
        <f t="shared" si="3"/>
        <v>3.7773810447877594</v>
      </c>
      <c r="S14" s="273">
        <v>0.18745633780951637</v>
      </c>
      <c r="T14" s="7">
        <v>8.0959403865558999E-2</v>
      </c>
      <c r="U14" s="7">
        <v>0.24815648529069334</v>
      </c>
      <c r="V14" s="7">
        <v>1.4670496002483824E-2</v>
      </c>
      <c r="W14" s="7">
        <v>0.18373049755491738</v>
      </c>
      <c r="X14" s="7">
        <v>2.0259256384382487E-2</v>
      </c>
      <c r="Y14" s="7">
        <v>-0.26274935962120671</v>
      </c>
      <c r="Z14" s="7">
        <v>-3.1126290460296857E-2</v>
      </c>
      <c r="AA14" s="7">
        <v>0.35651633936195015</v>
      </c>
      <c r="AB14" s="7">
        <v>7.5370643483660502E-2</v>
      </c>
      <c r="AC14" s="8">
        <v>0.12675619032833968</v>
      </c>
    </row>
    <row r="15" spans="1:29" ht="15" customHeight="1" x14ac:dyDescent="0.35">
      <c r="A15" s="310">
        <v>6</v>
      </c>
      <c r="B15" s="310">
        <v>4</v>
      </c>
      <c r="C15" s="310">
        <v>51</v>
      </c>
      <c r="E15" s="333">
        <v>1</v>
      </c>
      <c r="F15" s="7">
        <f t="shared" si="0"/>
        <v>6</v>
      </c>
      <c r="G15" s="8">
        <f t="shared" si="1"/>
        <v>4</v>
      </c>
      <c r="I15" s="272">
        <f t="shared" si="2"/>
        <v>51</v>
      </c>
      <c r="K15" s="1317" t="s">
        <v>424</v>
      </c>
      <c r="L15" s="1317"/>
      <c r="M15" s="1317"/>
      <c r="O15" s="272">
        <v>46.156795777380999</v>
      </c>
      <c r="Q15" s="272">
        <f t="shared" si="3"/>
        <v>4.8432042226190006</v>
      </c>
      <c r="S15" s="273">
        <v>8.6004812543662101E-2</v>
      </c>
      <c r="T15" s="7">
        <v>8.3520919040596164E-2</v>
      </c>
      <c r="U15" s="7">
        <v>7.5758751843514827E-2</v>
      </c>
      <c r="V15" s="7">
        <v>0.10238298532950391</v>
      </c>
      <c r="W15" s="7">
        <v>9.1748816269502292E-2</v>
      </c>
      <c r="X15" s="7">
        <v>9.3766979740743717E-2</v>
      </c>
      <c r="Y15" s="7">
        <v>0.11340526274935964</v>
      </c>
      <c r="Z15" s="7">
        <v>8.9653031126290528E-2</v>
      </c>
      <c r="AA15" s="7">
        <v>7.5370643483660626E-2</v>
      </c>
      <c r="AB15" s="7">
        <v>9.2136924629356437E-2</v>
      </c>
      <c r="AC15" s="8">
        <v>9.6250873243809515E-2</v>
      </c>
    </row>
    <row r="16" spans="1:29" ht="15" customHeight="1" x14ac:dyDescent="0.25">
      <c r="A16" s="312">
        <v>9</v>
      </c>
      <c r="B16" s="312">
        <v>2</v>
      </c>
      <c r="C16" s="312">
        <v>49</v>
      </c>
      <c r="E16" s="334">
        <v>1</v>
      </c>
      <c r="F16" s="10">
        <f t="shared" si="0"/>
        <v>9</v>
      </c>
      <c r="G16" s="11">
        <f t="shared" si="1"/>
        <v>2</v>
      </c>
      <c r="I16" s="168">
        <f t="shared" si="2"/>
        <v>49</v>
      </c>
      <c r="K16" s="321">
        <f t="array" ref="K16:M18">Q20*K11:M13</f>
        <v>276.01950998677279</v>
      </c>
      <c r="L16" s="322">
        <v>-28.044052426579444</v>
      </c>
      <c r="M16" s="323">
        <v>-21.016428572643441</v>
      </c>
      <c r="O16" s="168">
        <v>53.325829905042738</v>
      </c>
      <c r="Q16" s="168">
        <f t="shared" si="3"/>
        <v>-4.3258299050427382</v>
      </c>
      <c r="S16" s="9">
        <v>0.12129679939972562</v>
      </c>
      <c r="T16" s="10">
        <v>-9.6406116587751334E-2</v>
      </c>
      <c r="U16" s="10">
        <v>-2.6727729048616922E-2</v>
      </c>
      <c r="V16" s="10">
        <v>0.24427540169215242</v>
      </c>
      <c r="W16" s="10">
        <v>0.24973479262076625</v>
      </c>
      <c r="X16" s="10">
        <v>5.1618411860591518E-2</v>
      </c>
      <c r="Y16" s="10">
        <v>8.5332091386581682E-2</v>
      </c>
      <c r="Z16" s="10">
        <v>-0.12145204274366739</v>
      </c>
      <c r="AA16" s="10">
        <v>0.12675619032833976</v>
      </c>
      <c r="AB16" s="10">
        <v>9.625087324380957E-2</v>
      </c>
      <c r="AC16" s="11">
        <v>0.2693213278480685</v>
      </c>
    </row>
    <row r="17" spans="1:26" ht="15" customHeight="1" x14ac:dyDescent="0.25">
      <c r="A17" s="331"/>
      <c r="B17" s="331"/>
      <c r="C17" s="331"/>
      <c r="K17" s="273">
        <v>-28.044052426579434</v>
      </c>
      <c r="L17" s="7">
        <v>3.8332493748741703</v>
      </c>
      <c r="M17" s="8">
        <v>1.1806408074612447</v>
      </c>
    </row>
    <row r="18" spans="1:26" ht="15" customHeight="1" x14ac:dyDescent="0.35">
      <c r="A18" s="331"/>
      <c r="B18" s="331"/>
      <c r="C18" s="331"/>
      <c r="K18" s="9">
        <v>-21.016428572643459</v>
      </c>
      <c r="L18" s="10">
        <v>1.1806408074612471</v>
      </c>
      <c r="M18" s="11">
        <v>3.2608174682262918</v>
      </c>
      <c r="P18" t="s">
        <v>289</v>
      </c>
      <c r="Q18" s="167">
        <f>DEVSQ(O6:O16)</f>
        <v>1580.2800542881239</v>
      </c>
    </row>
    <row r="19" spans="1:26" ht="15" customHeight="1" x14ac:dyDescent="0.35">
      <c r="A19" s="331"/>
      <c r="B19" s="331"/>
      <c r="C19" s="331"/>
      <c r="P19" t="s">
        <v>287</v>
      </c>
      <c r="Q19" s="23">
        <f>COUNT(A6:A16)-COUNT(A6:B6)-1</f>
        <v>8</v>
      </c>
    </row>
    <row r="20" spans="1:26" ht="15" customHeight="1" x14ac:dyDescent="0.35">
      <c r="A20" s="331"/>
      <c r="B20" s="331"/>
      <c r="C20" s="331"/>
      <c r="P20" t="s">
        <v>423</v>
      </c>
      <c r="Q20" s="168">
        <f>Q18/Q19</f>
        <v>197.53500678601549</v>
      </c>
    </row>
    <row r="21" spans="1:26" ht="15" customHeight="1" x14ac:dyDescent="0.25">
      <c r="A21" s="331"/>
      <c r="B21" s="331"/>
      <c r="C21" s="331"/>
    </row>
    <row r="22" spans="1:26" ht="15" customHeight="1" x14ac:dyDescent="0.25">
      <c r="A22" s="331" t="s">
        <v>721</v>
      </c>
      <c r="B22" s="331"/>
      <c r="C22" s="331"/>
      <c r="S22" t="s">
        <v>722</v>
      </c>
    </row>
    <row r="23" spans="1:26" ht="15" customHeight="1" x14ac:dyDescent="0.25">
      <c r="A23" s="331"/>
      <c r="B23" s="331"/>
      <c r="C23" s="331"/>
    </row>
    <row r="24" spans="1:26" ht="15" customHeight="1" x14ac:dyDescent="0.25">
      <c r="A24" s="331" t="s">
        <v>70</v>
      </c>
      <c r="B24" s="331"/>
      <c r="C24" s="331"/>
      <c r="S24" t="s">
        <v>303</v>
      </c>
      <c r="V24" t="s">
        <v>716</v>
      </c>
      <c r="Y24" t="s">
        <v>717</v>
      </c>
    </row>
    <row r="25" spans="1:26" ht="15" customHeight="1" x14ac:dyDescent="0.25">
      <c r="A25" s="331"/>
      <c r="B25" s="331"/>
      <c r="C25" s="331"/>
    </row>
    <row r="26" spans="1:26" ht="15" customHeight="1" x14ac:dyDescent="0.25">
      <c r="A26" s="331" t="s">
        <v>22</v>
      </c>
      <c r="B26" s="331">
        <f>COUNT(C6:C16)</f>
        <v>11</v>
      </c>
      <c r="C26" s="331">
        <f>2*B26</f>
        <v>22</v>
      </c>
      <c r="S26" s="310" t="s">
        <v>382</v>
      </c>
      <c r="T26" s="310" t="s">
        <v>134</v>
      </c>
      <c r="U26" s="310"/>
      <c r="V26" s="310" t="s">
        <v>382</v>
      </c>
      <c r="W26" s="310" t="s">
        <v>725</v>
      </c>
      <c r="X26" s="310"/>
      <c r="Y26" s="310" t="s">
        <v>376</v>
      </c>
      <c r="Z26" s="310" t="s">
        <v>726</v>
      </c>
    </row>
    <row r="27" spans="1:26" ht="15" customHeight="1" x14ac:dyDescent="0.25">
      <c r="A27" s="331" t="s">
        <v>10</v>
      </c>
      <c r="B27" s="331">
        <f>AVERAGE(C6:C16)</f>
        <v>47.18181818181818</v>
      </c>
      <c r="C27" s="331"/>
      <c r="S27" s="321">
        <f>F6</f>
        <v>7</v>
      </c>
      <c r="T27" s="323">
        <f>Q6</f>
        <v>10.189500375171463</v>
      </c>
      <c r="V27" s="321">
        <f>S27</f>
        <v>7</v>
      </c>
      <c r="W27" s="323">
        <f>T27/SQRT($Q$20)</f>
        <v>0.72498805947326206</v>
      </c>
      <c r="X27">
        <v>1</v>
      </c>
      <c r="Y27" s="337">
        <f t="array" ref="Y27:Y37">W27:W37/SQRT(1-INDEX(S6:AC16,X27:X37,X27:X37))</f>
        <v>0.77626092500939581</v>
      </c>
      <c r="Z27" s="337">
        <f t="shared" ref="Z27:Z37" si="4">I6</f>
        <v>65</v>
      </c>
    </row>
    <row r="28" spans="1:26" ht="15" customHeight="1" x14ac:dyDescent="0.25">
      <c r="A28" s="331" t="s">
        <v>58</v>
      </c>
      <c r="B28" s="331">
        <f>STDEV(C6:C16)</f>
        <v>13.629513430920284</v>
      </c>
      <c r="C28" s="331"/>
      <c r="S28" s="273">
        <f t="shared" ref="S28:S37" si="5">F7</f>
        <v>3</v>
      </c>
      <c r="T28" s="8">
        <f t="shared" ref="T28:T37" si="6">Q7</f>
        <v>-4.7461771326554327</v>
      </c>
      <c r="V28" s="273">
        <f t="shared" ref="V28:V37" si="7">S28</f>
        <v>3</v>
      </c>
      <c r="W28" s="8">
        <f t="shared" ref="W28:W37" si="8">T28/SQRT($Q$20)</f>
        <v>-0.33769288214608184</v>
      </c>
      <c r="X28">
        <v>2</v>
      </c>
      <c r="Y28" s="272">
        <v>-0.40091962202771336</v>
      </c>
      <c r="Z28" s="272">
        <f t="shared" si="4"/>
        <v>38</v>
      </c>
    </row>
    <row r="29" spans="1:26" x14ac:dyDescent="0.25">
      <c r="S29" s="273">
        <f t="shared" si="5"/>
        <v>5</v>
      </c>
      <c r="T29" s="8">
        <f t="shared" si="6"/>
        <v>-5.2951693446143224</v>
      </c>
      <c r="V29" s="273">
        <f t="shared" si="7"/>
        <v>5</v>
      </c>
      <c r="W29" s="8">
        <f t="shared" si="8"/>
        <v>-0.37675395322507593</v>
      </c>
      <c r="X29">
        <v>3</v>
      </c>
      <c r="Y29" s="272">
        <v>-0.44873662056771335</v>
      </c>
      <c r="Z29" s="272">
        <f t="shared" si="4"/>
        <v>51</v>
      </c>
    </row>
    <row r="30" spans="1:26" x14ac:dyDescent="0.25">
      <c r="A30" t="s">
        <v>71</v>
      </c>
      <c r="B30" t="s">
        <v>72</v>
      </c>
      <c r="C30" t="s">
        <v>217</v>
      </c>
      <c r="D30" t="s">
        <v>73</v>
      </c>
      <c r="S30" s="273">
        <f t="shared" si="5"/>
        <v>8</v>
      </c>
      <c r="T30" s="8">
        <f t="shared" si="6"/>
        <v>-6.6721260575952073</v>
      </c>
      <c r="V30" s="273">
        <f t="shared" si="7"/>
        <v>8</v>
      </c>
      <c r="W30" s="8">
        <f t="shared" si="8"/>
        <v>-0.47472511359277891</v>
      </c>
      <c r="X30">
        <v>4</v>
      </c>
      <c r="Y30" s="272">
        <v>-0.55452191252345118</v>
      </c>
      <c r="Z30" s="272">
        <f t="shared" si="4"/>
        <v>38</v>
      </c>
    </row>
    <row r="31" spans="1:26" x14ac:dyDescent="0.25">
      <c r="A31">
        <v>1</v>
      </c>
      <c r="B31">
        <v>25</v>
      </c>
      <c r="C31">
        <f>NORMSINV(A31/C$26)</f>
        <v>-1.6906216295848977</v>
      </c>
      <c r="D31">
        <f>STANDARDIZE(B31,B$27,B$28)</f>
        <v>-1.6274842307646806</v>
      </c>
      <c r="S31" s="273">
        <f t="shared" si="5"/>
        <v>9</v>
      </c>
      <c r="T31" s="8">
        <f t="shared" si="6"/>
        <v>-2.0842453879789105</v>
      </c>
      <c r="V31" s="273">
        <f t="shared" si="7"/>
        <v>9</v>
      </c>
      <c r="W31" s="8">
        <f t="shared" si="8"/>
        <v>-0.14829510414258162</v>
      </c>
      <c r="X31">
        <v>5</v>
      </c>
      <c r="Y31" s="272">
        <v>-0.17085594259939102</v>
      </c>
      <c r="Z31" s="272">
        <f t="shared" si="4"/>
        <v>55</v>
      </c>
    </row>
    <row r="32" spans="1:26" x14ac:dyDescent="0.25">
      <c r="A32">
        <f>A31+2</f>
        <v>3</v>
      </c>
      <c r="B32">
        <v>33</v>
      </c>
      <c r="C32">
        <f t="shared" ref="C32:C41" si="9">NORMSINV(A32/C$26)</f>
        <v>-1.096803562093513</v>
      </c>
      <c r="D32">
        <f t="shared" ref="D32:D41" si="10">STANDARDIZE(B32,B$27,B$28)</f>
        <v>-1.0405227049151236</v>
      </c>
      <c r="S32" s="273">
        <f t="shared" si="5"/>
        <v>5</v>
      </c>
      <c r="T32" s="8">
        <f t="shared" si="6"/>
        <v>1.7384925871303665</v>
      </c>
      <c r="V32" s="273">
        <f t="shared" si="7"/>
        <v>5</v>
      </c>
      <c r="W32" s="8">
        <f t="shared" si="8"/>
        <v>0.12369461904368265</v>
      </c>
      <c r="X32">
        <v>6</v>
      </c>
      <c r="Y32" s="272">
        <v>0.13147122406662365</v>
      </c>
      <c r="Z32" s="272">
        <f t="shared" si="4"/>
        <v>43</v>
      </c>
    </row>
    <row r="33" spans="1:26" x14ac:dyDescent="0.25">
      <c r="A33">
        <f t="shared" ref="A33:A41" si="11">A32+2</f>
        <v>5</v>
      </c>
      <c r="B33">
        <v>38</v>
      </c>
      <c r="C33">
        <f t="shared" si="9"/>
        <v>-0.74785859476330196</v>
      </c>
      <c r="D33">
        <f t="shared" si="10"/>
        <v>-0.67367175125915046</v>
      </c>
      <c r="S33" s="273">
        <f t="shared" si="5"/>
        <v>4</v>
      </c>
      <c r="T33" s="8">
        <f t="shared" si="6"/>
        <v>3.6674428833864141</v>
      </c>
      <c r="V33" s="273">
        <f t="shared" si="7"/>
        <v>4</v>
      </c>
      <c r="W33" s="8">
        <f t="shared" si="8"/>
        <v>0.26094039956405612</v>
      </c>
      <c r="X33">
        <v>7</v>
      </c>
      <c r="Y33" s="272">
        <v>0.39888040416573833</v>
      </c>
      <c r="Z33" s="272">
        <f t="shared" si="4"/>
        <v>25</v>
      </c>
    </row>
    <row r="34" spans="1:26" x14ac:dyDescent="0.25">
      <c r="A34">
        <f t="shared" si="11"/>
        <v>7</v>
      </c>
      <c r="B34">
        <v>38</v>
      </c>
      <c r="C34">
        <f t="shared" si="9"/>
        <v>-0.47278912099226744</v>
      </c>
      <c r="D34">
        <f t="shared" si="10"/>
        <v>-0.67367175125915046</v>
      </c>
      <c r="S34" s="273">
        <f t="shared" si="5"/>
        <v>2</v>
      </c>
      <c r="T34" s="8">
        <f t="shared" si="6"/>
        <v>-1.0924732852078947</v>
      </c>
      <c r="V34" s="273">
        <f t="shared" si="7"/>
        <v>2</v>
      </c>
      <c r="W34" s="8">
        <f t="shared" si="8"/>
        <v>-7.7730021876163222E-2</v>
      </c>
      <c r="X34">
        <v>8</v>
      </c>
      <c r="Y34" s="272">
        <v>-9.7779885651430545E-2</v>
      </c>
      <c r="Z34" s="272">
        <f t="shared" si="4"/>
        <v>33</v>
      </c>
    </row>
    <row r="35" spans="1:26" x14ac:dyDescent="0.25">
      <c r="A35">
        <f t="shared" si="11"/>
        <v>9</v>
      </c>
      <c r="B35">
        <v>43</v>
      </c>
      <c r="C35">
        <f t="shared" si="9"/>
        <v>-0.22988411757923208</v>
      </c>
      <c r="D35">
        <f t="shared" si="10"/>
        <v>-0.30682079760317738</v>
      </c>
      <c r="S35" s="273">
        <f t="shared" si="5"/>
        <v>8</v>
      </c>
      <c r="T35" s="8">
        <f t="shared" si="6"/>
        <v>3.7773810447877594</v>
      </c>
      <c r="V35" s="273">
        <f t="shared" si="7"/>
        <v>8</v>
      </c>
      <c r="W35" s="8">
        <f t="shared" si="8"/>
        <v>0.26876255485742384</v>
      </c>
      <c r="X35">
        <v>9</v>
      </c>
      <c r="Y35" s="272">
        <v>0.33504257588057895</v>
      </c>
      <c r="Z35" s="272">
        <f t="shared" si="4"/>
        <v>71</v>
      </c>
    </row>
    <row r="36" spans="1:26" x14ac:dyDescent="0.25">
      <c r="A36">
        <f t="shared" si="11"/>
        <v>11</v>
      </c>
      <c r="B36">
        <v>49</v>
      </c>
      <c r="C36">
        <f t="shared" si="9"/>
        <v>0</v>
      </c>
      <c r="D36">
        <f t="shared" si="10"/>
        <v>0.13340034678399038</v>
      </c>
      <c r="S36" s="273">
        <f t="shared" si="5"/>
        <v>6</v>
      </c>
      <c r="T36" s="8">
        <f t="shared" si="6"/>
        <v>4.8432042226190006</v>
      </c>
      <c r="V36" s="273">
        <f t="shared" si="7"/>
        <v>6</v>
      </c>
      <c r="W36" s="8">
        <f t="shared" si="8"/>
        <v>0.34459640823460619</v>
      </c>
      <c r="X36">
        <v>10</v>
      </c>
      <c r="Y36" s="272">
        <v>0.36166007666644429</v>
      </c>
      <c r="Z36" s="272">
        <f t="shared" si="4"/>
        <v>51</v>
      </c>
    </row>
    <row r="37" spans="1:26" x14ac:dyDescent="0.25">
      <c r="A37">
        <f t="shared" si="11"/>
        <v>13</v>
      </c>
      <c r="B37">
        <v>51</v>
      </c>
      <c r="C37">
        <f t="shared" si="9"/>
        <v>0.22988411757923222</v>
      </c>
      <c r="D37">
        <f t="shared" si="10"/>
        <v>0.28014072824637959</v>
      </c>
      <c r="S37" s="9">
        <f t="shared" si="5"/>
        <v>9</v>
      </c>
      <c r="T37" s="11">
        <f t="shared" si="6"/>
        <v>-4.3258299050427382</v>
      </c>
      <c r="V37" s="9">
        <f t="shared" si="7"/>
        <v>9</v>
      </c>
      <c r="W37" s="11">
        <f t="shared" si="8"/>
        <v>-0.30778496619031398</v>
      </c>
      <c r="X37">
        <v>11</v>
      </c>
      <c r="Y37" s="168">
        <v>-0.36006771891297884</v>
      </c>
      <c r="Z37" s="168">
        <f t="shared" si="4"/>
        <v>49</v>
      </c>
    </row>
    <row r="38" spans="1:26" x14ac:dyDescent="0.25">
      <c r="A38">
        <f t="shared" si="11"/>
        <v>15</v>
      </c>
      <c r="B38">
        <v>51</v>
      </c>
      <c r="C38">
        <f t="shared" si="9"/>
        <v>0.47278912099226728</v>
      </c>
      <c r="D38">
        <f t="shared" si="10"/>
        <v>0.28014072824637959</v>
      </c>
    </row>
    <row r="39" spans="1:26" x14ac:dyDescent="0.25">
      <c r="A39">
        <f t="shared" si="11"/>
        <v>17</v>
      </c>
      <c r="B39">
        <v>55</v>
      </c>
      <c r="C39">
        <f t="shared" si="9"/>
        <v>0.74785859476330196</v>
      </c>
      <c r="D39">
        <f t="shared" si="10"/>
        <v>0.57362149117115813</v>
      </c>
    </row>
    <row r="40" spans="1:26" x14ac:dyDescent="0.25">
      <c r="A40">
        <f t="shared" si="11"/>
        <v>19</v>
      </c>
      <c r="B40">
        <v>65</v>
      </c>
      <c r="C40">
        <f t="shared" si="9"/>
        <v>1.096803562093513</v>
      </c>
      <c r="D40">
        <f t="shared" si="10"/>
        <v>1.3073233984831043</v>
      </c>
    </row>
    <row r="41" spans="1:26" x14ac:dyDescent="0.25">
      <c r="A41">
        <f t="shared" si="11"/>
        <v>21</v>
      </c>
      <c r="B41">
        <v>71</v>
      </c>
      <c r="C41">
        <f t="shared" si="9"/>
        <v>1.6906216295848984</v>
      </c>
      <c r="D41">
        <f t="shared" si="10"/>
        <v>1.7475445428702721</v>
      </c>
    </row>
    <row r="55" spans="19:26" x14ac:dyDescent="0.25">
      <c r="S55" t="s">
        <v>722</v>
      </c>
    </row>
    <row r="57" spans="19:26" x14ac:dyDescent="0.25">
      <c r="S57" t="s">
        <v>303</v>
      </c>
      <c r="V57" t="s">
        <v>716</v>
      </c>
      <c r="Y57" t="s">
        <v>717</v>
      </c>
    </row>
    <row r="59" spans="19:26" x14ac:dyDescent="0.25">
      <c r="S59" s="318" t="s">
        <v>382</v>
      </c>
      <c r="T59" s="318" t="s">
        <v>134</v>
      </c>
      <c r="U59" s="318"/>
      <c r="V59" s="318" t="s">
        <v>382</v>
      </c>
      <c r="W59" s="318" t="s">
        <v>725</v>
      </c>
      <c r="X59" s="318"/>
      <c r="Y59" s="318" t="s">
        <v>382</v>
      </c>
      <c r="Z59" s="318" t="s">
        <v>726</v>
      </c>
    </row>
    <row r="60" spans="19:26" x14ac:dyDescent="0.25">
      <c r="S60" s="335">
        <f>B6</f>
        <v>5</v>
      </c>
      <c r="T60" s="336">
        <f>Q6</f>
        <v>10.189500375171463</v>
      </c>
      <c r="V60" s="321">
        <f>S60</f>
        <v>5</v>
      </c>
      <c r="W60" s="323">
        <f>T60/SQRT($Q$20)</f>
        <v>0.72498805947326206</v>
      </c>
      <c r="X60">
        <v>1</v>
      </c>
      <c r="Y60" s="321">
        <f>V60</f>
        <v>5</v>
      </c>
      <c r="Z60" s="323">
        <f t="array" ref="Z60:Z70">W60:W70/SQRT(1-INDEX(S39:AC49,X60:X70,X60:X70))</f>
        <v>0.72498805947326206</v>
      </c>
    </row>
    <row r="61" spans="19:26" x14ac:dyDescent="0.25">
      <c r="S61" s="6">
        <f t="shared" ref="S61:S70" si="12">B7</f>
        <v>7</v>
      </c>
      <c r="T61" s="8">
        <f t="shared" ref="T61:T70" si="13">Q7</f>
        <v>-4.7461771326554327</v>
      </c>
      <c r="V61" s="273">
        <f t="shared" ref="V61:V70" si="14">S61</f>
        <v>7</v>
      </c>
      <c r="W61" s="8">
        <f t="shared" ref="W61:W70" si="15">T61/SQRT($Q$20)</f>
        <v>-0.33769288214608184</v>
      </c>
      <c r="X61">
        <v>2</v>
      </c>
      <c r="Y61" s="273">
        <f t="shared" ref="Y61:Y70" si="16">V61</f>
        <v>7</v>
      </c>
      <c r="Z61" s="8">
        <v>-0.33769288214608184</v>
      </c>
    </row>
    <row r="62" spans="19:26" x14ac:dyDescent="0.25">
      <c r="S62" s="6">
        <f t="shared" si="12"/>
        <v>8</v>
      </c>
      <c r="T62" s="8">
        <f t="shared" si="13"/>
        <v>-5.2951693446143224</v>
      </c>
      <c r="V62" s="273">
        <f t="shared" si="14"/>
        <v>8</v>
      </c>
      <c r="W62" s="8">
        <f t="shared" si="15"/>
        <v>-0.37675395322507593</v>
      </c>
      <c r="X62">
        <v>3</v>
      </c>
      <c r="Y62" s="273">
        <f t="shared" si="16"/>
        <v>8</v>
      </c>
      <c r="Z62" s="8">
        <v>-0.37675395322507593</v>
      </c>
    </row>
    <row r="63" spans="19:26" x14ac:dyDescent="0.25">
      <c r="S63" s="6">
        <f t="shared" si="12"/>
        <v>1</v>
      </c>
      <c r="T63" s="8">
        <f t="shared" si="13"/>
        <v>-6.6721260575952073</v>
      </c>
      <c r="V63" s="273">
        <f t="shared" si="14"/>
        <v>1</v>
      </c>
      <c r="W63" s="8">
        <f t="shared" si="15"/>
        <v>-0.47472511359277891</v>
      </c>
      <c r="X63">
        <v>4</v>
      </c>
      <c r="Y63" s="273">
        <f t="shared" si="16"/>
        <v>1</v>
      </c>
      <c r="Z63" s="8">
        <v>-0.47472511359277891</v>
      </c>
    </row>
    <row r="64" spans="19:26" x14ac:dyDescent="0.25">
      <c r="S64" s="6">
        <f t="shared" si="12"/>
        <v>3</v>
      </c>
      <c r="T64" s="8">
        <f t="shared" si="13"/>
        <v>-2.0842453879789105</v>
      </c>
      <c r="V64" s="273">
        <f t="shared" si="14"/>
        <v>3</v>
      </c>
      <c r="W64" s="8">
        <f t="shared" si="15"/>
        <v>-0.14829510414258162</v>
      </c>
      <c r="X64">
        <v>5</v>
      </c>
      <c r="Y64" s="273">
        <f t="shared" si="16"/>
        <v>3</v>
      </c>
      <c r="Z64" s="8">
        <v>-0.14829510414258162</v>
      </c>
    </row>
    <row r="65" spans="19:26" x14ac:dyDescent="0.25">
      <c r="S65" s="6">
        <f t="shared" si="12"/>
        <v>4</v>
      </c>
      <c r="T65" s="8">
        <f t="shared" si="13"/>
        <v>1.7384925871303665</v>
      </c>
      <c r="V65" s="273">
        <f t="shared" si="14"/>
        <v>4</v>
      </c>
      <c r="W65" s="8">
        <f t="shared" si="15"/>
        <v>0.12369461904368265</v>
      </c>
      <c r="X65">
        <v>6</v>
      </c>
      <c r="Y65" s="273">
        <f t="shared" si="16"/>
        <v>4</v>
      </c>
      <c r="Z65" s="8">
        <v>0.12369461904368265</v>
      </c>
    </row>
    <row r="66" spans="19:26" x14ac:dyDescent="0.25">
      <c r="S66" s="6">
        <f t="shared" si="12"/>
        <v>0</v>
      </c>
      <c r="T66" s="8">
        <f t="shared" si="13"/>
        <v>3.6674428833864141</v>
      </c>
      <c r="V66" s="273">
        <f t="shared" si="14"/>
        <v>0</v>
      </c>
      <c r="W66" s="8">
        <f t="shared" si="15"/>
        <v>0.26094039956405612</v>
      </c>
      <c r="X66">
        <v>7</v>
      </c>
      <c r="Y66" s="273">
        <f t="shared" si="16"/>
        <v>0</v>
      </c>
      <c r="Z66" s="8">
        <v>0.26094039956405612</v>
      </c>
    </row>
    <row r="67" spans="19:26" x14ac:dyDescent="0.25">
      <c r="S67" s="6">
        <f t="shared" si="12"/>
        <v>6</v>
      </c>
      <c r="T67" s="8">
        <f t="shared" si="13"/>
        <v>-1.0924732852078947</v>
      </c>
      <c r="V67" s="273">
        <f t="shared" si="14"/>
        <v>6</v>
      </c>
      <c r="W67" s="8">
        <f t="shared" si="15"/>
        <v>-7.7730021876163222E-2</v>
      </c>
      <c r="X67">
        <v>8</v>
      </c>
      <c r="Y67" s="273">
        <f t="shared" si="16"/>
        <v>6</v>
      </c>
      <c r="Z67" s="8">
        <v>-7.7730021876163222E-2</v>
      </c>
    </row>
    <row r="68" spans="19:26" x14ac:dyDescent="0.25">
      <c r="S68" s="6">
        <f t="shared" si="12"/>
        <v>7</v>
      </c>
      <c r="T68" s="8">
        <f t="shared" si="13"/>
        <v>3.7773810447877594</v>
      </c>
      <c r="V68" s="273">
        <f t="shared" si="14"/>
        <v>7</v>
      </c>
      <c r="W68" s="8">
        <f t="shared" si="15"/>
        <v>0.26876255485742384</v>
      </c>
      <c r="X68">
        <v>9</v>
      </c>
      <c r="Y68" s="273">
        <f t="shared" si="16"/>
        <v>7</v>
      </c>
      <c r="Z68" s="8">
        <v>0.26876255485742384</v>
      </c>
    </row>
    <row r="69" spans="19:26" x14ac:dyDescent="0.25">
      <c r="S69" s="6">
        <f t="shared" si="12"/>
        <v>4</v>
      </c>
      <c r="T69" s="8">
        <f t="shared" si="13"/>
        <v>4.8432042226190006</v>
      </c>
      <c r="V69" s="273">
        <f t="shared" si="14"/>
        <v>4</v>
      </c>
      <c r="W69" s="8">
        <f t="shared" si="15"/>
        <v>0.34459640823460619</v>
      </c>
      <c r="X69">
        <v>10</v>
      </c>
      <c r="Y69" s="273">
        <f t="shared" si="16"/>
        <v>4</v>
      </c>
      <c r="Z69" s="8">
        <v>0.34459640823460619</v>
      </c>
    </row>
    <row r="70" spans="19:26" x14ac:dyDescent="0.25">
      <c r="S70" s="9">
        <f t="shared" si="12"/>
        <v>2</v>
      </c>
      <c r="T70" s="11">
        <f t="shared" si="13"/>
        <v>-4.3258299050427382</v>
      </c>
      <c r="V70" s="9">
        <f t="shared" si="14"/>
        <v>2</v>
      </c>
      <c r="W70" s="11">
        <f t="shared" si="15"/>
        <v>-0.30778496619031398</v>
      </c>
      <c r="X70">
        <v>11</v>
      </c>
      <c r="Y70" s="9">
        <f t="shared" si="16"/>
        <v>2</v>
      </c>
      <c r="Z70" s="11">
        <v>-0.30778496619031398</v>
      </c>
    </row>
  </sheetData>
  <mergeCells count="3">
    <mergeCell ref="E5:G5"/>
    <mergeCell ref="K10:M10"/>
    <mergeCell ref="K15:M15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BT53"/>
  <sheetViews>
    <sheetView workbookViewId="0"/>
  </sheetViews>
  <sheetFormatPr defaultRowHeight="15" x14ac:dyDescent="0.25"/>
  <cols>
    <col min="1" max="1" width="14" style="17" customWidth="1"/>
    <col min="2" max="4" width="10.85546875" style="17" customWidth="1"/>
    <col min="5" max="5" width="10.85546875" style="650" customWidth="1"/>
    <col min="6" max="13" width="9.140625" style="17"/>
    <col min="14" max="16" width="9.28515625" style="17" bestFit="1" customWidth="1"/>
    <col min="17" max="17" width="9.7109375" style="17" customWidth="1"/>
    <col min="18" max="16384" width="9.140625" style="17"/>
  </cols>
  <sheetData>
    <row r="1" spans="1:72" x14ac:dyDescent="0.25">
      <c r="A1" s="1" t="s">
        <v>303</v>
      </c>
    </row>
    <row r="3" spans="1:72" ht="17.25" x14ac:dyDescent="0.25">
      <c r="A3" s="702"/>
      <c r="B3" s="703" t="s">
        <v>143</v>
      </c>
      <c r="C3" s="703" t="s">
        <v>144</v>
      </c>
      <c r="D3" s="703" t="s">
        <v>145</v>
      </c>
      <c r="E3" s="942" t="s">
        <v>146</v>
      </c>
      <c r="G3" s="1319" t="s">
        <v>377</v>
      </c>
      <c r="H3" s="1319"/>
      <c r="I3" s="1319"/>
      <c r="J3" s="1319"/>
      <c r="L3" s="920" t="s">
        <v>378</v>
      </c>
      <c r="N3" s="920" t="s">
        <v>131</v>
      </c>
      <c r="Q3" s="920" t="s">
        <v>425</v>
      </c>
      <c r="S3" s="82" t="s">
        <v>391</v>
      </c>
      <c r="U3" s="920" t="s">
        <v>134</v>
      </c>
      <c r="W3" s="943" t="s">
        <v>2047</v>
      </c>
    </row>
    <row r="4" spans="1:72" x14ac:dyDescent="0.25">
      <c r="A4" s="667" t="s">
        <v>151</v>
      </c>
      <c r="B4" s="704">
        <v>15.7</v>
      </c>
      <c r="C4" s="705">
        <v>9</v>
      </c>
      <c r="D4" s="706">
        <v>71.027177760140717</v>
      </c>
      <c r="E4" s="944">
        <v>448</v>
      </c>
      <c r="G4" s="343">
        <v>1</v>
      </c>
      <c r="H4" s="344">
        <f t="shared" ref="H4:J19" si="0">C4</f>
        <v>9</v>
      </c>
      <c r="I4" s="344">
        <f t="shared" si="0"/>
        <v>71.027177760140717</v>
      </c>
      <c r="J4" s="345">
        <f t="shared" si="0"/>
        <v>448</v>
      </c>
      <c r="L4" s="945">
        <f>B4</f>
        <v>15.7</v>
      </c>
      <c r="N4" s="945">
        <f t="array" ref="N4:N7">MMULT(N10:Q13,MMULT(TRANSPOSE(G4:J53),L4:L53))</f>
        <v>0.43712521875259824</v>
      </c>
      <c r="P4" s="17">
        <v>1</v>
      </c>
      <c r="Q4" s="945">
        <f t="array" ref="Q4:Q7">SQRT(INDEX(N16:Q19,P4:P7,P4:P7))</f>
        <v>2.8416365104683443</v>
      </c>
      <c r="S4" s="945">
        <f t="array" ref="S4:S53">MMULT(G4:J53,N4:N7)</f>
        <v>15.168482465279878</v>
      </c>
      <c r="U4" s="945">
        <f>L4-S4</f>
        <v>0.53151753472012153</v>
      </c>
      <c r="W4" s="17">
        <f t="array" ref="W4:BT53">MMULT(G4:J53,MMULT(N10:Q13,TRANSPOSE(G4:J53)))</f>
        <v>8.4568416323591813E-2</v>
      </c>
      <c r="X4" s="17">
        <v>1.1452870207838056E-2</v>
      </c>
      <c r="Y4" s="17">
        <v>-2.2684899382406989E-3</v>
      </c>
      <c r="Z4" s="17">
        <v>5.4739347001091648E-2</v>
      </c>
      <c r="AA4" s="17">
        <v>-3.2730749121665424E-2</v>
      </c>
      <c r="AB4" s="17">
        <v>-1.2391267536813102E-2</v>
      </c>
      <c r="AC4" s="17">
        <v>1.4046598835085966E-2</v>
      </c>
      <c r="AD4" s="17">
        <v>4.2306012734552326E-2</v>
      </c>
      <c r="AE4" s="17">
        <v>7.6002631855533326E-3</v>
      </c>
      <c r="AF4" s="17">
        <v>6.2616235674378656E-2</v>
      </c>
      <c r="AG4" s="17">
        <v>5.1146073958652116E-2</v>
      </c>
      <c r="AH4" s="17">
        <v>2.0995996047604104E-2</v>
      </c>
      <c r="AI4" s="17">
        <v>2.4454727531805547E-2</v>
      </c>
      <c r="AJ4" s="17">
        <v>5.1118636738206741E-2</v>
      </c>
      <c r="AK4" s="17">
        <v>-2.8070337906425546E-2</v>
      </c>
      <c r="AL4" s="17">
        <v>1.6542194515762713E-2</v>
      </c>
      <c r="AM4" s="17">
        <v>3.9353690784258946E-2</v>
      </c>
      <c r="AN4" s="17">
        <v>9.0378957745860633E-2</v>
      </c>
      <c r="AO4" s="17">
        <v>1.6418981624219689E-2</v>
      </c>
      <c r="AP4" s="17">
        <v>4.9259321250803553E-2</v>
      </c>
      <c r="AQ4" s="17">
        <v>-3.9730798885098007E-2</v>
      </c>
      <c r="AR4" s="17">
        <v>2.4809114638523852E-2</v>
      </c>
      <c r="AS4" s="17">
        <v>-1.982516804755606E-2</v>
      </c>
      <c r="AT4" s="17">
        <v>0.15046796304795451</v>
      </c>
      <c r="AU4" s="17">
        <v>2.3639816496574761E-2</v>
      </c>
      <c r="AV4" s="17">
        <v>-5.3363975670070937E-3</v>
      </c>
      <c r="AW4" s="17">
        <v>-1.2776535385649435E-2</v>
      </c>
      <c r="AX4" s="17">
        <v>-1.9568299484687079E-2</v>
      </c>
      <c r="AY4" s="17">
        <v>1.0401262829553365E-2</v>
      </c>
      <c r="AZ4" s="17">
        <v>-2.445073971052536E-3</v>
      </c>
      <c r="BA4" s="17">
        <v>-3.1078275298532146E-2</v>
      </c>
      <c r="BB4" s="17">
        <v>-4.4593352615350974E-3</v>
      </c>
      <c r="BC4" s="17">
        <v>5.6399176421514541E-2</v>
      </c>
      <c r="BD4" s="17">
        <v>6.1379872496093169E-3</v>
      </c>
      <c r="BE4" s="17">
        <v>4.8250894154049727E-2</v>
      </c>
      <c r="BF4" s="17">
        <v>4.6746754245875863E-2</v>
      </c>
      <c r="BG4" s="17">
        <v>-1.2919937065442229E-2</v>
      </c>
      <c r="BH4" s="17">
        <v>3.606499307513187E-2</v>
      </c>
      <c r="BI4" s="17">
        <v>9.680797119937995E-3</v>
      </c>
      <c r="BJ4" s="17">
        <v>4.1963807164930082E-2</v>
      </c>
      <c r="BK4" s="17">
        <v>3.6005073456287492E-2</v>
      </c>
      <c r="BL4" s="17">
        <v>4.1289174948892671E-2</v>
      </c>
      <c r="BM4" s="17">
        <v>-5.8366695403573726E-3</v>
      </c>
      <c r="BN4" s="17">
        <v>-2.1704570721193583E-2</v>
      </c>
      <c r="BO4" s="17">
        <v>-5.2064141413139253E-3</v>
      </c>
      <c r="BP4" s="17">
        <v>4.7768171392651521E-2</v>
      </c>
      <c r="BQ4" s="17">
        <v>-3.2055177694678888E-2</v>
      </c>
      <c r="BR4" s="17">
        <v>3.3814449776083666E-2</v>
      </c>
      <c r="BS4" s="17">
        <v>1.0964437398857871E-2</v>
      </c>
      <c r="BT4" s="17">
        <v>2.7001299991555983E-2</v>
      </c>
    </row>
    <row r="5" spans="1:72" x14ac:dyDescent="0.25">
      <c r="A5" s="667" t="s">
        <v>152</v>
      </c>
      <c r="B5" s="704">
        <v>8.4</v>
      </c>
      <c r="C5" s="705">
        <v>6.9</v>
      </c>
      <c r="D5" s="706">
        <v>70.62318863808899</v>
      </c>
      <c r="E5" s="944">
        <v>661.2</v>
      </c>
      <c r="G5" s="47">
        <v>1</v>
      </c>
      <c r="H5" s="88">
        <f t="shared" si="0"/>
        <v>6.9</v>
      </c>
      <c r="I5" s="88">
        <f t="shared" si="0"/>
        <v>70.62318863808899</v>
      </c>
      <c r="J5" s="86">
        <f t="shared" si="0"/>
        <v>661.2</v>
      </c>
      <c r="L5" s="946">
        <f t="shared" ref="L5:L53" si="1">B5</f>
        <v>8.4</v>
      </c>
      <c r="N5" s="946">
        <v>1.2793696530498302</v>
      </c>
      <c r="P5" s="17">
        <f>P4+1</f>
        <v>2</v>
      </c>
      <c r="Q5" s="946">
        <v>0.21426856354723553</v>
      </c>
      <c r="S5" s="946">
        <v>12.770194096327888</v>
      </c>
      <c r="U5" s="946">
        <f t="shared" ref="U5:U53" si="2">L5-S5</f>
        <v>-4.3701940963278876</v>
      </c>
      <c r="W5" s="17">
        <v>1.145287020783823E-2</v>
      </c>
      <c r="X5" s="17">
        <v>7.2581277910758066E-2</v>
      </c>
      <c r="Y5" s="17">
        <v>3.2647400652031339E-2</v>
      </c>
      <c r="Z5" s="17">
        <v>2.0330128958296528E-2</v>
      </c>
      <c r="AA5" s="17">
        <v>6.7177334083919182E-2</v>
      </c>
      <c r="AB5" s="17">
        <v>1.595370556499949E-2</v>
      </c>
      <c r="AC5" s="17">
        <v>7.3867019221224295E-4</v>
      </c>
      <c r="AD5" s="17">
        <v>5.5800068126002522E-2</v>
      </c>
      <c r="AE5" s="17">
        <v>6.7648461985173852E-2</v>
      </c>
      <c r="AF5" s="17">
        <v>3.606460151851909E-2</v>
      </c>
      <c r="AG5" s="17">
        <v>6.995039817274229E-2</v>
      </c>
      <c r="AH5" s="17">
        <v>-2.0565903482488705E-2</v>
      </c>
      <c r="AI5" s="17">
        <v>3.7636046225710526E-2</v>
      </c>
      <c r="AJ5" s="17">
        <v>-1.3044008629150214E-2</v>
      </c>
      <c r="AK5" s="17">
        <v>9.9907700848847515E-3</v>
      </c>
      <c r="AL5" s="17">
        <v>1.6707214352552388E-2</v>
      </c>
      <c r="AM5" s="17">
        <v>-1.5158186400628146E-2</v>
      </c>
      <c r="AN5" s="17">
        <v>5.2658812680832091E-2</v>
      </c>
      <c r="AO5" s="17">
        <v>-3.5996530982570885E-2</v>
      </c>
      <c r="AP5" s="17">
        <v>6.3595856377683807E-2</v>
      </c>
      <c r="AQ5" s="17">
        <v>4.4535361971647217E-2</v>
      </c>
      <c r="AR5" s="17">
        <v>3.4632243165473801E-2</v>
      </c>
      <c r="AS5" s="17">
        <v>1.3314531410169857E-2</v>
      </c>
      <c r="AT5" s="17">
        <v>-2.258370889052605E-2</v>
      </c>
      <c r="AU5" s="17">
        <v>2.5427003098156715E-2</v>
      </c>
      <c r="AV5" s="17">
        <v>4.1301450038032095E-3</v>
      </c>
      <c r="AW5" s="17">
        <v>8.0549638642691164E-3</v>
      </c>
      <c r="AX5" s="17">
        <v>8.2204525891436356E-2</v>
      </c>
      <c r="AY5" s="17">
        <v>-2.9403730683065052E-2</v>
      </c>
      <c r="AZ5" s="17">
        <v>3.0245899523651237E-2</v>
      </c>
      <c r="BA5" s="17">
        <v>7.2274844031362598E-2</v>
      </c>
      <c r="BB5" s="17">
        <v>4.559025939766187E-2</v>
      </c>
      <c r="BC5" s="17">
        <v>2.2472414887263318E-2</v>
      </c>
      <c r="BD5" s="17">
        <v>-2.0424629815284784E-2</v>
      </c>
      <c r="BE5" s="17">
        <v>-5.5038368644957855E-3</v>
      </c>
      <c r="BF5" s="17">
        <v>2.4559596661923658E-2</v>
      </c>
      <c r="BG5" s="17">
        <v>8.226299638072929E-3</v>
      </c>
      <c r="BH5" s="17">
        <v>8.1652489757192658E-3</v>
      </c>
      <c r="BI5" s="17">
        <v>-7.2238027171212943E-3</v>
      </c>
      <c r="BJ5" s="17">
        <v>7.660951604333055E-2</v>
      </c>
      <c r="BK5" s="17">
        <v>-2.6273647816068696E-2</v>
      </c>
      <c r="BL5" s="17">
        <v>5.4637003999787714E-2</v>
      </c>
      <c r="BM5" s="17">
        <v>4.4095670163727799E-2</v>
      </c>
      <c r="BN5" s="17">
        <v>1.6238169183576574E-3</v>
      </c>
      <c r="BO5" s="17">
        <v>-2.5057958950213718E-2</v>
      </c>
      <c r="BP5" s="17">
        <v>3.9413774168460536E-3</v>
      </c>
      <c r="BQ5" s="17">
        <v>3.1871773573285037E-2</v>
      </c>
      <c r="BR5" s="17">
        <v>-2.2124769426122161E-2</v>
      </c>
      <c r="BS5" s="17">
        <v>-1.9119083286361499E-3</v>
      </c>
      <c r="BT5" s="17">
        <v>-2.2273489743722258E-2</v>
      </c>
    </row>
    <row r="6" spans="1:72" x14ac:dyDescent="0.25">
      <c r="A6" s="667" t="s">
        <v>153</v>
      </c>
      <c r="B6" s="704">
        <v>14.7</v>
      </c>
      <c r="C6" s="705">
        <v>6.4</v>
      </c>
      <c r="D6" s="706">
        <v>86.505696765320337</v>
      </c>
      <c r="E6" s="944">
        <v>482.7</v>
      </c>
      <c r="G6" s="47">
        <v>1</v>
      </c>
      <c r="H6" s="88">
        <f t="shared" si="0"/>
        <v>6.4</v>
      </c>
      <c r="I6" s="88">
        <f t="shared" si="0"/>
        <v>86.505696765320337</v>
      </c>
      <c r="J6" s="86">
        <f t="shared" si="0"/>
        <v>482.7</v>
      </c>
      <c r="L6" s="946">
        <f t="shared" si="1"/>
        <v>14.7</v>
      </c>
      <c r="N6" s="946">
        <v>3.6326923072062201E-2</v>
      </c>
      <c r="P6" s="17">
        <f>P5+1</f>
        <v>3</v>
      </c>
      <c r="Q6" s="946">
        <v>2.3946175502409853E-2</v>
      </c>
      <c r="S6" s="946">
        <v>12.453734351399612</v>
      </c>
      <c r="U6" s="946">
        <f t="shared" si="2"/>
        <v>2.2462656486003869</v>
      </c>
      <c r="W6" s="17">
        <v>-2.2684899382405602E-3</v>
      </c>
      <c r="X6" s="17">
        <v>3.2647400652030922E-2</v>
      </c>
      <c r="Y6" s="17">
        <v>3.4584753799855233E-2</v>
      </c>
      <c r="Z6" s="17">
        <v>1.8416568136119957E-2</v>
      </c>
      <c r="AA6" s="17">
        <v>3.8950903257587891E-2</v>
      </c>
      <c r="AB6" s="17">
        <v>2.9932941005096546E-2</v>
      </c>
      <c r="AC6" s="17">
        <v>1.239533630276328E-2</v>
      </c>
      <c r="AD6" s="17">
        <v>2.8737465295376255E-2</v>
      </c>
      <c r="AE6" s="17">
        <v>4.4420238351613767E-2</v>
      </c>
      <c r="AF6" s="17">
        <v>3.0665873110401892E-3</v>
      </c>
      <c r="AG6" s="17">
        <v>-3.4175507046630832E-2</v>
      </c>
      <c r="AH6" s="17">
        <v>1.6427174801740392E-2</v>
      </c>
      <c r="AI6" s="17">
        <v>2.5816978624192504E-2</v>
      </c>
      <c r="AJ6" s="17">
        <v>1.0386508461014174E-2</v>
      </c>
      <c r="AK6" s="17">
        <v>3.3476212012683727E-2</v>
      </c>
      <c r="AL6" s="17">
        <v>2.8821220883853867E-2</v>
      </c>
      <c r="AM6" s="17">
        <v>1.2152182824068013E-2</v>
      </c>
      <c r="AN6" s="17">
        <v>1.1997121023273674E-2</v>
      </c>
      <c r="AO6" s="17">
        <v>1.0234225438296787E-2</v>
      </c>
      <c r="AP6" s="17">
        <v>1.5967705981465304E-2</v>
      </c>
      <c r="AQ6" s="17">
        <v>4.094373489423675E-2</v>
      </c>
      <c r="AR6" s="17">
        <v>2.73336399816193E-2</v>
      </c>
      <c r="AS6" s="17">
        <v>2.726407164231065E-2</v>
      </c>
      <c r="AT6" s="17">
        <v>-3.8644281256304563E-2</v>
      </c>
      <c r="AU6" s="17">
        <v>2.8081056896775078E-2</v>
      </c>
      <c r="AV6" s="17">
        <v>2.4203635719363514E-2</v>
      </c>
      <c r="AW6" s="17">
        <v>2.7923032771135597E-2</v>
      </c>
      <c r="AX6" s="17">
        <v>5.458199308111783E-2</v>
      </c>
      <c r="AY6" s="17">
        <v>1.2633906657327443E-2</v>
      </c>
      <c r="AZ6" s="17">
        <v>1.6450883172438747E-2</v>
      </c>
      <c r="BA6" s="17">
        <v>5.3689962248174253E-2</v>
      </c>
      <c r="BB6" s="17">
        <v>2.1261984557831199E-2</v>
      </c>
      <c r="BC6" s="17">
        <v>8.7418223816782287E-3</v>
      </c>
      <c r="BD6" s="17">
        <v>1.134028650896815E-2</v>
      </c>
      <c r="BE6" s="17">
        <v>9.6249069148591909E-3</v>
      </c>
      <c r="BF6" s="17">
        <v>1.6647036500919449E-2</v>
      </c>
      <c r="BG6" s="17">
        <v>2.6055262294289654E-2</v>
      </c>
      <c r="BH6" s="17">
        <v>1.864473445178623E-2</v>
      </c>
      <c r="BI6" s="17">
        <v>1.4434796295073472E-2</v>
      </c>
      <c r="BJ6" s="17">
        <v>3.21093157711069E-2</v>
      </c>
      <c r="BK6" s="17">
        <v>2.8943070557206629E-3</v>
      </c>
      <c r="BL6" s="17">
        <v>3.7804729979022789E-2</v>
      </c>
      <c r="BM6" s="17">
        <v>3.472431881779138E-2</v>
      </c>
      <c r="BN6" s="17">
        <v>2.6592798332099286E-2</v>
      </c>
      <c r="BO6" s="17">
        <v>1.6600601637084794E-2</v>
      </c>
      <c r="BP6" s="17">
        <v>-3.5831554417977696E-3</v>
      </c>
      <c r="BQ6" s="17">
        <v>3.0498023220558015E-2</v>
      </c>
      <c r="BR6" s="17">
        <v>1.5434205493654075E-2</v>
      </c>
      <c r="BS6" s="17">
        <v>1.944962842658671E-2</v>
      </c>
      <c r="BT6" s="17">
        <v>1.4275233817377109E-2</v>
      </c>
    </row>
    <row r="7" spans="1:72" x14ac:dyDescent="0.25">
      <c r="A7" s="667" t="s">
        <v>154</v>
      </c>
      <c r="B7" s="704">
        <v>17.3</v>
      </c>
      <c r="C7" s="705">
        <v>8.5</v>
      </c>
      <c r="D7" s="706">
        <v>80.783955956979611</v>
      </c>
      <c r="E7" s="944">
        <v>529.4</v>
      </c>
      <c r="G7" s="47">
        <v>1</v>
      </c>
      <c r="H7" s="88">
        <f t="shared" si="0"/>
        <v>8.5</v>
      </c>
      <c r="I7" s="88">
        <f t="shared" si="0"/>
        <v>80.783955956979611</v>
      </c>
      <c r="J7" s="86">
        <f t="shared" si="0"/>
        <v>529.4</v>
      </c>
      <c r="L7" s="946">
        <f t="shared" si="1"/>
        <v>17.3</v>
      </c>
      <c r="N7" s="947">
        <v>1.4214989878582329E-3</v>
      </c>
      <c r="P7" s="17">
        <f>P6+1</f>
        <v>4</v>
      </c>
      <c r="Q7" s="947">
        <v>1.5977891191805069E-3</v>
      </c>
      <c r="S7" s="946">
        <v>14.998941387354362</v>
      </c>
      <c r="U7" s="946">
        <f t="shared" si="2"/>
        <v>2.3010586126456385</v>
      </c>
      <c r="W7" s="17">
        <v>5.4739347001092002E-2</v>
      </c>
      <c r="X7" s="17">
        <v>2.0330128958296112E-2</v>
      </c>
      <c r="Y7" s="17">
        <v>1.8416568136119686E-2</v>
      </c>
      <c r="Z7" s="17">
        <v>5.6823864951255007E-2</v>
      </c>
      <c r="AA7" s="17">
        <v>-1.722820482677008E-2</v>
      </c>
      <c r="AB7" s="17">
        <v>2.3954160293032552E-3</v>
      </c>
      <c r="AC7" s="17">
        <v>3.9120862153092725E-3</v>
      </c>
      <c r="AD7" s="17">
        <v>5.2733239860965897E-2</v>
      </c>
      <c r="AE7" s="17">
        <v>3.9131143145140684E-2</v>
      </c>
      <c r="AF7" s="17">
        <v>3.3204483304539109E-2</v>
      </c>
      <c r="AG7" s="17">
        <v>-5.8093816041565688E-2</v>
      </c>
      <c r="AH7" s="17">
        <v>2.4857653463554744E-2</v>
      </c>
      <c r="AI7" s="17">
        <v>3.1449564157525312E-2</v>
      </c>
      <c r="AJ7" s="17">
        <v>4.6230001663519801E-2</v>
      </c>
      <c r="AK7" s="17">
        <v>-7.4607789067454491E-3</v>
      </c>
      <c r="AL7" s="17">
        <v>3.3328831986925461E-2</v>
      </c>
      <c r="AM7" s="17">
        <v>3.6564646075996798E-2</v>
      </c>
      <c r="AN7" s="17">
        <v>7.7473151503296922E-2</v>
      </c>
      <c r="AO7" s="17">
        <v>1.2002207050326008E-2</v>
      </c>
      <c r="AP7" s="17">
        <v>3.4898094645277725E-2</v>
      </c>
      <c r="AQ7" s="17">
        <v>-1.5750144022397092E-2</v>
      </c>
      <c r="AR7" s="17">
        <v>3.5453748831121797E-2</v>
      </c>
      <c r="AS7" s="17">
        <v>-1.0437586713981584E-2</v>
      </c>
      <c r="AT7" s="17">
        <v>7.1213747367742553E-2</v>
      </c>
      <c r="AU7" s="17">
        <v>3.7861403322177599E-2</v>
      </c>
      <c r="AV7" s="17">
        <v>2.8289735563798296E-3</v>
      </c>
      <c r="AW7" s="17">
        <v>2.2525583634773732E-4</v>
      </c>
      <c r="AX7" s="17">
        <v>2.3186625624112556E-2</v>
      </c>
      <c r="AY7" s="17">
        <v>7.8863921409595972E-3</v>
      </c>
      <c r="AZ7" s="17">
        <v>-1.4996316014413827E-2</v>
      </c>
      <c r="BA7" s="17">
        <v>1.0856136525116827E-2</v>
      </c>
      <c r="BB7" s="17">
        <v>-1.2259526258054633E-2</v>
      </c>
      <c r="BC7" s="17">
        <v>4.0134238015328845E-2</v>
      </c>
      <c r="BD7" s="17">
        <v>-1.7158627425350043E-3</v>
      </c>
      <c r="BE7" s="17">
        <v>3.9589583128445287E-2</v>
      </c>
      <c r="BF7" s="17">
        <v>4.3269906436049624E-2</v>
      </c>
      <c r="BG7" s="17">
        <v>-3.4670394978338088E-3</v>
      </c>
      <c r="BH7" s="17">
        <v>3.8933939053771058E-2</v>
      </c>
      <c r="BI7" s="17">
        <v>4.7439410585431926E-3</v>
      </c>
      <c r="BJ7" s="17">
        <v>5.3305751876194525E-2</v>
      </c>
      <c r="BK7" s="17">
        <v>1.8297723436888208E-2</v>
      </c>
      <c r="BL7" s="17">
        <v>6.8777008950237487E-2</v>
      </c>
      <c r="BM7" s="17">
        <v>1.1653437548812234E-2</v>
      </c>
      <c r="BN7" s="17">
        <v>-1.0855069122513779E-2</v>
      </c>
      <c r="BO7" s="17">
        <v>-3.7356419209635533E-3</v>
      </c>
      <c r="BP7" s="17">
        <v>1.1982344000141559E-2</v>
      </c>
      <c r="BQ7" s="17">
        <v>-2.318678179654645E-2</v>
      </c>
      <c r="BR7" s="17">
        <v>3.8112949251870712E-2</v>
      </c>
      <c r="BS7" s="17">
        <v>1.4211826683128807E-2</v>
      </c>
      <c r="BT7" s="17">
        <v>2.8171407072507711E-2</v>
      </c>
    </row>
    <row r="8" spans="1:72" x14ac:dyDescent="0.25">
      <c r="A8" s="667" t="s">
        <v>155</v>
      </c>
      <c r="B8" s="704">
        <v>13.3</v>
      </c>
      <c r="C8" s="705">
        <v>5</v>
      </c>
      <c r="D8" s="706">
        <v>76.640052174481781</v>
      </c>
      <c r="E8" s="944">
        <v>522.6</v>
      </c>
      <c r="G8" s="47">
        <v>1</v>
      </c>
      <c r="H8" s="88">
        <f t="shared" si="0"/>
        <v>5</v>
      </c>
      <c r="I8" s="88">
        <f t="shared" si="0"/>
        <v>76.640052174481781</v>
      </c>
      <c r="J8" s="86">
        <f t="shared" si="0"/>
        <v>522.6</v>
      </c>
      <c r="L8" s="946">
        <f t="shared" si="1"/>
        <v>13.3</v>
      </c>
      <c r="S8" s="946">
        <v>10.360946134637693</v>
      </c>
      <c r="U8" s="946">
        <f t="shared" si="2"/>
        <v>2.9390538653623075</v>
      </c>
      <c r="W8" s="17">
        <v>-3.2730749121665181E-2</v>
      </c>
      <c r="X8" s="17">
        <v>6.7177334083919557E-2</v>
      </c>
      <c r="Y8" s="17">
        <v>3.8950903257588862E-2</v>
      </c>
      <c r="Z8" s="17">
        <v>-1.7228204826769216E-2</v>
      </c>
      <c r="AA8" s="17">
        <v>0.10361371993915565</v>
      </c>
      <c r="AB8" s="17">
        <v>3.9494624828568081E-2</v>
      </c>
      <c r="AC8" s="17">
        <v>1.7087142462659709E-2</v>
      </c>
      <c r="AD8" s="17">
        <v>1.9813584776144574E-2</v>
      </c>
      <c r="AE8" s="17">
        <v>5.0675730935078475E-2</v>
      </c>
      <c r="AF8" s="17">
        <v>1.064880949936952E-2</v>
      </c>
      <c r="AG8" s="17">
        <v>0.10879105607449471</v>
      </c>
      <c r="AH8" s="17">
        <v>-1.8301143588030561E-2</v>
      </c>
      <c r="AI8" s="17">
        <v>2.5343688774789444E-2</v>
      </c>
      <c r="AJ8" s="17">
        <v>-3.6832851621302592E-2</v>
      </c>
      <c r="AK8" s="17">
        <v>4.6486875677024211E-2</v>
      </c>
      <c r="AL8" s="17">
        <v>8.7053011953053122E-3</v>
      </c>
      <c r="AM8" s="17">
        <v>-2.7946284180377118E-2</v>
      </c>
      <c r="AN8" s="17">
        <v>-1.5897064907781311E-2</v>
      </c>
      <c r="AO8" s="17">
        <v>-2.0719337271632915E-2</v>
      </c>
      <c r="AP8" s="17">
        <v>3.7071505185896948E-2</v>
      </c>
      <c r="AQ8" s="17">
        <v>8.5518254937571259E-2</v>
      </c>
      <c r="AR8" s="17">
        <v>1.9796143646435914E-2</v>
      </c>
      <c r="AS8" s="17">
        <v>4.8841388872835838E-2</v>
      </c>
      <c r="AT8" s="17">
        <v>-9.4412060909312839E-2</v>
      </c>
      <c r="AU8" s="17">
        <v>1.0607792370835527E-2</v>
      </c>
      <c r="AV8" s="17">
        <v>2.6893832510501751E-2</v>
      </c>
      <c r="AW8" s="17">
        <v>3.4462662506063411E-2</v>
      </c>
      <c r="AX8" s="17">
        <v>8.3136494714594208E-2</v>
      </c>
      <c r="AY8" s="17">
        <v>-1.0244925239638408E-2</v>
      </c>
      <c r="AZ8" s="17">
        <v>6.100820593774791E-2</v>
      </c>
      <c r="BA8" s="17">
        <v>8.7215106136552645E-2</v>
      </c>
      <c r="BB8" s="17">
        <v>7.2723432454270154E-2</v>
      </c>
      <c r="BC8" s="17">
        <v>-3.9234327718865782E-3</v>
      </c>
      <c r="BD8" s="17">
        <v>5.650181595135445E-3</v>
      </c>
      <c r="BE8" s="17">
        <v>-2.4734761938325599E-2</v>
      </c>
      <c r="BF8" s="17">
        <v>-1.3457051681177688E-3</v>
      </c>
      <c r="BG8" s="17">
        <v>3.7310679917636425E-2</v>
      </c>
      <c r="BH8" s="17">
        <v>-8.7786802762757511E-3</v>
      </c>
      <c r="BI8" s="17">
        <v>1.1102518720709123E-2</v>
      </c>
      <c r="BJ8" s="17">
        <v>3.7202719519720553E-2</v>
      </c>
      <c r="BK8" s="17">
        <v>-2.3191022820383253E-2</v>
      </c>
      <c r="BL8" s="17">
        <v>7.602303925713122E-3</v>
      </c>
      <c r="BM8" s="17">
        <v>5.4682057670271747E-2</v>
      </c>
      <c r="BN8" s="17">
        <v>3.9797818735170104E-2</v>
      </c>
      <c r="BO8" s="17">
        <v>6.7600339702343915E-3</v>
      </c>
      <c r="BP8" s="17">
        <v>3.3142973187929997E-3</v>
      </c>
      <c r="BQ8" s="17">
        <v>7.76697048523943E-2</v>
      </c>
      <c r="BR8" s="17">
        <v>-3.3227777365576749E-2</v>
      </c>
      <c r="BS8" s="17">
        <v>8.3990584732354726E-3</v>
      </c>
      <c r="BT8" s="17">
        <v>-2.4040963469328672E-2</v>
      </c>
    </row>
    <row r="9" spans="1:72" ht="17.25" x14ac:dyDescent="0.25">
      <c r="A9" s="667" t="s">
        <v>156</v>
      </c>
      <c r="B9" s="704">
        <v>11.4</v>
      </c>
      <c r="C9" s="705">
        <v>5.7</v>
      </c>
      <c r="D9" s="706">
        <v>89.734092175332663</v>
      </c>
      <c r="E9" s="944">
        <v>347.8</v>
      </c>
      <c r="G9" s="47">
        <v>1</v>
      </c>
      <c r="H9" s="88">
        <f t="shared" si="0"/>
        <v>5.7</v>
      </c>
      <c r="I9" s="88">
        <f t="shared" si="0"/>
        <v>89.734092175332663</v>
      </c>
      <c r="J9" s="86">
        <f t="shared" si="0"/>
        <v>347.8</v>
      </c>
      <c r="L9" s="946">
        <f t="shared" si="1"/>
        <v>11.4</v>
      </c>
      <c r="N9" s="1320" t="s">
        <v>2048</v>
      </c>
      <c r="O9" s="1320"/>
      <c r="P9" s="1320"/>
      <c r="Q9" s="1320"/>
      <c r="S9" s="946">
        <v>11.483693052508373</v>
      </c>
      <c r="U9" s="946">
        <f t="shared" si="2"/>
        <v>-8.3693052508373E-2</v>
      </c>
      <c r="W9" s="17">
        <v>-1.2391267536813133E-2</v>
      </c>
      <c r="X9" s="17">
        <v>1.5953705564999129E-2</v>
      </c>
      <c r="Y9" s="17">
        <v>2.9932941005096594E-2</v>
      </c>
      <c r="Z9" s="17">
        <v>2.395416029303505E-3</v>
      </c>
      <c r="AA9" s="17">
        <v>3.9494624828567214E-2</v>
      </c>
      <c r="AB9" s="17">
        <v>3.762115632263021E-2</v>
      </c>
      <c r="AC9" s="17">
        <v>2.5848686816239828E-2</v>
      </c>
      <c r="AD9" s="17">
        <v>3.1311964702471842E-3</v>
      </c>
      <c r="AE9" s="17">
        <v>1.9520406845095831E-2</v>
      </c>
      <c r="AF9" s="17">
        <v>-5.3098377367656029E-3</v>
      </c>
      <c r="AG9" s="17">
        <v>-7.9012774319574264E-3</v>
      </c>
      <c r="AH9" s="17">
        <v>2.6338188179907868E-2</v>
      </c>
      <c r="AI9" s="17">
        <v>1.506992850779758E-2</v>
      </c>
      <c r="AJ9" s="17">
        <v>9.5054806297762036E-3</v>
      </c>
      <c r="AK9" s="17">
        <v>4.6765908435432317E-2</v>
      </c>
      <c r="AL9" s="17">
        <v>2.2888921985424585E-2</v>
      </c>
      <c r="AM9" s="17">
        <v>1.5897263676291445E-2</v>
      </c>
      <c r="AN9" s="17">
        <v>-2.1557344151109395E-2</v>
      </c>
      <c r="AO9" s="17">
        <v>3.092048718659627E-2</v>
      </c>
      <c r="AP9" s="17">
        <v>-2.5569637606738006E-3</v>
      </c>
      <c r="AQ9" s="17">
        <v>4.7087790192755788E-2</v>
      </c>
      <c r="AR9" s="17">
        <v>1.5515178901020558E-2</v>
      </c>
      <c r="AS9" s="17">
        <v>4.1638912974352169E-2</v>
      </c>
      <c r="AT9" s="17">
        <v>-4.1932181258598683E-2</v>
      </c>
      <c r="AU9" s="17">
        <v>1.7756255782917809E-2</v>
      </c>
      <c r="AV9" s="17">
        <v>3.5764427359823367E-2</v>
      </c>
      <c r="AW9" s="17">
        <v>3.9059911380691814E-2</v>
      </c>
      <c r="AX9" s="17">
        <v>3.1290858831542312E-2</v>
      </c>
      <c r="AY9" s="17">
        <v>3.2950027468969287E-2</v>
      </c>
      <c r="AZ9" s="17">
        <v>2.9250855393730055E-2</v>
      </c>
      <c r="BA9" s="17">
        <v>3.8742920256605251E-2</v>
      </c>
      <c r="BB9" s="17">
        <v>2.7902539462339254E-2</v>
      </c>
      <c r="BC9" s="17">
        <v>5.5388962932499328E-4</v>
      </c>
      <c r="BD9" s="17">
        <v>3.3440330272589823E-2</v>
      </c>
      <c r="BE9" s="17">
        <v>9.5808378603632893E-3</v>
      </c>
      <c r="BF9" s="17">
        <v>5.5551465512088342E-3</v>
      </c>
      <c r="BG9" s="17">
        <v>3.8979530947766822E-2</v>
      </c>
      <c r="BH9" s="17">
        <v>1.3908005271728514E-2</v>
      </c>
      <c r="BI9" s="17">
        <v>2.9562850588401766E-2</v>
      </c>
      <c r="BJ9" s="17">
        <v>-1.0392442805647051E-4</v>
      </c>
      <c r="BK9" s="17">
        <v>1.8909381262651112E-2</v>
      </c>
      <c r="BL9" s="17">
        <v>4.4392935816424534E-3</v>
      </c>
      <c r="BM9" s="17">
        <v>2.9737733690948159E-2</v>
      </c>
      <c r="BN9" s="17">
        <v>4.4576829670163964E-2</v>
      </c>
      <c r="BO9" s="17">
        <v>4.0289387495069599E-2</v>
      </c>
      <c r="BP9" s="17">
        <v>7.3100980175415387E-3</v>
      </c>
      <c r="BQ9" s="17">
        <v>4.4756468461847977E-2</v>
      </c>
      <c r="BR9" s="17">
        <v>2.0108499787495869E-2</v>
      </c>
      <c r="BS9" s="17">
        <v>2.8321125775131368E-2</v>
      </c>
      <c r="BT9" s="17">
        <v>2.3479396951951836E-2</v>
      </c>
    </row>
    <row r="10" spans="1:72" x14ac:dyDescent="0.25">
      <c r="A10" s="667" t="s">
        <v>157</v>
      </c>
      <c r="B10" s="704">
        <v>9.3000000000000007</v>
      </c>
      <c r="C10" s="705">
        <v>6.2</v>
      </c>
      <c r="D10" s="706">
        <v>84.278652322083644</v>
      </c>
      <c r="E10" s="944">
        <v>256</v>
      </c>
      <c r="G10" s="47">
        <v>1</v>
      </c>
      <c r="H10" s="88">
        <f t="shared" si="0"/>
        <v>6.2</v>
      </c>
      <c r="I10" s="88">
        <f t="shared" si="0"/>
        <v>84.278652322083644</v>
      </c>
      <c r="J10" s="86">
        <f t="shared" si="0"/>
        <v>256</v>
      </c>
      <c r="L10" s="946">
        <f t="shared" si="1"/>
        <v>9.3000000000000007</v>
      </c>
      <c r="N10" s="343">
        <f t="array" ref="N10:Q13">MINVERSE(MMULT(TRANSPOSE(G4:J53),G4:J53))</f>
        <v>2.6057128988009484</v>
      </c>
      <c r="O10" s="344">
        <v>-0.119788887417389</v>
      </c>
      <c r="P10" s="344">
        <v>-1.9497850497721299E-2</v>
      </c>
      <c r="Q10" s="345">
        <v>-4.1572695969407583E-4</v>
      </c>
      <c r="S10" s="946">
        <v>11.794704928074662</v>
      </c>
      <c r="U10" s="946">
        <f t="shared" si="2"/>
        <v>-2.4947049280746612</v>
      </c>
      <c r="W10" s="17">
        <v>1.4046598835086063E-2</v>
      </c>
      <c r="X10" s="17">
        <v>7.3867019221232622E-4</v>
      </c>
      <c r="Y10" s="17">
        <v>1.2395336302763724E-2</v>
      </c>
      <c r="Z10" s="17">
        <v>3.9120862153095709E-3</v>
      </c>
      <c r="AA10" s="17">
        <v>1.7087142462659591E-2</v>
      </c>
      <c r="AB10" s="17">
        <v>2.5848686816240307E-2</v>
      </c>
      <c r="AC10" s="17">
        <v>3.516860794322111E-2</v>
      </c>
      <c r="AD10" s="17">
        <v>-7.7241806905893329E-3</v>
      </c>
      <c r="AE10" s="17">
        <v>-1.0067461573888783E-2</v>
      </c>
      <c r="AF10" s="17">
        <v>1.4939806562999508E-2</v>
      </c>
      <c r="AG10" s="17">
        <v>5.8156802299451499E-2</v>
      </c>
      <c r="AH10" s="17">
        <v>3.0577178596958798E-2</v>
      </c>
      <c r="AI10" s="17">
        <v>7.9507395287218667E-3</v>
      </c>
      <c r="AJ10" s="17">
        <v>2.0792320848137841E-2</v>
      </c>
      <c r="AK10" s="17">
        <v>3.0830617344406543E-2</v>
      </c>
      <c r="AL10" s="17">
        <v>1.2127693251372168E-2</v>
      </c>
      <c r="AM10" s="17">
        <v>2.5160221095028822E-2</v>
      </c>
      <c r="AN10" s="17">
        <v>-1.2522626643235731E-2</v>
      </c>
      <c r="AO10" s="17">
        <v>4.2746732735237054E-2</v>
      </c>
      <c r="AP10" s="17">
        <v>2.1511628614075268E-3</v>
      </c>
      <c r="AQ10" s="17">
        <v>2.2259636205252963E-2</v>
      </c>
      <c r="AR10" s="17">
        <v>6.5270131873068904E-3</v>
      </c>
      <c r="AS10" s="17">
        <v>3.3214415467355519E-2</v>
      </c>
      <c r="AT10" s="17">
        <v>2.8112991897426651E-2</v>
      </c>
      <c r="AU10" s="17">
        <v>7.8404132242082258E-3</v>
      </c>
      <c r="AV10" s="17">
        <v>3.0881409057275606E-2</v>
      </c>
      <c r="AW10" s="17">
        <v>2.9727922390227743E-2</v>
      </c>
      <c r="AX10" s="17">
        <v>-1.035758212836968E-2</v>
      </c>
      <c r="AY10" s="17">
        <v>4.1932732023571104E-2</v>
      </c>
      <c r="AZ10" s="17">
        <v>3.3896408010606449E-2</v>
      </c>
      <c r="BA10" s="17">
        <v>-1.7038204474610491E-3</v>
      </c>
      <c r="BB10" s="17">
        <v>2.6731397512832947E-2</v>
      </c>
      <c r="BC10" s="17">
        <v>1.3894550195691191E-2</v>
      </c>
      <c r="BD10" s="17">
        <v>4.4084315280008508E-2</v>
      </c>
      <c r="BE10" s="17">
        <v>2.1856775626549745E-2</v>
      </c>
      <c r="BF10" s="17">
        <v>9.346573904411612E-3</v>
      </c>
      <c r="BG10" s="17">
        <v>3.1935149158003502E-2</v>
      </c>
      <c r="BH10" s="17">
        <v>1.5336069159830421E-2</v>
      </c>
      <c r="BI10" s="17">
        <v>3.6416683738624167E-2</v>
      </c>
      <c r="BJ10" s="17">
        <v>-1.5019025816111378E-2</v>
      </c>
      <c r="BK10" s="17">
        <v>3.95076693574428E-2</v>
      </c>
      <c r="BL10" s="17">
        <v>-1.750167205207756E-2</v>
      </c>
      <c r="BM10" s="17">
        <v>1.210669794877842E-2</v>
      </c>
      <c r="BN10" s="17">
        <v>3.6961764927560835E-2</v>
      </c>
      <c r="BO10" s="17">
        <v>4.4620943869333622E-2</v>
      </c>
      <c r="BP10" s="17">
        <v>3.5781015508349813E-2</v>
      </c>
      <c r="BQ10" s="17">
        <v>3.2578609866434974E-2</v>
      </c>
      <c r="BR10" s="17">
        <v>2.5402206190868193E-2</v>
      </c>
      <c r="BS10" s="17">
        <v>2.9039135559920479E-2</v>
      </c>
      <c r="BT10" s="17">
        <v>3.0273466192654246E-2</v>
      </c>
    </row>
    <row r="11" spans="1:72" x14ac:dyDescent="0.25">
      <c r="A11" s="667" t="s">
        <v>158</v>
      </c>
      <c r="B11" s="713">
        <v>10</v>
      </c>
      <c r="C11" s="705">
        <v>8.3000000000000007</v>
      </c>
      <c r="D11" s="706">
        <v>74.266056727126113</v>
      </c>
      <c r="E11" s="944">
        <v>689.2</v>
      </c>
      <c r="G11" s="47">
        <v>1</v>
      </c>
      <c r="H11" s="88">
        <f t="shared" si="0"/>
        <v>8.3000000000000007</v>
      </c>
      <c r="I11" s="88">
        <f t="shared" si="0"/>
        <v>74.266056727126113</v>
      </c>
      <c r="J11" s="86">
        <f t="shared" si="0"/>
        <v>689.2</v>
      </c>
      <c r="L11" s="946">
        <f t="shared" si="1"/>
        <v>10</v>
      </c>
      <c r="N11" s="47">
        <v>-0.11978888741738723</v>
      </c>
      <c r="O11" s="88">
        <v>1.4815162889490837E-2</v>
      </c>
      <c r="P11" s="88">
        <v>4.0139129913020012E-4</v>
      </c>
      <c r="Q11" s="86">
        <v>-3.5093390713043337E-5</v>
      </c>
      <c r="S11" s="946">
        <v>14.733447771089802</v>
      </c>
      <c r="U11" s="946">
        <f t="shared" si="2"/>
        <v>-4.7334477710898017</v>
      </c>
      <c r="W11" s="17">
        <v>4.2306012734552659E-2</v>
      </c>
      <c r="X11" s="17">
        <v>5.5800068126002175E-2</v>
      </c>
      <c r="Y11" s="17">
        <v>2.8737465295376172E-2</v>
      </c>
      <c r="Z11" s="17">
        <v>5.273323986096605E-2</v>
      </c>
      <c r="AA11" s="17">
        <v>1.9813584776143742E-2</v>
      </c>
      <c r="AB11" s="17">
        <v>3.1311964702471426E-3</v>
      </c>
      <c r="AC11" s="17">
        <v>-7.7241806905895688E-3</v>
      </c>
      <c r="AD11" s="17">
        <v>7.3296670538550088E-2</v>
      </c>
      <c r="AE11" s="17">
        <v>7.0987727457005309E-2</v>
      </c>
      <c r="AF11" s="17">
        <v>3.9696772937101082E-2</v>
      </c>
      <c r="AG11" s="17">
        <v>-2.4909654644344165E-2</v>
      </c>
      <c r="AH11" s="17">
        <v>-2.2138674453052454E-3</v>
      </c>
      <c r="AI11" s="17">
        <v>4.2308328152820131E-2</v>
      </c>
      <c r="AJ11" s="17">
        <v>2.0776929840092995E-2</v>
      </c>
      <c r="AK11" s="17">
        <v>-8.9668146736377203E-3</v>
      </c>
      <c r="AL11" s="17">
        <v>3.0964335149983944E-2</v>
      </c>
      <c r="AM11" s="17">
        <v>1.1071664296703115E-2</v>
      </c>
      <c r="AN11" s="17">
        <v>9.095008501050747E-2</v>
      </c>
      <c r="AO11" s="17">
        <v>-2.4409003881722166E-2</v>
      </c>
      <c r="AP11" s="17">
        <v>6.0666712916303316E-2</v>
      </c>
      <c r="AQ11" s="17">
        <v>6.8726951927647328E-3</v>
      </c>
      <c r="AR11" s="17">
        <v>4.4151572000757824E-2</v>
      </c>
      <c r="AS11" s="17">
        <v>-1.034410387680133E-2</v>
      </c>
      <c r="AT11" s="17">
        <v>3.0050638207791885E-2</v>
      </c>
      <c r="AU11" s="17">
        <v>4.0488082081335301E-2</v>
      </c>
      <c r="AV11" s="17">
        <v>-4.8685991655857755E-3</v>
      </c>
      <c r="AW11" s="17">
        <v>-4.1474546940725885E-3</v>
      </c>
      <c r="AX11" s="17">
        <v>6.7566227508020216E-2</v>
      </c>
      <c r="AY11" s="17">
        <v>-2.3503446262871139E-2</v>
      </c>
      <c r="AZ11" s="17">
        <v>-5.0339912583725714E-3</v>
      </c>
      <c r="BA11" s="17">
        <v>5.0105561892895473E-2</v>
      </c>
      <c r="BB11" s="17">
        <v>7.9167481753566089E-3</v>
      </c>
      <c r="BC11" s="17">
        <v>3.7923593978779757E-2</v>
      </c>
      <c r="BD11" s="17">
        <v>-2.6458042589421235E-2</v>
      </c>
      <c r="BE11" s="17">
        <v>1.9606250680169843E-2</v>
      </c>
      <c r="BF11" s="17">
        <v>4.3150424434160201E-2</v>
      </c>
      <c r="BG11" s="17">
        <v>-7.5801539936958158E-3</v>
      </c>
      <c r="BH11" s="17">
        <v>2.9050615675317384E-2</v>
      </c>
      <c r="BI11" s="17">
        <v>-1.1811483816291241E-2</v>
      </c>
      <c r="BJ11" s="17">
        <v>8.7630576372723701E-2</v>
      </c>
      <c r="BK11" s="17">
        <v>-1.3591606358391947E-2</v>
      </c>
      <c r="BL11" s="17">
        <v>8.8076081029151126E-2</v>
      </c>
      <c r="BM11" s="17">
        <v>3.0091295728605055E-2</v>
      </c>
      <c r="BN11" s="17">
        <v>-1.831203382852372E-2</v>
      </c>
      <c r="BO11" s="17">
        <v>-3.0496272172952997E-2</v>
      </c>
      <c r="BP11" s="17">
        <v>-7.1475474949871109E-4</v>
      </c>
      <c r="BQ11" s="17">
        <v>-9.3197394372116459E-3</v>
      </c>
      <c r="BR11" s="17">
        <v>8.433342326960365E-3</v>
      </c>
      <c r="BS11" s="17">
        <v>7.1337388633233023E-4</v>
      </c>
      <c r="BT11" s="17">
        <v>-6.6266919418479786E-4</v>
      </c>
    </row>
    <row r="12" spans="1:72" x14ac:dyDescent="0.25">
      <c r="A12" s="667" t="s">
        <v>159</v>
      </c>
      <c r="B12" s="704">
        <v>13.2</v>
      </c>
      <c r="C12" s="705">
        <v>7.3</v>
      </c>
      <c r="D12" s="706">
        <v>79.811068541941054</v>
      </c>
      <c r="E12" s="944">
        <v>722.6</v>
      </c>
      <c r="G12" s="47">
        <v>1</v>
      </c>
      <c r="H12" s="88">
        <f t="shared" si="0"/>
        <v>7.3</v>
      </c>
      <c r="I12" s="88">
        <f t="shared" si="0"/>
        <v>79.811068541941054</v>
      </c>
      <c r="J12" s="86">
        <f t="shared" si="0"/>
        <v>722.6</v>
      </c>
      <c r="L12" s="946">
        <f t="shared" si="1"/>
        <v>13.2</v>
      </c>
      <c r="N12" s="47">
        <v>-1.9497850497721406E-2</v>
      </c>
      <c r="O12" s="88">
        <v>4.0139129913021812E-4</v>
      </c>
      <c r="P12" s="88">
        <v>1.8503838822348992E-4</v>
      </c>
      <c r="Q12" s="86">
        <v>3.9009315856594328E-6</v>
      </c>
      <c r="S12" s="946">
        <v>13.702989401864892</v>
      </c>
      <c r="U12" s="946">
        <f t="shared" si="2"/>
        <v>-0.50298940186489283</v>
      </c>
      <c r="W12" s="17">
        <v>7.6002631855539571E-3</v>
      </c>
      <c r="X12" s="17">
        <v>6.7648461985173616E-2</v>
      </c>
      <c r="Y12" s="17">
        <v>4.4420238351613989E-2</v>
      </c>
      <c r="Z12" s="17">
        <v>3.9131143145141351E-2</v>
      </c>
      <c r="AA12" s="17">
        <v>5.0675730935077587E-2</v>
      </c>
      <c r="AB12" s="17">
        <v>1.952040684509599E-2</v>
      </c>
      <c r="AC12" s="17">
        <v>-1.0067461573888901E-2</v>
      </c>
      <c r="AD12" s="17">
        <v>7.0987727457005712E-2</v>
      </c>
      <c r="AE12" s="17">
        <v>8.9440094900412825E-2</v>
      </c>
      <c r="AF12" s="17">
        <v>1.6926599835065882E-2</v>
      </c>
      <c r="AG12" s="17">
        <v>-5.8809036747628496E-2</v>
      </c>
      <c r="AH12" s="17">
        <v>-6.4199652587187683E-3</v>
      </c>
      <c r="AI12" s="17">
        <v>4.4293926833662699E-2</v>
      </c>
      <c r="AJ12" s="17">
        <v>3.0092111992693904E-3</v>
      </c>
      <c r="AK12" s="17">
        <v>1.4555413403082616E-2</v>
      </c>
      <c r="AL12" s="17">
        <v>3.614620379120894E-2</v>
      </c>
      <c r="AM12" s="17">
        <v>-1.6292633855342561E-3</v>
      </c>
      <c r="AN12" s="17">
        <v>6.2901040803624617E-2</v>
      </c>
      <c r="AO12" s="17">
        <v>-3.0610256212557488E-2</v>
      </c>
      <c r="AP12" s="17">
        <v>5.0296999407208845E-2</v>
      </c>
      <c r="AQ12" s="17">
        <v>4.0032896585127382E-2</v>
      </c>
      <c r="AR12" s="17">
        <v>4.6544737574026482E-2</v>
      </c>
      <c r="AS12" s="17">
        <v>7.4275337043207979E-3</v>
      </c>
      <c r="AT12" s="17">
        <v>-4.7747199168560461E-2</v>
      </c>
      <c r="AU12" s="17">
        <v>4.3164506400949397E-2</v>
      </c>
      <c r="AV12" s="17">
        <v>5.6186683880706176E-3</v>
      </c>
      <c r="AW12" s="17">
        <v>1.1030323482433133E-2</v>
      </c>
      <c r="AX12" s="17">
        <v>0.10157816070829116</v>
      </c>
      <c r="AY12" s="17">
        <v>-2.6008023192247764E-2</v>
      </c>
      <c r="AZ12" s="17">
        <v>2.2049349141957178E-3</v>
      </c>
      <c r="BA12" s="17">
        <v>8.744045455245128E-2</v>
      </c>
      <c r="BB12" s="17">
        <v>1.8952940748170888E-2</v>
      </c>
      <c r="BC12" s="17">
        <v>1.9350257368609652E-2</v>
      </c>
      <c r="BD12" s="17">
        <v>-2.749500972374086E-2</v>
      </c>
      <c r="BE12" s="17">
        <v>2.9567364412236771E-3</v>
      </c>
      <c r="BF12" s="17">
        <v>3.192368094677054E-2</v>
      </c>
      <c r="BG12" s="17">
        <v>6.7969273592338592E-3</v>
      </c>
      <c r="BH12" s="17">
        <v>2.1826671806017384E-2</v>
      </c>
      <c r="BI12" s="17">
        <v>-1.2021585944154665E-2</v>
      </c>
      <c r="BJ12" s="17">
        <v>8.8127907607180367E-2</v>
      </c>
      <c r="BK12" s="17">
        <v>-2.9927291017301877E-2</v>
      </c>
      <c r="BL12" s="17">
        <v>9.0271859542991967E-2</v>
      </c>
      <c r="BM12" s="17">
        <v>4.7779129192504058E-2</v>
      </c>
      <c r="BN12" s="17">
        <v>-7.8320012799862337E-4</v>
      </c>
      <c r="BO12" s="17">
        <v>-2.5143256003644116E-2</v>
      </c>
      <c r="BP12" s="17">
        <v>-2.2779986319071577E-2</v>
      </c>
      <c r="BQ12" s="17">
        <v>1.5483432696115452E-2</v>
      </c>
      <c r="BR12" s="17">
        <v>-1.0712013926007236E-3</v>
      </c>
      <c r="BS12" s="17">
        <v>2.6306703473371953E-3</v>
      </c>
      <c r="BT12" s="17">
        <v>-8.1831563765665943E-3</v>
      </c>
    </row>
    <row r="13" spans="1:72" x14ac:dyDescent="0.25">
      <c r="A13" s="667" t="s">
        <v>160</v>
      </c>
      <c r="B13" s="704">
        <v>14.7</v>
      </c>
      <c r="C13" s="705">
        <v>8.1</v>
      </c>
      <c r="D13" s="706">
        <v>65.387718279566343</v>
      </c>
      <c r="E13" s="944">
        <v>493.2</v>
      </c>
      <c r="G13" s="47">
        <v>1</v>
      </c>
      <c r="H13" s="88">
        <f t="shared" si="0"/>
        <v>8.1</v>
      </c>
      <c r="I13" s="88">
        <f t="shared" si="0"/>
        <v>65.387718279566343</v>
      </c>
      <c r="J13" s="86">
        <f t="shared" si="0"/>
        <v>493.2</v>
      </c>
      <c r="L13" s="946">
        <f t="shared" si="1"/>
        <v>14.7</v>
      </c>
      <c r="N13" s="346">
        <v>-4.1572695969408705E-4</v>
      </c>
      <c r="O13" s="347">
        <v>-3.5093390713042477E-5</v>
      </c>
      <c r="P13" s="347">
        <v>3.9009315856594972E-6</v>
      </c>
      <c r="Q13" s="348">
        <v>8.2381260593320462E-7</v>
      </c>
      <c r="S13" s="946">
        <v>13.876437321067383</v>
      </c>
      <c r="U13" s="946">
        <f t="shared" si="2"/>
        <v>0.82356267893261581</v>
      </c>
      <c r="W13" s="17">
        <v>6.2616235674378462E-2</v>
      </c>
      <c r="X13" s="17">
        <v>3.6064601518519035E-2</v>
      </c>
      <c r="Y13" s="17">
        <v>3.0665873110402794E-3</v>
      </c>
      <c r="Z13" s="17">
        <v>3.3204483304538818E-2</v>
      </c>
      <c r="AA13" s="17">
        <v>1.0648809499369444E-2</v>
      </c>
      <c r="AB13" s="17">
        <v>-5.309837736765426E-3</v>
      </c>
      <c r="AC13" s="17">
        <v>1.4939806562999362E-2</v>
      </c>
      <c r="AD13" s="17">
        <v>3.9696772937100964E-2</v>
      </c>
      <c r="AE13" s="17">
        <v>1.6926599835065614E-2</v>
      </c>
      <c r="AF13" s="17">
        <v>6.5173297496244731E-2</v>
      </c>
      <c r="AG13" s="17">
        <v>0.13022306327180652</v>
      </c>
      <c r="AH13" s="17">
        <v>-1.8781627504395604E-3</v>
      </c>
      <c r="AI13" s="17">
        <v>2.5745958338259177E-2</v>
      </c>
      <c r="AJ13" s="17">
        <v>2.0143398772124219E-2</v>
      </c>
      <c r="AK13" s="17">
        <v>-1.8614863721200699E-2</v>
      </c>
      <c r="AL13" s="17">
        <v>5.7440364113539935E-3</v>
      </c>
      <c r="AM13" s="17">
        <v>1.2823538433943057E-2</v>
      </c>
      <c r="AN13" s="17">
        <v>7.3742984672225731E-2</v>
      </c>
      <c r="AO13" s="17">
        <v>-5.7454534147963338E-3</v>
      </c>
      <c r="AP13" s="17">
        <v>6.294128758724675E-2</v>
      </c>
      <c r="AQ13" s="17">
        <v>-8.9283480899286644E-3</v>
      </c>
      <c r="AR13" s="17">
        <v>2.1994411948962039E-2</v>
      </c>
      <c r="AS13" s="17">
        <v>-6.0732951314734444E-3</v>
      </c>
      <c r="AT13" s="17">
        <v>0.1064967656359688</v>
      </c>
      <c r="AU13" s="17">
        <v>1.4645007876713398E-2</v>
      </c>
      <c r="AV13" s="17">
        <v>-3.6978720242059858E-3</v>
      </c>
      <c r="AW13" s="17">
        <v>-8.115108513850328E-3</v>
      </c>
      <c r="AX13" s="17">
        <v>5.2072624211021157E-3</v>
      </c>
      <c r="AY13" s="17">
        <v>-6.3139461180651002E-3</v>
      </c>
      <c r="AZ13" s="17">
        <v>2.4039006301867338E-2</v>
      </c>
      <c r="BA13" s="17">
        <v>-3.8526564653915685E-3</v>
      </c>
      <c r="BB13" s="17">
        <v>2.7482575625702138E-2</v>
      </c>
      <c r="BC13" s="17">
        <v>4.7198670391093947E-2</v>
      </c>
      <c r="BD13" s="17">
        <v>-1.5452031798812715E-4</v>
      </c>
      <c r="BE13" s="17">
        <v>2.5136802017809559E-2</v>
      </c>
      <c r="BF13" s="17">
        <v>3.5654803656483408E-2</v>
      </c>
      <c r="BG13" s="17">
        <v>-5.7196304513634395E-3</v>
      </c>
      <c r="BH13" s="17">
        <v>1.9008421544456131E-2</v>
      </c>
      <c r="BI13" s="17">
        <v>5.7826868904834808E-3</v>
      </c>
      <c r="BJ13" s="17">
        <v>4.9054672662880563E-2</v>
      </c>
      <c r="BK13" s="17">
        <v>1.6001125800271104E-2</v>
      </c>
      <c r="BL13" s="17">
        <v>2.7306987512050504E-2</v>
      </c>
      <c r="BM13" s="17">
        <v>9.2817592826440823E-3</v>
      </c>
      <c r="BN13" s="17">
        <v>-1.3511984586186104E-2</v>
      </c>
      <c r="BO13" s="17">
        <v>-1.3352362347173831E-2</v>
      </c>
      <c r="BP13" s="17">
        <v>4.7653721034997445E-2</v>
      </c>
      <c r="BQ13" s="17">
        <v>-1.7918543254726287E-3</v>
      </c>
      <c r="BR13" s="17">
        <v>2.3995998230142493E-3</v>
      </c>
      <c r="BS13" s="17">
        <v>3.4274842799248487E-3</v>
      </c>
      <c r="BT13" s="17">
        <v>1.5866696616670395E-3</v>
      </c>
    </row>
    <row r="14" spans="1:72" x14ac:dyDescent="0.25">
      <c r="A14" s="667" t="s">
        <v>161</v>
      </c>
      <c r="B14" s="704">
        <v>9.1</v>
      </c>
      <c r="C14" s="705">
        <v>5.6</v>
      </c>
      <c r="D14" s="706">
        <v>29.667333748383395</v>
      </c>
      <c r="E14" s="944">
        <v>272.8</v>
      </c>
      <c r="G14" s="47">
        <v>1</v>
      </c>
      <c r="H14" s="88">
        <f t="shared" si="0"/>
        <v>5.6</v>
      </c>
      <c r="I14" s="88">
        <f t="shared" si="0"/>
        <v>29.667333748383395</v>
      </c>
      <c r="J14" s="86">
        <f t="shared" si="0"/>
        <v>272.8</v>
      </c>
      <c r="L14" s="946">
        <f t="shared" si="1"/>
        <v>9.1</v>
      </c>
      <c r="S14" s="946">
        <v>9.067103150550091</v>
      </c>
      <c r="U14" s="946">
        <f t="shared" si="2"/>
        <v>3.2896849449908672E-2</v>
      </c>
      <c r="W14" s="17">
        <v>5.1146073958650985E-2</v>
      </c>
      <c r="X14" s="17">
        <v>6.9950398172743955E-2</v>
      </c>
      <c r="Y14" s="17">
        <v>-3.4175507046628847E-2</v>
      </c>
      <c r="Z14" s="17">
        <v>-5.8093816041565841E-2</v>
      </c>
      <c r="AA14" s="17">
        <v>0.10879105607449738</v>
      </c>
      <c r="AB14" s="17">
        <v>-7.9012774319552233E-3</v>
      </c>
      <c r="AC14" s="17">
        <v>5.8156802299452401E-2</v>
      </c>
      <c r="AD14" s="17">
        <v>-2.4909654644343464E-2</v>
      </c>
      <c r="AE14" s="17">
        <v>-5.880903674762672E-2</v>
      </c>
      <c r="AF14" s="17">
        <v>0.1302230632718063</v>
      </c>
      <c r="AG14" s="17">
        <v>0.65842285447892868</v>
      </c>
      <c r="AH14" s="17">
        <v>-6.8432321783420624E-2</v>
      </c>
      <c r="AI14" s="17">
        <v>-8.1573149690913893E-5</v>
      </c>
      <c r="AJ14" s="17">
        <v>-6.4818862685659409E-2</v>
      </c>
      <c r="AK14" s="17">
        <v>-2.0228747148853629E-2</v>
      </c>
      <c r="AL14" s="17">
        <v>-7.3675123571044346E-2</v>
      </c>
      <c r="AM14" s="17">
        <v>-5.7452623114076534E-2</v>
      </c>
      <c r="AN14" s="17">
        <v>9.7833889273417525E-3</v>
      </c>
      <c r="AO14" s="17">
        <v>-3.7330886715315696E-2</v>
      </c>
      <c r="AP14" s="17">
        <v>0.11454014160618672</v>
      </c>
      <c r="AQ14" s="17">
        <v>3.8153173470709498E-2</v>
      </c>
      <c r="AR14" s="17">
        <v>-2.6222086926460636E-2</v>
      </c>
      <c r="AS14" s="17">
        <v>3.2770532916327394E-2</v>
      </c>
      <c r="AT14" s="17">
        <v>0.15010336860345963</v>
      </c>
      <c r="AU14" s="17">
        <v>-5.8901973172933123E-2</v>
      </c>
      <c r="AV14" s="17">
        <v>-2.8088435043157021E-3</v>
      </c>
      <c r="AW14" s="17">
        <v>-9.6380183276167462E-3</v>
      </c>
      <c r="AX14" s="17">
        <v>-4.693235155183581E-2</v>
      </c>
      <c r="AY14" s="17">
        <v>-2.6023287708384076E-2</v>
      </c>
      <c r="AZ14" s="17">
        <v>0.15058485730038368</v>
      </c>
      <c r="BA14" s="17">
        <v>-3.5971817648295795E-2</v>
      </c>
      <c r="BB14" s="17">
        <v>0.15200159175183353</v>
      </c>
      <c r="BC14" s="17">
        <v>4.605758886564195E-2</v>
      </c>
      <c r="BD14" s="17">
        <v>2.6724545551753194E-2</v>
      </c>
      <c r="BE14" s="17">
        <v>-2.5919475030041265E-2</v>
      </c>
      <c r="BF14" s="17">
        <v>-4.4827728533978007E-3</v>
      </c>
      <c r="BG14" s="17">
        <v>1.101146396709124E-2</v>
      </c>
      <c r="BH14" s="17">
        <v>-4.6006407605902543E-2</v>
      </c>
      <c r="BI14" s="17">
        <v>2.4425577058676356E-2</v>
      </c>
      <c r="BJ14" s="17">
        <v>3.7289399333508763E-3</v>
      </c>
      <c r="BK14" s="17">
        <v>1.5770490507701455E-2</v>
      </c>
      <c r="BL14" s="17">
        <v>-0.12143731211287674</v>
      </c>
      <c r="BM14" s="17">
        <v>9.0266569097170977E-3</v>
      </c>
      <c r="BN14" s="17">
        <v>9.4749664453359101E-3</v>
      </c>
      <c r="BO14" s="17">
        <v>-1.1654477769309023E-2</v>
      </c>
      <c r="BP14" s="17">
        <v>0.14369160923558549</v>
      </c>
      <c r="BQ14" s="17">
        <v>8.8805119566840243E-2</v>
      </c>
      <c r="BR14" s="17">
        <v>-9.8044149736477279E-2</v>
      </c>
      <c r="BS14" s="17">
        <v>-1.5933240222914681E-2</v>
      </c>
      <c r="BT14" s="17">
        <v>-6.7458616623045364E-2</v>
      </c>
    </row>
    <row r="15" spans="1:72" ht="18.75" x14ac:dyDescent="0.35">
      <c r="A15" s="667" t="s">
        <v>162</v>
      </c>
      <c r="B15" s="704">
        <v>12.6</v>
      </c>
      <c r="C15" s="705">
        <v>6.8</v>
      </c>
      <c r="D15" s="706">
        <v>94.600660447193093</v>
      </c>
      <c r="E15" s="944">
        <v>239.4</v>
      </c>
      <c r="G15" s="47">
        <v>1</v>
      </c>
      <c r="H15" s="88">
        <f t="shared" si="0"/>
        <v>6.8</v>
      </c>
      <c r="I15" s="88">
        <f t="shared" si="0"/>
        <v>94.600660447193093</v>
      </c>
      <c r="J15" s="86">
        <f t="shared" si="0"/>
        <v>239.4</v>
      </c>
      <c r="L15" s="946">
        <f t="shared" si="1"/>
        <v>12.6</v>
      </c>
      <c r="N15" s="1320" t="s">
        <v>2049</v>
      </c>
      <c r="O15" s="1320"/>
      <c r="P15" s="1320"/>
      <c r="Q15" s="1320"/>
      <c r="S15" s="946">
        <v>12.913696631816164</v>
      </c>
      <c r="U15" s="946">
        <f t="shared" si="2"/>
        <v>-0.31369663181616403</v>
      </c>
      <c r="W15" s="17">
        <v>2.0995996047604392E-2</v>
      </c>
      <c r="X15" s="17">
        <v>-2.0565903482489024E-2</v>
      </c>
      <c r="Y15" s="17">
        <v>1.642717480174026E-2</v>
      </c>
      <c r="Z15" s="17">
        <v>2.4857653463554931E-2</v>
      </c>
      <c r="AA15" s="17">
        <v>-1.83011435880314E-2</v>
      </c>
      <c r="AB15" s="17">
        <v>2.6338188179907761E-2</v>
      </c>
      <c r="AC15" s="17">
        <v>3.0577178596958472E-2</v>
      </c>
      <c r="AD15" s="17">
        <v>-2.2138674453053009E-3</v>
      </c>
      <c r="AE15" s="17">
        <v>-6.4199652587192471E-3</v>
      </c>
      <c r="AF15" s="17">
        <v>-1.8781627504393245E-3</v>
      </c>
      <c r="AG15" s="17">
        <v>-6.843232178342086E-2</v>
      </c>
      <c r="AH15" s="17">
        <v>5.5594964879153816E-2</v>
      </c>
      <c r="AI15" s="17">
        <v>9.1358187098164439E-3</v>
      </c>
      <c r="AJ15" s="17">
        <v>4.8899909296666079E-2</v>
      </c>
      <c r="AK15" s="17">
        <v>3.2111851492427124E-2</v>
      </c>
      <c r="AL15" s="17">
        <v>3.0109049285398197E-2</v>
      </c>
      <c r="AM15" s="17">
        <v>5.0219301384500523E-2</v>
      </c>
      <c r="AN15" s="17">
        <v>-4.6697383753906974E-3</v>
      </c>
      <c r="AO15" s="17">
        <v>6.4017609607721959E-2</v>
      </c>
      <c r="AP15" s="17">
        <v>-1.9355965966168145E-2</v>
      </c>
      <c r="AQ15" s="17">
        <v>3.5943849411335174E-3</v>
      </c>
      <c r="AR15" s="17">
        <v>1.3366090080138192E-2</v>
      </c>
      <c r="AS15" s="17">
        <v>2.5133126220983813E-2</v>
      </c>
      <c r="AT15" s="17">
        <v>3.4223509616441536E-2</v>
      </c>
      <c r="AU15" s="17">
        <v>2.2529229152793213E-2</v>
      </c>
      <c r="AV15" s="17">
        <v>3.3929085475746426E-2</v>
      </c>
      <c r="AW15" s="17">
        <v>3.2022441854925796E-2</v>
      </c>
      <c r="AX15" s="17">
        <v>-1.655519923719273E-2</v>
      </c>
      <c r="AY15" s="17">
        <v>5.8704451721185456E-2</v>
      </c>
      <c r="AZ15" s="17">
        <v>2.977601288228094E-3</v>
      </c>
      <c r="BA15" s="17">
        <v>-1.0070685014694172E-2</v>
      </c>
      <c r="BB15" s="17">
        <v>-7.8003580233037655E-3</v>
      </c>
      <c r="BC15" s="17">
        <v>1.4763188785386676E-2</v>
      </c>
      <c r="BD15" s="17">
        <v>4.8260211899908083E-2</v>
      </c>
      <c r="BE15" s="17">
        <v>4.0544574474354195E-2</v>
      </c>
      <c r="BF15" s="17">
        <v>1.7806985367374562E-2</v>
      </c>
      <c r="BG15" s="17">
        <v>3.0216207693418051E-2</v>
      </c>
      <c r="BH15" s="17">
        <v>3.3084028530399184E-2</v>
      </c>
      <c r="BI15" s="17">
        <v>3.9077248047899055E-2</v>
      </c>
      <c r="BJ15" s="17">
        <v>-1.9109441830295316E-2</v>
      </c>
      <c r="BK15" s="17">
        <v>5.2125063966866697E-2</v>
      </c>
      <c r="BL15" s="17">
        <v>6.546528604506982E-3</v>
      </c>
      <c r="BM15" s="17">
        <v>5.0108853595308527E-3</v>
      </c>
      <c r="BN15" s="17">
        <v>3.529350996761265E-2</v>
      </c>
      <c r="BO15" s="17">
        <v>5.5074376945484158E-2</v>
      </c>
      <c r="BP15" s="17">
        <v>2.0057471757855411E-2</v>
      </c>
      <c r="BQ15" s="17">
        <v>8.0171969891840045E-3</v>
      </c>
      <c r="BR15" s="17">
        <v>5.8628724486448971E-2</v>
      </c>
      <c r="BS15" s="17">
        <v>3.8618123914598387E-2</v>
      </c>
      <c r="BT15" s="17">
        <v>5.648380986759842E-2</v>
      </c>
    </row>
    <row r="16" spans="1:72" x14ac:dyDescent="0.25">
      <c r="A16" s="667" t="s">
        <v>163</v>
      </c>
      <c r="B16" s="704">
        <v>12.2</v>
      </c>
      <c r="C16" s="705">
        <v>7.3</v>
      </c>
      <c r="D16" s="706">
        <v>79.13310968601246</v>
      </c>
      <c r="E16" s="944">
        <v>533.20000000000005</v>
      </c>
      <c r="G16" s="47">
        <v>1</v>
      </c>
      <c r="H16" s="88">
        <f t="shared" si="0"/>
        <v>7.3</v>
      </c>
      <c r="I16" s="88">
        <f t="shared" si="0"/>
        <v>79.13310968601246</v>
      </c>
      <c r="J16" s="86">
        <f t="shared" si="0"/>
        <v>533.20000000000005</v>
      </c>
      <c r="L16" s="946">
        <f t="shared" si="1"/>
        <v>12.2</v>
      </c>
      <c r="N16" s="343">
        <f t="array" ref="N16:Q19">O23*N10:Q13</f>
        <v>8.074898057626708</v>
      </c>
      <c r="O16" s="344">
        <v>-0.37121628203055157</v>
      </c>
      <c r="P16" s="344">
        <v>-6.0422295635254031E-2</v>
      </c>
      <c r="Q16" s="345">
        <v>-1.2883049475180071E-3</v>
      </c>
      <c r="S16" s="946">
        <v>13.409129334359204</v>
      </c>
      <c r="U16" s="946">
        <f t="shared" si="2"/>
        <v>-1.2091293343592042</v>
      </c>
      <c r="W16" s="17">
        <v>2.4454727531805928E-2</v>
      </c>
      <c r="X16" s="17">
        <v>3.7636046225710471E-2</v>
      </c>
      <c r="Y16" s="17">
        <v>2.5816978624192757E-2</v>
      </c>
      <c r="Z16" s="17">
        <v>3.1449564157525707E-2</v>
      </c>
      <c r="AA16" s="17">
        <v>2.5343688774788972E-2</v>
      </c>
      <c r="AB16" s="17">
        <v>1.506992850779783E-2</v>
      </c>
      <c r="AC16" s="17">
        <v>7.9507395287218147E-3</v>
      </c>
      <c r="AD16" s="17">
        <v>4.2308328152820374E-2</v>
      </c>
      <c r="AE16" s="17">
        <v>4.4293926833662664E-2</v>
      </c>
      <c r="AF16" s="17">
        <v>2.5745958338259416E-2</v>
      </c>
      <c r="AG16" s="17">
        <v>-8.1573149691788194E-5</v>
      </c>
      <c r="AH16" s="17">
        <v>9.1358187098167093E-3</v>
      </c>
      <c r="AI16" s="17">
        <v>2.9786711421021038E-2</v>
      </c>
      <c r="AJ16" s="17">
        <v>1.697215503840184E-2</v>
      </c>
      <c r="AK16" s="17">
        <v>1.0871539270145628E-2</v>
      </c>
      <c r="AL16" s="17">
        <v>2.4865665222898892E-2</v>
      </c>
      <c r="AM16" s="17">
        <v>1.3625365458637489E-2</v>
      </c>
      <c r="AN16" s="17">
        <v>4.61735386387764E-2</v>
      </c>
      <c r="AO16" s="17">
        <v>-5.2500663767852951E-4</v>
      </c>
      <c r="AP16" s="17">
        <v>3.6603627546589128E-2</v>
      </c>
      <c r="AQ16" s="17">
        <v>1.9615524812234858E-2</v>
      </c>
      <c r="AR16" s="17">
        <v>3.0458646242272368E-2</v>
      </c>
      <c r="AS16" s="17">
        <v>9.7625450090580781E-3</v>
      </c>
      <c r="AT16" s="17">
        <v>1.3184526831121507E-2</v>
      </c>
      <c r="AU16" s="17">
        <v>2.8689611372395812E-2</v>
      </c>
      <c r="AV16" s="17">
        <v>1.0739663920097474E-2</v>
      </c>
      <c r="AW16" s="17">
        <v>1.17301924726145E-2</v>
      </c>
      <c r="AX16" s="17">
        <v>4.5318428646434428E-2</v>
      </c>
      <c r="AY16" s="17">
        <v>5.2005124029416705E-4</v>
      </c>
      <c r="AZ16" s="17">
        <v>1.1257437048659568E-2</v>
      </c>
      <c r="BA16" s="17">
        <v>3.838162844688757E-2</v>
      </c>
      <c r="BB16" s="17">
        <v>1.744270533181335E-2</v>
      </c>
      <c r="BC16" s="17">
        <v>2.5032787568415007E-2</v>
      </c>
      <c r="BD16" s="17">
        <v>-1.5044182136991768E-4</v>
      </c>
      <c r="BE16" s="17">
        <v>1.69181114280679E-2</v>
      </c>
      <c r="BF16" s="17">
        <v>2.806739023984435E-2</v>
      </c>
      <c r="BG16" s="17">
        <v>1.0272552677175853E-2</v>
      </c>
      <c r="BH16" s="17">
        <v>2.231156322726267E-2</v>
      </c>
      <c r="BI16" s="17">
        <v>6.2786099878125098E-3</v>
      </c>
      <c r="BJ16" s="17">
        <v>4.9130349133226517E-2</v>
      </c>
      <c r="BK16" s="17">
        <v>2.9457367769477744E-3</v>
      </c>
      <c r="BL16" s="17">
        <v>4.8693981987963555E-2</v>
      </c>
      <c r="BM16" s="17">
        <v>2.7020108026972769E-2</v>
      </c>
      <c r="BN16" s="17">
        <v>6.1222249738918377E-3</v>
      </c>
      <c r="BO16" s="17">
        <v>-1.1736891933730176E-3</v>
      </c>
      <c r="BP16" s="17">
        <v>8.521876745723217E-3</v>
      </c>
      <c r="BQ16" s="17">
        <v>1.1695378812398214E-2</v>
      </c>
      <c r="BR16" s="17">
        <v>1.2694339200032372E-2</v>
      </c>
      <c r="BS16" s="17">
        <v>1.1723179692180025E-2</v>
      </c>
      <c r="BT16" s="17">
        <v>9.2972509687467841E-3</v>
      </c>
    </row>
    <row r="17" spans="1:72" x14ac:dyDescent="0.25">
      <c r="A17" s="667" t="s">
        <v>164</v>
      </c>
      <c r="B17" s="704">
        <v>13.1</v>
      </c>
      <c r="C17" s="705">
        <v>8</v>
      </c>
      <c r="D17" s="706">
        <v>88.000000627274659</v>
      </c>
      <c r="E17" s="944">
        <v>333.6</v>
      </c>
      <c r="G17" s="47">
        <v>1</v>
      </c>
      <c r="H17" s="88">
        <f t="shared" si="0"/>
        <v>8</v>
      </c>
      <c r="I17" s="88">
        <f t="shared" si="0"/>
        <v>88.000000627274659</v>
      </c>
      <c r="J17" s="86">
        <f t="shared" si="0"/>
        <v>333.6</v>
      </c>
      <c r="L17" s="946">
        <f t="shared" si="1"/>
        <v>13.1</v>
      </c>
      <c r="N17" s="47">
        <v>-0.37121628203054607</v>
      </c>
      <c r="O17" s="88">
        <v>4.591101732459571E-2</v>
      </c>
      <c r="P17" s="88">
        <v>1.2438798699527451E-3</v>
      </c>
      <c r="Q17" s="86">
        <v>-1.087516405336473E-4</v>
      </c>
      <c r="S17" s="946">
        <v>14.343063758629178</v>
      </c>
      <c r="U17" s="946">
        <f t="shared" si="2"/>
        <v>-1.2430637586291784</v>
      </c>
      <c r="W17" s="17">
        <v>5.1118636738207102E-2</v>
      </c>
      <c r="X17" s="17">
        <v>-1.3044008629150491E-2</v>
      </c>
      <c r="Y17" s="17">
        <v>1.0386508461014E-2</v>
      </c>
      <c r="Z17" s="17">
        <v>4.6230001663519843E-2</v>
      </c>
      <c r="AA17" s="17">
        <v>-3.68328516213033E-2</v>
      </c>
      <c r="AB17" s="17">
        <v>9.5054806297760856E-3</v>
      </c>
      <c r="AC17" s="17">
        <v>2.0792320848137646E-2</v>
      </c>
      <c r="AD17" s="17">
        <v>2.0776929840092863E-2</v>
      </c>
      <c r="AE17" s="17">
        <v>3.0092111992688075E-3</v>
      </c>
      <c r="AF17" s="17">
        <v>2.0143398772124586E-2</v>
      </c>
      <c r="AG17" s="17">
        <v>-6.4818862685659007E-2</v>
      </c>
      <c r="AH17" s="17">
        <v>4.8899909296666016E-2</v>
      </c>
      <c r="AI17" s="17">
        <v>1.6972155038401548E-2</v>
      </c>
      <c r="AJ17" s="17">
        <v>5.9767141776793375E-2</v>
      </c>
      <c r="AK17" s="17">
        <v>6.0166673387317526E-3</v>
      </c>
      <c r="AL17" s="17">
        <v>3.1233990919890684E-2</v>
      </c>
      <c r="AM17" s="17">
        <v>5.4090140556918492E-2</v>
      </c>
      <c r="AN17" s="17">
        <v>4.113930456891992E-2</v>
      </c>
      <c r="AO17" s="17">
        <v>4.9562351038894038E-2</v>
      </c>
      <c r="AP17" s="17">
        <v>3.6726301405758527E-3</v>
      </c>
      <c r="AQ17" s="17">
        <v>-2.1749385016845882E-2</v>
      </c>
      <c r="AR17" s="17">
        <v>2.1648800453469619E-2</v>
      </c>
      <c r="AS17" s="17">
        <v>2.0694693229741734E-3</v>
      </c>
      <c r="AT17" s="17">
        <v>8.5618315157077227E-2</v>
      </c>
      <c r="AU17" s="17">
        <v>2.907751827565817E-2</v>
      </c>
      <c r="AV17" s="17">
        <v>1.7418121202591536E-2</v>
      </c>
      <c r="AW17" s="17">
        <v>1.295526682235857E-2</v>
      </c>
      <c r="AX17" s="17">
        <v>-1.789596869557343E-2</v>
      </c>
      <c r="AY17" s="17">
        <v>4.2408637132704617E-2</v>
      </c>
      <c r="AZ17" s="17">
        <v>-1.1299532355360006E-2</v>
      </c>
      <c r="BA17" s="17">
        <v>-2.0502873082507589E-2</v>
      </c>
      <c r="BB17" s="17">
        <v>-1.9097656545269459E-2</v>
      </c>
      <c r="BC17" s="17">
        <v>3.3341158240850891E-2</v>
      </c>
      <c r="BD17" s="17">
        <v>2.9991020945935844E-2</v>
      </c>
      <c r="BE17" s="17">
        <v>5.0345217995781177E-2</v>
      </c>
      <c r="BF17" s="17">
        <v>3.3961256220405245E-2</v>
      </c>
      <c r="BG17" s="17">
        <v>1.0281159655924152E-2</v>
      </c>
      <c r="BH17" s="17">
        <v>4.0988398009384072E-2</v>
      </c>
      <c r="BI17" s="17">
        <v>2.6265143232800658E-2</v>
      </c>
      <c r="BJ17" s="17">
        <v>8.083098542318673E-3</v>
      </c>
      <c r="BK17" s="17">
        <v>4.8314760521353202E-2</v>
      </c>
      <c r="BL17" s="17">
        <v>3.2618136896780212E-2</v>
      </c>
      <c r="BM17" s="17">
        <v>-1.5952592167781804E-3</v>
      </c>
      <c r="BN17" s="17">
        <v>9.0819186160297286E-3</v>
      </c>
      <c r="BO17" s="17">
        <v>3.1215078930287313E-2</v>
      </c>
      <c r="BP17" s="17">
        <v>2.5233211514769767E-2</v>
      </c>
      <c r="BQ17" s="17">
        <v>-1.875551094661821E-2</v>
      </c>
      <c r="BR17" s="17">
        <v>5.9404458883537042E-2</v>
      </c>
      <c r="BS17" s="17">
        <v>2.9529623626212198E-2</v>
      </c>
      <c r="BT17" s="17">
        <v>5.2425359767929218E-2</v>
      </c>
    </row>
    <row r="18" spans="1:72" x14ac:dyDescent="0.25">
      <c r="A18" s="667" t="s">
        <v>165</v>
      </c>
      <c r="B18" s="704">
        <v>11.5</v>
      </c>
      <c r="C18" s="705">
        <v>5.0999999999999996</v>
      </c>
      <c r="D18" s="706">
        <v>94.170464820794294</v>
      </c>
      <c r="E18" s="944">
        <v>294.7</v>
      </c>
      <c r="G18" s="47">
        <v>1</v>
      </c>
      <c r="H18" s="88">
        <f t="shared" si="0"/>
        <v>5.0999999999999996</v>
      </c>
      <c r="I18" s="88">
        <f t="shared" si="0"/>
        <v>94.170464820794294</v>
      </c>
      <c r="J18" s="86">
        <f t="shared" si="0"/>
        <v>294.7</v>
      </c>
      <c r="L18" s="946">
        <f t="shared" si="1"/>
        <v>11.5</v>
      </c>
      <c r="N18" s="47">
        <v>-6.0422295635254364E-2</v>
      </c>
      <c r="O18" s="88">
        <v>1.243879869952801E-3</v>
      </c>
      <c r="P18" s="88">
        <v>5.7341932119221381E-4</v>
      </c>
      <c r="Q18" s="86">
        <v>1.2088678264773905E-5</v>
      </c>
      <c r="S18" s="946">
        <v>10.801749432233887</v>
      </c>
      <c r="U18" s="946">
        <f t="shared" si="2"/>
        <v>0.69825056776611305</v>
      </c>
      <c r="W18" s="17">
        <v>-2.8070337906425678E-2</v>
      </c>
      <c r="X18" s="17">
        <v>9.990770084884304E-3</v>
      </c>
      <c r="Y18" s="17">
        <v>3.3476212012683706E-2</v>
      </c>
      <c r="Z18" s="17">
        <v>-7.4607789067452236E-3</v>
      </c>
      <c r="AA18" s="17">
        <v>4.6486875677023178E-2</v>
      </c>
      <c r="AB18" s="17">
        <v>4.6765908435432248E-2</v>
      </c>
      <c r="AC18" s="17">
        <v>3.0830617344405911E-2</v>
      </c>
      <c r="AD18" s="17">
        <v>-8.9668146736376977E-3</v>
      </c>
      <c r="AE18" s="17">
        <v>1.4555413403082418E-2</v>
      </c>
      <c r="AF18" s="17">
        <v>-1.8614863721201021E-2</v>
      </c>
      <c r="AG18" s="17">
        <v>-2.0228747148856197E-2</v>
      </c>
      <c r="AH18" s="17">
        <v>3.2111851492427207E-2</v>
      </c>
      <c r="AI18" s="17">
        <v>1.0871539270145305E-2</v>
      </c>
      <c r="AJ18" s="17">
        <v>6.0166673387318133E-3</v>
      </c>
      <c r="AK18" s="17">
        <v>6.0997852156583418E-2</v>
      </c>
      <c r="AL18" s="17">
        <v>2.3741920253583241E-2</v>
      </c>
      <c r="AM18" s="17">
        <v>1.5948841825566044E-2</v>
      </c>
      <c r="AN18" s="17">
        <v>-4.5779517209673368E-2</v>
      </c>
      <c r="AO18" s="17">
        <v>4.0637270542088107E-2</v>
      </c>
      <c r="AP18" s="17">
        <v>-1.6879873085052441E-2</v>
      </c>
      <c r="AQ18" s="17">
        <v>5.9185875745619114E-2</v>
      </c>
      <c r="AR18" s="17">
        <v>1.1541835011973457E-2</v>
      </c>
      <c r="AS18" s="17">
        <v>5.346745312809701E-2</v>
      </c>
      <c r="AT18" s="17">
        <v>-6.9048927011411187E-2</v>
      </c>
      <c r="AU18" s="17">
        <v>1.5384380694920066E-2</v>
      </c>
      <c r="AV18" s="17">
        <v>4.4982839806217118E-2</v>
      </c>
      <c r="AW18" s="17">
        <v>4.9584512271710943E-2</v>
      </c>
      <c r="AX18" s="17">
        <v>3.1298401188884814E-2</v>
      </c>
      <c r="AY18" s="17">
        <v>4.3275286774941385E-2</v>
      </c>
      <c r="AZ18" s="17">
        <v>3.4434356974179917E-2</v>
      </c>
      <c r="BA18" s="17">
        <v>4.3520496381790466E-2</v>
      </c>
      <c r="BB18" s="17">
        <v>3.1131938690153581E-2</v>
      </c>
      <c r="BC18" s="17">
        <v>-9.4185179718436225E-3</v>
      </c>
      <c r="BD18" s="17">
        <v>4.378497980191793E-2</v>
      </c>
      <c r="BE18" s="17">
        <v>5.8826396573465924E-3</v>
      </c>
      <c r="BF18" s="17">
        <v>-2.5037287136133665E-3</v>
      </c>
      <c r="BG18" s="17">
        <v>4.9648828354169831E-2</v>
      </c>
      <c r="BH18" s="17">
        <v>1.1110510678135061E-2</v>
      </c>
      <c r="BI18" s="17">
        <v>3.6791983322300797E-2</v>
      </c>
      <c r="BJ18" s="17">
        <v>-1.531759653645421E-2</v>
      </c>
      <c r="BK18" s="17">
        <v>2.2145625510074214E-2</v>
      </c>
      <c r="BL18" s="17">
        <v>-7.8246499923598639E-3</v>
      </c>
      <c r="BM18" s="17">
        <v>3.264970005550101E-2</v>
      </c>
      <c r="BN18" s="17">
        <v>5.8663158925531207E-2</v>
      </c>
      <c r="BO18" s="17">
        <v>5.4175264191624731E-2</v>
      </c>
      <c r="BP18" s="17">
        <v>3.3036671317400457E-3</v>
      </c>
      <c r="BQ18" s="17">
        <v>5.7195357997291418E-2</v>
      </c>
      <c r="BR18" s="17">
        <v>2.2514226410265216E-2</v>
      </c>
      <c r="BS18" s="17">
        <v>3.4078172603303876E-2</v>
      </c>
      <c r="BT18" s="17">
        <v>2.7931121732954693E-2</v>
      </c>
    </row>
    <row r="19" spans="1:72" x14ac:dyDescent="0.25">
      <c r="A19" s="667" t="s">
        <v>166</v>
      </c>
      <c r="B19" s="704">
        <v>11.3</v>
      </c>
      <c r="C19" s="705">
        <v>7.1</v>
      </c>
      <c r="D19" s="706">
        <v>88.703716524620162</v>
      </c>
      <c r="E19" s="944">
        <v>452.7</v>
      </c>
      <c r="G19" s="47">
        <v>1</v>
      </c>
      <c r="H19" s="88">
        <f t="shared" si="0"/>
        <v>7.1</v>
      </c>
      <c r="I19" s="88">
        <f t="shared" si="0"/>
        <v>88.703716524620162</v>
      </c>
      <c r="J19" s="86">
        <f t="shared" si="0"/>
        <v>452.7</v>
      </c>
      <c r="L19" s="946">
        <f t="shared" si="1"/>
        <v>11.3</v>
      </c>
      <c r="N19" s="346">
        <v>-1.288304947518042E-3</v>
      </c>
      <c r="O19" s="347">
        <v>-1.0875164053364464E-4</v>
      </c>
      <c r="P19" s="347">
        <v>1.2088678264774105E-5</v>
      </c>
      <c r="Q19" s="348">
        <v>2.5529300693716203E-6</v>
      </c>
      <c r="S19" s="946">
        <v>13.386495433605702</v>
      </c>
      <c r="U19" s="946">
        <f t="shared" si="2"/>
        <v>-2.0864954336057018</v>
      </c>
      <c r="W19" s="17">
        <v>1.6542194515763109E-2</v>
      </c>
      <c r="X19" s="17">
        <v>1.6707214352552055E-2</v>
      </c>
      <c r="Y19" s="17">
        <v>2.882122088385379E-2</v>
      </c>
      <c r="Z19" s="17">
        <v>3.332883198692578E-2</v>
      </c>
      <c r="AA19" s="17">
        <v>8.7053011953043685E-3</v>
      </c>
      <c r="AB19" s="17">
        <v>2.2888921985424512E-2</v>
      </c>
      <c r="AC19" s="17">
        <v>1.2127693251371828E-2</v>
      </c>
      <c r="AD19" s="17">
        <v>3.0964335149984035E-2</v>
      </c>
      <c r="AE19" s="17">
        <v>3.61462037912086E-2</v>
      </c>
      <c r="AF19" s="17">
        <v>5.7440364113542225E-3</v>
      </c>
      <c r="AG19" s="17">
        <v>-7.3675123571045303E-2</v>
      </c>
      <c r="AH19" s="17">
        <v>3.0109049285398329E-2</v>
      </c>
      <c r="AI19" s="17">
        <v>2.4865665222898674E-2</v>
      </c>
      <c r="AJ19" s="17">
        <v>3.1233990919890903E-2</v>
      </c>
      <c r="AK19" s="17">
        <v>2.3741920253583158E-2</v>
      </c>
      <c r="AL19" s="17">
        <v>3.4147158740265901E-2</v>
      </c>
      <c r="AM19" s="17">
        <v>2.9504784582456089E-2</v>
      </c>
      <c r="AN19" s="17">
        <v>2.6893281386456136E-2</v>
      </c>
      <c r="AO19" s="17">
        <v>2.3725925512537452E-2</v>
      </c>
      <c r="AP19" s="17">
        <v>1.0226241224483332E-2</v>
      </c>
      <c r="AQ19" s="17">
        <v>1.7402872979331817E-2</v>
      </c>
      <c r="AR19" s="17">
        <v>2.8668951579450701E-2</v>
      </c>
      <c r="AS19" s="17">
        <v>1.6079979980068264E-2</v>
      </c>
      <c r="AT19" s="17">
        <v>2.8258038750589298E-4</v>
      </c>
      <c r="AU19" s="17">
        <v>3.2876783715869488E-2</v>
      </c>
      <c r="AV19" s="17">
        <v>2.126338239384705E-2</v>
      </c>
      <c r="AW19" s="17">
        <v>2.2431439382565681E-2</v>
      </c>
      <c r="AX19" s="17">
        <v>3.4709500742945515E-2</v>
      </c>
      <c r="AY19" s="17">
        <v>2.2363736776915596E-2</v>
      </c>
      <c r="AZ19" s="17">
        <v>-1.2044550071042825E-4</v>
      </c>
      <c r="BA19" s="17">
        <v>3.1723088896612239E-2</v>
      </c>
      <c r="BB19" s="17">
        <v>9.8020583912690733E-4</v>
      </c>
      <c r="BC19" s="17">
        <v>1.7389140718351671E-2</v>
      </c>
      <c r="BD19" s="17">
        <v>1.4834700202737486E-2</v>
      </c>
      <c r="BE19" s="17">
        <v>2.577394725420179E-2</v>
      </c>
      <c r="BF19" s="17">
        <v>2.5111377559534097E-2</v>
      </c>
      <c r="BG19" s="17">
        <v>1.9232465310999404E-2</v>
      </c>
      <c r="BH19" s="17">
        <v>2.9725755078041514E-2</v>
      </c>
      <c r="BI19" s="17">
        <v>1.6504603232359215E-2</v>
      </c>
      <c r="BJ19" s="17">
        <v>2.8383967343822133E-2</v>
      </c>
      <c r="BK19" s="17">
        <v>1.7005817759449385E-2</v>
      </c>
      <c r="BL19" s="17">
        <v>4.5829080273397896E-2</v>
      </c>
      <c r="BM19" s="17">
        <v>2.3022522934606705E-2</v>
      </c>
      <c r="BN19" s="17">
        <v>1.8580576685539325E-2</v>
      </c>
      <c r="BO19" s="17">
        <v>2.0002129061726083E-2</v>
      </c>
      <c r="BP19" s="17">
        <v>2.4853184537132478E-4</v>
      </c>
      <c r="BQ19" s="17">
        <v>8.6404597165493438E-3</v>
      </c>
      <c r="BR19" s="17">
        <v>3.4998936114461775E-2</v>
      </c>
      <c r="BS19" s="17">
        <v>2.3301259316227167E-2</v>
      </c>
      <c r="BT19" s="17">
        <v>3.0003805338430514E-2</v>
      </c>
    </row>
    <row r="20" spans="1:72" x14ac:dyDescent="0.25">
      <c r="A20" s="667" t="s">
        <v>167</v>
      </c>
      <c r="B20" s="704">
        <v>17.3</v>
      </c>
      <c r="C20" s="705">
        <v>7.5</v>
      </c>
      <c r="D20" s="706">
        <v>89.904327345935869</v>
      </c>
      <c r="E20" s="944">
        <v>295</v>
      </c>
      <c r="G20" s="47">
        <v>1</v>
      </c>
      <c r="H20" s="88">
        <f t="shared" ref="H20:H53" si="3">C20</f>
        <v>7.5</v>
      </c>
      <c r="I20" s="88">
        <f t="shared" ref="I20:I53" si="4">D20</f>
        <v>89.904327345935869</v>
      </c>
      <c r="J20" s="86">
        <f t="shared" ref="J20:J53" si="5">E20</f>
        <v>295</v>
      </c>
      <c r="L20" s="946">
        <f t="shared" si="1"/>
        <v>17.3</v>
      </c>
      <c r="S20" s="946">
        <v>13.717687401385813</v>
      </c>
      <c r="U20" s="946">
        <f t="shared" si="2"/>
        <v>3.5823125986141875</v>
      </c>
      <c r="W20" s="17">
        <v>3.9353690784259363E-2</v>
      </c>
      <c r="X20" s="17">
        <v>-1.5158186400628305E-2</v>
      </c>
      <c r="Y20" s="17">
        <v>1.215218282406802E-2</v>
      </c>
      <c r="Z20" s="17">
        <v>3.6564646075996993E-2</v>
      </c>
      <c r="AA20" s="17">
        <v>-2.7946284180377715E-2</v>
      </c>
      <c r="AB20" s="17">
        <v>1.5897263676291521E-2</v>
      </c>
      <c r="AC20" s="17">
        <v>2.5160221095028721E-2</v>
      </c>
      <c r="AD20" s="17">
        <v>1.1071664296703157E-2</v>
      </c>
      <c r="AE20" s="17">
        <v>-1.6292633855346517E-3</v>
      </c>
      <c r="AF20" s="17">
        <v>1.2823538433943436E-2</v>
      </c>
      <c r="AG20" s="17">
        <v>-5.7452623114076271E-2</v>
      </c>
      <c r="AH20" s="17">
        <v>5.0219301384500627E-2</v>
      </c>
      <c r="AI20" s="17">
        <v>1.3625365458637325E-2</v>
      </c>
      <c r="AJ20" s="17">
        <v>5.4090140556918645E-2</v>
      </c>
      <c r="AK20" s="17">
        <v>1.5948841825566166E-2</v>
      </c>
      <c r="AL20" s="17">
        <v>2.9504784582456058E-2</v>
      </c>
      <c r="AM20" s="17">
        <v>5.1322935547924581E-2</v>
      </c>
      <c r="AN20" s="17">
        <v>2.2686897306971654E-2</v>
      </c>
      <c r="AO20" s="17">
        <v>5.4356425009902072E-2</v>
      </c>
      <c r="AP20" s="17">
        <v>-4.1352655599180971E-3</v>
      </c>
      <c r="AQ20" s="17">
        <v>-1.1172909511893148E-2</v>
      </c>
      <c r="AR20" s="17">
        <v>1.7756303833141425E-2</v>
      </c>
      <c r="AS20" s="17">
        <v>1.1508079778281253E-2</v>
      </c>
      <c r="AT20" s="17">
        <v>6.6449415935997375E-2</v>
      </c>
      <c r="AU20" s="17">
        <v>2.5401480029320266E-2</v>
      </c>
      <c r="AV20" s="17">
        <v>2.3693329558927511E-2</v>
      </c>
      <c r="AW20" s="17">
        <v>2.0187516469919058E-2</v>
      </c>
      <c r="AX20" s="17">
        <v>-1.7964583307154572E-2</v>
      </c>
      <c r="AY20" s="17">
        <v>4.8127735915966835E-2</v>
      </c>
      <c r="AZ20" s="17">
        <v>-3.7388880314475469E-3</v>
      </c>
      <c r="BA20" s="17">
        <v>-1.6805329714980485E-2</v>
      </c>
      <c r="BB20" s="17">
        <v>-1.2647407653469847E-2</v>
      </c>
      <c r="BC20" s="17">
        <v>2.6213597515744196E-2</v>
      </c>
      <c r="BD20" s="17">
        <v>3.7257386170134119E-2</v>
      </c>
      <c r="BE20" s="17">
        <v>4.565686174244004E-2</v>
      </c>
      <c r="BF20" s="17">
        <v>2.7140636641291769E-2</v>
      </c>
      <c r="BG20" s="17">
        <v>1.8141903900781367E-2</v>
      </c>
      <c r="BH20" s="17">
        <v>3.6858302447236521E-2</v>
      </c>
      <c r="BI20" s="17">
        <v>3.136238073865745E-2</v>
      </c>
      <c r="BJ20" s="17">
        <v>-2.8333479036697709E-3</v>
      </c>
      <c r="BK20" s="17">
        <v>4.9577260962966031E-2</v>
      </c>
      <c r="BL20" s="17">
        <v>2.0366754083601502E-2</v>
      </c>
      <c r="BM20" s="17">
        <v>1.0332284903683125E-3</v>
      </c>
      <c r="BN20" s="17">
        <v>1.942145716449202E-2</v>
      </c>
      <c r="BO20" s="17">
        <v>4.0197060813844381E-2</v>
      </c>
      <c r="BP20" s="17">
        <v>2.4735495410835091E-2</v>
      </c>
      <c r="BQ20" s="17">
        <v>-6.9808193718321823E-3</v>
      </c>
      <c r="BR20" s="17">
        <v>5.730631666730647E-2</v>
      </c>
      <c r="BS20" s="17">
        <v>3.2607598176092628E-2</v>
      </c>
      <c r="BT20" s="17">
        <v>5.2686906828470159E-2</v>
      </c>
    </row>
    <row r="21" spans="1:72" ht="18" x14ac:dyDescent="0.35">
      <c r="A21" s="667" t="s">
        <v>168</v>
      </c>
      <c r="B21" s="704">
        <v>17.3</v>
      </c>
      <c r="C21" s="705">
        <v>9.9</v>
      </c>
      <c r="D21" s="706">
        <v>64.839543701408999</v>
      </c>
      <c r="E21" s="944">
        <v>729.5</v>
      </c>
      <c r="G21" s="47">
        <v>1</v>
      </c>
      <c r="H21" s="88">
        <f t="shared" si="3"/>
        <v>9.9</v>
      </c>
      <c r="I21" s="88">
        <f t="shared" si="4"/>
        <v>64.839543701408999</v>
      </c>
      <c r="J21" s="86">
        <f t="shared" si="5"/>
        <v>729.5</v>
      </c>
      <c r="L21" s="946">
        <f t="shared" si="1"/>
        <v>17.3</v>
      </c>
      <c r="N21" s="17" t="s">
        <v>289</v>
      </c>
      <c r="O21" s="948">
        <f>DEVSQ(S4:S53)</f>
        <v>142.55035956637965</v>
      </c>
      <c r="S21" s="946">
        <v>16.495289411657197</v>
      </c>
      <c r="U21" s="946">
        <f t="shared" si="2"/>
        <v>0.80471058834280385</v>
      </c>
      <c r="W21" s="17">
        <v>9.0378957745861049E-2</v>
      </c>
      <c r="X21" s="17">
        <v>5.2658812680831876E-2</v>
      </c>
      <c r="Y21" s="17">
        <v>1.1997121023273535E-2</v>
      </c>
      <c r="Z21" s="17">
        <v>7.7473151503296811E-2</v>
      </c>
      <c r="AA21" s="17">
        <v>-1.5897064907781755E-2</v>
      </c>
      <c r="AB21" s="17">
        <v>-2.1557344151109402E-2</v>
      </c>
      <c r="AC21" s="17">
        <v>-1.2522626643235751E-2</v>
      </c>
      <c r="AD21" s="17">
        <v>9.0950085010507289E-2</v>
      </c>
      <c r="AE21" s="17">
        <v>6.290104080362402E-2</v>
      </c>
      <c r="AF21" s="17">
        <v>7.3742984672226078E-2</v>
      </c>
      <c r="AG21" s="17">
        <v>9.7833889273427621E-3</v>
      </c>
      <c r="AH21" s="17">
        <v>-4.66973837539085E-3</v>
      </c>
      <c r="AI21" s="17">
        <v>4.6173538638776108E-2</v>
      </c>
      <c r="AJ21" s="17">
        <v>4.113930456891985E-2</v>
      </c>
      <c r="AK21" s="17">
        <v>-4.5779517209673333E-2</v>
      </c>
      <c r="AL21" s="17">
        <v>2.6893281386455838E-2</v>
      </c>
      <c r="AM21" s="17">
        <v>2.268689730697148E-2</v>
      </c>
      <c r="AN21" s="17">
        <v>0.14471322922791754</v>
      </c>
      <c r="AO21" s="17">
        <v>-3.0558255474006465E-2</v>
      </c>
      <c r="AP21" s="17">
        <v>8.5861573714765785E-2</v>
      </c>
      <c r="AQ21" s="17">
        <v>-3.6134562091047276E-2</v>
      </c>
      <c r="AR21" s="17">
        <v>4.7762997861237992E-2</v>
      </c>
      <c r="AS21" s="17">
        <v>-4.0105663719453261E-2</v>
      </c>
      <c r="AT21" s="17">
        <v>0.12694572061476514</v>
      </c>
      <c r="AU21" s="17">
        <v>4.2323524772435492E-2</v>
      </c>
      <c r="AV21" s="17">
        <v>-2.4798442606894226E-2</v>
      </c>
      <c r="AW21" s="17">
        <v>-2.9523246640560618E-2</v>
      </c>
      <c r="AX21" s="17">
        <v>4.0131107112009345E-2</v>
      </c>
      <c r="AY21" s="17">
        <v>-3.3653718444732653E-2</v>
      </c>
      <c r="AZ21" s="17">
        <v>-1.9372850846718515E-2</v>
      </c>
      <c r="BA21" s="17">
        <v>1.3792668624302507E-2</v>
      </c>
      <c r="BB21" s="17">
        <v>-7.1702804858878484E-3</v>
      </c>
      <c r="BC21" s="17">
        <v>6.5492384016925628E-2</v>
      </c>
      <c r="BD21" s="17">
        <v>-3.8596937759214758E-2</v>
      </c>
      <c r="BE21" s="17">
        <v>3.8751295808043387E-2</v>
      </c>
      <c r="BF21" s="17">
        <v>6.2913839107325703E-2</v>
      </c>
      <c r="BG21" s="17">
        <v>-3.2758624858900916E-2</v>
      </c>
      <c r="BH21" s="17">
        <v>3.9492887672123819E-2</v>
      </c>
      <c r="BI21" s="17">
        <v>-2.0719776364858757E-2</v>
      </c>
      <c r="BJ21" s="17">
        <v>0.10642968670066927</v>
      </c>
      <c r="BK21" s="17">
        <v>-3.9471651342396219E-3</v>
      </c>
      <c r="BL21" s="17">
        <v>0.10353475802572409</v>
      </c>
      <c r="BM21" s="17">
        <v>1.1860121821973199E-2</v>
      </c>
      <c r="BN21" s="17">
        <v>-5.0361622648926616E-2</v>
      </c>
      <c r="BO21" s="17">
        <v>-5.1844702765024779E-2</v>
      </c>
      <c r="BP21" s="17">
        <v>2.0950565699750984E-2</v>
      </c>
      <c r="BQ21" s="17">
        <v>-4.6493737609455486E-2</v>
      </c>
      <c r="BR21" s="17">
        <v>1.5014879629424285E-2</v>
      </c>
      <c r="BS21" s="17">
        <v>-7.5655289500152073E-3</v>
      </c>
      <c r="BT21" s="17">
        <v>1.2816030096482883E-3</v>
      </c>
    </row>
    <row r="22" spans="1:72" ht="18" x14ac:dyDescent="0.35">
      <c r="A22" s="667" t="s">
        <v>169</v>
      </c>
      <c r="B22" s="704">
        <v>12.3</v>
      </c>
      <c r="C22" s="705">
        <v>6.3</v>
      </c>
      <c r="D22" s="706">
        <v>96.389852756187835</v>
      </c>
      <c r="E22" s="944">
        <v>118</v>
      </c>
      <c r="G22" s="47">
        <v>1</v>
      </c>
      <c r="H22" s="88">
        <f t="shared" si="3"/>
        <v>6.3</v>
      </c>
      <c r="I22" s="88">
        <f t="shared" si="4"/>
        <v>96.389852756187835</v>
      </c>
      <c r="J22" s="86">
        <f t="shared" si="5"/>
        <v>118</v>
      </c>
      <c r="L22" s="946">
        <f t="shared" si="1"/>
        <v>12.3</v>
      </c>
      <c r="N22" s="17" t="s">
        <v>287</v>
      </c>
      <c r="O22" s="949">
        <f>COUNT(G4:G53)-COUNT(H4:J4)-1</f>
        <v>46</v>
      </c>
      <c r="S22" s="946">
        <v>12.166437679535237</v>
      </c>
      <c r="U22" s="946">
        <f t="shared" si="2"/>
        <v>0.13356232046476357</v>
      </c>
      <c r="W22" s="17">
        <v>1.641898162421998E-2</v>
      </c>
      <c r="X22" s="17">
        <v>-3.5996530982570961E-2</v>
      </c>
      <c r="Y22" s="17">
        <v>1.0234225438296954E-2</v>
      </c>
      <c r="Z22" s="17">
        <v>1.2002207050326286E-2</v>
      </c>
      <c r="AA22" s="17">
        <v>-2.0719337271633404E-2</v>
      </c>
      <c r="AB22" s="17">
        <v>3.0920487186596488E-2</v>
      </c>
      <c r="AC22" s="17">
        <v>4.274673273523695E-2</v>
      </c>
      <c r="AD22" s="17">
        <v>-2.4409003881722052E-2</v>
      </c>
      <c r="AE22" s="17">
        <v>-3.0610256212557675E-2</v>
      </c>
      <c r="AF22" s="17">
        <v>-5.7454534147960467E-3</v>
      </c>
      <c r="AG22" s="17">
        <v>-3.7330886715316008E-2</v>
      </c>
      <c r="AH22" s="17">
        <v>6.4017609607722195E-2</v>
      </c>
      <c r="AI22" s="17">
        <v>-5.2500663767861278E-4</v>
      </c>
      <c r="AJ22" s="17">
        <v>4.956235103889426E-2</v>
      </c>
      <c r="AK22" s="17">
        <v>4.0637270542088419E-2</v>
      </c>
      <c r="AL22" s="17">
        <v>2.3725925512537563E-2</v>
      </c>
      <c r="AM22" s="17">
        <v>5.4356425009902128E-2</v>
      </c>
      <c r="AN22" s="17">
        <v>-3.0558255474006368E-2</v>
      </c>
      <c r="AO22" s="17">
        <v>8.2204578333354483E-2</v>
      </c>
      <c r="AP22" s="17">
        <v>-3.3522051440902506E-2</v>
      </c>
      <c r="AQ22" s="17">
        <v>5.2564287781221471E-3</v>
      </c>
      <c r="AR22" s="17">
        <v>2.5473383095872722E-3</v>
      </c>
      <c r="AS22" s="17">
        <v>3.5627411216347965E-2</v>
      </c>
      <c r="AT22" s="17">
        <v>4.1167640795087376E-2</v>
      </c>
      <c r="AU22" s="17">
        <v>1.2738283206665318E-2</v>
      </c>
      <c r="AV22" s="17">
        <v>4.2568416538152062E-2</v>
      </c>
      <c r="AW22" s="17">
        <v>3.9712358255147774E-2</v>
      </c>
      <c r="AX22" s="17">
        <v>-4.1043600184528926E-2</v>
      </c>
      <c r="AY22" s="17">
        <v>7.6230176877766093E-2</v>
      </c>
      <c r="AZ22" s="17">
        <v>1.414469229763109E-2</v>
      </c>
      <c r="BA22" s="17">
        <v>-2.7645501762664965E-2</v>
      </c>
      <c r="BB22" s="17">
        <v>-2.381662781058125E-3</v>
      </c>
      <c r="BC22" s="17">
        <v>9.9846591652453139E-3</v>
      </c>
      <c r="BD22" s="17">
        <v>6.7534636598080899E-2</v>
      </c>
      <c r="BE22" s="17">
        <v>4.2078691533392887E-2</v>
      </c>
      <c r="BF22" s="17">
        <v>9.3224991939372392E-3</v>
      </c>
      <c r="BG22" s="17">
        <v>3.9689036903684922E-2</v>
      </c>
      <c r="BH22" s="17">
        <v>2.9344313487359091E-2</v>
      </c>
      <c r="BI22" s="17">
        <v>5.2212886867209651E-2</v>
      </c>
      <c r="BJ22" s="17">
        <v>-4.7134266158180158E-2</v>
      </c>
      <c r="BK22" s="17">
        <v>6.7804029953400347E-2</v>
      </c>
      <c r="BL22" s="17">
        <v>-2.3554350902396281E-2</v>
      </c>
      <c r="BM22" s="17">
        <v>-1.3941158998602224E-3</v>
      </c>
      <c r="BN22" s="17">
        <v>4.8771175189027412E-2</v>
      </c>
      <c r="BO22" s="17">
        <v>7.4722549170745681E-2</v>
      </c>
      <c r="BP22" s="17">
        <v>3.2866597473370202E-2</v>
      </c>
      <c r="BQ22" s="17">
        <v>1.8006297732511313E-2</v>
      </c>
      <c r="BR22" s="17">
        <v>6.2917612573159573E-2</v>
      </c>
      <c r="BS22" s="17">
        <v>4.581587257410976E-2</v>
      </c>
      <c r="BT22" s="17">
        <v>6.4679880950958876E-2</v>
      </c>
    </row>
    <row r="23" spans="1:72" ht="18" x14ac:dyDescent="0.35">
      <c r="A23" s="667" t="s">
        <v>170</v>
      </c>
      <c r="B23" s="704">
        <v>8.1</v>
      </c>
      <c r="C23" s="705">
        <v>8</v>
      </c>
      <c r="D23" s="706">
        <v>63.398020838196281</v>
      </c>
      <c r="E23" s="944">
        <v>641.9</v>
      </c>
      <c r="G23" s="47">
        <v>1</v>
      </c>
      <c r="H23" s="88">
        <f t="shared" si="3"/>
        <v>8</v>
      </c>
      <c r="I23" s="88">
        <f t="shared" si="4"/>
        <v>63.398020838196281</v>
      </c>
      <c r="J23" s="86">
        <f t="shared" si="5"/>
        <v>641.9</v>
      </c>
      <c r="L23" s="946">
        <f t="shared" si="1"/>
        <v>8.1</v>
      </c>
      <c r="N23" s="17" t="s">
        <v>423</v>
      </c>
      <c r="O23" s="947">
        <f>O21/O22</f>
        <v>3.0989208601386879</v>
      </c>
      <c r="S23" s="946">
        <v>13.887597669367592</v>
      </c>
      <c r="U23" s="946">
        <f t="shared" si="2"/>
        <v>-5.7875976693675923</v>
      </c>
      <c r="W23" s="17">
        <v>4.9259321250803616E-2</v>
      </c>
      <c r="X23" s="17">
        <v>6.3595856377683849E-2</v>
      </c>
      <c r="Y23" s="17">
        <v>1.5967705981465616E-2</v>
      </c>
      <c r="Z23" s="17">
        <v>3.489809464527778E-2</v>
      </c>
      <c r="AA23" s="17">
        <v>3.7071505185896886E-2</v>
      </c>
      <c r="AB23" s="17">
        <v>-2.5569637606734589E-3</v>
      </c>
      <c r="AC23" s="17">
        <v>2.1511628614075129E-3</v>
      </c>
      <c r="AD23" s="17">
        <v>6.0666712916303447E-2</v>
      </c>
      <c r="AE23" s="17">
        <v>5.0296999407208873E-2</v>
      </c>
      <c r="AF23" s="17">
        <v>6.2941287587246847E-2</v>
      </c>
      <c r="AG23" s="17">
        <v>0.11454014160618625</v>
      </c>
      <c r="AH23" s="17">
        <v>-1.93559659661681E-2</v>
      </c>
      <c r="AI23" s="17">
        <v>3.6603627546589072E-2</v>
      </c>
      <c r="AJ23" s="17">
        <v>3.6726301405758249E-3</v>
      </c>
      <c r="AK23" s="17">
        <v>-1.6879873085051969E-2</v>
      </c>
      <c r="AL23" s="17">
        <v>1.0226241224483401E-2</v>
      </c>
      <c r="AM23" s="17">
        <v>-4.1352655599181803E-3</v>
      </c>
      <c r="AN23" s="17">
        <v>8.5861573714765743E-2</v>
      </c>
      <c r="AO23" s="17">
        <v>-3.3522051440902562E-2</v>
      </c>
      <c r="AP23" s="17">
        <v>7.8700951146470216E-2</v>
      </c>
      <c r="AQ23" s="17">
        <v>9.8642475381177236E-3</v>
      </c>
      <c r="AR23" s="17">
        <v>3.2785479508649559E-2</v>
      </c>
      <c r="AS23" s="17">
        <v>-6.6779002358960324E-3</v>
      </c>
      <c r="AT23" s="17">
        <v>6.0821340168184967E-2</v>
      </c>
      <c r="AU23" s="17">
        <v>2.2419039573058429E-2</v>
      </c>
      <c r="AV23" s="17">
        <v>-8.699234934720107E-3</v>
      </c>
      <c r="AW23" s="17">
        <v>-9.6994585246990873E-3</v>
      </c>
      <c r="AX23" s="17">
        <v>4.8822845437368007E-2</v>
      </c>
      <c r="AY23" s="17">
        <v>-3.046367698187482E-2</v>
      </c>
      <c r="AZ23" s="17">
        <v>2.3750553975875971E-2</v>
      </c>
      <c r="BA23" s="17">
        <v>3.4578740008279485E-2</v>
      </c>
      <c r="BB23" s="17">
        <v>3.6023529277907508E-2</v>
      </c>
      <c r="BC23" s="17">
        <v>4.3266073141573644E-2</v>
      </c>
      <c r="BD23" s="17">
        <v>-2.2154743972467986E-2</v>
      </c>
      <c r="BE23" s="17">
        <v>1.07451586405546E-2</v>
      </c>
      <c r="BF23" s="17">
        <v>3.7119971621611764E-2</v>
      </c>
      <c r="BG23" s="17">
        <v>-8.5158170701159167E-3</v>
      </c>
      <c r="BH23" s="17">
        <v>1.4897527666125438E-2</v>
      </c>
      <c r="BI23" s="17">
        <v>-8.9275507871582754E-3</v>
      </c>
      <c r="BJ23" s="17">
        <v>8.0045441353423299E-2</v>
      </c>
      <c r="BK23" s="17">
        <v>-1.162870883076933E-2</v>
      </c>
      <c r="BL23" s="17">
        <v>5.3905988174821173E-2</v>
      </c>
      <c r="BM23" s="17">
        <v>2.6276993645179762E-2</v>
      </c>
      <c r="BN23" s="17">
        <v>-1.9075643116582261E-2</v>
      </c>
      <c r="BO23" s="17">
        <v>-3.4381897917227275E-2</v>
      </c>
      <c r="BP23" s="17">
        <v>2.7804656001727074E-2</v>
      </c>
      <c r="BQ23" s="17">
        <v>5.7863991598636443E-3</v>
      </c>
      <c r="BR23" s="17">
        <v>-1.5357066012716324E-2</v>
      </c>
      <c r="BS23" s="17">
        <v>-5.8073462356341699E-3</v>
      </c>
      <c r="BT23" s="17">
        <v>-1.7528632052103518E-2</v>
      </c>
    </row>
    <row r="24" spans="1:72" x14ac:dyDescent="0.25">
      <c r="A24" s="667" t="s">
        <v>171</v>
      </c>
      <c r="B24" s="713">
        <v>10</v>
      </c>
      <c r="C24" s="705">
        <v>4.8</v>
      </c>
      <c r="D24" s="706">
        <v>86.203669547721617</v>
      </c>
      <c r="E24" s="944">
        <v>431.5</v>
      </c>
      <c r="G24" s="47">
        <v>1</v>
      </c>
      <c r="H24" s="88">
        <f t="shared" si="3"/>
        <v>4.8</v>
      </c>
      <c r="I24" s="88">
        <f t="shared" si="4"/>
        <v>86.203669547721617</v>
      </c>
      <c r="J24" s="86">
        <f t="shared" si="5"/>
        <v>431.5</v>
      </c>
      <c r="L24" s="946">
        <f t="shared" si="1"/>
        <v>10</v>
      </c>
      <c r="S24" s="946">
        <v>10.322990438842165</v>
      </c>
      <c r="U24" s="946">
        <f t="shared" si="2"/>
        <v>-0.32299043884216516</v>
      </c>
      <c r="W24" s="17">
        <v>-3.9730798885097722E-2</v>
      </c>
      <c r="X24" s="17">
        <v>4.4535361971647314E-2</v>
      </c>
      <c r="Y24" s="17">
        <v>4.0943734894237395E-2</v>
      </c>
      <c r="Z24" s="17">
        <v>-1.5750144022396304E-2</v>
      </c>
      <c r="AA24" s="17">
        <v>8.5518254937570842E-2</v>
      </c>
      <c r="AB24" s="17">
        <v>4.7087790192756322E-2</v>
      </c>
      <c r="AC24" s="17">
        <v>2.2259636205252835E-2</v>
      </c>
      <c r="AD24" s="17">
        <v>6.8726951927653365E-3</v>
      </c>
      <c r="AE24" s="17">
        <v>4.0032896585127931E-2</v>
      </c>
      <c r="AF24" s="17">
        <v>-8.928348089928647E-3</v>
      </c>
      <c r="AG24" s="17">
        <v>3.8153173470706611E-2</v>
      </c>
      <c r="AH24" s="17">
        <v>3.5943849411341697E-3</v>
      </c>
      <c r="AI24" s="17">
        <v>1.9615524812235108E-2</v>
      </c>
      <c r="AJ24" s="17">
        <v>-2.1749385016845278E-2</v>
      </c>
      <c r="AK24" s="17">
        <v>5.9185875745619759E-2</v>
      </c>
      <c r="AL24" s="17">
        <v>1.7402872979332556E-2</v>
      </c>
      <c r="AM24" s="17">
        <v>-1.117290951189269E-2</v>
      </c>
      <c r="AN24" s="17">
        <v>-3.6134562091046846E-2</v>
      </c>
      <c r="AO24" s="17">
        <v>5.2564287781223934E-3</v>
      </c>
      <c r="AP24" s="17">
        <v>9.8642475381176542E-3</v>
      </c>
      <c r="AQ24" s="17">
        <v>8.2164872364709929E-2</v>
      </c>
      <c r="AR24" s="17">
        <v>1.7124291247502525E-2</v>
      </c>
      <c r="AS24" s="17">
        <v>5.5295461905891338E-2</v>
      </c>
      <c r="AT24" s="17">
        <v>-0.10399346149031918</v>
      </c>
      <c r="AU24" s="17">
        <v>1.4021249486375485E-2</v>
      </c>
      <c r="AV24" s="17">
        <v>3.7725565331680137E-2</v>
      </c>
      <c r="AW24" s="17">
        <v>4.5228986311711558E-2</v>
      </c>
      <c r="AX24" s="17">
        <v>6.9408857079620315E-2</v>
      </c>
      <c r="AY24" s="17">
        <v>1.3119188057104395E-2</v>
      </c>
      <c r="AZ24" s="17">
        <v>5.0077008425053859E-2</v>
      </c>
      <c r="BA24" s="17">
        <v>7.7840762835887992E-2</v>
      </c>
      <c r="BB24" s="17">
        <v>5.6112996833297041E-2</v>
      </c>
      <c r="BC24" s="17">
        <v>-1.1272139252396384E-2</v>
      </c>
      <c r="BD24" s="17">
        <v>2.2174889161527822E-2</v>
      </c>
      <c r="BE24" s="17">
        <v>-1.5077241907151047E-2</v>
      </c>
      <c r="BF24" s="17">
        <v>-4.5137847441424732E-3</v>
      </c>
      <c r="BG24" s="17">
        <v>4.6480931991642729E-2</v>
      </c>
      <c r="BH24" s="17">
        <v>-1.3068840028232433E-3</v>
      </c>
      <c r="BI24" s="17">
        <v>2.2359211961715322E-2</v>
      </c>
      <c r="BJ24" s="17">
        <v>1.4263577161024069E-2</v>
      </c>
      <c r="BK24" s="17">
        <v>-7.2834159794914477E-3</v>
      </c>
      <c r="BL24" s="17">
        <v>2.4663082747450743E-3</v>
      </c>
      <c r="BM24" s="17">
        <v>4.9529795858481176E-2</v>
      </c>
      <c r="BN24" s="17">
        <v>5.2663011638971871E-2</v>
      </c>
      <c r="BO24" s="17">
        <v>2.9309344299973186E-2</v>
      </c>
      <c r="BP24" s="17">
        <v>-3.2716515633429977E-3</v>
      </c>
      <c r="BQ24" s="17">
        <v>7.4380655499268478E-2</v>
      </c>
      <c r="BR24" s="17">
        <v>-1.0089732834161126E-2</v>
      </c>
      <c r="BS24" s="17">
        <v>2.0510740323318163E-2</v>
      </c>
      <c r="BT24" s="17">
        <v>-2.3061249030828582E-3</v>
      </c>
    </row>
    <row r="25" spans="1:72" x14ac:dyDescent="0.25">
      <c r="A25" s="667" t="s">
        <v>172</v>
      </c>
      <c r="B25" s="704">
        <v>14.4</v>
      </c>
      <c r="C25" s="705">
        <v>7.4</v>
      </c>
      <c r="D25" s="706">
        <v>81.183409037427396</v>
      </c>
      <c r="E25" s="944">
        <v>536</v>
      </c>
      <c r="G25" s="47">
        <v>1</v>
      </c>
      <c r="H25" s="88">
        <f t="shared" si="3"/>
        <v>7.4</v>
      </c>
      <c r="I25" s="88">
        <f t="shared" si="4"/>
        <v>81.183409037427396</v>
      </c>
      <c r="J25" s="86">
        <f t="shared" si="5"/>
        <v>536</v>
      </c>
      <c r="L25" s="946">
        <f t="shared" si="1"/>
        <v>14.4</v>
      </c>
      <c r="S25" s="946">
        <v>13.61552756364374</v>
      </c>
      <c r="U25" s="946">
        <f t="shared" si="2"/>
        <v>0.78447243635626052</v>
      </c>
      <c r="W25" s="17">
        <v>2.4809114638524227E-2</v>
      </c>
      <c r="X25" s="17">
        <v>3.46322431654736E-2</v>
      </c>
      <c r="Y25" s="17">
        <v>2.7333639981619397E-2</v>
      </c>
      <c r="Z25" s="17">
        <v>3.5453748831122144E-2</v>
      </c>
      <c r="AA25" s="17">
        <v>1.9796143646435241E-2</v>
      </c>
      <c r="AB25" s="17">
        <v>1.5515178901020674E-2</v>
      </c>
      <c r="AC25" s="17">
        <v>6.5270131873067377E-3</v>
      </c>
      <c r="AD25" s="17">
        <v>4.4151572000757963E-2</v>
      </c>
      <c r="AE25" s="17">
        <v>4.6544737574026288E-2</v>
      </c>
      <c r="AF25" s="17">
        <v>2.1994411948962293E-2</v>
      </c>
      <c r="AG25" s="17">
        <v>-2.6222086926461385E-2</v>
      </c>
      <c r="AH25" s="17">
        <v>1.3366090080138414E-2</v>
      </c>
      <c r="AI25" s="17">
        <v>3.0458646242272257E-2</v>
      </c>
      <c r="AJ25" s="17">
        <v>2.1648800453469889E-2</v>
      </c>
      <c r="AK25" s="17">
        <v>1.1541835011973612E-2</v>
      </c>
      <c r="AL25" s="17">
        <v>2.8668951579450805E-2</v>
      </c>
      <c r="AM25" s="17">
        <v>1.7756303833141529E-2</v>
      </c>
      <c r="AN25" s="17">
        <v>4.7762997861238235E-2</v>
      </c>
      <c r="AO25" s="17">
        <v>2.5473383095872826E-3</v>
      </c>
      <c r="AP25" s="17">
        <v>3.2785479508649504E-2</v>
      </c>
      <c r="AQ25" s="17">
        <v>1.7124291247502074E-2</v>
      </c>
      <c r="AR25" s="17">
        <v>3.2252773730758119E-2</v>
      </c>
      <c r="AS25" s="17">
        <v>8.406695599913739E-3</v>
      </c>
      <c r="AT25" s="17">
        <v>1.1514917070775121E-2</v>
      </c>
      <c r="AU25" s="17">
        <v>3.1927671901730612E-2</v>
      </c>
      <c r="AV25" s="17">
        <v>1.1311564599984968E-2</v>
      </c>
      <c r="AW25" s="17">
        <v>1.2351544424436292E-2</v>
      </c>
      <c r="AX25" s="17">
        <v>4.6238856426553857E-2</v>
      </c>
      <c r="AY25" s="17">
        <v>2.8937535297965666E-3</v>
      </c>
      <c r="AZ25" s="17">
        <v>5.237768994225192E-3</v>
      </c>
      <c r="BA25" s="17">
        <v>3.8727856799862612E-2</v>
      </c>
      <c r="BB25" s="17">
        <v>1.109662473665976E-2</v>
      </c>
      <c r="BC25" s="17">
        <v>2.4779274960760211E-2</v>
      </c>
      <c r="BD25" s="17">
        <v>-1.6605734641696179E-4</v>
      </c>
      <c r="BE25" s="17">
        <v>1.9825926542908018E-2</v>
      </c>
      <c r="BF25" s="17">
        <v>2.9628411375702823E-2</v>
      </c>
      <c r="BG25" s="17">
        <v>1.0042387188744074E-2</v>
      </c>
      <c r="BH25" s="17">
        <v>2.5560471436659623E-2</v>
      </c>
      <c r="BI25" s="17">
        <v>6.2493555488939839E-3</v>
      </c>
      <c r="BJ25" s="17">
        <v>4.9492475282610533E-2</v>
      </c>
      <c r="BK25" s="17">
        <v>4.1600604031870048E-3</v>
      </c>
      <c r="BL25" s="17">
        <v>5.4483568144010841E-2</v>
      </c>
      <c r="BM25" s="17">
        <v>2.6518988611277612E-2</v>
      </c>
      <c r="BN25" s="17">
        <v>5.845264678548491E-3</v>
      </c>
      <c r="BO25" s="17">
        <v>1.846442724915548E-4</v>
      </c>
      <c r="BP25" s="17">
        <v>4.3357326719826172E-3</v>
      </c>
      <c r="BQ25" s="17">
        <v>7.4915111268803059E-3</v>
      </c>
      <c r="BR25" s="17">
        <v>1.8458962953205857E-2</v>
      </c>
      <c r="BS25" s="17">
        <v>1.3300132601572666E-2</v>
      </c>
      <c r="BT25" s="17">
        <v>1.3652410656076967E-2</v>
      </c>
    </row>
    <row r="26" spans="1:72" x14ac:dyDescent="0.25">
      <c r="A26" s="667" t="s">
        <v>173</v>
      </c>
      <c r="B26" s="704">
        <v>9.6</v>
      </c>
      <c r="C26" s="705">
        <v>5.2</v>
      </c>
      <c r="D26" s="706">
        <v>89.045556531854984</v>
      </c>
      <c r="E26" s="944">
        <v>288.7</v>
      </c>
      <c r="G26" s="47">
        <v>1</v>
      </c>
      <c r="H26" s="88">
        <f t="shared" si="3"/>
        <v>5.2</v>
      </c>
      <c r="I26" s="88">
        <f t="shared" si="4"/>
        <v>89.045556531854984</v>
      </c>
      <c r="J26" s="86">
        <f t="shared" si="5"/>
        <v>288.7</v>
      </c>
      <c r="L26" s="946">
        <f t="shared" si="1"/>
        <v>9.6</v>
      </c>
      <c r="S26" s="946">
        <v>10.734985254448048</v>
      </c>
      <c r="U26" s="946">
        <f t="shared" si="2"/>
        <v>-1.1349852544480488</v>
      </c>
      <c r="W26" s="17">
        <v>-1.9825168047556095E-2</v>
      </c>
      <c r="X26" s="17">
        <v>1.331453141016975E-2</v>
      </c>
      <c r="Y26" s="17">
        <v>2.7264071642310941E-2</v>
      </c>
      <c r="Z26" s="17">
        <v>-1.0437586713981239E-2</v>
      </c>
      <c r="AA26" s="17">
        <v>4.884138887283529E-2</v>
      </c>
      <c r="AB26" s="17">
        <v>4.1638912974352404E-2</v>
      </c>
      <c r="AC26" s="17">
        <v>3.3214415467355166E-2</v>
      </c>
      <c r="AD26" s="17">
        <v>-1.0344103876801118E-2</v>
      </c>
      <c r="AE26" s="17">
        <v>7.427533704320935E-3</v>
      </c>
      <c r="AF26" s="17">
        <v>-6.0732951314735797E-3</v>
      </c>
      <c r="AG26" s="17">
        <v>3.277053291632509E-2</v>
      </c>
      <c r="AH26" s="17">
        <v>2.5133126220984046E-2</v>
      </c>
      <c r="AI26" s="17">
        <v>9.7625450090580018E-3</v>
      </c>
      <c r="AJ26" s="17">
        <v>2.0694693229743322E-3</v>
      </c>
      <c r="AK26" s="17">
        <v>5.3467453128097357E-2</v>
      </c>
      <c r="AL26" s="17">
        <v>1.6079979980068559E-2</v>
      </c>
      <c r="AM26" s="17">
        <v>1.1508079778281274E-2</v>
      </c>
      <c r="AN26" s="17">
        <v>-4.0105663719453219E-2</v>
      </c>
      <c r="AO26" s="17">
        <v>3.5627411216347847E-2</v>
      </c>
      <c r="AP26" s="17">
        <v>-6.6779002358962544E-3</v>
      </c>
      <c r="AQ26" s="17">
        <v>5.529546190589113E-2</v>
      </c>
      <c r="AR26" s="17">
        <v>8.4066955999138049E-3</v>
      </c>
      <c r="AS26" s="17">
        <v>5.0845434305439897E-2</v>
      </c>
      <c r="AT26" s="17">
        <v>-4.7215233854528721E-2</v>
      </c>
      <c r="AU26" s="17">
        <v>9.5515161156942072E-3</v>
      </c>
      <c r="AV26" s="17">
        <v>4.0851088562479161E-2</v>
      </c>
      <c r="AW26" s="17">
        <v>4.4259109591220862E-2</v>
      </c>
      <c r="AX26" s="17">
        <v>2.2696356191292649E-2</v>
      </c>
      <c r="AY26" s="17">
        <v>3.8630356583032287E-2</v>
      </c>
      <c r="AZ26" s="17">
        <v>4.2670946872070285E-2</v>
      </c>
      <c r="BA26" s="17">
        <v>3.4702232505305922E-2</v>
      </c>
      <c r="BB26" s="17">
        <v>3.9350981817923972E-2</v>
      </c>
      <c r="BC26" s="17">
        <v>-4.0792323647909894E-3</v>
      </c>
      <c r="BD26" s="17">
        <v>4.2918041589499592E-2</v>
      </c>
      <c r="BE26" s="17">
        <v>4.7497254622036883E-3</v>
      </c>
      <c r="BF26" s="17">
        <v>-1.9885134774560408E-3</v>
      </c>
      <c r="BG26" s="17">
        <v>4.5928625156354479E-2</v>
      </c>
      <c r="BH26" s="17">
        <v>7.3505040836032813E-3</v>
      </c>
      <c r="BI26" s="17">
        <v>3.6111159970804718E-2</v>
      </c>
      <c r="BJ26" s="17">
        <v>-1.4409864728104314E-2</v>
      </c>
      <c r="BK26" s="17">
        <v>2.3099358999932124E-2</v>
      </c>
      <c r="BL26" s="17">
        <v>-1.6859309147169023E-2</v>
      </c>
      <c r="BM26" s="17">
        <v>2.9539226248800253E-2</v>
      </c>
      <c r="BN26" s="17">
        <v>5.400568794775723E-2</v>
      </c>
      <c r="BO26" s="17">
        <v>4.9260562468156577E-2</v>
      </c>
      <c r="BP26" s="17">
        <v>1.544641998381259E-2</v>
      </c>
      <c r="BQ26" s="17">
        <v>5.792222735850297E-2</v>
      </c>
      <c r="BR26" s="17">
        <v>1.4368873205679953E-2</v>
      </c>
      <c r="BS26" s="17">
        <v>3.0370399987164613E-2</v>
      </c>
      <c r="BT26" s="17">
        <v>2.1565427141202052E-2</v>
      </c>
    </row>
    <row r="27" spans="1:72" x14ac:dyDescent="0.25">
      <c r="A27" s="667" t="s">
        <v>174</v>
      </c>
      <c r="B27" s="704">
        <v>21.2</v>
      </c>
      <c r="C27" s="705">
        <v>10.6</v>
      </c>
      <c r="D27" s="706">
        <v>60.598179144073846</v>
      </c>
      <c r="E27" s="944">
        <v>291.3</v>
      </c>
      <c r="G27" s="47">
        <v>1</v>
      </c>
      <c r="H27" s="88">
        <f t="shared" si="3"/>
        <v>10.6</v>
      </c>
      <c r="I27" s="88">
        <f t="shared" si="4"/>
        <v>60.598179144073846</v>
      </c>
      <c r="J27" s="86">
        <f t="shared" si="5"/>
        <v>291.3</v>
      </c>
      <c r="L27" s="946">
        <f t="shared" si="1"/>
        <v>21.2</v>
      </c>
      <c r="S27" s="946">
        <v>16.613871588317714</v>
      </c>
      <c r="U27" s="946">
        <f t="shared" si="2"/>
        <v>4.5861284116822851</v>
      </c>
      <c r="W27" s="17">
        <v>0.15046796304795451</v>
      </c>
      <c r="X27" s="17">
        <v>-2.2583708890525744E-2</v>
      </c>
      <c r="Y27" s="17">
        <v>-3.8644281256304536E-2</v>
      </c>
      <c r="Z27" s="17">
        <v>7.1213747367741886E-2</v>
      </c>
      <c r="AA27" s="17">
        <v>-9.4412060909312132E-2</v>
      </c>
      <c r="AB27" s="17">
        <v>-4.1932181258598385E-2</v>
      </c>
      <c r="AC27" s="17">
        <v>2.8112991897427008E-2</v>
      </c>
      <c r="AD27" s="17">
        <v>3.0050638207791452E-2</v>
      </c>
      <c r="AE27" s="17">
        <v>-4.7747199168561072E-2</v>
      </c>
      <c r="AF27" s="17">
        <v>0.10649676563596945</v>
      </c>
      <c r="AG27" s="17">
        <v>0.15010336860346341</v>
      </c>
      <c r="AH27" s="17">
        <v>3.422350961644114E-2</v>
      </c>
      <c r="AI27" s="17">
        <v>1.3184526831121302E-2</v>
      </c>
      <c r="AJ27" s="17">
        <v>8.5618315157076533E-2</v>
      </c>
      <c r="AK27" s="17">
        <v>-6.904892701141073E-2</v>
      </c>
      <c r="AL27" s="17">
        <v>2.8258038750538297E-4</v>
      </c>
      <c r="AM27" s="17">
        <v>6.6449415935996764E-2</v>
      </c>
      <c r="AN27" s="17">
        <v>0.12694572061476447</v>
      </c>
      <c r="AO27" s="17">
        <v>4.1167640795087161E-2</v>
      </c>
      <c r="AP27" s="17">
        <v>6.082134016818537E-2</v>
      </c>
      <c r="AQ27" s="17">
        <v>-0.10399346149031879</v>
      </c>
      <c r="AR27" s="17">
        <v>1.1514917070774754E-2</v>
      </c>
      <c r="AS27" s="17">
        <v>-4.7215233854528194E-2</v>
      </c>
      <c r="AT27" s="17">
        <v>0.31160014494774424</v>
      </c>
      <c r="AU27" s="17">
        <v>1.0069991786990699E-2</v>
      </c>
      <c r="AV27" s="17">
        <v>-2.0145426494110722E-2</v>
      </c>
      <c r="AW27" s="17">
        <v>-3.7673233337999795E-2</v>
      </c>
      <c r="AX27" s="17">
        <v>-0.10580820347840227</v>
      </c>
      <c r="AY27" s="17">
        <v>2.7500133359428192E-2</v>
      </c>
      <c r="AZ27" s="17">
        <v>-6.7923416348830423E-3</v>
      </c>
      <c r="BA27" s="17">
        <v>-0.11870512324031725</v>
      </c>
      <c r="BB27" s="17">
        <v>-2.0508076471437587E-2</v>
      </c>
      <c r="BC27" s="17">
        <v>9.0100302495354626E-2</v>
      </c>
      <c r="BD27" s="17">
        <v>2.2352597141317723E-2</v>
      </c>
      <c r="BE27" s="17">
        <v>8.1722364274077863E-2</v>
      </c>
      <c r="BF27" s="17">
        <v>6.2463068503945667E-2</v>
      </c>
      <c r="BG27" s="17">
        <v>-3.463529429977228E-2</v>
      </c>
      <c r="BH27" s="17">
        <v>4.6718963565784172E-2</v>
      </c>
      <c r="BI27" s="17">
        <v>1.9744520319833706E-2</v>
      </c>
      <c r="BJ27" s="17">
        <v>2.029863592015517E-2</v>
      </c>
      <c r="BK27" s="17">
        <v>7.9767214156434951E-2</v>
      </c>
      <c r="BL27" s="17">
        <v>1.2965005232483319E-2</v>
      </c>
      <c r="BM27" s="17">
        <v>-4.5728314429685592E-2</v>
      </c>
      <c r="BN27" s="17">
        <v>-4.6767313651330966E-2</v>
      </c>
      <c r="BO27" s="17">
        <v>-1.9308946655298975E-3</v>
      </c>
      <c r="BP27" s="17">
        <v>0.10261047677040766</v>
      </c>
      <c r="BQ27" s="17">
        <v>-7.2956688450279042E-2</v>
      </c>
      <c r="BR27" s="17">
        <v>5.4108338238602366E-2</v>
      </c>
      <c r="BS27" s="17">
        <v>1.1905362275098969E-2</v>
      </c>
      <c r="BT27" s="17">
        <v>4.6647403668350115E-2</v>
      </c>
    </row>
    <row r="28" spans="1:72" x14ac:dyDescent="0.25">
      <c r="A28" s="667" t="s">
        <v>175</v>
      </c>
      <c r="B28" s="704">
        <v>13.4</v>
      </c>
      <c r="C28" s="705">
        <v>7.4</v>
      </c>
      <c r="D28" s="706">
        <v>85.028888093842554</v>
      </c>
      <c r="E28" s="944">
        <v>504.9</v>
      </c>
      <c r="G28" s="47">
        <v>1</v>
      </c>
      <c r="H28" s="88">
        <f t="shared" si="3"/>
        <v>7.4</v>
      </c>
      <c r="I28" s="88">
        <f t="shared" si="4"/>
        <v>85.028888093842554</v>
      </c>
      <c r="J28" s="86">
        <f t="shared" si="5"/>
        <v>504.9</v>
      </c>
      <c r="L28" s="946">
        <f t="shared" si="1"/>
        <v>13.4</v>
      </c>
      <c r="S28" s="946">
        <v>13.711013366978968</v>
      </c>
      <c r="U28" s="946">
        <f t="shared" si="2"/>
        <v>-0.3110133669789672</v>
      </c>
      <c r="W28" s="17">
        <v>2.3639816496575261E-2</v>
      </c>
      <c r="X28" s="17">
        <v>2.5427003098156487E-2</v>
      </c>
      <c r="Y28" s="17">
        <v>2.8081056896775161E-2</v>
      </c>
      <c r="Z28" s="17">
        <v>3.7861403322178029E-2</v>
      </c>
      <c r="AA28" s="17">
        <v>1.060779237083477E-2</v>
      </c>
      <c r="AB28" s="17">
        <v>1.7756255782917924E-2</v>
      </c>
      <c r="AC28" s="17">
        <v>7.8404132242081009E-3</v>
      </c>
      <c r="AD28" s="17">
        <v>4.0488082081335461E-2</v>
      </c>
      <c r="AE28" s="17">
        <v>4.3164506400949168E-2</v>
      </c>
      <c r="AF28" s="17">
        <v>1.46450078767137E-2</v>
      </c>
      <c r="AG28" s="17">
        <v>-5.8901973172933858E-2</v>
      </c>
      <c r="AH28" s="17">
        <v>2.2529229152793498E-2</v>
      </c>
      <c r="AI28" s="17">
        <v>2.8689611372395729E-2</v>
      </c>
      <c r="AJ28" s="17">
        <v>2.9077518275658527E-2</v>
      </c>
      <c r="AK28" s="17">
        <v>1.5384380694920194E-2</v>
      </c>
      <c r="AL28" s="17">
        <v>3.287678371586962E-2</v>
      </c>
      <c r="AM28" s="17">
        <v>2.5401480029320439E-2</v>
      </c>
      <c r="AN28" s="17">
        <v>4.2323524772435839E-2</v>
      </c>
      <c r="AO28" s="17">
        <v>1.2738283206665382E-2</v>
      </c>
      <c r="AP28" s="17">
        <v>2.2419039573058429E-2</v>
      </c>
      <c r="AQ28" s="17">
        <v>1.4021249486374975E-2</v>
      </c>
      <c r="AR28" s="17">
        <v>3.1927671901730632E-2</v>
      </c>
      <c r="AS28" s="17">
        <v>9.5515161156941239E-3</v>
      </c>
      <c r="AT28" s="17">
        <v>1.0069991786991278E-2</v>
      </c>
      <c r="AU28" s="17">
        <v>3.4202604599879366E-2</v>
      </c>
      <c r="AV28" s="17">
        <v>1.4889522900890158E-2</v>
      </c>
      <c r="AW28" s="17">
        <v>1.5778301669438794E-2</v>
      </c>
      <c r="AX28" s="17">
        <v>4.0827379603224467E-2</v>
      </c>
      <c r="AY28" s="17">
        <v>1.1819958971672456E-2</v>
      </c>
      <c r="AZ28" s="17">
        <v>-9.3916517293917909E-4</v>
      </c>
      <c r="BA28" s="17">
        <v>3.448582293540349E-2</v>
      </c>
      <c r="BB28" s="17">
        <v>2.7423520507589552E-3</v>
      </c>
      <c r="BC28" s="17">
        <v>2.2760827497839684E-2</v>
      </c>
      <c r="BD28" s="17">
        <v>5.4992427629472068E-3</v>
      </c>
      <c r="BE28" s="17">
        <v>2.4715822394568779E-2</v>
      </c>
      <c r="BF28" s="17">
        <v>2.94752139419239E-2</v>
      </c>
      <c r="BG28" s="17">
        <v>1.2635623415379979E-2</v>
      </c>
      <c r="BH28" s="17">
        <v>2.9534712273854326E-2</v>
      </c>
      <c r="BI28" s="17">
        <v>1.0086147632380041E-2</v>
      </c>
      <c r="BJ28" s="17">
        <v>4.1783165484524667E-2</v>
      </c>
      <c r="BK28" s="17">
        <v>1.054822478450719E-2</v>
      </c>
      <c r="BL28" s="17">
        <v>5.4797307918143467E-2</v>
      </c>
      <c r="BM28" s="17">
        <v>2.4021353579897129E-2</v>
      </c>
      <c r="BN28" s="17">
        <v>9.5831699196029622E-3</v>
      </c>
      <c r="BO28" s="17">
        <v>8.2119165742114697E-3</v>
      </c>
      <c r="BP28" s="17">
        <v>1.2367845346570039E-3</v>
      </c>
      <c r="BQ28" s="17">
        <v>4.0409493565725148E-3</v>
      </c>
      <c r="BR28" s="17">
        <v>2.8778103241102616E-2</v>
      </c>
      <c r="BS28" s="17">
        <v>1.7954279766472368E-2</v>
      </c>
      <c r="BT28" s="17">
        <v>2.291073290146995E-2</v>
      </c>
    </row>
    <row r="29" spans="1:72" x14ac:dyDescent="0.25">
      <c r="A29" s="667" t="s">
        <v>176</v>
      </c>
      <c r="B29" s="704">
        <v>14.8</v>
      </c>
      <c r="C29" s="705">
        <v>5.8</v>
      </c>
      <c r="D29" s="706">
        <v>90.467729264863962</v>
      </c>
      <c r="E29" s="944">
        <v>287.5</v>
      </c>
      <c r="G29" s="47">
        <v>1</v>
      </c>
      <c r="H29" s="88">
        <f t="shared" si="3"/>
        <v>5.8</v>
      </c>
      <c r="I29" s="88">
        <f t="shared" si="4"/>
        <v>90.467729264863962</v>
      </c>
      <c r="J29" s="86">
        <f t="shared" si="5"/>
        <v>287.5</v>
      </c>
      <c r="L29" s="946">
        <f t="shared" si="1"/>
        <v>14.8</v>
      </c>
      <c r="S29" s="946">
        <v>11.552564406959718</v>
      </c>
      <c r="U29" s="946">
        <f t="shared" si="2"/>
        <v>3.247435593040283</v>
      </c>
      <c r="W29" s="17">
        <v>-5.3363975670070347E-3</v>
      </c>
      <c r="X29" s="17">
        <v>4.1301450038029666E-3</v>
      </c>
      <c r="Y29" s="17">
        <v>2.4203635719363646E-2</v>
      </c>
      <c r="Z29" s="17">
        <v>2.8289735563801124E-3</v>
      </c>
      <c r="AA29" s="17">
        <v>2.6893832510501044E-2</v>
      </c>
      <c r="AB29" s="17">
        <v>3.5764427359823471E-2</v>
      </c>
      <c r="AC29" s="17">
        <v>3.0881409057275253E-2</v>
      </c>
      <c r="AD29" s="17">
        <v>-4.8685991655856922E-3</v>
      </c>
      <c r="AE29" s="17">
        <v>5.6186683880704996E-3</v>
      </c>
      <c r="AF29" s="17">
        <v>-3.6978720242060413E-3</v>
      </c>
      <c r="AG29" s="17">
        <v>-2.8088435043173293E-3</v>
      </c>
      <c r="AH29" s="17">
        <v>3.3929085475746606E-2</v>
      </c>
      <c r="AI29" s="17">
        <v>1.07396639200973E-2</v>
      </c>
      <c r="AJ29" s="17">
        <v>1.7418121202591671E-2</v>
      </c>
      <c r="AK29" s="17">
        <v>4.4982839806217312E-2</v>
      </c>
      <c r="AL29" s="17">
        <v>2.1263382393847209E-2</v>
      </c>
      <c r="AM29" s="17">
        <v>2.3693329558927504E-2</v>
      </c>
      <c r="AN29" s="17">
        <v>-2.4798442606894205E-2</v>
      </c>
      <c r="AO29" s="17">
        <v>4.2568416538151924E-2</v>
      </c>
      <c r="AP29" s="17">
        <v>-8.6992349347203221E-3</v>
      </c>
      <c r="AQ29" s="17">
        <v>3.7725565331679742E-2</v>
      </c>
      <c r="AR29" s="17">
        <v>1.1311564599984923E-2</v>
      </c>
      <c r="AS29" s="17">
        <v>4.0851088562479064E-2</v>
      </c>
      <c r="AT29" s="17">
        <v>-2.014542649411101E-2</v>
      </c>
      <c r="AU29" s="17">
        <v>1.4889522900890118E-2</v>
      </c>
      <c r="AV29" s="17">
        <v>3.7287878899436785E-2</v>
      </c>
      <c r="AW29" s="17">
        <v>3.9001435882286932E-2</v>
      </c>
      <c r="AX29" s="17">
        <v>1.2413062693241897E-2</v>
      </c>
      <c r="AY29" s="17">
        <v>4.2901851694579225E-2</v>
      </c>
      <c r="AZ29" s="17">
        <v>2.8359704792122409E-2</v>
      </c>
      <c r="BA29" s="17">
        <v>2.1693533654023447E-2</v>
      </c>
      <c r="BB29" s="17">
        <v>2.3288021895952388E-2</v>
      </c>
      <c r="BC29" s="17">
        <v>3.0072209010453162E-3</v>
      </c>
      <c r="BD29" s="17">
        <v>4.2210770833957821E-2</v>
      </c>
      <c r="BE29" s="17">
        <v>1.6423946734048091E-2</v>
      </c>
      <c r="BF29" s="17">
        <v>5.6990872205192698E-3</v>
      </c>
      <c r="BG29" s="17">
        <v>3.934973282932791E-2</v>
      </c>
      <c r="BH29" s="17">
        <v>1.6244805250539496E-2</v>
      </c>
      <c r="BI29" s="17">
        <v>3.540111973731723E-2</v>
      </c>
      <c r="BJ29" s="17">
        <v>-1.2374142361301944E-2</v>
      </c>
      <c r="BK29" s="17">
        <v>3.080258707631605E-2</v>
      </c>
      <c r="BL29" s="17">
        <v>-5.5916814954555666E-3</v>
      </c>
      <c r="BM29" s="17">
        <v>2.2069438509211801E-2</v>
      </c>
      <c r="BN29" s="17">
        <v>4.5882597847376694E-2</v>
      </c>
      <c r="BO29" s="17">
        <v>4.8505456259115537E-2</v>
      </c>
      <c r="BP29" s="17">
        <v>1.5823638796676656E-2</v>
      </c>
      <c r="BQ29" s="17">
        <v>4.0070346987888181E-2</v>
      </c>
      <c r="BR29" s="17">
        <v>2.823759644172065E-2</v>
      </c>
      <c r="BS29" s="17">
        <v>3.2055866622342125E-2</v>
      </c>
      <c r="BT29" s="17">
        <v>3.1897266708729471E-2</v>
      </c>
    </row>
    <row r="30" spans="1:72" x14ac:dyDescent="0.25">
      <c r="A30" s="667" t="s">
        <v>177</v>
      </c>
      <c r="B30" s="704">
        <v>10.8</v>
      </c>
      <c r="C30" s="705">
        <v>5.6</v>
      </c>
      <c r="D30" s="706">
        <v>91.372477335833381</v>
      </c>
      <c r="E30" s="944">
        <v>302.39999999999998</v>
      </c>
      <c r="G30" s="47">
        <v>1</v>
      </c>
      <c r="H30" s="88">
        <f t="shared" si="3"/>
        <v>5.6</v>
      </c>
      <c r="I30" s="88">
        <f t="shared" si="4"/>
        <v>91.372477335833381</v>
      </c>
      <c r="J30" s="86">
        <f t="shared" si="5"/>
        <v>302.39999999999998</v>
      </c>
      <c r="L30" s="946">
        <f t="shared" si="1"/>
        <v>10.8</v>
      </c>
      <c r="S30" s="946">
        <v>11.350737524842543</v>
      </c>
      <c r="U30" s="946">
        <f t="shared" si="2"/>
        <v>-0.55073752484254257</v>
      </c>
      <c r="W30" s="17">
        <v>-1.2776535385649306E-2</v>
      </c>
      <c r="X30" s="17">
        <v>8.0549638642689117E-3</v>
      </c>
      <c r="Y30" s="17">
        <v>2.7923032771135805E-2</v>
      </c>
      <c r="Z30" s="17">
        <v>2.2525583634810942E-4</v>
      </c>
      <c r="AA30" s="17">
        <v>3.4462662506062697E-2</v>
      </c>
      <c r="AB30" s="17">
        <v>3.9059911380692001E-2</v>
      </c>
      <c r="AC30" s="17">
        <v>2.972792239022741E-2</v>
      </c>
      <c r="AD30" s="17">
        <v>-4.1474546940724263E-3</v>
      </c>
      <c r="AE30" s="17">
        <v>1.1030323482433116E-2</v>
      </c>
      <c r="AF30" s="17">
        <v>-8.1151085138503661E-3</v>
      </c>
      <c r="AG30" s="17">
        <v>-9.6380183276186665E-3</v>
      </c>
      <c r="AH30" s="17">
        <v>3.2022441854926052E-2</v>
      </c>
      <c r="AI30" s="17">
        <v>1.1730192472614394E-2</v>
      </c>
      <c r="AJ30" s="17">
        <v>1.2955266822358834E-2</v>
      </c>
      <c r="AK30" s="17">
        <v>4.9584512271711213E-2</v>
      </c>
      <c r="AL30" s="17">
        <v>2.2431439382565924E-2</v>
      </c>
      <c r="AM30" s="17">
        <v>2.0187516469919151E-2</v>
      </c>
      <c r="AN30" s="17">
        <v>-2.952324664056051E-2</v>
      </c>
      <c r="AO30" s="17">
        <v>3.9712358255147719E-2</v>
      </c>
      <c r="AP30" s="17">
        <v>-9.6994585246992886E-3</v>
      </c>
      <c r="AQ30" s="17">
        <v>4.5228986311711177E-2</v>
      </c>
      <c r="AR30" s="17">
        <v>1.2351544424436322E-2</v>
      </c>
      <c r="AS30" s="17">
        <v>4.4259109591220813E-2</v>
      </c>
      <c r="AT30" s="17">
        <v>-3.767323333799999E-2</v>
      </c>
      <c r="AU30" s="17">
        <v>1.5778301669438843E-2</v>
      </c>
      <c r="AV30" s="17">
        <v>3.9001435882286994E-2</v>
      </c>
      <c r="AW30" s="17">
        <v>4.181102906403901E-2</v>
      </c>
      <c r="AX30" s="17">
        <v>2.1431149486872067E-2</v>
      </c>
      <c r="AY30" s="17">
        <v>4.0979707464537621E-2</v>
      </c>
      <c r="AZ30" s="17">
        <v>2.9867187699238761E-2</v>
      </c>
      <c r="BA30" s="17">
        <v>3.1064457211155153E-2</v>
      </c>
      <c r="BB30" s="17">
        <v>2.6039540054928968E-2</v>
      </c>
      <c r="BC30" s="17">
        <v>-7.7975990562767147E-4</v>
      </c>
      <c r="BD30" s="17">
        <v>4.074721052459624E-2</v>
      </c>
      <c r="BE30" s="17">
        <v>1.2334721964777699E-2</v>
      </c>
      <c r="BF30" s="17">
        <v>3.5927539217790539E-3</v>
      </c>
      <c r="BG30" s="17">
        <v>4.195486121634226E-2</v>
      </c>
      <c r="BH30" s="17">
        <v>1.4548966501464323E-2</v>
      </c>
      <c r="BI30" s="17">
        <v>3.4515740185686573E-2</v>
      </c>
      <c r="BJ30" s="17">
        <v>-1.0505056663126608E-2</v>
      </c>
      <c r="BK30" s="17">
        <v>2.6050268040152078E-2</v>
      </c>
      <c r="BL30" s="17">
        <v>-3.7697615222724717E-3</v>
      </c>
      <c r="BM30" s="17">
        <v>2.6454146801593911E-2</v>
      </c>
      <c r="BN30" s="17">
        <v>4.8934881674165306E-2</v>
      </c>
      <c r="BO30" s="17">
        <v>4.8294148165299068E-2</v>
      </c>
      <c r="BP30" s="17">
        <v>1.0538645924718391E-2</v>
      </c>
      <c r="BQ30" s="17">
        <v>4.5362430323542896E-2</v>
      </c>
      <c r="BR30" s="17">
        <v>2.5263329681517566E-2</v>
      </c>
      <c r="BS30" s="17">
        <v>3.1858021301123696E-2</v>
      </c>
      <c r="BT30" s="17">
        <v>2.9257258668447857E-2</v>
      </c>
    </row>
    <row r="31" spans="1:72" x14ac:dyDescent="0.25">
      <c r="A31" s="667" t="s">
        <v>178</v>
      </c>
      <c r="B31" s="704">
        <v>11.3</v>
      </c>
      <c r="C31" s="705">
        <v>6.4</v>
      </c>
      <c r="D31" s="706">
        <v>80.891227371165002</v>
      </c>
      <c r="E31" s="944">
        <v>750.6</v>
      </c>
      <c r="G31" s="47">
        <v>1</v>
      </c>
      <c r="H31" s="88">
        <f t="shared" si="3"/>
        <v>6.4</v>
      </c>
      <c r="I31" s="88">
        <f t="shared" si="4"/>
        <v>80.891227371165002</v>
      </c>
      <c r="J31" s="86">
        <f t="shared" si="5"/>
        <v>750.6</v>
      </c>
      <c r="L31" s="946">
        <f t="shared" si="1"/>
        <v>11.3</v>
      </c>
      <c r="S31" s="946">
        <v>12.630597532474905</v>
      </c>
      <c r="U31" s="946">
        <f t="shared" si="2"/>
        <v>-1.3305975324749042</v>
      </c>
      <c r="W31" s="17">
        <v>-1.9568299484686774E-2</v>
      </c>
      <c r="X31" s="17">
        <v>8.2204525891435912E-2</v>
      </c>
      <c r="Y31" s="17">
        <v>5.4581993081117913E-2</v>
      </c>
      <c r="Z31" s="17">
        <v>2.3186625624113107E-2</v>
      </c>
      <c r="AA31" s="17">
        <v>8.3136494714593057E-2</v>
      </c>
      <c r="AB31" s="17">
        <v>3.1290858831542312E-2</v>
      </c>
      <c r="AC31" s="17">
        <v>-1.0357582128370096E-2</v>
      </c>
      <c r="AD31" s="17">
        <v>6.7566227508020507E-2</v>
      </c>
      <c r="AE31" s="17">
        <v>0.10157816070829116</v>
      </c>
      <c r="AF31" s="17">
        <v>5.2072624211019665E-3</v>
      </c>
      <c r="AG31" s="17">
        <v>-4.6932351551838891E-2</v>
      </c>
      <c r="AH31" s="17">
        <v>-1.655519923719237E-2</v>
      </c>
      <c r="AI31" s="17">
        <v>4.5318428646434303E-2</v>
      </c>
      <c r="AJ31" s="17">
        <v>-1.7895968695572959E-2</v>
      </c>
      <c r="AK31" s="17">
        <v>3.1298401188884856E-2</v>
      </c>
      <c r="AL31" s="17">
        <v>3.4709500742945827E-2</v>
      </c>
      <c r="AM31" s="17">
        <v>-1.7964583307154308E-2</v>
      </c>
      <c r="AN31" s="17">
        <v>4.0131107112009796E-2</v>
      </c>
      <c r="AO31" s="17">
        <v>-4.1043600184528906E-2</v>
      </c>
      <c r="AP31" s="17">
        <v>4.8822845437367673E-2</v>
      </c>
      <c r="AQ31" s="17">
        <v>6.9408857079619565E-2</v>
      </c>
      <c r="AR31" s="17">
        <v>4.6238856426553919E-2</v>
      </c>
      <c r="AS31" s="17">
        <v>2.2696356191292254E-2</v>
      </c>
      <c r="AT31" s="17">
        <v>-0.10580820347840214</v>
      </c>
      <c r="AU31" s="17">
        <v>4.0827379603224627E-2</v>
      </c>
      <c r="AV31" s="17">
        <v>1.2413062693241821E-2</v>
      </c>
      <c r="AW31" s="17">
        <v>2.1431149486871939E-2</v>
      </c>
      <c r="AX31" s="17">
        <v>0.12780252029224232</v>
      </c>
      <c r="AY31" s="17">
        <v>-3.2481665875298271E-2</v>
      </c>
      <c r="AZ31" s="17">
        <v>1.6377563708522405E-2</v>
      </c>
      <c r="BA31" s="17">
        <v>0.11674658715816577</v>
      </c>
      <c r="BB31" s="17">
        <v>3.68651074007997E-2</v>
      </c>
      <c r="BC31" s="17">
        <v>5.6074454548959984E-3</v>
      </c>
      <c r="BD31" s="17">
        <v>-2.9290128552881961E-2</v>
      </c>
      <c r="BE31" s="17">
        <v>-1.4438043881833992E-2</v>
      </c>
      <c r="BF31" s="17">
        <v>2.1304182542192462E-2</v>
      </c>
      <c r="BG31" s="17">
        <v>1.777908618182681E-2</v>
      </c>
      <c r="BH31" s="17">
        <v>1.1488753787997463E-2</v>
      </c>
      <c r="BI31" s="17">
        <v>-1.2832170806823084E-2</v>
      </c>
      <c r="BJ31" s="17">
        <v>8.9439391636573579E-2</v>
      </c>
      <c r="BK31" s="17">
        <v>-4.524871706146591E-2</v>
      </c>
      <c r="BL31" s="17">
        <v>8.4752036086461563E-2</v>
      </c>
      <c r="BM31" s="17">
        <v>6.2573734487780752E-2</v>
      </c>
      <c r="BN31" s="17">
        <v>1.2499263254617435E-2</v>
      </c>
      <c r="BO31" s="17">
        <v>-2.4100586519833808E-2</v>
      </c>
      <c r="BP31" s="17">
        <v>-3.4171512615040187E-2</v>
      </c>
      <c r="BQ31" s="17">
        <v>4.0555163597206609E-2</v>
      </c>
      <c r="BR31" s="17">
        <v>-1.7424748644551583E-2</v>
      </c>
      <c r="BS31" s="17">
        <v>1.3369996142173629E-3</v>
      </c>
      <c r="BT31" s="17">
        <v>-2.1062566566681318E-2</v>
      </c>
    </row>
    <row r="32" spans="1:72" x14ac:dyDescent="0.25">
      <c r="A32" s="667" t="s">
        <v>179</v>
      </c>
      <c r="B32" s="704">
        <v>7.6</v>
      </c>
      <c r="C32" s="705">
        <v>6.1</v>
      </c>
      <c r="D32" s="706">
        <v>95.487186970145373</v>
      </c>
      <c r="E32" s="944">
        <v>137.30000000000001</v>
      </c>
      <c r="G32" s="47">
        <v>1</v>
      </c>
      <c r="H32" s="88">
        <f t="shared" si="3"/>
        <v>6.1</v>
      </c>
      <c r="I32" s="88">
        <f t="shared" si="4"/>
        <v>95.487186970145373</v>
      </c>
      <c r="J32" s="86">
        <f t="shared" si="5"/>
        <v>137.30000000000001</v>
      </c>
      <c r="L32" s="946">
        <f t="shared" si="1"/>
        <v>7.6</v>
      </c>
      <c r="S32" s="946">
        <v>11.905207608821588</v>
      </c>
      <c r="U32" s="946">
        <f t="shared" si="2"/>
        <v>-4.305207608821588</v>
      </c>
      <c r="W32" s="17">
        <v>1.0401262829553523E-2</v>
      </c>
      <c r="X32" s="17">
        <v>-2.940373068306518E-2</v>
      </c>
      <c r="Y32" s="17">
        <v>1.2633906657327571E-2</v>
      </c>
      <c r="Z32" s="17">
        <v>7.8863921409598383E-3</v>
      </c>
      <c r="AA32" s="17">
        <v>-1.0244925239638936E-2</v>
      </c>
      <c r="AB32" s="17">
        <v>3.2950027468969419E-2</v>
      </c>
      <c r="AC32" s="17">
        <v>4.1932732023570896E-2</v>
      </c>
      <c r="AD32" s="17">
        <v>-2.3503446262871073E-2</v>
      </c>
      <c r="AE32" s="17">
        <v>-2.6008023192247945E-2</v>
      </c>
      <c r="AF32" s="17">
        <v>-6.3139461180649137E-3</v>
      </c>
      <c r="AG32" s="17">
        <v>-2.6023287708384586E-2</v>
      </c>
      <c r="AH32" s="17">
        <v>5.8704451721185602E-2</v>
      </c>
      <c r="AI32" s="17">
        <v>5.2005124029404215E-4</v>
      </c>
      <c r="AJ32" s="17">
        <v>4.2408637132704749E-2</v>
      </c>
      <c r="AK32" s="17">
        <v>4.3275286774941621E-2</v>
      </c>
      <c r="AL32" s="17">
        <v>2.2363736776915707E-2</v>
      </c>
      <c r="AM32" s="17">
        <v>4.8127735915966779E-2</v>
      </c>
      <c r="AN32" s="17">
        <v>-3.3653718444732618E-2</v>
      </c>
      <c r="AO32" s="17">
        <v>7.6230176877765968E-2</v>
      </c>
      <c r="AP32" s="17">
        <v>-3.0463676981874868E-2</v>
      </c>
      <c r="AQ32" s="17">
        <v>1.3119188057104082E-2</v>
      </c>
      <c r="AR32" s="17">
        <v>2.8937535297965111E-3</v>
      </c>
      <c r="AS32" s="17">
        <v>3.8630356583032308E-2</v>
      </c>
      <c r="AT32" s="17">
        <v>2.750013335942824E-2</v>
      </c>
      <c r="AU32" s="17">
        <v>1.1819958971672331E-2</v>
      </c>
      <c r="AV32" s="17">
        <v>4.2901851694579281E-2</v>
      </c>
      <c r="AW32" s="17">
        <v>4.09797074645376E-2</v>
      </c>
      <c r="AX32" s="17">
        <v>-3.2481665875298271E-2</v>
      </c>
      <c r="AY32" s="17">
        <v>7.1585944282461164E-2</v>
      </c>
      <c r="AZ32" s="17">
        <v>1.8972906788463795E-2</v>
      </c>
      <c r="BA32" s="17">
        <v>-1.8892042677420361E-2</v>
      </c>
      <c r="BB32" s="17">
        <v>4.1400500261538449E-3</v>
      </c>
      <c r="BC32" s="17">
        <v>7.4256357607432573E-3</v>
      </c>
      <c r="BD32" s="17">
        <v>6.489431258298127E-2</v>
      </c>
      <c r="BE32" s="17">
        <v>3.6468330379443768E-2</v>
      </c>
      <c r="BF32" s="17">
        <v>7.0845767995012295E-3</v>
      </c>
      <c r="BG32" s="17">
        <v>4.1281507516057095E-2</v>
      </c>
      <c r="BH32" s="17">
        <v>2.5842697558079757E-2</v>
      </c>
      <c r="BI32" s="17">
        <v>5.0519081888752849E-2</v>
      </c>
      <c r="BJ32" s="17">
        <v>-4.3757546946696119E-2</v>
      </c>
      <c r="BK32" s="17">
        <v>6.1831721028149919E-2</v>
      </c>
      <c r="BL32" s="17">
        <v>-2.4056834771087096E-2</v>
      </c>
      <c r="BM32" s="17">
        <v>3.0530672689765507E-3</v>
      </c>
      <c r="BN32" s="17">
        <v>5.0463192902134975E-2</v>
      </c>
      <c r="BO32" s="17">
        <v>7.2069214130470016E-2</v>
      </c>
      <c r="BP32" s="17">
        <v>3.06505901772685E-2</v>
      </c>
      <c r="BQ32" s="17">
        <v>2.4689686175618279E-2</v>
      </c>
      <c r="BR32" s="17">
        <v>5.5910325539616404E-2</v>
      </c>
      <c r="BS32" s="17">
        <v>4.39502514374598E-2</v>
      </c>
      <c r="BT32" s="17">
        <v>5.8690405438747976E-2</v>
      </c>
    </row>
    <row r="33" spans="1:72" x14ac:dyDescent="0.25">
      <c r="A33" s="667" t="s">
        <v>180</v>
      </c>
      <c r="B33" s="704">
        <v>8.6999999999999993</v>
      </c>
      <c r="C33" s="705">
        <v>5.5</v>
      </c>
      <c r="D33" s="706">
        <v>76.032117342828414</v>
      </c>
      <c r="E33" s="944">
        <v>329.3</v>
      </c>
      <c r="G33" s="47">
        <v>1</v>
      </c>
      <c r="H33" s="88">
        <f t="shared" si="3"/>
        <v>5.5</v>
      </c>
      <c r="I33" s="88">
        <f t="shared" si="4"/>
        <v>76.032117342828414</v>
      </c>
      <c r="J33" s="86">
        <f t="shared" si="5"/>
        <v>329.3</v>
      </c>
      <c r="L33" s="946">
        <f t="shared" si="1"/>
        <v>8.6999999999999993</v>
      </c>
      <c r="S33" s="946">
        <v>10.703770804947315</v>
      </c>
      <c r="U33" s="946">
        <f t="shared" si="2"/>
        <v>-2.0037708049473153</v>
      </c>
      <c r="W33" s="17">
        <v>-2.4450739710530252E-3</v>
      </c>
      <c r="X33" s="17">
        <v>3.0245899523651185E-2</v>
      </c>
      <c r="Y33" s="17">
        <v>1.6450883172439059E-2</v>
      </c>
      <c r="Z33" s="17">
        <v>-1.499631601441386E-2</v>
      </c>
      <c r="AA33" s="17">
        <v>6.1008205937747702E-2</v>
      </c>
      <c r="AB33" s="17">
        <v>2.925085539373035E-2</v>
      </c>
      <c r="AC33" s="17">
        <v>3.3896408010606088E-2</v>
      </c>
      <c r="AD33" s="17">
        <v>-5.0339912583725541E-3</v>
      </c>
      <c r="AE33" s="17">
        <v>2.2049349141958635E-3</v>
      </c>
      <c r="AF33" s="17">
        <v>2.4039006301866978E-2</v>
      </c>
      <c r="AG33" s="17">
        <v>0.15058485730038176</v>
      </c>
      <c r="AH33" s="17">
        <v>2.977601288228101E-3</v>
      </c>
      <c r="AI33" s="17">
        <v>1.1257437048659388E-2</v>
      </c>
      <c r="AJ33" s="17">
        <v>-1.1299532355360214E-2</v>
      </c>
      <c r="AK33" s="17">
        <v>3.4434356974180409E-2</v>
      </c>
      <c r="AL33" s="17">
        <v>-1.2044550071028254E-4</v>
      </c>
      <c r="AM33" s="17">
        <v>-3.7388880314478366E-3</v>
      </c>
      <c r="AN33" s="17">
        <v>-1.9372850846718935E-2</v>
      </c>
      <c r="AO33" s="17">
        <v>1.4144692297630837E-2</v>
      </c>
      <c r="AP33" s="17">
        <v>2.3750553975875621E-2</v>
      </c>
      <c r="AQ33" s="17">
        <v>5.0077008425053929E-2</v>
      </c>
      <c r="AR33" s="17">
        <v>5.23776899422514E-3</v>
      </c>
      <c r="AS33" s="17">
        <v>4.2670946872070438E-2</v>
      </c>
      <c r="AT33" s="17">
        <v>-6.7923416348844717E-3</v>
      </c>
      <c r="AU33" s="17">
        <v>-9.3916517293924848E-4</v>
      </c>
      <c r="AV33" s="17">
        <v>2.8359704792122527E-2</v>
      </c>
      <c r="AW33" s="17">
        <v>2.9867187699238885E-2</v>
      </c>
      <c r="AX33" s="17">
        <v>1.6377563708522974E-2</v>
      </c>
      <c r="AY33" s="17">
        <v>1.8972906788463674E-2</v>
      </c>
      <c r="AZ33" s="17">
        <v>6.0412896712628575E-2</v>
      </c>
      <c r="BA33" s="17">
        <v>2.5499786690788423E-2</v>
      </c>
      <c r="BB33" s="17">
        <v>6.0067549298095803E-2</v>
      </c>
      <c r="BC33" s="17">
        <v>8.5755519259013025E-3</v>
      </c>
      <c r="BD33" s="17">
        <v>3.2495914781403304E-2</v>
      </c>
      <c r="BE33" s="17">
        <v>-1.5562936944270023E-3</v>
      </c>
      <c r="BF33" s="17">
        <v>1.0112718786951551E-3</v>
      </c>
      <c r="BG33" s="17">
        <v>3.4792421785851076E-2</v>
      </c>
      <c r="BH33" s="17">
        <v>-1.9618250829922771E-3</v>
      </c>
      <c r="BI33" s="17">
        <v>2.8858965602538283E-2</v>
      </c>
      <c r="BJ33" s="17">
        <v>-3.3093468622791278E-4</v>
      </c>
      <c r="BK33" s="17">
        <v>1.6328199153801508E-2</v>
      </c>
      <c r="BL33" s="17">
        <v>-2.7216255384506602E-2</v>
      </c>
      <c r="BM33" s="17">
        <v>2.7125995295774471E-2</v>
      </c>
      <c r="BN33" s="17">
        <v>3.9312693256752865E-2</v>
      </c>
      <c r="BO33" s="17">
        <v>2.9325035673348598E-2</v>
      </c>
      <c r="BP33" s="17">
        <v>3.7710061754939135E-2</v>
      </c>
      <c r="BQ33" s="17">
        <v>5.9736815354349701E-2</v>
      </c>
      <c r="BR33" s="17">
        <v>-9.9442139593713536E-3</v>
      </c>
      <c r="BS33" s="17">
        <v>1.8152755059444962E-2</v>
      </c>
      <c r="BT33" s="17">
        <v>5.3343395023358608E-4</v>
      </c>
    </row>
    <row r="34" spans="1:72" x14ac:dyDescent="0.25">
      <c r="A34" s="667" t="s">
        <v>181</v>
      </c>
      <c r="B34" s="704">
        <v>17.100000000000001</v>
      </c>
      <c r="C34" s="705">
        <v>5.8</v>
      </c>
      <c r="D34" s="706">
        <v>83.996520785584835</v>
      </c>
      <c r="E34" s="944">
        <v>664.2</v>
      </c>
      <c r="G34" s="47">
        <v>1</v>
      </c>
      <c r="H34" s="88">
        <f t="shared" si="3"/>
        <v>5.8</v>
      </c>
      <c r="I34" s="88">
        <f t="shared" si="4"/>
        <v>83.996520785584835</v>
      </c>
      <c r="J34" s="86">
        <f t="shared" si="5"/>
        <v>664.2</v>
      </c>
      <c r="L34" s="946">
        <f t="shared" si="1"/>
        <v>17.100000000000001</v>
      </c>
      <c r="S34" s="946">
        <v>11.852963983075865</v>
      </c>
      <c r="U34" s="946">
        <f t="shared" si="2"/>
        <v>5.2470360169241363</v>
      </c>
      <c r="W34" s="17">
        <v>-3.107827529853182E-2</v>
      </c>
      <c r="X34" s="17">
        <v>7.2274844031362251E-2</v>
      </c>
      <c r="Y34" s="17">
        <v>5.3689962248174447E-2</v>
      </c>
      <c r="Z34" s="17">
        <v>1.0856136525117511E-2</v>
      </c>
      <c r="AA34" s="17">
        <v>8.7215106136551521E-2</v>
      </c>
      <c r="AB34" s="17">
        <v>3.87429202566053E-2</v>
      </c>
      <c r="AC34" s="17">
        <v>-1.7038204474614793E-3</v>
      </c>
      <c r="AD34" s="17">
        <v>5.0105561892895847E-2</v>
      </c>
      <c r="AE34" s="17">
        <v>8.7440454552451419E-2</v>
      </c>
      <c r="AF34" s="17">
        <v>-3.8526564653916726E-3</v>
      </c>
      <c r="AG34" s="17">
        <v>-3.5971817648298987E-2</v>
      </c>
      <c r="AH34" s="17">
        <v>-1.0070685014693742E-2</v>
      </c>
      <c r="AI34" s="17">
        <v>3.8381628446887514E-2</v>
      </c>
      <c r="AJ34" s="17">
        <v>-2.0502873082507089E-2</v>
      </c>
      <c r="AK34" s="17">
        <v>4.352049638179057E-2</v>
      </c>
      <c r="AL34" s="17">
        <v>3.1723088896612642E-2</v>
      </c>
      <c r="AM34" s="17">
        <v>-1.6805329714980187E-2</v>
      </c>
      <c r="AN34" s="17">
        <v>1.3792668624302985E-2</v>
      </c>
      <c r="AO34" s="17">
        <v>-2.7645501762664962E-2</v>
      </c>
      <c r="AP34" s="17">
        <v>3.4578740008279207E-2</v>
      </c>
      <c r="AQ34" s="17">
        <v>7.7840762835887339E-2</v>
      </c>
      <c r="AR34" s="17">
        <v>3.8727856799862778E-2</v>
      </c>
      <c r="AS34" s="17">
        <v>3.4702232505305616E-2</v>
      </c>
      <c r="AT34" s="17">
        <v>-0.11870512324031726</v>
      </c>
      <c r="AU34" s="17">
        <v>3.448582293540374E-2</v>
      </c>
      <c r="AV34" s="17">
        <v>2.1693533654023416E-2</v>
      </c>
      <c r="AW34" s="17">
        <v>3.1064457211155062E-2</v>
      </c>
      <c r="AX34" s="17">
        <v>0.11674658715816592</v>
      </c>
      <c r="AY34" s="17">
        <v>-1.889204267742034E-2</v>
      </c>
      <c r="AZ34" s="17">
        <v>2.5499786690787903E-2</v>
      </c>
      <c r="BA34" s="17">
        <v>0.11173071043669271</v>
      </c>
      <c r="BB34" s="17">
        <v>4.2311757702631764E-2</v>
      </c>
      <c r="BC34" s="17">
        <v>-2.4618786297531704E-3</v>
      </c>
      <c r="BD34" s="17">
        <v>-1.449775394083086E-2</v>
      </c>
      <c r="BE34" s="17">
        <v>-1.6477102420536946E-2</v>
      </c>
      <c r="BF34" s="17">
        <v>1.2420282115336998E-2</v>
      </c>
      <c r="BG34" s="17">
        <v>2.8440006098567852E-2</v>
      </c>
      <c r="BH34" s="17">
        <v>7.5836752156484173E-3</v>
      </c>
      <c r="BI34" s="17">
        <v>-2.6403046946828629E-3</v>
      </c>
      <c r="BJ34" s="17">
        <v>6.7769171229904404E-2</v>
      </c>
      <c r="BK34" s="17">
        <v>-3.653610473125235E-2</v>
      </c>
      <c r="BL34" s="17">
        <v>6.2990823936845686E-2</v>
      </c>
      <c r="BM34" s="17">
        <v>6.1556847881525253E-2</v>
      </c>
      <c r="BN34" s="17">
        <v>2.7002140285983092E-2</v>
      </c>
      <c r="BO34" s="17">
        <v>-7.2535267713694229E-3</v>
      </c>
      <c r="BP34" s="17">
        <v>-3.0151137077787854E-2</v>
      </c>
      <c r="BQ34" s="17">
        <v>5.3194367389222376E-2</v>
      </c>
      <c r="BR34" s="17">
        <v>-1.5067020994936488E-2</v>
      </c>
      <c r="BS34" s="17">
        <v>7.7244911898057753E-3</v>
      </c>
      <c r="BT34" s="17">
        <v>-1.5493966660362304E-2</v>
      </c>
    </row>
    <row r="35" spans="1:72" x14ac:dyDescent="0.25">
      <c r="A35" s="667" t="s">
        <v>182</v>
      </c>
      <c r="B35" s="704">
        <v>13.6</v>
      </c>
      <c r="C35" s="705">
        <v>5.6</v>
      </c>
      <c r="D35" s="706">
        <v>73.422529169257928</v>
      </c>
      <c r="E35" s="944">
        <v>414.1</v>
      </c>
      <c r="G35" s="47">
        <v>1</v>
      </c>
      <c r="H35" s="88">
        <f t="shared" si="3"/>
        <v>5.6</v>
      </c>
      <c r="I35" s="88">
        <f t="shared" si="4"/>
        <v>73.422529169257928</v>
      </c>
      <c r="J35" s="86">
        <f t="shared" si="5"/>
        <v>414.1</v>
      </c>
      <c r="L35" s="946">
        <f t="shared" si="1"/>
        <v>13.6</v>
      </c>
      <c r="S35" s="946">
        <v>10.857452575591617</v>
      </c>
      <c r="U35" s="946">
        <f t="shared" si="2"/>
        <v>2.7425474244083823</v>
      </c>
      <c r="W35" s="17">
        <v>-4.4593352615353993E-3</v>
      </c>
      <c r="X35" s="17">
        <v>4.5590259397661898E-2</v>
      </c>
      <c r="Y35" s="17">
        <v>2.1261984557831723E-2</v>
      </c>
      <c r="Z35" s="17">
        <v>-1.225952625805444E-2</v>
      </c>
      <c r="AA35" s="17">
        <v>7.2723432454270057E-2</v>
      </c>
      <c r="AB35" s="17">
        <v>2.7902539462339757E-2</v>
      </c>
      <c r="AC35" s="17">
        <v>2.6731397512832746E-2</v>
      </c>
      <c r="AD35" s="17">
        <v>7.9167481753568067E-3</v>
      </c>
      <c r="AE35" s="17">
        <v>1.8952940748171207E-2</v>
      </c>
      <c r="AF35" s="17">
        <v>2.7482575625701854E-2</v>
      </c>
      <c r="AG35" s="17">
        <v>0.15200159175183153</v>
      </c>
      <c r="AH35" s="17">
        <v>-7.8003580233035122E-3</v>
      </c>
      <c r="AI35" s="17">
        <v>1.7442705331813323E-2</v>
      </c>
      <c r="AJ35" s="17">
        <v>-1.9097656545269424E-2</v>
      </c>
      <c r="AK35" s="17">
        <v>3.11319386901543E-2</v>
      </c>
      <c r="AL35" s="17">
        <v>9.8020583912725862E-4</v>
      </c>
      <c r="AM35" s="17">
        <v>-1.2647407653469875E-2</v>
      </c>
      <c r="AN35" s="17">
        <v>-7.1702804858881017E-3</v>
      </c>
      <c r="AO35" s="17">
        <v>-2.3816627810581553E-3</v>
      </c>
      <c r="AP35" s="17">
        <v>3.6023529277907265E-2</v>
      </c>
      <c r="AQ35" s="17">
        <v>5.6112996833297235E-2</v>
      </c>
      <c r="AR35" s="17">
        <v>1.1096624736659864E-2</v>
      </c>
      <c r="AS35" s="17">
        <v>3.9350981817924249E-2</v>
      </c>
      <c r="AT35" s="17">
        <v>-2.0508076471438819E-2</v>
      </c>
      <c r="AU35" s="17">
        <v>2.7423520507591018E-3</v>
      </c>
      <c r="AV35" s="17">
        <v>2.3288021895952721E-2</v>
      </c>
      <c r="AW35" s="17">
        <v>2.6039540054929335E-2</v>
      </c>
      <c r="AX35" s="17">
        <v>3.6865107400800429E-2</v>
      </c>
      <c r="AY35" s="17">
        <v>4.1400500261539394E-3</v>
      </c>
      <c r="AZ35" s="17">
        <v>6.0067549298095921E-2</v>
      </c>
      <c r="BA35" s="17">
        <v>4.2311757702632458E-2</v>
      </c>
      <c r="BB35" s="17">
        <v>6.4523349754349535E-2</v>
      </c>
      <c r="BC35" s="17">
        <v>9.5567516030743479E-3</v>
      </c>
      <c r="BD35" s="17">
        <v>1.917031581763836E-2</v>
      </c>
      <c r="BE35" s="17">
        <v>-7.944612683501287E-3</v>
      </c>
      <c r="BF35" s="17">
        <v>3.6409407722574217E-3</v>
      </c>
      <c r="BG35" s="17">
        <v>3.05255513710719E-2</v>
      </c>
      <c r="BH35" s="17">
        <v>-3.7984127898923001E-3</v>
      </c>
      <c r="BI35" s="17">
        <v>1.986534301045121E-2</v>
      </c>
      <c r="BJ35" s="17">
        <v>1.8549732391828472E-2</v>
      </c>
      <c r="BK35" s="17">
        <v>2.0705150431866992E-3</v>
      </c>
      <c r="BL35" s="17">
        <v>-1.2365228156456742E-2</v>
      </c>
      <c r="BM35" s="17">
        <v>3.4471892535308274E-2</v>
      </c>
      <c r="BN35" s="17">
        <v>3.2786163117649751E-2</v>
      </c>
      <c r="BO35" s="17">
        <v>1.5183926147388414E-2</v>
      </c>
      <c r="BP35" s="17">
        <v>3.0285815288262671E-2</v>
      </c>
      <c r="BQ35" s="17">
        <v>6.0713955674309185E-2</v>
      </c>
      <c r="BR35" s="17">
        <v>-2.0227910584228508E-2</v>
      </c>
      <c r="BS35" s="17">
        <v>1.1835809952015545E-2</v>
      </c>
      <c r="BT35" s="17">
        <v>-1.0676425426887695E-2</v>
      </c>
    </row>
    <row r="36" spans="1:72" x14ac:dyDescent="0.25">
      <c r="A36" s="667" t="s">
        <v>183</v>
      </c>
      <c r="B36" s="704">
        <v>14.6</v>
      </c>
      <c r="C36" s="705">
        <v>8.1</v>
      </c>
      <c r="D36" s="706">
        <v>73.937344387272134</v>
      </c>
      <c r="E36" s="944">
        <v>466.4</v>
      </c>
      <c r="G36" s="47">
        <v>1</v>
      </c>
      <c r="H36" s="88">
        <f t="shared" si="3"/>
        <v>8.1</v>
      </c>
      <c r="I36" s="88">
        <f t="shared" si="4"/>
        <v>73.937344387272134</v>
      </c>
      <c r="J36" s="86">
        <f t="shared" si="5"/>
        <v>466.4</v>
      </c>
      <c r="L36" s="946">
        <f t="shared" si="1"/>
        <v>14.6</v>
      </c>
      <c r="S36" s="946">
        <v>14.148922758102305</v>
      </c>
      <c r="U36" s="946">
        <f t="shared" si="2"/>
        <v>0.45107724189769449</v>
      </c>
      <c r="W36" s="17">
        <v>5.6399176421514458E-2</v>
      </c>
      <c r="X36" s="17">
        <v>2.2472414887263037E-2</v>
      </c>
      <c r="Y36" s="17">
        <v>8.741822381678109E-3</v>
      </c>
      <c r="Z36" s="17">
        <v>4.013423801532863E-2</v>
      </c>
      <c r="AA36" s="17">
        <v>-3.9234327718870726E-3</v>
      </c>
      <c r="AB36" s="17">
        <v>5.538896293249395E-4</v>
      </c>
      <c r="AC36" s="17">
        <v>1.38945501956909E-2</v>
      </c>
      <c r="AD36" s="17">
        <v>3.7923593978779535E-2</v>
      </c>
      <c r="AE36" s="17">
        <v>1.9350257368609153E-2</v>
      </c>
      <c r="AF36" s="17">
        <v>4.7198670391093961E-2</v>
      </c>
      <c r="AG36" s="17">
        <v>4.605758886564193E-2</v>
      </c>
      <c r="AH36" s="17">
        <v>1.4763188785386419E-2</v>
      </c>
      <c r="AI36" s="17">
        <v>2.5032787568414632E-2</v>
      </c>
      <c r="AJ36" s="17">
        <v>3.3341158240850606E-2</v>
      </c>
      <c r="AK36" s="17">
        <v>-9.4185179718435895E-3</v>
      </c>
      <c r="AL36" s="17">
        <v>1.7389140718351355E-2</v>
      </c>
      <c r="AM36" s="17">
        <v>2.6213597515743807E-2</v>
      </c>
      <c r="AN36" s="17">
        <v>6.5492384016925378E-2</v>
      </c>
      <c r="AO36" s="17">
        <v>9.9846591652449773E-3</v>
      </c>
      <c r="AP36" s="17">
        <v>4.3266073141573456E-2</v>
      </c>
      <c r="AQ36" s="17">
        <v>-1.1272139252396805E-2</v>
      </c>
      <c r="AR36" s="17">
        <v>2.4779274960759864E-2</v>
      </c>
      <c r="AS36" s="17">
        <v>-4.0792323647911039E-3</v>
      </c>
      <c r="AT36" s="17">
        <v>9.0100302495354417E-2</v>
      </c>
      <c r="AU36" s="17">
        <v>2.2760827497839267E-2</v>
      </c>
      <c r="AV36" s="17">
        <v>3.0072209010451687E-3</v>
      </c>
      <c r="AW36" s="17">
        <v>-7.797599056278701E-4</v>
      </c>
      <c r="AX36" s="17">
        <v>5.6074454548957764E-3</v>
      </c>
      <c r="AY36" s="17">
        <v>7.4256357607429962E-3</v>
      </c>
      <c r="AZ36" s="17">
        <v>8.5755519259014396E-3</v>
      </c>
      <c r="BA36" s="17">
        <v>-2.4618786297534306E-3</v>
      </c>
      <c r="BB36" s="17">
        <v>9.5567516030743375E-3</v>
      </c>
      <c r="BC36" s="17">
        <v>4.1553683449332475E-2</v>
      </c>
      <c r="BD36" s="17">
        <v>6.2826199519788739E-3</v>
      </c>
      <c r="BE36" s="17">
        <v>3.2787611602914088E-2</v>
      </c>
      <c r="BF36" s="17">
        <v>3.6157969046530819E-2</v>
      </c>
      <c r="BG36" s="17">
        <v>-8.0863349698306886E-4</v>
      </c>
      <c r="BH36" s="17">
        <v>2.7586724796754163E-2</v>
      </c>
      <c r="BI36" s="17">
        <v>1.018973493096037E-2</v>
      </c>
      <c r="BJ36" s="17">
        <v>4.0683375925873913E-2</v>
      </c>
      <c r="BK36" s="17">
        <v>2.2816483807493987E-2</v>
      </c>
      <c r="BL36" s="17">
        <v>3.7026597676892703E-2</v>
      </c>
      <c r="BM36" s="17">
        <v>8.3350074277196359E-3</v>
      </c>
      <c r="BN36" s="17">
        <v>-6.8451329002612582E-3</v>
      </c>
      <c r="BO36" s="17">
        <v>-1.0210211735803623E-3</v>
      </c>
      <c r="BP36" s="17">
        <v>3.408125450645863E-2</v>
      </c>
      <c r="BQ36" s="17">
        <v>-8.508210824178096E-3</v>
      </c>
      <c r="BR36" s="17">
        <v>2.1955784282873134E-2</v>
      </c>
      <c r="BS36" s="17">
        <v>1.1621099458468002E-2</v>
      </c>
      <c r="BT36" s="17">
        <v>1.8017810540027587E-2</v>
      </c>
    </row>
    <row r="37" spans="1:72" x14ac:dyDescent="0.25">
      <c r="A37" s="667" t="s">
        <v>184</v>
      </c>
      <c r="B37" s="950">
        <v>12</v>
      </c>
      <c r="C37" s="705">
        <v>5.8</v>
      </c>
      <c r="D37" s="706">
        <v>91.393509706444945</v>
      </c>
      <c r="E37" s="944">
        <v>142.4</v>
      </c>
      <c r="G37" s="47">
        <v>1</v>
      </c>
      <c r="H37" s="88">
        <f t="shared" si="3"/>
        <v>5.8</v>
      </c>
      <c r="I37" s="88">
        <f t="shared" si="4"/>
        <v>91.393509706444945</v>
      </c>
      <c r="J37" s="86">
        <f t="shared" si="5"/>
        <v>142.4</v>
      </c>
      <c r="L37" s="946">
        <f t="shared" si="1"/>
        <v>12</v>
      </c>
      <c r="S37" s="946">
        <v>11.379935658704422</v>
      </c>
      <c r="U37" s="946">
        <f t="shared" si="2"/>
        <v>0.62006434129557775</v>
      </c>
      <c r="W37" s="17">
        <v>6.1379872496092024E-3</v>
      </c>
      <c r="X37" s="17">
        <v>-2.0424629815284985E-2</v>
      </c>
      <c r="Y37" s="17">
        <v>1.1340286508968228E-2</v>
      </c>
      <c r="Z37" s="17">
        <v>-1.7158627425349522E-3</v>
      </c>
      <c r="AA37" s="17">
        <v>5.6501815951349281E-3</v>
      </c>
      <c r="AB37" s="17">
        <v>3.3440330272589927E-2</v>
      </c>
      <c r="AC37" s="17">
        <v>4.4084315280008154E-2</v>
      </c>
      <c r="AD37" s="17">
        <v>-2.6458042589421294E-2</v>
      </c>
      <c r="AE37" s="17">
        <v>-2.7495009723741068E-2</v>
      </c>
      <c r="AF37" s="17">
        <v>-1.5452031798820001E-4</v>
      </c>
      <c r="AG37" s="17">
        <v>2.6724545551752188E-2</v>
      </c>
      <c r="AH37" s="17">
        <v>4.826021189990809E-2</v>
      </c>
      <c r="AI37" s="17">
        <v>-1.5044182137017269E-4</v>
      </c>
      <c r="AJ37" s="17">
        <v>2.999102094593575E-2</v>
      </c>
      <c r="AK37" s="17">
        <v>4.3784979801918165E-2</v>
      </c>
      <c r="AL37" s="17">
        <v>1.483470020273751E-2</v>
      </c>
      <c r="AM37" s="17">
        <v>3.725738617013391E-2</v>
      </c>
      <c r="AN37" s="17">
        <v>-3.8596937759214987E-2</v>
      </c>
      <c r="AO37" s="17">
        <v>6.753463659808065E-2</v>
      </c>
      <c r="AP37" s="17">
        <v>-2.2154743972468176E-2</v>
      </c>
      <c r="AQ37" s="17">
        <v>2.2174889161527555E-2</v>
      </c>
      <c r="AR37" s="17">
        <v>-1.6605734641712486E-4</v>
      </c>
      <c r="AS37" s="17">
        <v>4.2918041589499578E-2</v>
      </c>
      <c r="AT37" s="17">
        <v>2.2352597141317244E-2</v>
      </c>
      <c r="AU37" s="17">
        <v>5.4992427629469934E-3</v>
      </c>
      <c r="AV37" s="17">
        <v>4.22107708339578E-2</v>
      </c>
      <c r="AW37" s="17">
        <v>4.0747210524596171E-2</v>
      </c>
      <c r="AX37" s="17">
        <v>-2.9290128552881906E-2</v>
      </c>
      <c r="AY37" s="17">
        <v>6.4894312582981159E-2</v>
      </c>
      <c r="AZ37" s="17">
        <v>3.2495914781403339E-2</v>
      </c>
      <c r="BA37" s="17">
        <v>-1.4497753940830804E-2</v>
      </c>
      <c r="BB37" s="17">
        <v>1.91703158176382E-2</v>
      </c>
      <c r="BC37" s="17">
        <v>6.2826199519789225E-3</v>
      </c>
      <c r="BD37" s="17">
        <v>6.3588782287749418E-2</v>
      </c>
      <c r="BE37" s="17">
        <v>2.8068469073779849E-2</v>
      </c>
      <c r="BF37" s="17">
        <v>2.9200887048794317E-3</v>
      </c>
      <c r="BG37" s="17">
        <v>4.2751122226018082E-2</v>
      </c>
      <c r="BH37" s="17">
        <v>1.8038738435850694E-2</v>
      </c>
      <c r="BI37" s="17">
        <v>4.9724785190193403E-2</v>
      </c>
      <c r="BJ37" s="17">
        <v>-4.2727234506210174E-2</v>
      </c>
      <c r="BK37" s="17">
        <v>5.6348429978906003E-2</v>
      </c>
      <c r="BL37" s="17">
        <v>-3.4836508348894311E-2</v>
      </c>
      <c r="BM37" s="17">
        <v>6.4986296423346218E-3</v>
      </c>
      <c r="BN37" s="17">
        <v>5.2123948697268323E-2</v>
      </c>
      <c r="BO37" s="17">
        <v>6.8362953469375182E-2</v>
      </c>
      <c r="BP37" s="17">
        <v>3.6794997491146189E-2</v>
      </c>
      <c r="BQ37" s="17">
        <v>3.6135215898069235E-2</v>
      </c>
      <c r="BR37" s="17">
        <v>4.1726790495318924E-2</v>
      </c>
      <c r="BS37" s="17">
        <v>4.0176229491618566E-2</v>
      </c>
      <c r="BT37" s="17">
        <v>4.7622193130133411E-2</v>
      </c>
    </row>
    <row r="38" spans="1:72" x14ac:dyDescent="0.25">
      <c r="A38" s="667" t="s">
        <v>185</v>
      </c>
      <c r="B38" s="704">
        <v>13.4</v>
      </c>
      <c r="C38" s="705">
        <v>7.8</v>
      </c>
      <c r="D38" s="706">
        <v>84.764237226305966</v>
      </c>
      <c r="E38" s="944">
        <v>343.2</v>
      </c>
      <c r="G38" s="47">
        <v>1</v>
      </c>
      <c r="H38" s="88">
        <f t="shared" si="3"/>
        <v>7.8</v>
      </c>
      <c r="I38" s="88">
        <f t="shared" si="4"/>
        <v>84.764237226305966</v>
      </c>
      <c r="J38" s="86">
        <f t="shared" si="5"/>
        <v>343.2</v>
      </c>
      <c r="L38" s="946">
        <f t="shared" si="1"/>
        <v>13.4</v>
      </c>
      <c r="S38" s="946">
        <v>13.983290890156265</v>
      </c>
      <c r="U38" s="946">
        <f t="shared" si="2"/>
        <v>-0.58329089015626501</v>
      </c>
      <c r="W38" s="17">
        <v>4.8250894154049817E-2</v>
      </c>
      <c r="X38" s="17">
        <v>-5.5038368644961602E-3</v>
      </c>
      <c r="Y38" s="17">
        <v>9.6249069148589481E-3</v>
      </c>
      <c r="Z38" s="17">
        <v>3.9589583128445155E-2</v>
      </c>
      <c r="AA38" s="17">
        <v>-2.4734761938326334E-2</v>
      </c>
      <c r="AB38" s="17">
        <v>9.5808378603631089E-3</v>
      </c>
      <c r="AC38" s="17">
        <v>2.1856775626549405E-2</v>
      </c>
      <c r="AD38" s="17">
        <v>1.9606250680169544E-2</v>
      </c>
      <c r="AE38" s="17">
        <v>2.9567364412230318E-3</v>
      </c>
      <c r="AF38" s="17">
        <v>2.513680201780966E-2</v>
      </c>
      <c r="AG38" s="17">
        <v>-2.5919475030041064E-2</v>
      </c>
      <c r="AH38" s="17">
        <v>4.0544574474353973E-2</v>
      </c>
      <c r="AI38" s="17">
        <v>1.6918111428067477E-2</v>
      </c>
      <c r="AJ38" s="17">
        <v>5.0345217995780955E-2</v>
      </c>
      <c r="AK38" s="17">
        <v>5.8826396573464657E-3</v>
      </c>
      <c r="AL38" s="17">
        <v>2.5773947254201426E-2</v>
      </c>
      <c r="AM38" s="17">
        <v>4.5656861742439665E-2</v>
      </c>
      <c r="AN38" s="17">
        <v>3.8751295808043221E-2</v>
      </c>
      <c r="AO38" s="17">
        <v>4.2078691533392533E-2</v>
      </c>
      <c r="AP38" s="17">
        <v>1.0745158640554437E-2</v>
      </c>
      <c r="AQ38" s="17">
        <v>-1.5077241907151651E-2</v>
      </c>
      <c r="AR38" s="17">
        <v>1.9825926542907605E-2</v>
      </c>
      <c r="AS38" s="17">
        <v>4.7497254622034307E-3</v>
      </c>
      <c r="AT38" s="17">
        <v>8.1722364274078058E-2</v>
      </c>
      <c r="AU38" s="17">
        <v>2.4715822394568276E-2</v>
      </c>
      <c r="AV38" s="17">
        <v>1.6423946734047859E-2</v>
      </c>
      <c r="AW38" s="17">
        <v>1.2334721964777366E-2</v>
      </c>
      <c r="AX38" s="17">
        <v>-1.4438043881834478E-2</v>
      </c>
      <c r="AY38" s="17">
        <v>3.6468330379443505E-2</v>
      </c>
      <c r="AZ38" s="17">
        <v>-1.5562936944268808E-3</v>
      </c>
      <c r="BA38" s="17">
        <v>-1.6477102420537459E-2</v>
      </c>
      <c r="BB38" s="17">
        <v>-7.9446126835014085E-3</v>
      </c>
      <c r="BC38" s="17">
        <v>3.2787611602914157E-2</v>
      </c>
      <c r="BD38" s="17">
        <v>2.80684690737798E-2</v>
      </c>
      <c r="BE38" s="17">
        <v>4.3941135407388685E-2</v>
      </c>
      <c r="BF38" s="17">
        <v>3.1247010757157374E-2</v>
      </c>
      <c r="BG38" s="17">
        <v>1.0876811424568041E-2</v>
      </c>
      <c r="BH38" s="17">
        <v>3.5249358251214391E-2</v>
      </c>
      <c r="BI38" s="17">
        <v>2.5025376905021157E-2</v>
      </c>
      <c r="BJ38" s="17">
        <v>1.0221081216096578E-2</v>
      </c>
      <c r="BK38" s="17">
        <v>4.3450776579803264E-2</v>
      </c>
      <c r="BL38" s="17">
        <v>2.5838329897970469E-2</v>
      </c>
      <c r="BM38" s="17">
        <v>1.2595629959516325E-3</v>
      </c>
      <c r="BN38" s="17">
        <v>9.6150060669265344E-3</v>
      </c>
      <c r="BO38" s="17">
        <v>2.7412767748909959E-2</v>
      </c>
      <c r="BP38" s="17">
        <v>2.9405957872612007E-2</v>
      </c>
      <c r="BQ38" s="17">
        <v>-1.0623111629250703E-2</v>
      </c>
      <c r="BR38" s="17">
        <v>4.8421072151702854E-2</v>
      </c>
      <c r="BS38" s="17">
        <v>2.6293471536363459E-2</v>
      </c>
      <c r="BT38" s="17">
        <v>4.3620557451512831E-2</v>
      </c>
    </row>
    <row r="39" spans="1:72" x14ac:dyDescent="0.25">
      <c r="A39" s="667" t="s">
        <v>186</v>
      </c>
      <c r="B39" s="704">
        <v>15.9</v>
      </c>
      <c r="C39" s="705">
        <v>8</v>
      </c>
      <c r="D39" s="706">
        <v>78.141238608693655</v>
      </c>
      <c r="E39" s="944">
        <v>499.6</v>
      </c>
      <c r="G39" s="47">
        <v>1</v>
      </c>
      <c r="H39" s="88">
        <f t="shared" si="3"/>
        <v>8</v>
      </c>
      <c r="I39" s="88">
        <f t="shared" si="4"/>
        <v>78.141238608693655</v>
      </c>
      <c r="J39" s="86">
        <f t="shared" si="5"/>
        <v>499.6</v>
      </c>
      <c r="L39" s="946">
        <f t="shared" si="1"/>
        <v>15.9</v>
      </c>
      <c r="S39" s="946">
        <v>14.220894101178885</v>
      </c>
      <c r="U39" s="946">
        <f t="shared" si="2"/>
        <v>1.6791058988211152</v>
      </c>
      <c r="W39" s="17">
        <v>4.674675424587621E-2</v>
      </c>
      <c r="X39" s="17">
        <v>2.4559596661923561E-2</v>
      </c>
      <c r="Y39" s="17">
        <v>1.6647036500919532E-2</v>
      </c>
      <c r="Z39" s="17">
        <v>4.3269906436049804E-2</v>
      </c>
      <c r="AA39" s="17">
        <v>-1.3457051681182441E-3</v>
      </c>
      <c r="AB39" s="17">
        <v>5.5551465512089677E-3</v>
      </c>
      <c r="AC39" s="17">
        <v>9.3465739044115356E-3</v>
      </c>
      <c r="AD39" s="17">
        <v>4.3150424434160284E-2</v>
      </c>
      <c r="AE39" s="17">
        <v>3.1923680946770297E-2</v>
      </c>
      <c r="AF39" s="17">
        <v>3.5654803656483741E-2</v>
      </c>
      <c r="AG39" s="17">
        <v>-4.4827728533978761E-3</v>
      </c>
      <c r="AH39" s="17">
        <v>1.7806985367374635E-2</v>
      </c>
      <c r="AI39" s="17">
        <v>2.8067390239844243E-2</v>
      </c>
      <c r="AJ39" s="17">
        <v>3.396125622040537E-2</v>
      </c>
      <c r="AK39" s="17">
        <v>-2.5037287136131774E-3</v>
      </c>
      <c r="AL39" s="17">
        <v>2.5111377559534083E-2</v>
      </c>
      <c r="AM39" s="17">
        <v>2.7140636641291765E-2</v>
      </c>
      <c r="AN39" s="17">
        <v>6.291383910732587E-2</v>
      </c>
      <c r="AO39" s="17">
        <v>9.3224991939371837E-3</v>
      </c>
      <c r="AP39" s="17">
        <v>3.711997162161184E-2</v>
      </c>
      <c r="AQ39" s="17">
        <v>-4.5137847441428028E-3</v>
      </c>
      <c r="AR39" s="17">
        <v>2.9628411375702775E-2</v>
      </c>
      <c r="AS39" s="17">
        <v>-1.9885134774560191E-3</v>
      </c>
      <c r="AT39" s="17">
        <v>6.2463068503946062E-2</v>
      </c>
      <c r="AU39" s="17">
        <v>2.9475213941923782E-2</v>
      </c>
      <c r="AV39" s="17">
        <v>5.6990872205193305E-3</v>
      </c>
      <c r="AW39" s="17">
        <v>3.5927539217790387E-3</v>
      </c>
      <c r="AX39" s="17">
        <v>2.1304182542192351E-2</v>
      </c>
      <c r="AY39" s="17">
        <v>7.0845767995012521E-3</v>
      </c>
      <c r="AZ39" s="17">
        <v>1.0112718786954335E-3</v>
      </c>
      <c r="BA39" s="17">
        <v>1.2420282115336856E-2</v>
      </c>
      <c r="BB39" s="17">
        <v>3.640940772257505E-3</v>
      </c>
      <c r="BC39" s="17">
        <v>3.6157969046531159E-2</v>
      </c>
      <c r="BD39" s="17">
        <v>2.9200887048796142E-3</v>
      </c>
      <c r="BE39" s="17">
        <v>3.1247010757157682E-2</v>
      </c>
      <c r="BF39" s="17">
        <v>3.6073017620394457E-2</v>
      </c>
      <c r="BG39" s="17">
        <v>1.8918845032670703E-3</v>
      </c>
      <c r="BH39" s="17">
        <v>3.0274722626051132E-2</v>
      </c>
      <c r="BI39" s="17">
        <v>8.0283452202439612E-3</v>
      </c>
      <c r="BJ39" s="17">
        <v>4.571221776466132E-2</v>
      </c>
      <c r="BK39" s="17">
        <v>1.6886925547248618E-2</v>
      </c>
      <c r="BL39" s="17">
        <v>5.0194423739418778E-2</v>
      </c>
      <c r="BM39" s="17">
        <v>1.4192232280197822E-2</v>
      </c>
      <c r="BN39" s="17">
        <v>-3.8495648063568318E-3</v>
      </c>
      <c r="BO39" s="17">
        <v>-6.016422727169457E-4</v>
      </c>
      <c r="BP39" s="17">
        <v>1.9563647536917264E-2</v>
      </c>
      <c r="BQ39" s="17">
        <v>-7.9630773291153745E-3</v>
      </c>
      <c r="BR39" s="17">
        <v>2.6050125546930272E-2</v>
      </c>
      <c r="BS39" s="17">
        <v>1.3209491770684284E-2</v>
      </c>
      <c r="BT39" s="17">
        <v>2.0229018339353581E-2</v>
      </c>
    </row>
    <row r="40" spans="1:72" x14ac:dyDescent="0.25">
      <c r="A40" s="667" t="s">
        <v>187</v>
      </c>
      <c r="B40" s="704">
        <v>13.6</v>
      </c>
      <c r="C40" s="705">
        <v>5.5</v>
      </c>
      <c r="D40" s="706">
        <v>90.140446325387984</v>
      </c>
      <c r="E40" s="944">
        <v>287.60000000000002</v>
      </c>
      <c r="G40" s="47">
        <v>1</v>
      </c>
      <c r="H40" s="88">
        <f t="shared" si="3"/>
        <v>5.5</v>
      </c>
      <c r="I40" s="88">
        <f t="shared" si="4"/>
        <v>90.140446325387984</v>
      </c>
      <c r="J40" s="86">
        <f t="shared" si="5"/>
        <v>287.60000000000002</v>
      </c>
      <c r="L40" s="946">
        <f t="shared" si="1"/>
        <v>13.6</v>
      </c>
      <c r="S40" s="946">
        <v>11.157006478778413</v>
      </c>
      <c r="U40" s="946">
        <f t="shared" si="2"/>
        <v>2.4429935212215863</v>
      </c>
      <c r="W40" s="17">
        <v>-1.291993706544239E-2</v>
      </c>
      <c r="X40" s="17">
        <v>8.2262996380725872E-3</v>
      </c>
      <c r="Y40" s="17">
        <v>2.6055262294289692E-2</v>
      </c>
      <c r="Z40" s="17">
        <v>-3.4670394978336752E-3</v>
      </c>
      <c r="AA40" s="17">
        <v>3.7310679917635613E-2</v>
      </c>
      <c r="AB40" s="17">
        <v>3.8979530947766822E-2</v>
      </c>
      <c r="AC40" s="17">
        <v>3.1935149158002982E-2</v>
      </c>
      <c r="AD40" s="17">
        <v>-7.5801539936958262E-3</v>
      </c>
      <c r="AE40" s="17">
        <v>6.7969273592336926E-3</v>
      </c>
      <c r="AF40" s="17">
        <v>-5.7196304513636598E-3</v>
      </c>
      <c r="AG40" s="17">
        <v>1.1011463967089075E-2</v>
      </c>
      <c r="AH40" s="17">
        <v>3.0216207693418075E-2</v>
      </c>
      <c r="AI40" s="17">
        <v>1.0272552677175563E-2</v>
      </c>
      <c r="AJ40" s="17">
        <v>1.0281159655924143E-2</v>
      </c>
      <c r="AK40" s="17">
        <v>4.9648828354169935E-2</v>
      </c>
      <c r="AL40" s="17">
        <v>1.9232465310999446E-2</v>
      </c>
      <c r="AM40" s="17">
        <v>1.8141903900781214E-2</v>
      </c>
      <c r="AN40" s="17">
        <v>-3.2758624858901061E-2</v>
      </c>
      <c r="AO40" s="17">
        <v>3.9689036903684631E-2</v>
      </c>
      <c r="AP40" s="17">
        <v>-8.5158170701163001E-3</v>
      </c>
      <c r="AQ40" s="17">
        <v>4.6480931991642237E-2</v>
      </c>
      <c r="AR40" s="17">
        <v>1.0042387188743909E-2</v>
      </c>
      <c r="AS40" s="17">
        <v>4.5928625156354264E-2</v>
      </c>
      <c r="AT40" s="17">
        <v>-3.4635294299772912E-2</v>
      </c>
      <c r="AU40" s="17">
        <v>1.2635623415379826E-2</v>
      </c>
      <c r="AV40" s="17">
        <v>3.9349732829327771E-2</v>
      </c>
      <c r="AW40" s="17">
        <v>4.1954861216342093E-2</v>
      </c>
      <c r="AX40" s="17">
        <v>1.7779086181826859E-2</v>
      </c>
      <c r="AY40" s="17">
        <v>4.1281507516056901E-2</v>
      </c>
      <c r="AZ40" s="17">
        <v>3.4792421785850777E-2</v>
      </c>
      <c r="BA40" s="17">
        <v>2.8440006098567838E-2</v>
      </c>
      <c r="BB40" s="17">
        <v>3.0525551371071418E-2</v>
      </c>
      <c r="BC40" s="17">
        <v>-8.0863349698308447E-4</v>
      </c>
      <c r="BD40" s="17">
        <v>4.2751122226017943E-2</v>
      </c>
      <c r="BE40" s="17">
        <v>1.087681142456811E-2</v>
      </c>
      <c r="BF40" s="17">
        <v>1.8918845032668699E-3</v>
      </c>
      <c r="BG40" s="17">
        <v>4.2845451258304537E-2</v>
      </c>
      <c r="BH40" s="17">
        <v>1.2178468295722613E-2</v>
      </c>
      <c r="BI40" s="17">
        <v>3.5885515174567013E-2</v>
      </c>
      <c r="BJ40" s="17">
        <v>-1.3622205308610129E-2</v>
      </c>
      <c r="BK40" s="17">
        <v>2.7134262740506405E-2</v>
      </c>
      <c r="BL40" s="17">
        <v>-1.0639367521716639E-2</v>
      </c>
      <c r="BM40" s="17">
        <v>2.5838313110935162E-2</v>
      </c>
      <c r="BN40" s="17">
        <v>5.021613582029625E-2</v>
      </c>
      <c r="BO40" s="17">
        <v>4.9344997224536995E-2</v>
      </c>
      <c r="BP40" s="17">
        <v>1.4914786672134889E-2</v>
      </c>
      <c r="BQ40" s="17">
        <v>4.8710642511708938E-2</v>
      </c>
      <c r="BR40" s="17">
        <v>2.212491062248171E-2</v>
      </c>
      <c r="BS40" s="17">
        <v>3.1545191367423391E-2</v>
      </c>
      <c r="BT40" s="17">
        <v>2.7400008082564872E-2</v>
      </c>
    </row>
    <row r="41" spans="1:72" x14ac:dyDescent="0.25">
      <c r="A41" s="667" t="s">
        <v>188</v>
      </c>
      <c r="B41" s="704">
        <v>12.1</v>
      </c>
      <c r="C41" s="705">
        <v>7.6</v>
      </c>
      <c r="D41" s="706">
        <v>85.424563507935517</v>
      </c>
      <c r="E41" s="944">
        <v>416.5</v>
      </c>
      <c r="G41" s="47">
        <v>1</v>
      </c>
      <c r="H41" s="88">
        <f t="shared" si="3"/>
        <v>7.6</v>
      </c>
      <c r="I41" s="88">
        <f t="shared" si="4"/>
        <v>85.424563507935517</v>
      </c>
      <c r="J41" s="86">
        <f t="shared" si="5"/>
        <v>416.5</v>
      </c>
      <c r="L41" s="946">
        <f t="shared" si="1"/>
        <v>12.1</v>
      </c>
      <c r="S41" s="946">
        <v>13.855600457391526</v>
      </c>
      <c r="U41" s="946">
        <f t="shared" si="2"/>
        <v>-1.7556004573915267</v>
      </c>
      <c r="W41" s="17">
        <v>3.6064993075132439E-2</v>
      </c>
      <c r="X41" s="17">
        <v>8.1652489757192553E-3</v>
      </c>
      <c r="Y41" s="17">
        <v>1.8644734451786438E-2</v>
      </c>
      <c r="Z41" s="17">
        <v>3.8933939053771502E-2</v>
      </c>
      <c r="AA41" s="17">
        <v>-8.7786802762762489E-3</v>
      </c>
      <c r="AB41" s="17">
        <v>1.3908005271728755E-2</v>
      </c>
      <c r="AC41" s="17">
        <v>1.5336069159830455E-2</v>
      </c>
      <c r="AD41" s="17">
        <v>2.9050615675317651E-2</v>
      </c>
      <c r="AE41" s="17">
        <v>2.1826671806017245E-2</v>
      </c>
      <c r="AF41" s="17">
        <v>1.900842154445662E-2</v>
      </c>
      <c r="AG41" s="17">
        <v>-4.6006407605902702E-2</v>
      </c>
      <c r="AH41" s="17">
        <v>3.3084028530399497E-2</v>
      </c>
      <c r="AI41" s="17">
        <v>2.2311563227262715E-2</v>
      </c>
      <c r="AJ41" s="17">
        <v>4.0988398009384447E-2</v>
      </c>
      <c r="AK41" s="17">
        <v>1.1110510678135333E-2</v>
      </c>
      <c r="AL41" s="17">
        <v>2.9725755078041705E-2</v>
      </c>
      <c r="AM41" s="17">
        <v>3.6858302447236743E-2</v>
      </c>
      <c r="AN41" s="17">
        <v>3.9492887672124229E-2</v>
      </c>
      <c r="AO41" s="17">
        <v>2.9344313487359205E-2</v>
      </c>
      <c r="AP41" s="17">
        <v>1.4897527666125635E-2</v>
      </c>
      <c r="AQ41" s="17">
        <v>-1.3068840028235482E-3</v>
      </c>
      <c r="AR41" s="17">
        <v>2.556047143665973E-2</v>
      </c>
      <c r="AS41" s="17">
        <v>7.3505040836033793E-3</v>
      </c>
      <c r="AT41" s="17">
        <v>4.6718963565784838E-2</v>
      </c>
      <c r="AU41" s="17">
        <v>2.9534712273854374E-2</v>
      </c>
      <c r="AV41" s="17">
        <v>1.6244805250539684E-2</v>
      </c>
      <c r="AW41" s="17">
        <v>1.4548966501464406E-2</v>
      </c>
      <c r="AX41" s="17">
        <v>1.1488753787997422E-2</v>
      </c>
      <c r="AY41" s="17">
        <v>2.5842697558079948E-2</v>
      </c>
      <c r="AZ41" s="17">
        <v>-1.961825082991947E-3</v>
      </c>
      <c r="BA41" s="17">
        <v>7.5836752156483306E-3</v>
      </c>
      <c r="BB41" s="17">
        <v>-3.7984127898921553E-3</v>
      </c>
      <c r="BC41" s="17">
        <v>2.7586724796754704E-2</v>
      </c>
      <c r="BD41" s="17">
        <v>1.8038738435851027E-2</v>
      </c>
      <c r="BE41" s="17">
        <v>3.5249358251214925E-2</v>
      </c>
      <c r="BF41" s="17">
        <v>3.0274722626051347E-2</v>
      </c>
      <c r="BG41" s="17">
        <v>1.2178468295722918E-2</v>
      </c>
      <c r="BH41" s="17">
        <v>3.2957668214444014E-2</v>
      </c>
      <c r="BI41" s="17">
        <v>1.8401942655566765E-2</v>
      </c>
      <c r="BJ41" s="17">
        <v>2.4264407517758019E-2</v>
      </c>
      <c r="BK41" s="17">
        <v>2.8448823120774916E-2</v>
      </c>
      <c r="BL41" s="17">
        <v>3.9662081306771388E-2</v>
      </c>
      <c r="BM41" s="17">
        <v>1.1940741864540867E-2</v>
      </c>
      <c r="BN41" s="17">
        <v>1.0239625956015692E-2</v>
      </c>
      <c r="BO41" s="17">
        <v>1.93417413238961E-2</v>
      </c>
      <c r="BP41" s="17">
        <v>1.5413480709296087E-2</v>
      </c>
      <c r="BQ41" s="17">
        <v>-3.8388483714332181E-3</v>
      </c>
      <c r="BR41" s="17">
        <v>4.0278738932649646E-2</v>
      </c>
      <c r="BS41" s="17">
        <v>2.2929744289866914E-2</v>
      </c>
      <c r="BT41" s="17">
        <v>3.4858514348684526E-2</v>
      </c>
    </row>
    <row r="42" spans="1:72" x14ac:dyDescent="0.25">
      <c r="A42" s="667" t="s">
        <v>189</v>
      </c>
      <c r="B42" s="704">
        <v>11.7</v>
      </c>
      <c r="C42" s="705">
        <v>6.1</v>
      </c>
      <c r="D42" s="706">
        <v>88.483880668602993</v>
      </c>
      <c r="E42" s="944">
        <v>227.3</v>
      </c>
      <c r="G42" s="47">
        <v>1</v>
      </c>
      <c r="H42" s="88">
        <f t="shared" si="3"/>
        <v>6.1</v>
      </c>
      <c r="I42" s="88">
        <f t="shared" si="4"/>
        <v>88.483880668602993</v>
      </c>
      <c r="J42" s="86">
        <f t="shared" si="5"/>
        <v>227.3</v>
      </c>
      <c r="L42" s="946">
        <f t="shared" si="1"/>
        <v>11.7</v>
      </c>
      <c r="S42" s="946">
        <v>11.778733948462611</v>
      </c>
      <c r="U42" s="946">
        <f t="shared" si="2"/>
        <v>-7.8733948462611281E-2</v>
      </c>
      <c r="W42" s="17">
        <v>9.6807971199379256E-3</v>
      </c>
      <c r="X42" s="17">
        <v>-7.2238027171214955E-3</v>
      </c>
      <c r="Y42" s="17">
        <v>1.4434796295073587E-2</v>
      </c>
      <c r="Z42" s="17">
        <v>4.7439410585432776E-3</v>
      </c>
      <c r="AA42" s="17">
        <v>1.1102518720708617E-2</v>
      </c>
      <c r="AB42" s="17">
        <v>2.9562850588401912E-2</v>
      </c>
      <c r="AC42" s="17">
        <v>3.6416683738623855E-2</v>
      </c>
      <c r="AD42" s="17">
        <v>-1.1811483816291261E-2</v>
      </c>
      <c r="AE42" s="17">
        <v>-1.2021585944154846E-2</v>
      </c>
      <c r="AF42" s="17">
        <v>5.7826868904834339E-3</v>
      </c>
      <c r="AG42" s="17">
        <v>2.4425577058675388E-2</v>
      </c>
      <c r="AH42" s="17">
        <v>3.907724804789911E-2</v>
      </c>
      <c r="AI42" s="17">
        <v>6.2786099878122982E-3</v>
      </c>
      <c r="AJ42" s="17">
        <v>2.6265143232800634E-2</v>
      </c>
      <c r="AK42" s="17">
        <v>3.679198332230104E-2</v>
      </c>
      <c r="AL42" s="17">
        <v>1.650460323235927E-2</v>
      </c>
      <c r="AM42" s="17">
        <v>3.1362380738657283E-2</v>
      </c>
      <c r="AN42" s="17">
        <v>-2.0719776364858923E-2</v>
      </c>
      <c r="AO42" s="17">
        <v>5.221288686720945E-2</v>
      </c>
      <c r="AP42" s="17">
        <v>-8.9275507871584905E-3</v>
      </c>
      <c r="AQ42" s="17">
        <v>2.2359211961715052E-2</v>
      </c>
      <c r="AR42" s="17">
        <v>6.2493555488938556E-3</v>
      </c>
      <c r="AS42" s="17">
        <v>3.6111159970804718E-2</v>
      </c>
      <c r="AT42" s="17">
        <v>1.9744520319833286E-2</v>
      </c>
      <c r="AU42" s="17">
        <v>1.0086147632379881E-2</v>
      </c>
      <c r="AV42" s="17">
        <v>3.5401119737317251E-2</v>
      </c>
      <c r="AW42" s="17">
        <v>3.4515740185686532E-2</v>
      </c>
      <c r="AX42" s="17">
        <v>-1.2832170806823001E-2</v>
      </c>
      <c r="AY42" s="17">
        <v>5.0519081888752752E-2</v>
      </c>
      <c r="AZ42" s="17">
        <v>2.8858965602538311E-2</v>
      </c>
      <c r="BA42" s="17">
        <v>-2.6403046946828004E-3</v>
      </c>
      <c r="BB42" s="17">
        <v>1.9865343010451071E-2</v>
      </c>
      <c r="BC42" s="17">
        <v>1.0189734930960447E-2</v>
      </c>
      <c r="BD42" s="17">
        <v>4.9724785190193445E-2</v>
      </c>
      <c r="BE42" s="17">
        <v>2.5025376905021261E-2</v>
      </c>
      <c r="BF42" s="17">
        <v>8.0283452202437981E-3</v>
      </c>
      <c r="BG42" s="17">
        <v>3.5885515174567187E-2</v>
      </c>
      <c r="BH42" s="17">
        <v>1.840194265556646E-2</v>
      </c>
      <c r="BI42" s="17">
        <v>4.0283054370710704E-2</v>
      </c>
      <c r="BJ42" s="17">
        <v>-2.2808988362723943E-2</v>
      </c>
      <c r="BK42" s="17">
        <v>4.4377514379677296E-2</v>
      </c>
      <c r="BL42" s="17">
        <v>-1.7520108440258406E-2</v>
      </c>
      <c r="BM42" s="17">
        <v>1.1230751512479327E-2</v>
      </c>
      <c r="BN42" s="17">
        <v>4.2360871422117669E-2</v>
      </c>
      <c r="BO42" s="17">
        <v>5.3104582003408209E-2</v>
      </c>
      <c r="BP42" s="17">
        <v>3.1029400434913659E-2</v>
      </c>
      <c r="BQ42" s="17">
        <v>3.1726379753854776E-2</v>
      </c>
      <c r="BR42" s="17">
        <v>3.4449413678381224E-2</v>
      </c>
      <c r="BS42" s="17">
        <v>3.37772375807497E-2</v>
      </c>
      <c r="BT42" s="17">
        <v>3.855751396337477E-2</v>
      </c>
    </row>
    <row r="43" spans="1:72" x14ac:dyDescent="0.25">
      <c r="A43" s="667" t="s">
        <v>190</v>
      </c>
      <c r="B43" s="704">
        <v>15.7</v>
      </c>
      <c r="C43" s="705">
        <v>8.4</v>
      </c>
      <c r="D43" s="706">
        <v>68.748136077503446</v>
      </c>
      <c r="E43" s="944">
        <v>788.3</v>
      </c>
      <c r="G43" s="47">
        <v>1</v>
      </c>
      <c r="H43" s="88">
        <f t="shared" si="3"/>
        <v>8.4</v>
      </c>
      <c r="I43" s="88">
        <f t="shared" si="4"/>
        <v>68.748136077503446</v>
      </c>
      <c r="J43" s="86">
        <f t="shared" si="5"/>
        <v>788.3</v>
      </c>
      <c r="L43" s="946">
        <f t="shared" si="1"/>
        <v>15.7</v>
      </c>
      <c r="S43" s="946">
        <v>14.80180620713495</v>
      </c>
      <c r="U43" s="946">
        <f t="shared" si="2"/>
        <v>0.89819379286504919</v>
      </c>
      <c r="W43" s="17">
        <v>4.1963807164930506E-2</v>
      </c>
      <c r="X43" s="17">
        <v>7.6609516043330342E-2</v>
      </c>
      <c r="Y43" s="17">
        <v>3.2109315771106955E-2</v>
      </c>
      <c r="Z43" s="17">
        <v>5.3305751876194796E-2</v>
      </c>
      <c r="AA43" s="17">
        <v>3.7202719519719901E-2</v>
      </c>
      <c r="AB43" s="17">
        <v>-1.0392442805640112E-4</v>
      </c>
      <c r="AC43" s="17">
        <v>-1.5019025816111517E-2</v>
      </c>
      <c r="AD43" s="17">
        <v>8.7630576372723853E-2</v>
      </c>
      <c r="AE43" s="17">
        <v>8.8127907607180186E-2</v>
      </c>
      <c r="AF43" s="17">
        <v>4.9054672662880758E-2</v>
      </c>
      <c r="AG43" s="17">
        <v>3.7289399333502449E-3</v>
      </c>
      <c r="AH43" s="17">
        <v>-1.9109441830295212E-2</v>
      </c>
      <c r="AI43" s="17">
        <v>4.9130349133226399E-2</v>
      </c>
      <c r="AJ43" s="17">
        <v>8.0830985423188881E-3</v>
      </c>
      <c r="AK43" s="17">
        <v>-1.5317596536454127E-2</v>
      </c>
      <c r="AL43" s="17">
        <v>2.8383967343822147E-2</v>
      </c>
      <c r="AM43" s="17">
        <v>-2.8333479036697223E-3</v>
      </c>
      <c r="AN43" s="17">
        <v>0.10642968670066957</v>
      </c>
      <c r="AO43" s="17">
        <v>-4.7134266158180199E-2</v>
      </c>
      <c r="AP43" s="17">
        <v>8.0045441353423286E-2</v>
      </c>
      <c r="AQ43" s="17">
        <v>1.4263577161023583E-2</v>
      </c>
      <c r="AR43" s="17">
        <v>4.9492475282610526E-2</v>
      </c>
      <c r="AS43" s="17">
        <v>-1.4409864728104462E-2</v>
      </c>
      <c r="AT43" s="17">
        <v>2.0298635920155544E-2</v>
      </c>
      <c r="AU43" s="17">
        <v>4.1783165484524647E-2</v>
      </c>
      <c r="AV43" s="17">
        <v>-1.2374142361301934E-2</v>
      </c>
      <c r="AW43" s="17">
        <v>-1.0505056663126688E-2</v>
      </c>
      <c r="AX43" s="17">
        <v>8.9439391636573468E-2</v>
      </c>
      <c r="AY43" s="17">
        <v>-4.3757546946696146E-2</v>
      </c>
      <c r="AZ43" s="17">
        <v>-3.3093468622785727E-4</v>
      </c>
      <c r="BA43" s="17">
        <v>6.7769171229904196E-2</v>
      </c>
      <c r="BB43" s="17">
        <v>1.8549732391828357E-2</v>
      </c>
      <c r="BC43" s="17">
        <v>4.0683375925874218E-2</v>
      </c>
      <c r="BD43" s="17">
        <v>-4.2727234506210063E-2</v>
      </c>
      <c r="BE43" s="17">
        <v>1.0221081216096946E-2</v>
      </c>
      <c r="BF43" s="17">
        <v>4.5712217764661334E-2</v>
      </c>
      <c r="BG43" s="17">
        <v>-1.3622205308610028E-2</v>
      </c>
      <c r="BH43" s="17">
        <v>2.4264407517757876E-2</v>
      </c>
      <c r="BI43" s="17">
        <v>-2.2808988362723853E-2</v>
      </c>
      <c r="BJ43" s="17">
        <v>0.11043230646670174</v>
      </c>
      <c r="BK43" s="17">
        <v>-3.107197559757692E-2</v>
      </c>
      <c r="BL43" s="17">
        <v>0.10072518337584561</v>
      </c>
      <c r="BM43" s="17">
        <v>3.8323102870401214E-2</v>
      </c>
      <c r="BN43" s="17">
        <v>-2.7307627336750413E-2</v>
      </c>
      <c r="BO43" s="17">
        <v>-4.9507317870767141E-2</v>
      </c>
      <c r="BP43" s="17">
        <v>-4.3400694426259517E-3</v>
      </c>
      <c r="BQ43" s="17">
        <v>-5.9409577552999165E-3</v>
      </c>
      <c r="BR43" s="17">
        <v>-8.9173146382655333E-3</v>
      </c>
      <c r="BS43" s="17">
        <v>-8.654462503296198E-3</v>
      </c>
      <c r="BT43" s="17">
        <v>-1.7970272888482589E-2</v>
      </c>
    </row>
    <row r="44" spans="1:72" x14ac:dyDescent="0.25">
      <c r="A44" s="667" t="s">
        <v>191</v>
      </c>
      <c r="B44" s="704">
        <v>12.5</v>
      </c>
      <c r="C44" s="705">
        <v>6.9</v>
      </c>
      <c r="D44" s="706">
        <v>88.189790025789804</v>
      </c>
      <c r="E44" s="944">
        <v>169.2</v>
      </c>
      <c r="G44" s="47">
        <v>1</v>
      </c>
      <c r="H44" s="88">
        <f t="shared" si="3"/>
        <v>6.9</v>
      </c>
      <c r="I44" s="88">
        <f t="shared" si="4"/>
        <v>88.189790025789804</v>
      </c>
      <c r="J44" s="86">
        <f t="shared" si="5"/>
        <v>169.2</v>
      </c>
      <c r="L44" s="946">
        <f t="shared" si="1"/>
        <v>12.5</v>
      </c>
      <c r="S44" s="946">
        <v>12.708957171550225</v>
      </c>
      <c r="U44" s="946">
        <f t="shared" si="2"/>
        <v>-0.20895717155022453</v>
      </c>
      <c r="W44" s="17">
        <v>3.6005073456287368E-2</v>
      </c>
      <c r="X44" s="17">
        <v>-2.6273647816068967E-2</v>
      </c>
      <c r="Y44" s="17">
        <v>2.8943070557205415E-3</v>
      </c>
      <c r="Z44" s="17">
        <v>1.8297723436888028E-2</v>
      </c>
      <c r="AA44" s="17">
        <v>-2.3191022820383784E-2</v>
      </c>
      <c r="AB44" s="17">
        <v>1.890938126265107E-2</v>
      </c>
      <c r="AC44" s="17">
        <v>3.9507669357442467E-2</v>
      </c>
      <c r="AD44" s="17">
        <v>-1.3591606358392214E-2</v>
      </c>
      <c r="AE44" s="17">
        <v>-2.992729101730237E-2</v>
      </c>
      <c r="AF44" s="17">
        <v>1.6001125800271111E-2</v>
      </c>
      <c r="AG44" s="17">
        <v>1.5770490507701407E-2</v>
      </c>
      <c r="AH44" s="17">
        <v>5.2125063966866461E-2</v>
      </c>
      <c r="AI44" s="17">
        <v>2.9457367769473858E-3</v>
      </c>
      <c r="AJ44" s="17">
        <v>4.8314760521352897E-2</v>
      </c>
      <c r="AK44" s="17">
        <v>2.2145625510074263E-2</v>
      </c>
      <c r="AL44" s="17">
        <v>1.7005817759449104E-2</v>
      </c>
      <c r="AM44" s="17">
        <v>4.9577260962965622E-2</v>
      </c>
      <c r="AN44" s="17">
        <v>-3.9471651342399636E-3</v>
      </c>
      <c r="AO44" s="17">
        <v>6.7804029953399958E-2</v>
      </c>
      <c r="AP44" s="17">
        <v>-1.1628708830769517E-2</v>
      </c>
      <c r="AQ44" s="17">
        <v>-7.2834159794918293E-3</v>
      </c>
      <c r="AR44" s="17">
        <v>4.1600604031866474E-3</v>
      </c>
      <c r="AS44" s="17">
        <v>2.309935899993202E-2</v>
      </c>
      <c r="AT44" s="17">
        <v>7.9767214156434646E-2</v>
      </c>
      <c r="AU44" s="17">
        <v>1.0548224784506736E-2</v>
      </c>
      <c r="AV44" s="17">
        <v>3.0802587076315894E-2</v>
      </c>
      <c r="AW44" s="17">
        <v>2.6050268040151862E-2</v>
      </c>
      <c r="AX44" s="17">
        <v>-4.5248717061466145E-2</v>
      </c>
      <c r="AY44" s="17">
        <v>6.1831721028149676E-2</v>
      </c>
      <c r="AZ44" s="17">
        <v>1.632819915380166E-2</v>
      </c>
      <c r="BA44" s="17">
        <v>-3.6536104731252607E-2</v>
      </c>
      <c r="BB44" s="17">
        <v>2.0705150431866793E-3</v>
      </c>
      <c r="BC44" s="17">
        <v>2.2816483807493994E-2</v>
      </c>
      <c r="BD44" s="17">
        <v>5.6348429978905941E-2</v>
      </c>
      <c r="BE44" s="17">
        <v>4.3450776579803153E-2</v>
      </c>
      <c r="BF44" s="17">
        <v>1.6886925547248278E-2</v>
      </c>
      <c r="BG44" s="17">
        <v>2.7134262740506437E-2</v>
      </c>
      <c r="BH44" s="17">
        <v>2.8448823120774378E-2</v>
      </c>
      <c r="BI44" s="17">
        <v>4.4377514379677213E-2</v>
      </c>
      <c r="BJ44" s="17">
        <v>-3.1071975597577232E-2</v>
      </c>
      <c r="BK44" s="17">
        <v>6.3957269303740058E-2</v>
      </c>
      <c r="BL44" s="17">
        <v>-1.848765702653745E-2</v>
      </c>
      <c r="BM44" s="17">
        <v>-5.3793534485506826E-3</v>
      </c>
      <c r="BN44" s="17">
        <v>3.2281668272257806E-2</v>
      </c>
      <c r="BO44" s="17">
        <v>5.7192437193985854E-2</v>
      </c>
      <c r="BP44" s="17">
        <v>4.5009582940123499E-2</v>
      </c>
      <c r="BQ44" s="17">
        <v>8.2150512784176094E-3</v>
      </c>
      <c r="BR44" s="17">
        <v>5.2998338108271516E-2</v>
      </c>
      <c r="BS44" s="17">
        <v>3.7148619188640437E-2</v>
      </c>
      <c r="BT44" s="17">
        <v>5.4338268368507213E-2</v>
      </c>
    </row>
    <row r="45" spans="1:72" x14ac:dyDescent="0.25">
      <c r="A45" s="667" t="s">
        <v>192</v>
      </c>
      <c r="B45" s="704">
        <v>15.5</v>
      </c>
      <c r="C45" s="705">
        <v>8.6999999999999993</v>
      </c>
      <c r="D45" s="706">
        <v>80.371971305033981</v>
      </c>
      <c r="E45" s="944">
        <v>753.3</v>
      </c>
      <c r="G45" s="47">
        <v>1</v>
      </c>
      <c r="H45" s="88">
        <f t="shared" si="3"/>
        <v>8.6999999999999993</v>
      </c>
      <c r="I45" s="88">
        <f t="shared" si="4"/>
        <v>80.371971305033981</v>
      </c>
      <c r="J45" s="86">
        <f t="shared" si="5"/>
        <v>753.3</v>
      </c>
      <c r="L45" s="946">
        <f t="shared" si="1"/>
        <v>15.5</v>
      </c>
      <c r="S45" s="946">
        <v>15.558122806587686</v>
      </c>
      <c r="U45" s="946">
        <f t="shared" si="2"/>
        <v>-5.8122806587686426E-2</v>
      </c>
      <c r="W45" s="17">
        <v>4.1289174948893378E-2</v>
      </c>
      <c r="X45" s="17">
        <v>5.4637003999787215E-2</v>
      </c>
      <c r="Y45" s="17">
        <v>3.7804729979022539E-2</v>
      </c>
      <c r="Z45" s="17">
        <v>6.8777008950237833E-2</v>
      </c>
      <c r="AA45" s="17">
        <v>7.6023039257119007E-3</v>
      </c>
      <c r="AB45" s="17">
        <v>4.4392935816421966E-3</v>
      </c>
      <c r="AC45" s="17">
        <v>-1.750167205207788E-2</v>
      </c>
      <c r="AD45" s="17">
        <v>8.8076081029151196E-2</v>
      </c>
      <c r="AE45" s="17">
        <v>9.0271859542991412E-2</v>
      </c>
      <c r="AF45" s="17">
        <v>2.7306987512050827E-2</v>
      </c>
      <c r="AG45" s="17">
        <v>-0.12143731211287739</v>
      </c>
      <c r="AH45" s="17">
        <v>6.5465286045070514E-3</v>
      </c>
      <c r="AI45" s="17">
        <v>4.869398198796325E-2</v>
      </c>
      <c r="AJ45" s="17">
        <v>3.2618136896780538E-2</v>
      </c>
      <c r="AK45" s="17">
        <v>-7.8246499923602143E-3</v>
      </c>
      <c r="AL45" s="17">
        <v>4.5829080273397778E-2</v>
      </c>
      <c r="AM45" s="17">
        <v>2.0366754083601613E-2</v>
      </c>
      <c r="AN45" s="17">
        <v>0.10353475802572459</v>
      </c>
      <c r="AO45" s="17">
        <v>-2.3554350902396368E-2</v>
      </c>
      <c r="AP45" s="17">
        <v>5.3905988174821062E-2</v>
      </c>
      <c r="AQ45" s="17">
        <v>2.4663082747440473E-3</v>
      </c>
      <c r="AR45" s="17">
        <v>5.4483568144010702E-2</v>
      </c>
      <c r="AS45" s="17">
        <v>-1.6859309147169467E-2</v>
      </c>
      <c r="AT45" s="17">
        <v>1.2965005232484561E-2</v>
      </c>
      <c r="AU45" s="17">
        <v>5.4797307918143287E-2</v>
      </c>
      <c r="AV45" s="17">
        <v>-5.5916814954558303E-3</v>
      </c>
      <c r="AW45" s="17">
        <v>-3.7697615222728464E-3</v>
      </c>
      <c r="AX45" s="17">
        <v>8.4752036086460869E-2</v>
      </c>
      <c r="AY45" s="17">
        <v>-2.4056834771087179E-2</v>
      </c>
      <c r="AZ45" s="17">
        <v>-2.7216255384506807E-2</v>
      </c>
      <c r="BA45" s="17">
        <v>6.2990823936844881E-2</v>
      </c>
      <c r="BB45" s="17">
        <v>-1.2365228156457171E-2</v>
      </c>
      <c r="BC45" s="17">
        <v>3.7026597676893092E-2</v>
      </c>
      <c r="BD45" s="17">
        <v>-3.4836508348894332E-2</v>
      </c>
      <c r="BE45" s="17">
        <v>2.5838329897970948E-2</v>
      </c>
      <c r="BF45" s="17">
        <v>5.019442373941882E-2</v>
      </c>
      <c r="BG45" s="17">
        <v>-1.0639367521716837E-2</v>
      </c>
      <c r="BH45" s="17">
        <v>3.9662081306771221E-2</v>
      </c>
      <c r="BI45" s="17">
        <v>-1.7520108440258433E-2</v>
      </c>
      <c r="BJ45" s="17">
        <v>0.10072518337584546</v>
      </c>
      <c r="BK45" s="17">
        <v>-1.8487657026537027E-2</v>
      </c>
      <c r="BL45" s="17">
        <v>0.11872410803438913</v>
      </c>
      <c r="BM45" s="17">
        <v>3.3358838373423419E-2</v>
      </c>
      <c r="BN45" s="17">
        <v>-2.2852127734226142E-2</v>
      </c>
      <c r="BO45" s="17">
        <v>-3.4120069018248489E-2</v>
      </c>
      <c r="BP45" s="17">
        <v>-2.1444992711213084E-2</v>
      </c>
      <c r="BQ45" s="17">
        <v>-2.3444001914719449E-2</v>
      </c>
      <c r="BR45" s="17">
        <v>2.2993965886667252E-2</v>
      </c>
      <c r="BS45" s="17">
        <v>2.6563969065423326E-3</v>
      </c>
      <c r="BT45" s="17">
        <v>8.1872419455797235E-3</v>
      </c>
    </row>
    <row r="46" spans="1:72" x14ac:dyDescent="0.25">
      <c r="A46" s="667" t="s">
        <v>193</v>
      </c>
      <c r="B46" s="704">
        <v>15.8</v>
      </c>
      <c r="C46" s="705">
        <v>6.2</v>
      </c>
      <c r="D46" s="706">
        <v>82.402677784750395</v>
      </c>
      <c r="E46" s="944">
        <v>510.6</v>
      </c>
      <c r="G46" s="47">
        <v>1</v>
      </c>
      <c r="H46" s="88">
        <f t="shared" si="3"/>
        <v>6.2</v>
      </c>
      <c r="I46" s="88">
        <f t="shared" si="4"/>
        <v>82.402677784750395</v>
      </c>
      <c r="J46" s="86">
        <f t="shared" si="5"/>
        <v>510.6</v>
      </c>
      <c r="L46" s="946">
        <f t="shared" si="1"/>
        <v>15.8</v>
      </c>
      <c r="S46" s="946">
        <v>12.088470187680514</v>
      </c>
      <c r="U46" s="946">
        <f t="shared" si="2"/>
        <v>3.7115298123194869</v>
      </c>
      <c r="W46" s="17">
        <v>-5.8366695403571922E-3</v>
      </c>
      <c r="X46" s="17">
        <v>4.4095670163727549E-2</v>
      </c>
      <c r="Y46" s="17">
        <v>3.4724318817791609E-2</v>
      </c>
      <c r="Z46" s="17">
        <v>1.1653437548812644E-2</v>
      </c>
      <c r="AA46" s="17">
        <v>5.4682057670271011E-2</v>
      </c>
      <c r="AB46" s="17">
        <v>2.9737733690948332E-2</v>
      </c>
      <c r="AC46" s="17">
        <v>1.2106697948778139E-2</v>
      </c>
      <c r="AD46" s="17">
        <v>3.0091295728605291E-2</v>
      </c>
      <c r="AE46" s="17">
        <v>4.7779129192504072E-2</v>
      </c>
      <c r="AF46" s="17">
        <v>9.2817592826439956E-3</v>
      </c>
      <c r="AG46" s="17">
        <v>9.0266569097149918E-3</v>
      </c>
      <c r="AH46" s="17">
        <v>5.0108853595311684E-3</v>
      </c>
      <c r="AI46" s="17">
        <v>2.7020108026972689E-2</v>
      </c>
      <c r="AJ46" s="17">
        <v>-1.595259216777889E-3</v>
      </c>
      <c r="AK46" s="17">
        <v>3.2649700055501288E-2</v>
      </c>
      <c r="AL46" s="17">
        <v>2.3022522934606993E-2</v>
      </c>
      <c r="AM46" s="17">
        <v>1.0332284903684583E-3</v>
      </c>
      <c r="AN46" s="17">
        <v>1.18601218219734E-2</v>
      </c>
      <c r="AO46" s="17">
        <v>-1.3941158998602016E-3</v>
      </c>
      <c r="AP46" s="17">
        <v>2.6276993645179547E-2</v>
      </c>
      <c r="AQ46" s="17">
        <v>4.9529795858480816E-2</v>
      </c>
      <c r="AR46" s="17">
        <v>2.6518988611277695E-2</v>
      </c>
      <c r="AS46" s="17">
        <v>2.9539226248800173E-2</v>
      </c>
      <c r="AT46" s="17">
        <v>-4.5728314429685751E-2</v>
      </c>
      <c r="AU46" s="17">
        <v>2.4021353579897237E-2</v>
      </c>
      <c r="AV46" s="17">
        <v>2.2069438509211895E-2</v>
      </c>
      <c r="AW46" s="17">
        <v>2.6454146801593949E-2</v>
      </c>
      <c r="AX46" s="17">
        <v>6.2573734487780905E-2</v>
      </c>
      <c r="AY46" s="17">
        <v>3.0530672689766114E-3</v>
      </c>
      <c r="AZ46" s="17">
        <v>2.7125995295774266E-2</v>
      </c>
      <c r="BA46" s="17">
        <v>6.1556847881525323E-2</v>
      </c>
      <c r="BB46" s="17">
        <v>3.4471892535307913E-2</v>
      </c>
      <c r="BC46" s="17">
        <v>8.3350074277198458E-3</v>
      </c>
      <c r="BD46" s="17">
        <v>6.4986296423347051E-3</v>
      </c>
      <c r="BE46" s="17">
        <v>1.2595629959520072E-3</v>
      </c>
      <c r="BF46" s="17">
        <v>1.4192232280197854E-2</v>
      </c>
      <c r="BG46" s="17">
        <v>2.5838313110935346E-2</v>
      </c>
      <c r="BH46" s="17">
        <v>1.1940741864540833E-2</v>
      </c>
      <c r="BI46" s="17">
        <v>1.1230751512479396E-2</v>
      </c>
      <c r="BJ46" s="17">
        <v>3.8323102870401277E-2</v>
      </c>
      <c r="BK46" s="17">
        <v>-5.3793534485504363E-3</v>
      </c>
      <c r="BL46" s="17">
        <v>3.3358838373423877E-2</v>
      </c>
      <c r="BM46" s="17">
        <v>3.937012847055478E-2</v>
      </c>
      <c r="BN46" s="17">
        <v>2.5844817171795681E-2</v>
      </c>
      <c r="BO46" s="17">
        <v>9.5178380601595863E-3</v>
      </c>
      <c r="BP46" s="17">
        <v>-4.9264184822216117E-4</v>
      </c>
      <c r="BQ46" s="17">
        <v>3.9663219467204081E-2</v>
      </c>
      <c r="BR46" s="17">
        <v>1.2210303620550852E-3</v>
      </c>
      <c r="BS46" s="17">
        <v>1.4589757206280356E-2</v>
      </c>
      <c r="BT46" s="17">
        <v>2.275579200868065E-3</v>
      </c>
    </row>
    <row r="47" spans="1:72" x14ac:dyDescent="0.25">
      <c r="A47" s="667" t="s">
        <v>194</v>
      </c>
      <c r="B47" s="704">
        <v>9.6</v>
      </c>
      <c r="C47" s="705">
        <v>5.0999999999999996</v>
      </c>
      <c r="D47" s="706">
        <v>92.915461931338129</v>
      </c>
      <c r="E47" s="944">
        <v>234.8</v>
      </c>
      <c r="G47" s="47">
        <v>1</v>
      </c>
      <c r="H47" s="88">
        <f t="shared" si="3"/>
        <v>5.0999999999999996</v>
      </c>
      <c r="I47" s="88">
        <f t="shared" si="4"/>
        <v>92.915461931338129</v>
      </c>
      <c r="J47" s="86">
        <f t="shared" si="5"/>
        <v>234.8</v>
      </c>
      <c r="L47" s="946">
        <f t="shared" si="1"/>
        <v>9.6</v>
      </c>
      <c r="S47" s="946">
        <v>10.671011249440689</v>
      </c>
      <c r="U47" s="946">
        <f t="shared" si="2"/>
        <v>-1.0710112494406889</v>
      </c>
      <c r="W47" s="17">
        <v>-2.1704570721193757E-2</v>
      </c>
      <c r="X47" s="17">
        <v>1.6238169183573001E-3</v>
      </c>
      <c r="Y47" s="17">
        <v>2.6592798332099328E-2</v>
      </c>
      <c r="Z47" s="17">
        <v>-1.0855069122513624E-2</v>
      </c>
      <c r="AA47" s="17">
        <v>3.9797818735169271E-2</v>
      </c>
      <c r="AB47" s="17">
        <v>4.4576829670163957E-2</v>
      </c>
      <c r="AC47" s="17">
        <v>3.6961764927560259E-2</v>
      </c>
      <c r="AD47" s="17">
        <v>-1.8312033828523713E-2</v>
      </c>
      <c r="AE47" s="17">
        <v>-7.8320012799876909E-4</v>
      </c>
      <c r="AF47" s="17">
        <v>-1.3511984586186396E-2</v>
      </c>
      <c r="AG47" s="17">
        <v>9.4749664453336185E-3</v>
      </c>
      <c r="AH47" s="17">
        <v>3.5293509967612678E-2</v>
      </c>
      <c r="AI47" s="17">
        <v>6.1222249738915463E-3</v>
      </c>
      <c r="AJ47" s="17">
        <v>9.0819186160297147E-3</v>
      </c>
      <c r="AK47" s="17">
        <v>5.8663158925531318E-2</v>
      </c>
      <c r="AL47" s="17">
        <v>1.8580576685539391E-2</v>
      </c>
      <c r="AM47" s="17">
        <v>1.9421457164491857E-2</v>
      </c>
      <c r="AN47" s="17">
        <v>-5.036162264892674E-2</v>
      </c>
      <c r="AO47" s="17">
        <v>4.8771175189027099E-2</v>
      </c>
      <c r="AP47" s="17">
        <v>-1.9075643116582663E-2</v>
      </c>
      <c r="AQ47" s="17">
        <v>5.2663011638971399E-2</v>
      </c>
      <c r="AR47" s="17">
        <v>5.8452646785483349E-3</v>
      </c>
      <c r="AS47" s="17">
        <v>5.4005687947756995E-2</v>
      </c>
      <c r="AT47" s="17">
        <v>-4.6767313651331577E-2</v>
      </c>
      <c r="AU47" s="17">
        <v>9.58316991960282E-3</v>
      </c>
      <c r="AV47" s="17">
        <v>4.5882597847376555E-2</v>
      </c>
      <c r="AW47" s="17">
        <v>4.8934881674165105E-2</v>
      </c>
      <c r="AX47" s="17">
        <v>1.2499263254617504E-2</v>
      </c>
      <c r="AY47" s="17">
        <v>5.046319290213476E-2</v>
      </c>
      <c r="AZ47" s="17">
        <v>3.9312693256752504E-2</v>
      </c>
      <c r="BA47" s="17">
        <v>2.7002140285983113E-2</v>
      </c>
      <c r="BB47" s="17">
        <v>3.2786163117649196E-2</v>
      </c>
      <c r="BC47" s="17">
        <v>-6.845132900261305E-3</v>
      </c>
      <c r="BD47" s="17">
        <v>5.2123948697268142E-2</v>
      </c>
      <c r="BE47" s="17">
        <v>9.6150060669265916E-3</v>
      </c>
      <c r="BF47" s="17">
        <v>-3.8495648063570408E-3</v>
      </c>
      <c r="BG47" s="17">
        <v>5.0216135820296229E-2</v>
      </c>
      <c r="BH47" s="17">
        <v>1.0239625956015398E-2</v>
      </c>
      <c r="BI47" s="17">
        <v>4.2360871422117488E-2</v>
      </c>
      <c r="BJ47" s="17">
        <v>-2.7307627336750483E-2</v>
      </c>
      <c r="BK47" s="17">
        <v>3.2281668272257723E-2</v>
      </c>
      <c r="BL47" s="17">
        <v>-2.2852127734225847E-2</v>
      </c>
      <c r="BM47" s="17">
        <v>2.5844817171795497E-2</v>
      </c>
      <c r="BN47" s="17">
        <v>6.0162257505410641E-2</v>
      </c>
      <c r="BO47" s="17">
        <v>6.0679935458350001E-2</v>
      </c>
      <c r="BP47" s="17">
        <v>1.5369956558785904E-2</v>
      </c>
      <c r="BQ47" s="17">
        <v>5.6741215692457818E-2</v>
      </c>
      <c r="BR47" s="17">
        <v>2.4748376372648401E-2</v>
      </c>
      <c r="BS47" s="17">
        <v>3.6122447699241791E-2</v>
      </c>
      <c r="BT47" s="17">
        <v>3.1779544812922778E-2</v>
      </c>
    </row>
    <row r="48" spans="1:72" x14ac:dyDescent="0.25">
      <c r="A48" s="667" t="s">
        <v>195</v>
      </c>
      <c r="B48" s="704">
        <v>10.6</v>
      </c>
      <c r="C48" s="705">
        <v>5.5</v>
      </c>
      <c r="D48" s="706">
        <v>96.408807764739961</v>
      </c>
      <c r="E48" s="944">
        <v>124.3</v>
      </c>
      <c r="G48" s="47">
        <v>1</v>
      </c>
      <c r="H48" s="88">
        <f t="shared" si="3"/>
        <v>5.5</v>
      </c>
      <c r="I48" s="88">
        <f t="shared" si="4"/>
        <v>96.408807764739961</v>
      </c>
      <c r="J48" s="86">
        <f t="shared" si="5"/>
        <v>124.3</v>
      </c>
      <c r="L48" s="946">
        <f t="shared" si="1"/>
        <v>10.6</v>
      </c>
      <c r="S48" s="946">
        <v>11.152585977856385</v>
      </c>
      <c r="U48" s="946">
        <f t="shared" si="2"/>
        <v>-0.55258597785638486</v>
      </c>
      <c r="W48" s="17">
        <v>-5.2064141413142168E-3</v>
      </c>
      <c r="X48" s="17">
        <v>-2.505795895021419E-2</v>
      </c>
      <c r="Y48" s="17">
        <v>1.6600601637084642E-2</v>
      </c>
      <c r="Z48" s="17">
        <v>-3.7356419209636288E-3</v>
      </c>
      <c r="AA48" s="17">
        <v>6.7600339702335206E-3</v>
      </c>
      <c r="AB48" s="17">
        <v>4.0289387495069447E-2</v>
      </c>
      <c r="AC48" s="17">
        <v>4.4620943869332998E-2</v>
      </c>
      <c r="AD48" s="17">
        <v>-3.0496272172953247E-2</v>
      </c>
      <c r="AE48" s="17">
        <v>-2.514325600364457E-2</v>
      </c>
      <c r="AF48" s="17">
        <v>-1.3352362347174082E-2</v>
      </c>
      <c r="AG48" s="17">
        <v>-1.1654477769310626E-2</v>
      </c>
      <c r="AH48" s="17">
        <v>5.5074376945483998E-2</v>
      </c>
      <c r="AI48" s="17">
        <v>-1.1736891933734842E-3</v>
      </c>
      <c r="AJ48" s="17">
        <v>3.1215078930287112E-2</v>
      </c>
      <c r="AK48" s="17">
        <v>5.4175264191624668E-2</v>
      </c>
      <c r="AL48" s="17">
        <v>2.0002129061725899E-2</v>
      </c>
      <c r="AM48" s="17">
        <v>4.0197060813844013E-2</v>
      </c>
      <c r="AN48" s="17">
        <v>-5.184470276502514E-2</v>
      </c>
      <c r="AO48" s="17">
        <v>7.4722549170745223E-2</v>
      </c>
      <c r="AP48" s="17">
        <v>-3.4381897917227733E-2</v>
      </c>
      <c r="AQ48" s="17">
        <v>2.9309344299972569E-2</v>
      </c>
      <c r="AR48" s="17">
        <v>1.8464427249117836E-4</v>
      </c>
      <c r="AS48" s="17">
        <v>4.9260562468156271E-2</v>
      </c>
      <c r="AT48" s="17">
        <v>-1.9308946655304873E-3</v>
      </c>
      <c r="AU48" s="17">
        <v>8.2119165742110846E-3</v>
      </c>
      <c r="AV48" s="17">
        <v>4.8505456259115259E-2</v>
      </c>
      <c r="AW48" s="17">
        <v>4.8294148165298714E-2</v>
      </c>
      <c r="AX48" s="17">
        <v>-2.4100586519834009E-2</v>
      </c>
      <c r="AY48" s="17">
        <v>7.2069214130469683E-2</v>
      </c>
      <c r="AZ48" s="17">
        <v>2.9325035673348307E-2</v>
      </c>
      <c r="BA48" s="17">
        <v>-7.2535267713696797E-3</v>
      </c>
      <c r="BB48" s="17">
        <v>1.5183926147387913E-2</v>
      </c>
      <c r="BC48" s="17">
        <v>-1.0210211735804846E-3</v>
      </c>
      <c r="BD48" s="17">
        <v>6.8362953469374946E-2</v>
      </c>
      <c r="BE48" s="17">
        <v>2.7412767748909855E-2</v>
      </c>
      <c r="BF48" s="17">
        <v>-6.016422727173126E-4</v>
      </c>
      <c r="BG48" s="17">
        <v>4.9344997224536863E-2</v>
      </c>
      <c r="BH48" s="17">
        <v>1.9341741323895573E-2</v>
      </c>
      <c r="BI48" s="17">
        <v>5.3104582003407924E-2</v>
      </c>
      <c r="BJ48" s="17">
        <v>-4.9507317870767439E-2</v>
      </c>
      <c r="BK48" s="17">
        <v>5.7192437193985722E-2</v>
      </c>
      <c r="BL48" s="17">
        <v>-3.4120069018248607E-2</v>
      </c>
      <c r="BM48" s="17">
        <v>9.5178380601592186E-3</v>
      </c>
      <c r="BN48" s="17">
        <v>6.0679935458349904E-2</v>
      </c>
      <c r="BO48" s="17">
        <v>7.7097487511806034E-2</v>
      </c>
      <c r="BP48" s="17">
        <v>2.7634133544983036E-2</v>
      </c>
      <c r="BQ48" s="17">
        <v>4.0545746498573003E-2</v>
      </c>
      <c r="BR48" s="17">
        <v>4.7950771643233345E-2</v>
      </c>
      <c r="BS48" s="17">
        <v>4.4859573087239507E-2</v>
      </c>
      <c r="BT48" s="17">
        <v>5.3535092628917494E-2</v>
      </c>
    </row>
    <row r="49" spans="1:72" x14ac:dyDescent="0.25">
      <c r="A49" s="667" t="s">
        <v>196</v>
      </c>
      <c r="B49" s="704">
        <v>10.199999999999999</v>
      </c>
      <c r="C49" s="705">
        <v>7.1</v>
      </c>
      <c r="D49" s="706">
        <v>73.031896017666924</v>
      </c>
      <c r="E49" s="944">
        <v>269.7</v>
      </c>
      <c r="G49" s="47">
        <v>1</v>
      </c>
      <c r="H49" s="88">
        <f t="shared" si="3"/>
        <v>7.1</v>
      </c>
      <c r="I49" s="88">
        <f t="shared" si="4"/>
        <v>73.031896017666924</v>
      </c>
      <c r="J49" s="86">
        <f t="shared" si="5"/>
        <v>269.7</v>
      </c>
      <c r="L49" s="946">
        <f t="shared" si="1"/>
        <v>10.199999999999999</v>
      </c>
      <c r="S49" s="946">
        <v>12.55705210087239</v>
      </c>
      <c r="U49" s="946">
        <f t="shared" si="2"/>
        <v>-2.3570521008723908</v>
      </c>
      <c r="W49" s="17">
        <v>4.7768171392651548E-2</v>
      </c>
      <c r="X49" s="17">
        <v>3.9413774168464352E-3</v>
      </c>
      <c r="Y49" s="17">
        <v>-3.5831554417971902E-3</v>
      </c>
      <c r="Z49" s="17">
        <v>1.1982344000141677E-2</v>
      </c>
      <c r="AA49" s="17">
        <v>3.3142973187934299E-3</v>
      </c>
      <c r="AB49" s="17">
        <v>7.3100980175422074E-3</v>
      </c>
      <c r="AC49" s="17">
        <v>3.5781015508350056E-2</v>
      </c>
      <c r="AD49" s="17">
        <v>-7.1475474949848905E-4</v>
      </c>
      <c r="AE49" s="17">
        <v>-2.2779986319071355E-2</v>
      </c>
      <c r="AF49" s="17">
        <v>4.7653721034997751E-2</v>
      </c>
      <c r="AG49" s="17">
        <v>0.14369160923558594</v>
      </c>
      <c r="AH49" s="17">
        <v>2.0057471757855577E-2</v>
      </c>
      <c r="AI49" s="17">
        <v>8.5218767457233644E-3</v>
      </c>
      <c r="AJ49" s="17">
        <v>2.5233211514769763E-2</v>
      </c>
      <c r="AK49" s="17">
        <v>3.3036671317408992E-3</v>
      </c>
      <c r="AL49" s="17">
        <v>2.4853184537154162E-4</v>
      </c>
      <c r="AM49" s="17">
        <v>2.4735495410835057E-2</v>
      </c>
      <c r="AN49" s="17">
        <v>2.0950565699750821E-2</v>
      </c>
      <c r="AO49" s="17">
        <v>3.2866597473370278E-2</v>
      </c>
      <c r="AP49" s="17">
        <v>2.7804656001727348E-2</v>
      </c>
      <c r="AQ49" s="17">
        <v>-3.2716515633424842E-3</v>
      </c>
      <c r="AR49" s="17">
        <v>4.3357326719827595E-3</v>
      </c>
      <c r="AS49" s="17">
        <v>1.5446419983813218E-2</v>
      </c>
      <c r="AT49" s="17">
        <v>0.10261047677040706</v>
      </c>
      <c r="AU49" s="17">
        <v>1.2367845346570525E-3</v>
      </c>
      <c r="AV49" s="17">
        <v>1.5823638796677149E-2</v>
      </c>
      <c r="AW49" s="17">
        <v>1.0538645924718881E-2</v>
      </c>
      <c r="AX49" s="17">
        <v>-3.4171512615039479E-2</v>
      </c>
      <c r="AY49" s="17">
        <v>3.0650590177268726E-2</v>
      </c>
      <c r="AZ49" s="17">
        <v>3.7710061754939961E-2</v>
      </c>
      <c r="BA49" s="17">
        <v>-3.0151137077787188E-2</v>
      </c>
      <c r="BB49" s="17">
        <v>3.0285815288263372E-2</v>
      </c>
      <c r="BC49" s="17">
        <v>3.4081254506458943E-2</v>
      </c>
      <c r="BD49" s="17">
        <v>3.6794997491146661E-2</v>
      </c>
      <c r="BE49" s="17">
        <v>2.9405957872612205E-2</v>
      </c>
      <c r="BF49" s="17">
        <v>1.9563647536917333E-2</v>
      </c>
      <c r="BG49" s="17">
        <v>1.4914786672135619E-2</v>
      </c>
      <c r="BH49" s="17">
        <v>1.5413480709295964E-2</v>
      </c>
      <c r="BI49" s="17">
        <v>3.1029400434914096E-2</v>
      </c>
      <c r="BJ49" s="17">
        <v>-4.3400694426257921E-3</v>
      </c>
      <c r="BK49" s="17">
        <v>4.5009582940123798E-2</v>
      </c>
      <c r="BL49" s="17">
        <v>-2.1444992711212987E-2</v>
      </c>
      <c r="BM49" s="17">
        <v>-4.9264184822164422E-4</v>
      </c>
      <c r="BN49" s="17">
        <v>1.5369956558786693E-2</v>
      </c>
      <c r="BO49" s="17">
        <v>2.7634133544983772E-2</v>
      </c>
      <c r="BP49" s="17">
        <v>6.176039597843154E-2</v>
      </c>
      <c r="BQ49" s="17">
        <v>1.5715271983370027E-2</v>
      </c>
      <c r="BR49" s="17">
        <v>1.7714736069024847E-2</v>
      </c>
      <c r="BS49" s="17">
        <v>2.008946236090934E-2</v>
      </c>
      <c r="BT49" s="17">
        <v>2.2649963700712414E-2</v>
      </c>
    </row>
    <row r="50" spans="1:72" x14ac:dyDescent="0.25">
      <c r="A50" s="667" t="s">
        <v>197</v>
      </c>
      <c r="B50" s="704">
        <v>11.3</v>
      </c>
      <c r="C50" s="705">
        <v>4.7</v>
      </c>
      <c r="D50" s="706">
        <v>84.290902250404002</v>
      </c>
      <c r="E50" s="944">
        <v>333.1</v>
      </c>
      <c r="G50" s="47">
        <v>1</v>
      </c>
      <c r="H50" s="88">
        <f t="shared" si="3"/>
        <v>4.7</v>
      </c>
      <c r="I50" s="88">
        <f t="shared" si="4"/>
        <v>84.290902250404002</v>
      </c>
      <c r="J50" s="86">
        <f t="shared" si="5"/>
        <v>333.1</v>
      </c>
      <c r="L50" s="946">
        <f t="shared" si="1"/>
        <v>11.3</v>
      </c>
      <c r="S50" s="946">
        <v>9.9856930226675171</v>
      </c>
      <c r="U50" s="946">
        <f t="shared" si="2"/>
        <v>1.3143069773324836</v>
      </c>
      <c r="W50" s="17">
        <v>-3.2055177694678749E-2</v>
      </c>
      <c r="X50" s="17">
        <v>3.1871773573285321E-2</v>
      </c>
      <c r="Y50" s="17">
        <v>3.0498023220558799E-2</v>
      </c>
      <c r="Z50" s="17">
        <v>-2.3186781796545729E-2</v>
      </c>
      <c r="AA50" s="17">
        <v>7.7669704852394217E-2</v>
      </c>
      <c r="AB50" s="17">
        <v>4.4756468461848685E-2</v>
      </c>
      <c r="AC50" s="17">
        <v>3.2578609866434974E-2</v>
      </c>
      <c r="AD50" s="17">
        <v>-9.3197394372110109E-3</v>
      </c>
      <c r="AE50" s="17">
        <v>1.5483432696116115E-2</v>
      </c>
      <c r="AF50" s="17">
        <v>-1.7918543254725715E-3</v>
      </c>
      <c r="AG50" s="17">
        <v>8.8805119566837842E-2</v>
      </c>
      <c r="AH50" s="17">
        <v>8.0171969891846412E-3</v>
      </c>
      <c r="AI50" s="17">
        <v>1.1695378812398535E-2</v>
      </c>
      <c r="AJ50" s="17">
        <v>-1.8755510946617711E-2</v>
      </c>
      <c r="AK50" s="17">
        <v>5.7195357997292279E-2</v>
      </c>
      <c r="AL50" s="17">
        <v>8.640459716550114E-3</v>
      </c>
      <c r="AM50" s="17">
        <v>-6.9808193718318076E-3</v>
      </c>
      <c r="AN50" s="17">
        <v>-4.6493737609455243E-2</v>
      </c>
      <c r="AO50" s="17">
        <v>1.8006297732511563E-2</v>
      </c>
      <c r="AP50" s="17">
        <v>5.7863991598636894E-3</v>
      </c>
      <c r="AQ50" s="17">
        <v>7.4380655499268783E-2</v>
      </c>
      <c r="AR50" s="17">
        <v>7.4915111268807968E-3</v>
      </c>
      <c r="AS50" s="17">
        <v>5.79222273585034E-2</v>
      </c>
      <c r="AT50" s="17">
        <v>-7.2956688450279791E-2</v>
      </c>
      <c r="AU50" s="17">
        <v>4.0409493565730682E-3</v>
      </c>
      <c r="AV50" s="17">
        <v>4.0070346987888715E-2</v>
      </c>
      <c r="AW50" s="17">
        <v>4.5362430323543403E-2</v>
      </c>
      <c r="AX50" s="17">
        <v>4.0555163597207594E-2</v>
      </c>
      <c r="AY50" s="17">
        <v>2.4689686175618619E-2</v>
      </c>
      <c r="AZ50" s="17">
        <v>5.973681535434984E-2</v>
      </c>
      <c r="BA50" s="17">
        <v>5.3194367389223285E-2</v>
      </c>
      <c r="BB50" s="17">
        <v>6.0713955674309213E-2</v>
      </c>
      <c r="BC50" s="17">
        <v>-8.5082108241777005E-3</v>
      </c>
      <c r="BD50" s="17">
        <v>3.6135215898069596E-2</v>
      </c>
      <c r="BE50" s="17">
        <v>-1.0623111629250146E-2</v>
      </c>
      <c r="BF50" s="17">
        <v>-7.9630773291150588E-3</v>
      </c>
      <c r="BG50" s="17">
        <v>4.8710642511709604E-2</v>
      </c>
      <c r="BH50" s="17">
        <v>-3.8388483714329189E-3</v>
      </c>
      <c r="BI50" s="17">
        <v>3.172637975385513E-2</v>
      </c>
      <c r="BJ50" s="17">
        <v>-5.9409577552993892E-3</v>
      </c>
      <c r="BK50" s="17">
        <v>8.2150512784179772E-3</v>
      </c>
      <c r="BL50" s="17">
        <v>-2.3444001914718446E-2</v>
      </c>
      <c r="BM50" s="17">
        <v>3.966321946720465E-2</v>
      </c>
      <c r="BN50" s="17">
        <v>5.6741215692458477E-2</v>
      </c>
      <c r="BO50" s="17">
        <v>4.0545746498573711E-2</v>
      </c>
      <c r="BP50" s="17">
        <v>1.5715271983369548E-2</v>
      </c>
      <c r="BQ50" s="17">
        <v>7.6329554800437086E-2</v>
      </c>
      <c r="BR50" s="17">
        <v>-7.9291043658062665E-3</v>
      </c>
      <c r="BS50" s="17">
        <v>2.390651227582127E-2</v>
      </c>
      <c r="BT50" s="17">
        <v>2.9364801733438722E-3</v>
      </c>
    </row>
    <row r="51" spans="1:72" x14ac:dyDescent="0.25">
      <c r="A51" s="667" t="s">
        <v>198</v>
      </c>
      <c r="B51" s="950">
        <v>17</v>
      </c>
      <c r="C51" s="705">
        <v>7.4</v>
      </c>
      <c r="D51" s="706">
        <v>94.524786328554711</v>
      </c>
      <c r="E51" s="944">
        <v>275.2</v>
      </c>
      <c r="G51" s="47">
        <v>1</v>
      </c>
      <c r="H51" s="88">
        <f t="shared" si="3"/>
        <v>7.4</v>
      </c>
      <c r="I51" s="88">
        <f t="shared" si="4"/>
        <v>94.524786328554711</v>
      </c>
      <c r="J51" s="86">
        <f t="shared" si="5"/>
        <v>275.2</v>
      </c>
      <c r="L51" s="946">
        <f t="shared" si="1"/>
        <v>17</v>
      </c>
      <c r="S51" s="946">
        <v>13.72945181414045</v>
      </c>
      <c r="U51" s="946">
        <f t="shared" si="2"/>
        <v>3.2705481858595498</v>
      </c>
      <c r="W51" s="17">
        <v>3.3814449776084318E-2</v>
      </c>
      <c r="X51" s="17">
        <v>-2.2124769426122279E-2</v>
      </c>
      <c r="Y51" s="17">
        <v>1.5434205493654166E-2</v>
      </c>
      <c r="Z51" s="17">
        <v>3.8112949251871156E-2</v>
      </c>
      <c r="AA51" s="17">
        <v>-3.3227777365577381E-2</v>
      </c>
      <c r="AB51" s="17">
        <v>2.0108499787496022E-2</v>
      </c>
      <c r="AC51" s="17">
        <v>2.5402206190868193E-2</v>
      </c>
      <c r="AD51" s="17">
        <v>8.4333423269604968E-3</v>
      </c>
      <c r="AE51" s="17">
        <v>-1.0712013926010427E-3</v>
      </c>
      <c r="AF51" s="17">
        <v>2.3995998230148131E-3</v>
      </c>
      <c r="AG51" s="17">
        <v>-9.8044149736477099E-2</v>
      </c>
      <c r="AH51" s="17">
        <v>5.8628724486449291E-2</v>
      </c>
      <c r="AI51" s="17">
        <v>1.2694339200032321E-2</v>
      </c>
      <c r="AJ51" s="17">
        <v>5.9404458883537445E-2</v>
      </c>
      <c r="AK51" s="17">
        <v>2.2514226410265403E-2</v>
      </c>
      <c r="AL51" s="17">
        <v>3.4998936114461879E-2</v>
      </c>
      <c r="AM51" s="17">
        <v>5.7306316667306664E-2</v>
      </c>
      <c r="AN51" s="17">
        <v>1.5014879629424639E-2</v>
      </c>
      <c r="AO51" s="17">
        <v>6.2917612573159698E-2</v>
      </c>
      <c r="AP51" s="17">
        <v>-1.5357066012716136E-2</v>
      </c>
      <c r="AQ51" s="17">
        <v>-1.008973283416156E-2</v>
      </c>
      <c r="AR51" s="17">
        <v>1.8458962953205871E-2</v>
      </c>
      <c r="AS51" s="17">
        <v>1.4368873205679998E-2</v>
      </c>
      <c r="AT51" s="17">
        <v>5.4108338238603296E-2</v>
      </c>
      <c r="AU51" s="17">
        <v>2.8778103241102554E-2</v>
      </c>
      <c r="AV51" s="17">
        <v>2.823759644172074E-2</v>
      </c>
      <c r="AW51" s="17">
        <v>2.5263329681517569E-2</v>
      </c>
      <c r="AX51" s="17">
        <v>-1.7424748644551846E-2</v>
      </c>
      <c r="AY51" s="17">
        <v>5.5910325539616577E-2</v>
      </c>
      <c r="AZ51" s="17">
        <v>-9.9442139593710448E-3</v>
      </c>
      <c r="BA51" s="17">
        <v>-1.50670209949368E-2</v>
      </c>
      <c r="BB51" s="17">
        <v>-2.0227910584228462E-2</v>
      </c>
      <c r="BC51" s="17">
        <v>2.1955784282873689E-2</v>
      </c>
      <c r="BD51" s="17">
        <v>4.1726790495319258E-2</v>
      </c>
      <c r="BE51" s="17">
        <v>4.8421072151703416E-2</v>
      </c>
      <c r="BF51" s="17">
        <v>2.6050125546930453E-2</v>
      </c>
      <c r="BG51" s="17">
        <v>2.2124910622481939E-2</v>
      </c>
      <c r="BH51" s="17">
        <v>4.0278738932649577E-2</v>
      </c>
      <c r="BI51" s="17">
        <v>3.4449413678381488E-2</v>
      </c>
      <c r="BJ51" s="17">
        <v>-8.9173146382654847E-3</v>
      </c>
      <c r="BK51" s="17">
        <v>5.2998338108272133E-2</v>
      </c>
      <c r="BL51" s="17">
        <v>2.2993965886667293E-2</v>
      </c>
      <c r="BM51" s="17">
        <v>1.2210303620549638E-3</v>
      </c>
      <c r="BN51" s="17">
        <v>2.4748376372648651E-2</v>
      </c>
      <c r="BO51" s="17">
        <v>4.7950771643233817E-2</v>
      </c>
      <c r="BP51" s="17">
        <v>1.7714736069025058E-2</v>
      </c>
      <c r="BQ51" s="17">
        <v>-7.9291043658066621E-3</v>
      </c>
      <c r="BR51" s="17">
        <v>6.648748869827184E-2</v>
      </c>
      <c r="BS51" s="17">
        <v>3.7224719559671104E-2</v>
      </c>
      <c r="BT51" s="17">
        <v>6.0768471628598206E-2</v>
      </c>
    </row>
    <row r="52" spans="1:72" x14ac:dyDescent="0.25">
      <c r="A52" s="667" t="s">
        <v>199</v>
      </c>
      <c r="B52" s="704">
        <v>10.4</v>
      </c>
      <c r="C52" s="705">
        <v>6.4</v>
      </c>
      <c r="D52" s="706">
        <v>89.673695670212709</v>
      </c>
      <c r="E52" s="944">
        <v>290.89999999999998</v>
      </c>
      <c r="G52" s="47">
        <v>1</v>
      </c>
      <c r="H52" s="88">
        <f t="shared" si="3"/>
        <v>6.4</v>
      </c>
      <c r="I52" s="88">
        <f t="shared" si="4"/>
        <v>89.673695670212709</v>
      </c>
      <c r="J52" s="86">
        <f t="shared" si="5"/>
        <v>290.89999999999998</v>
      </c>
      <c r="L52" s="946">
        <f t="shared" si="1"/>
        <v>10.4</v>
      </c>
      <c r="S52" s="946">
        <v>12.296174498038807</v>
      </c>
      <c r="U52" s="946">
        <f t="shared" si="2"/>
        <v>-1.8961744980388069</v>
      </c>
      <c r="W52" s="17">
        <v>1.0964437398857906E-2</v>
      </c>
      <c r="X52" s="17">
        <v>-1.9119083286364552E-3</v>
      </c>
      <c r="Y52" s="17">
        <v>1.9449628426586697E-2</v>
      </c>
      <c r="Z52" s="17">
        <v>1.421182668312891E-2</v>
      </c>
      <c r="AA52" s="17">
        <v>8.399058473234744E-3</v>
      </c>
      <c r="AB52" s="17">
        <v>2.8321125775131354E-2</v>
      </c>
      <c r="AC52" s="17">
        <v>2.9039135559920101E-2</v>
      </c>
      <c r="AD52" s="17">
        <v>7.1337388633229554E-4</v>
      </c>
      <c r="AE52" s="17">
        <v>2.6306703473368831E-3</v>
      </c>
      <c r="AF52" s="17">
        <v>3.42748427992484E-3</v>
      </c>
      <c r="AG52" s="17">
        <v>-1.593324022291584E-2</v>
      </c>
      <c r="AH52" s="17">
        <v>3.8618123914598394E-2</v>
      </c>
      <c r="AI52" s="17">
        <v>1.1723179692179743E-2</v>
      </c>
      <c r="AJ52" s="17">
        <v>2.9529623626212195E-2</v>
      </c>
      <c r="AK52" s="17">
        <v>3.4078172603303945E-2</v>
      </c>
      <c r="AL52" s="17">
        <v>2.3301259316227139E-2</v>
      </c>
      <c r="AM52" s="17">
        <v>3.2607598176092462E-2</v>
      </c>
      <c r="AN52" s="17">
        <v>-7.5655289500152698E-3</v>
      </c>
      <c r="AO52" s="17">
        <v>4.5815872574109504E-2</v>
      </c>
      <c r="AP52" s="17">
        <v>-5.8073462356343815E-3</v>
      </c>
      <c r="AQ52" s="17">
        <v>2.0510740323317681E-2</v>
      </c>
      <c r="AR52" s="17">
        <v>1.3300132601572479E-2</v>
      </c>
      <c r="AS52" s="17">
        <v>3.0370399987164447E-2</v>
      </c>
      <c r="AT52" s="17">
        <v>1.1905362275098808E-2</v>
      </c>
      <c r="AU52" s="17">
        <v>1.7954279766472153E-2</v>
      </c>
      <c r="AV52" s="17">
        <v>3.2055866622342014E-2</v>
      </c>
      <c r="AW52" s="17">
        <v>3.1858021301123529E-2</v>
      </c>
      <c r="AX52" s="17">
        <v>1.3369996142172519E-3</v>
      </c>
      <c r="AY52" s="17">
        <v>4.3950251437459641E-2</v>
      </c>
      <c r="AZ52" s="17">
        <v>1.8152755059444872E-2</v>
      </c>
      <c r="BA52" s="17">
        <v>7.7244911898056157E-3</v>
      </c>
      <c r="BB52" s="17">
        <v>1.1835809952015259E-2</v>
      </c>
      <c r="BC52" s="17">
        <v>1.16210994584681E-2</v>
      </c>
      <c r="BD52" s="17">
        <v>4.0176229491618518E-2</v>
      </c>
      <c r="BE52" s="17">
        <v>2.6293471536363581E-2</v>
      </c>
      <c r="BF52" s="17">
        <v>1.3209491770684118E-2</v>
      </c>
      <c r="BG52" s="17">
        <v>3.1545191367423418E-2</v>
      </c>
      <c r="BH52" s="17">
        <v>2.2929744289866591E-2</v>
      </c>
      <c r="BI52" s="17">
        <v>3.3777237580749617E-2</v>
      </c>
      <c r="BJ52" s="17">
        <v>-8.6544625032963229E-3</v>
      </c>
      <c r="BK52" s="17">
        <v>3.7148619188640535E-2</v>
      </c>
      <c r="BL52" s="17">
        <v>2.6563969065423326E-3</v>
      </c>
      <c r="BM52" s="17">
        <v>1.4589757206280144E-2</v>
      </c>
      <c r="BN52" s="17">
        <v>3.6122447699241833E-2</v>
      </c>
      <c r="BO52" s="17">
        <v>4.4859573087239681E-2</v>
      </c>
      <c r="BP52" s="17">
        <v>2.0089462360908868E-2</v>
      </c>
      <c r="BQ52" s="17">
        <v>2.3906512275820701E-2</v>
      </c>
      <c r="BR52" s="17">
        <v>3.7224719559670792E-2</v>
      </c>
      <c r="BS52" s="17">
        <v>3.1736795345798548E-2</v>
      </c>
      <c r="BT52" s="17">
        <v>3.8200056251974826E-2</v>
      </c>
    </row>
    <row r="53" spans="1:72" x14ac:dyDescent="0.25">
      <c r="A53" s="951" t="s">
        <v>200</v>
      </c>
      <c r="B53" s="952">
        <v>9.4</v>
      </c>
      <c r="C53" s="953">
        <v>7</v>
      </c>
      <c r="D53" s="954">
        <v>93.867286940458214</v>
      </c>
      <c r="E53" s="955">
        <v>239.3</v>
      </c>
      <c r="G53" s="346">
        <v>1</v>
      </c>
      <c r="H53" s="347">
        <f t="shared" si="3"/>
        <v>7</v>
      </c>
      <c r="I53" s="347">
        <f t="shared" si="4"/>
        <v>93.867286940458214</v>
      </c>
      <c r="J53" s="348">
        <f t="shared" si="5"/>
        <v>239.3</v>
      </c>
      <c r="L53" s="947">
        <f t="shared" si="1"/>
        <v>9.4</v>
      </c>
      <c r="S53" s="947">
        <v>13.1427872095651</v>
      </c>
      <c r="U53" s="947">
        <f t="shared" si="2"/>
        <v>-3.7427872095650994</v>
      </c>
      <c r="W53" s="17">
        <v>2.7001299991556246E-2</v>
      </c>
      <c r="X53" s="17">
        <v>-2.2273489743722598E-2</v>
      </c>
      <c r="Y53" s="17">
        <v>1.427523381737696E-2</v>
      </c>
      <c r="Z53" s="17">
        <v>2.8171407072507808E-2</v>
      </c>
      <c r="AA53" s="17">
        <v>-2.4040963469329484E-2</v>
      </c>
      <c r="AB53" s="17">
        <v>2.3479396951951708E-2</v>
      </c>
      <c r="AC53" s="17">
        <v>3.0273466192653923E-2</v>
      </c>
      <c r="AD53" s="17">
        <v>-6.6266919418490888E-4</v>
      </c>
      <c r="AE53" s="17">
        <v>-8.1831563765671148E-3</v>
      </c>
      <c r="AF53" s="17">
        <v>1.5866696616672372E-3</v>
      </c>
      <c r="AG53" s="17">
        <v>-6.7458616623045461E-2</v>
      </c>
      <c r="AH53" s="17">
        <v>5.6483809867598385E-2</v>
      </c>
      <c r="AI53" s="17">
        <v>9.2972509687464649E-3</v>
      </c>
      <c r="AJ53" s="17">
        <v>5.2425359767929253E-2</v>
      </c>
      <c r="AK53" s="17">
        <v>2.7931121732954634E-2</v>
      </c>
      <c r="AL53" s="17">
        <v>3.0003805338430341E-2</v>
      </c>
      <c r="AM53" s="17">
        <v>5.268690682847002E-2</v>
      </c>
      <c r="AN53" s="17">
        <v>1.281603009648323E-3</v>
      </c>
      <c r="AO53" s="17">
        <v>6.467988095095864E-2</v>
      </c>
      <c r="AP53" s="17">
        <v>-1.7528632052103612E-2</v>
      </c>
      <c r="AQ53" s="17">
        <v>-2.3061249030834965E-3</v>
      </c>
      <c r="AR53" s="17">
        <v>1.3652410656076724E-2</v>
      </c>
      <c r="AS53" s="17">
        <v>2.1565427141201861E-2</v>
      </c>
      <c r="AT53" s="17">
        <v>4.6647403668350546E-2</v>
      </c>
      <c r="AU53" s="17">
        <v>2.2910732901469638E-2</v>
      </c>
      <c r="AV53" s="17">
        <v>3.1897266708729312E-2</v>
      </c>
      <c r="AW53" s="17">
        <v>2.9257258668447604E-2</v>
      </c>
      <c r="AX53" s="17">
        <v>-2.1062566566681734E-2</v>
      </c>
      <c r="AY53" s="17">
        <v>5.8690405438747838E-2</v>
      </c>
      <c r="AZ53" s="17">
        <v>5.3343395023364854E-4</v>
      </c>
      <c r="BA53" s="17">
        <v>-1.5493966660362742E-2</v>
      </c>
      <c r="BB53" s="17">
        <v>-1.0676425426887896E-2</v>
      </c>
      <c r="BC53" s="17">
        <v>1.8017810540027782E-2</v>
      </c>
      <c r="BD53" s="17">
        <v>4.7622193130133432E-2</v>
      </c>
      <c r="BE53" s="17">
        <v>4.3620557451513019E-2</v>
      </c>
      <c r="BF53" s="17">
        <v>2.0229018339353456E-2</v>
      </c>
      <c r="BG53" s="17">
        <v>2.740000808256484E-2</v>
      </c>
      <c r="BH53" s="17">
        <v>3.4858514348684165E-2</v>
      </c>
      <c r="BI53" s="17">
        <v>3.8557513963374736E-2</v>
      </c>
      <c r="BJ53" s="17">
        <v>-1.7970272888482783E-2</v>
      </c>
      <c r="BK53" s="17">
        <v>5.4338268368507449E-2</v>
      </c>
      <c r="BL53" s="17">
        <v>8.1872419455795362E-3</v>
      </c>
      <c r="BM53" s="17">
        <v>2.2755792008677458E-3</v>
      </c>
      <c r="BN53" s="17">
        <v>3.1779544812922757E-2</v>
      </c>
      <c r="BO53" s="17">
        <v>5.353509262891766E-2</v>
      </c>
      <c r="BP53" s="17">
        <v>2.264996370071224E-2</v>
      </c>
      <c r="BQ53" s="17">
        <v>2.9364801733432712E-3</v>
      </c>
      <c r="BR53" s="17">
        <v>6.0768471628597831E-2</v>
      </c>
      <c r="BS53" s="17">
        <v>3.8200056251974819E-2</v>
      </c>
      <c r="BT53" s="17">
        <v>5.7949018051671977E-2</v>
      </c>
    </row>
  </sheetData>
  <mergeCells count="3">
    <mergeCell ref="G3:J3"/>
    <mergeCell ref="N9:Q9"/>
    <mergeCell ref="N15:Q15"/>
  </mergeCells>
  <pageMargins left="0.7" right="0.7" top="0.75" bottom="0.75" header="0.3" footer="0.3"/>
  <pageSetup paperSize="9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W81"/>
  <sheetViews>
    <sheetView workbookViewId="0"/>
  </sheetViews>
  <sheetFormatPr defaultRowHeight="15" x14ac:dyDescent="0.25"/>
  <cols>
    <col min="1" max="2" width="8.28515625" customWidth="1"/>
    <col min="3" max="3" width="4.85546875" customWidth="1"/>
    <col min="4" max="7" width="5.7109375" customWidth="1"/>
    <col min="8" max="14" width="9.5703125" customWidth="1"/>
  </cols>
  <sheetData>
    <row r="1" spans="1:15" x14ac:dyDescent="0.25">
      <c r="A1" s="1" t="s">
        <v>742</v>
      </c>
    </row>
    <row r="3" spans="1:15" x14ac:dyDescent="0.25">
      <c r="A3" s="17" t="s">
        <v>749</v>
      </c>
    </row>
    <row r="5" spans="1:15" x14ac:dyDescent="0.25">
      <c r="A5" s="99" t="s">
        <v>715</v>
      </c>
      <c r="B5" s="99" t="s">
        <v>214</v>
      </c>
      <c r="E5" s="359" t="s">
        <v>112</v>
      </c>
      <c r="F5" s="359" t="s">
        <v>377</v>
      </c>
      <c r="G5" s="360" t="s">
        <v>378</v>
      </c>
      <c r="H5" s="356" t="s">
        <v>743</v>
      </c>
      <c r="I5" s="356" t="s">
        <v>295</v>
      </c>
      <c r="J5" s="356" t="s">
        <v>744</v>
      </c>
      <c r="K5" s="356" t="s">
        <v>745</v>
      </c>
      <c r="L5" s="356" t="s">
        <v>746</v>
      </c>
      <c r="M5" s="359" t="s">
        <v>747</v>
      </c>
      <c r="N5" s="360" t="s">
        <v>748</v>
      </c>
      <c r="O5" s="731" t="s">
        <v>1577</v>
      </c>
    </row>
    <row r="6" spans="1:15" x14ac:dyDescent="0.25">
      <c r="A6" s="50">
        <v>5</v>
      </c>
      <c r="B6" s="100">
        <v>80</v>
      </c>
      <c r="E6" s="354">
        <v>1</v>
      </c>
      <c r="F6" s="361">
        <f t="shared" ref="F6:F20" si="0">A6</f>
        <v>5</v>
      </c>
      <c r="G6" s="362">
        <f t="shared" ref="G6:G20" si="1">B6</f>
        <v>80</v>
      </c>
      <c r="H6" s="357">
        <f t="shared" ref="H6:H20" si="2">FORECAST(F6,G$6:G$20,F$6:F$20)</f>
        <v>82.579419168662113</v>
      </c>
      <c r="I6" s="357">
        <f>G6-H6</f>
        <v>-2.5794191686621133</v>
      </c>
      <c r="J6" s="357">
        <f t="shared" ref="J6:J20" si="3">1/E$20+(F6-F$22)^2/F$23</f>
        <v>0.16215386504574197</v>
      </c>
      <c r="K6" s="357">
        <f>(I$25-I6^2/((1-J6)*$I$24))*$I$24/($I$24-1)</f>
        <v>68.233438370218394</v>
      </c>
      <c r="L6" s="357">
        <f>I6/SQRT(K6*(1-J6))</f>
        <v>-0.34114668806182424</v>
      </c>
      <c r="M6" s="354">
        <f>TDIST(ABS(L6),$I$24,2)</f>
        <v>0.73844391303179213</v>
      </c>
      <c r="N6" s="355">
        <f t="shared" ref="N6:N20" si="4">(I6^2/I$25)*(J6/(1-J6)^2)/(E$21+1)</f>
        <v>1.2083306344603048E-2</v>
      </c>
      <c r="O6" s="503">
        <f>L6*SQRT(J6/(1-J6))</f>
        <v>-0.15007995006224775</v>
      </c>
    </row>
    <row r="7" spans="1:15" x14ac:dyDescent="0.25">
      <c r="A7" s="50">
        <v>23</v>
      </c>
      <c r="B7" s="50">
        <v>78</v>
      </c>
      <c r="E7" s="273">
        <f>E6+1</f>
        <v>2</v>
      </c>
      <c r="F7" s="256">
        <f t="shared" si="0"/>
        <v>23</v>
      </c>
      <c r="G7" s="36">
        <f t="shared" si="1"/>
        <v>78</v>
      </c>
      <c r="H7" s="7">
        <f t="shared" si="2"/>
        <v>71.271811874501125</v>
      </c>
      <c r="I7" s="7">
        <f t="shared" ref="I7:I17" si="5">G7-H7</f>
        <v>6.7281881254988747</v>
      </c>
      <c r="J7" s="7">
        <f t="shared" si="3"/>
        <v>7.2634616565358884E-2</v>
      </c>
      <c r="K7" s="7">
        <f t="shared" ref="K7:K20" si="6">(I$25-I7^2/((1-J7)*$I$24))*$I$24/($I$24-1)</f>
        <v>64.827352577683612</v>
      </c>
      <c r="L7" s="7">
        <f t="shared" ref="L7:L20" si="7">I7/SQRT(K7*(1-J7))</f>
        <v>0.8677478429535036</v>
      </c>
      <c r="M7" s="6">
        <f t="shared" ref="M7:M20" si="8">TDIST(ABS(L7),$I$24,2)</f>
        <v>0.40126717937513812</v>
      </c>
      <c r="N7" s="8">
        <f t="shared" si="4"/>
        <v>3.0059469800597524E-2</v>
      </c>
      <c r="O7" s="503">
        <f t="shared" ref="O7:O20" si="9">L7*SQRT(J7/(1-J7))</f>
        <v>0.24285101704604017</v>
      </c>
    </row>
    <row r="8" spans="1:15" x14ac:dyDescent="0.25">
      <c r="A8" s="50">
        <v>25</v>
      </c>
      <c r="B8" s="50">
        <v>60</v>
      </c>
      <c r="E8" s="273">
        <f t="shared" ref="E8:E20" si="10">E7+1</f>
        <v>3</v>
      </c>
      <c r="F8" s="256">
        <f t="shared" si="0"/>
        <v>25</v>
      </c>
      <c r="G8" s="36">
        <f t="shared" si="1"/>
        <v>60</v>
      </c>
      <c r="H8" s="7">
        <f t="shared" si="2"/>
        <v>70.015411064038801</v>
      </c>
      <c r="I8" s="7">
        <f t="shared" si="5"/>
        <v>-10.015411064038801</v>
      </c>
      <c r="J8" s="7">
        <f t="shared" si="3"/>
        <v>8.11076318536256E-2</v>
      </c>
      <c r="K8" s="7">
        <f t="shared" si="6"/>
        <v>59.798331774243849</v>
      </c>
      <c r="L8" s="7">
        <f t="shared" si="7"/>
        <v>-1.3511137768141768</v>
      </c>
      <c r="M8" s="6">
        <f t="shared" si="8"/>
        <v>0.19970578171404116</v>
      </c>
      <c r="N8" s="8">
        <f t="shared" si="4"/>
        <v>7.5755325130713522E-2</v>
      </c>
      <c r="O8" s="503">
        <f t="shared" si="9"/>
        <v>-0.40141210108054132</v>
      </c>
    </row>
    <row r="9" spans="1:15" x14ac:dyDescent="0.25">
      <c r="A9" s="50">
        <v>48</v>
      </c>
      <c r="B9" s="349">
        <v>53</v>
      </c>
      <c r="E9" s="273">
        <f t="shared" si="10"/>
        <v>4</v>
      </c>
      <c r="F9" s="256">
        <f t="shared" si="0"/>
        <v>48</v>
      </c>
      <c r="G9" s="36">
        <f t="shared" si="1"/>
        <v>53</v>
      </c>
      <c r="H9" s="7">
        <f t="shared" si="2"/>
        <v>55.566801743721982</v>
      </c>
      <c r="I9" s="7">
        <f t="shared" si="5"/>
        <v>-2.5668017437219817</v>
      </c>
      <c r="J9" s="7">
        <f t="shared" si="3"/>
        <v>0.44332903542702762</v>
      </c>
      <c r="K9" s="7">
        <f t="shared" si="6"/>
        <v>67.908904575451757</v>
      </c>
      <c r="L9" s="7">
        <f t="shared" si="7"/>
        <v>-0.41747423579741882</v>
      </c>
      <c r="M9" s="6">
        <f t="shared" si="8"/>
        <v>0.68314401724421714</v>
      </c>
      <c r="N9" s="8">
        <f t="shared" si="4"/>
        <v>7.4106595989850158E-2</v>
      </c>
      <c r="O9" s="503">
        <f t="shared" si="9"/>
        <v>-0.37255764665172403</v>
      </c>
    </row>
    <row r="10" spans="1:15" x14ac:dyDescent="0.25">
      <c r="A10" s="101">
        <v>17</v>
      </c>
      <c r="B10" s="50">
        <v>85</v>
      </c>
      <c r="E10" s="273">
        <f t="shared" si="10"/>
        <v>5</v>
      </c>
      <c r="F10" s="256">
        <f t="shared" si="0"/>
        <v>17</v>
      </c>
      <c r="G10" s="36">
        <f t="shared" si="1"/>
        <v>85</v>
      </c>
      <c r="H10" s="7">
        <f t="shared" si="2"/>
        <v>75.041014305888126</v>
      </c>
      <c r="I10" s="7">
        <f t="shared" si="5"/>
        <v>9.958985694111874</v>
      </c>
      <c r="J10" s="7">
        <f t="shared" si="3"/>
        <v>6.9319088843863202E-2</v>
      </c>
      <c r="K10" s="7">
        <f t="shared" si="6"/>
        <v>60.014475304569636</v>
      </c>
      <c r="L10" s="7">
        <f t="shared" si="7"/>
        <v>1.3325597725103162</v>
      </c>
      <c r="M10" s="6">
        <f t="shared" si="8"/>
        <v>0.2055631574336946</v>
      </c>
      <c r="N10" s="8">
        <f t="shared" si="4"/>
        <v>6.2405752807508305E-2</v>
      </c>
      <c r="O10" s="503">
        <f t="shared" si="9"/>
        <v>0.36367438927449458</v>
      </c>
    </row>
    <row r="11" spans="1:15" x14ac:dyDescent="0.25">
      <c r="A11" s="101">
        <v>8</v>
      </c>
      <c r="B11" s="50">
        <v>84</v>
      </c>
      <c r="E11" s="273">
        <f t="shared" si="10"/>
        <v>6</v>
      </c>
      <c r="F11" s="256">
        <f t="shared" si="0"/>
        <v>8</v>
      </c>
      <c r="G11" s="36">
        <f t="shared" si="1"/>
        <v>84</v>
      </c>
      <c r="H11" s="7">
        <f t="shared" si="2"/>
        <v>80.69481795296862</v>
      </c>
      <c r="I11" s="7">
        <f t="shared" si="5"/>
        <v>3.30518204703138</v>
      </c>
      <c r="J11" s="7">
        <f t="shared" si="3"/>
        <v>0.12651194203966351</v>
      </c>
      <c r="K11" s="7">
        <f t="shared" si="6"/>
        <v>67.852991483030493</v>
      </c>
      <c r="L11" s="7">
        <f t="shared" si="7"/>
        <v>0.42932126412379101</v>
      </c>
      <c r="M11" s="6">
        <f t="shared" si="8"/>
        <v>0.67471904030617647</v>
      </c>
      <c r="N11" s="8">
        <f t="shared" si="4"/>
        <v>1.424136199317892E-2</v>
      </c>
      <c r="O11" s="503">
        <f t="shared" si="9"/>
        <v>0.16338781869922164</v>
      </c>
    </row>
    <row r="12" spans="1:15" x14ac:dyDescent="0.25">
      <c r="A12" s="50">
        <v>4</v>
      </c>
      <c r="B12" s="50">
        <v>73</v>
      </c>
      <c r="E12" s="273">
        <f t="shared" si="10"/>
        <v>7</v>
      </c>
      <c r="F12" s="256">
        <f t="shared" si="0"/>
        <v>4</v>
      </c>
      <c r="G12" s="36">
        <f t="shared" si="1"/>
        <v>73</v>
      </c>
      <c r="H12" s="7">
        <f t="shared" si="2"/>
        <v>83.207619573893282</v>
      </c>
      <c r="I12" s="7">
        <f t="shared" si="5"/>
        <v>-10.207619573893282</v>
      </c>
      <c r="J12" s="7">
        <f t="shared" si="3"/>
        <v>0.17587646589304351</v>
      </c>
      <c r="K12" s="7">
        <f t="shared" si="6"/>
        <v>58.359204072763418</v>
      </c>
      <c r="L12" s="7">
        <f t="shared" si="7"/>
        <v>-1.4718841811600343</v>
      </c>
      <c r="M12" s="6">
        <f t="shared" si="8"/>
        <v>0.1648436566787799</v>
      </c>
      <c r="N12" s="8">
        <f t="shared" si="4"/>
        <v>0.21213641556569074</v>
      </c>
      <c r="O12" s="503">
        <f t="shared" si="9"/>
        <v>-0.67995683668488183</v>
      </c>
    </row>
    <row r="13" spans="1:15" x14ac:dyDescent="0.25">
      <c r="A13" s="50">
        <v>26</v>
      </c>
      <c r="B13" s="50">
        <v>79</v>
      </c>
      <c r="E13" s="273">
        <f t="shared" si="10"/>
        <v>8</v>
      </c>
      <c r="F13" s="256">
        <f t="shared" si="0"/>
        <v>26</v>
      </c>
      <c r="G13" s="36">
        <f t="shared" si="1"/>
        <v>79</v>
      </c>
      <c r="H13" s="7">
        <f t="shared" si="2"/>
        <v>69.387210658807632</v>
      </c>
      <c r="I13" s="7">
        <f t="shared" si="5"/>
        <v>9.6127893411923679</v>
      </c>
      <c r="J13" s="7">
        <f t="shared" si="3"/>
        <v>8.6725609381715474E-2</v>
      </c>
      <c r="K13" s="7">
        <f t="shared" si="6"/>
        <v>60.463472161529232</v>
      </c>
      <c r="L13" s="7">
        <f t="shared" si="7"/>
        <v>1.2936066624599454</v>
      </c>
      <c r="M13" s="6">
        <f t="shared" si="8"/>
        <v>0.21831419276800018</v>
      </c>
      <c r="N13" s="8">
        <f t="shared" si="4"/>
        <v>7.5541712807570799E-2</v>
      </c>
      <c r="O13" s="503">
        <f t="shared" si="9"/>
        <v>0.39863486870293308</v>
      </c>
    </row>
    <row r="14" spans="1:15" x14ac:dyDescent="0.25">
      <c r="A14" s="50">
        <v>11</v>
      </c>
      <c r="B14" s="50">
        <v>81</v>
      </c>
      <c r="E14" s="273">
        <f t="shared" si="10"/>
        <v>9</v>
      </c>
      <c r="F14" s="256">
        <f t="shared" si="0"/>
        <v>11</v>
      </c>
      <c r="G14" s="36">
        <f t="shared" si="1"/>
        <v>81</v>
      </c>
      <c r="H14" s="7">
        <f t="shared" si="2"/>
        <v>78.810216737275127</v>
      </c>
      <c r="I14" s="7">
        <f t="shared" si="5"/>
        <v>2.1897832627248732</v>
      </c>
      <c r="J14" s="7">
        <f t="shared" si="3"/>
        <v>9.9158838337324223E-2</v>
      </c>
      <c r="K14" s="7">
        <f t="shared" si="6"/>
        <v>68.451614185750643</v>
      </c>
      <c r="L14" s="7">
        <f t="shared" si="7"/>
        <v>0.27885932646467648</v>
      </c>
      <c r="M14" s="6">
        <f t="shared" si="8"/>
        <v>0.78473946633758551</v>
      </c>
      <c r="N14" s="8">
        <f t="shared" si="4"/>
        <v>4.6065991909096746E-3</v>
      </c>
      <c r="O14" s="503">
        <f t="shared" si="9"/>
        <v>9.2518115540734414E-2</v>
      </c>
    </row>
    <row r="15" spans="1:15" x14ac:dyDescent="0.25">
      <c r="A15" s="50">
        <v>19</v>
      </c>
      <c r="B15" s="50">
        <v>75</v>
      </c>
      <c r="E15" s="273">
        <f t="shared" si="10"/>
        <v>10</v>
      </c>
      <c r="F15" s="256">
        <f t="shared" si="0"/>
        <v>19</v>
      </c>
      <c r="G15" s="36">
        <f t="shared" si="1"/>
        <v>75</v>
      </c>
      <c r="H15" s="7">
        <f t="shared" si="2"/>
        <v>73.784613495425788</v>
      </c>
      <c r="I15" s="7">
        <f t="shared" si="5"/>
        <v>1.2153865045742123</v>
      </c>
      <c r="J15" s="7">
        <f t="shared" si="3"/>
        <v>6.6740345060477685E-2</v>
      </c>
      <c r="K15" s="7">
        <f t="shared" si="6"/>
        <v>68.763294956140356</v>
      </c>
      <c r="L15" s="7">
        <f t="shared" si="7"/>
        <v>0.1517172019269904</v>
      </c>
      <c r="M15" s="6">
        <f t="shared" si="8"/>
        <v>0.88173917879630681</v>
      </c>
      <c r="N15" s="8">
        <f t="shared" si="4"/>
        <v>8.8992920763197002E-4</v>
      </c>
      <c r="O15" s="503">
        <f t="shared" si="9"/>
        <v>4.0572129462719875E-2</v>
      </c>
    </row>
    <row r="16" spans="1:15" x14ac:dyDescent="0.25">
      <c r="A16" s="50">
        <v>14</v>
      </c>
      <c r="B16" s="50">
        <v>68</v>
      </c>
      <c r="E16" s="273">
        <f t="shared" si="10"/>
        <v>11</v>
      </c>
      <c r="F16" s="256">
        <f t="shared" si="0"/>
        <v>14</v>
      </c>
      <c r="G16" s="36">
        <f t="shared" si="1"/>
        <v>68</v>
      </c>
      <c r="H16" s="7">
        <f t="shared" si="2"/>
        <v>76.925615521581619</v>
      </c>
      <c r="I16" s="7">
        <f t="shared" si="5"/>
        <v>-8.9256155215816193</v>
      </c>
      <c r="J16" s="7">
        <f t="shared" si="3"/>
        <v>8.0094553938724125E-2</v>
      </c>
      <c r="K16" s="7">
        <f t="shared" si="6"/>
        <v>61.678274653762742</v>
      </c>
      <c r="L16" s="7">
        <f t="shared" si="7"/>
        <v>-1.1849512188942048</v>
      </c>
      <c r="M16" s="6">
        <f t="shared" si="8"/>
        <v>0.25724721767103392</v>
      </c>
      <c r="N16" s="8">
        <f t="shared" si="4"/>
        <v>5.9283813766001253E-2</v>
      </c>
      <c r="O16" s="503">
        <f t="shared" si="9"/>
        <v>-0.34964745427899241</v>
      </c>
    </row>
    <row r="17" spans="1:15" x14ac:dyDescent="0.25">
      <c r="A17" s="50">
        <v>35</v>
      </c>
      <c r="B17" s="50">
        <v>72</v>
      </c>
      <c r="E17" s="273">
        <f t="shared" si="10"/>
        <v>12</v>
      </c>
      <c r="F17" s="256">
        <f t="shared" si="0"/>
        <v>35</v>
      </c>
      <c r="G17" s="36">
        <f t="shared" si="1"/>
        <v>72</v>
      </c>
      <c r="H17" s="7">
        <f t="shared" si="2"/>
        <v>63.733407011727138</v>
      </c>
      <c r="I17" s="7">
        <f t="shared" si="5"/>
        <v>8.2665929882728619</v>
      </c>
      <c r="J17" s="7">
        <f t="shared" si="3"/>
        <v>0.17873150365322035</v>
      </c>
      <c r="K17" s="7">
        <f t="shared" si="6"/>
        <v>61.961149322169057</v>
      </c>
      <c r="L17" s="7">
        <f t="shared" si="7"/>
        <v>1.1588420374683235</v>
      </c>
      <c r="M17" s="6">
        <f t="shared" si="8"/>
        <v>0.26736523095199272</v>
      </c>
      <c r="N17" s="8">
        <f t="shared" si="4"/>
        <v>0.14237281399753904</v>
      </c>
      <c r="O17" s="503">
        <f t="shared" si="9"/>
        <v>0.54060768324014774</v>
      </c>
    </row>
    <row r="18" spans="1:15" x14ac:dyDescent="0.25">
      <c r="A18" s="50">
        <v>29</v>
      </c>
      <c r="B18" s="50">
        <v>58</v>
      </c>
      <c r="C18" s="349"/>
      <c r="E18" s="273">
        <f t="shared" si="10"/>
        <v>13</v>
      </c>
      <c r="F18" s="256">
        <f t="shared" si="0"/>
        <v>29</v>
      </c>
      <c r="G18" s="36">
        <f t="shared" si="1"/>
        <v>58</v>
      </c>
      <c r="H18" s="7">
        <f t="shared" si="2"/>
        <v>67.502609443114139</v>
      </c>
      <c r="I18" s="7">
        <f>G18-H18</f>
        <v>-9.5026094431141388</v>
      </c>
      <c r="J18" s="7">
        <f t="shared" si="3"/>
        <v>0.10910542150181127</v>
      </c>
      <c r="K18" s="7">
        <f t="shared" si="6"/>
        <v>60.448667585573169</v>
      </c>
      <c r="L18" s="7">
        <f t="shared" si="7"/>
        <v>-1.2949003726146766</v>
      </c>
      <c r="M18" s="6">
        <f t="shared" si="8"/>
        <v>0.21788071079848756</v>
      </c>
      <c r="N18" s="8">
        <f t="shared" si="4"/>
        <v>9.7593891642462349E-2</v>
      </c>
      <c r="O18" s="503">
        <f t="shared" si="9"/>
        <v>-0.45315456934644049</v>
      </c>
    </row>
    <row r="19" spans="1:15" x14ac:dyDescent="0.25">
      <c r="A19" s="50">
        <v>4</v>
      </c>
      <c r="B19" s="50">
        <v>92</v>
      </c>
      <c r="C19" s="349"/>
      <c r="E19" s="273">
        <f t="shared" si="10"/>
        <v>14</v>
      </c>
      <c r="F19" s="256">
        <f t="shared" si="0"/>
        <v>4</v>
      </c>
      <c r="G19" s="36">
        <f t="shared" si="1"/>
        <v>92</v>
      </c>
      <c r="H19" s="7">
        <f t="shared" si="2"/>
        <v>83.207619573893282</v>
      </c>
      <c r="I19" s="7">
        <f>G19-H19</f>
        <v>8.7923804261067176</v>
      </c>
      <c r="J19" s="7">
        <f t="shared" si="3"/>
        <v>0.17587646589304351</v>
      </c>
      <c r="K19" s="7">
        <f t="shared" si="6"/>
        <v>61.078208232445519</v>
      </c>
      <c r="L19" s="7">
        <f t="shared" si="7"/>
        <v>1.2392735154674501</v>
      </c>
      <c r="M19" s="6">
        <f t="shared" si="8"/>
        <v>0.23715188528573208</v>
      </c>
      <c r="N19" s="8">
        <f t="shared" si="4"/>
        <v>0.15739075395985552</v>
      </c>
      <c r="O19" s="503">
        <f t="shared" si="9"/>
        <v>0.57249918855740511</v>
      </c>
    </row>
    <row r="20" spans="1:15" x14ac:dyDescent="0.25">
      <c r="A20" s="351">
        <v>23</v>
      </c>
      <c r="B20" s="351">
        <v>65</v>
      </c>
      <c r="D20" s="53" t="s">
        <v>31</v>
      </c>
      <c r="E20" s="9">
        <f t="shared" si="10"/>
        <v>15</v>
      </c>
      <c r="F20" s="37">
        <f t="shared" si="0"/>
        <v>23</v>
      </c>
      <c r="G20" s="38">
        <f t="shared" si="1"/>
        <v>65</v>
      </c>
      <c r="H20" s="10">
        <f t="shared" si="2"/>
        <v>71.271811874501125</v>
      </c>
      <c r="I20" s="10">
        <f>G20-H20</f>
        <v>-6.2718118745011253</v>
      </c>
      <c r="J20" s="10">
        <f t="shared" si="3"/>
        <v>7.2634616565358884E-2</v>
      </c>
      <c r="K20" s="10">
        <f t="shared" si="6"/>
        <v>65.360483977754257</v>
      </c>
      <c r="L20" s="10">
        <f t="shared" si="7"/>
        <v>-0.80558236972443698</v>
      </c>
      <c r="M20" s="9">
        <f t="shared" si="8"/>
        <v>0.43497186113925168</v>
      </c>
      <c r="N20" s="11">
        <f t="shared" si="4"/>
        <v>2.6119875935669737E-2</v>
      </c>
      <c r="O20" s="420">
        <f t="shared" si="9"/>
        <v>-0.22545316521451894</v>
      </c>
    </row>
    <row r="21" spans="1:15" x14ac:dyDescent="0.25">
      <c r="D21" s="53" t="s">
        <v>56</v>
      </c>
      <c r="E21">
        <v>1</v>
      </c>
    </row>
    <row r="22" spans="1:15" x14ac:dyDescent="0.25">
      <c r="D22" s="53" t="s">
        <v>10</v>
      </c>
      <c r="F22">
        <f>AVERAGE(F6:F20)</f>
        <v>19.399999999999999</v>
      </c>
    </row>
    <row r="23" spans="1:15" x14ac:dyDescent="0.25">
      <c r="D23" s="53" t="s">
        <v>219</v>
      </c>
      <c r="F23">
        <f>DEVSQ(F6:F20)</f>
        <v>2171.6000000000004</v>
      </c>
      <c r="I23">
        <f>SUMSQ(I6:I20)</f>
        <v>826.74234051697681</v>
      </c>
    </row>
    <row r="24" spans="1:15" x14ac:dyDescent="0.25">
      <c r="D24" s="132" t="s">
        <v>60</v>
      </c>
      <c r="I24">
        <f>E20-E21-1</f>
        <v>13</v>
      </c>
    </row>
    <row r="25" spans="1:15" x14ac:dyDescent="0.25">
      <c r="D25" s="53" t="s">
        <v>240</v>
      </c>
      <c r="I25">
        <f>I23/I24</f>
        <v>63.59556465515206</v>
      </c>
    </row>
    <row r="26" spans="1:15" x14ac:dyDescent="0.25">
      <c r="A26" s="17" t="s">
        <v>750</v>
      </c>
    </row>
    <row r="28" spans="1:15" x14ac:dyDescent="0.25">
      <c r="A28" s="99" t="s">
        <v>715</v>
      </c>
      <c r="B28" s="99" t="s">
        <v>214</v>
      </c>
      <c r="E28" s="359" t="s">
        <v>112</v>
      </c>
      <c r="F28" s="359" t="s">
        <v>377</v>
      </c>
      <c r="G28" s="360" t="s">
        <v>378</v>
      </c>
      <c r="H28" s="356" t="s">
        <v>743</v>
      </c>
      <c r="I28" s="356" t="s">
        <v>295</v>
      </c>
      <c r="J28" s="356" t="s">
        <v>744</v>
      </c>
      <c r="K28" s="356" t="s">
        <v>745</v>
      </c>
      <c r="L28" s="356" t="s">
        <v>746</v>
      </c>
      <c r="M28" s="359" t="s">
        <v>747</v>
      </c>
      <c r="N28" s="360" t="s">
        <v>748</v>
      </c>
      <c r="O28" s="731" t="s">
        <v>1577</v>
      </c>
    </row>
    <row r="29" spans="1:15" x14ac:dyDescent="0.25">
      <c r="A29" s="50">
        <v>5</v>
      </c>
      <c r="B29" s="100">
        <v>80</v>
      </c>
      <c r="E29" s="354">
        <v>1</v>
      </c>
      <c r="F29" s="361">
        <f t="shared" ref="F29:F43" si="11">A29</f>
        <v>5</v>
      </c>
      <c r="G29" s="362">
        <f t="shared" ref="G29:G43" si="12">B29</f>
        <v>80</v>
      </c>
      <c r="H29" s="357">
        <f>FORECAST(F29,G$29:G$43,F$29:F$43)</f>
        <v>78.889973598575551</v>
      </c>
      <c r="I29" s="357">
        <f>G29-H29</f>
        <v>1.1100264014244487</v>
      </c>
      <c r="J29" s="357">
        <f>1/E$43+(F29-F$45)^2/F$46</f>
        <v>0.16215386504574197</v>
      </c>
      <c r="K29" s="354">
        <f>(I$25-I29^2/((1-J29)*$I$47))*$I$47/($I$47-1)</f>
        <v>68.772642846397687</v>
      </c>
      <c r="L29" s="357">
        <f>I29/SQRT(K29*(1-J29))</f>
        <v>0.14623230177453703</v>
      </c>
      <c r="M29" s="354">
        <f>TDIST(ABS(L29),$I$47,2)</f>
        <v>0.88598126062274074</v>
      </c>
      <c r="N29" s="355">
        <f t="shared" ref="N29:N43" si="13">(I29^2/I$48)*(J29/(1-J29)^2)/(E$44+1)</f>
        <v>1.5761862458888059E-3</v>
      </c>
      <c r="O29" s="503">
        <f>L29*SQRT(J29/(1-J29))</f>
        <v>6.4331671142686869E-2</v>
      </c>
    </row>
    <row r="30" spans="1:15" x14ac:dyDescent="0.25">
      <c r="A30" s="50">
        <v>23</v>
      </c>
      <c r="B30" s="50">
        <v>78</v>
      </c>
      <c r="E30" s="273">
        <f>E29+1</f>
        <v>2</v>
      </c>
      <c r="F30" s="256">
        <f t="shared" si="11"/>
        <v>23</v>
      </c>
      <c r="G30" s="36">
        <f t="shared" si="12"/>
        <v>78</v>
      </c>
      <c r="H30" s="7">
        <f t="shared" ref="H30:H43" si="14">FORECAST(F30,G$29:G$43,F$29:F$43)</f>
        <v>74.694173267022776</v>
      </c>
      <c r="I30" s="7">
        <f t="shared" ref="I30:I43" si="15">G30-H30</f>
        <v>3.3058267329772235</v>
      </c>
      <c r="J30" s="7">
        <f t="shared" ref="J30:J43" si="16">1/E$43+(F30-F$45)^2/F$46</f>
        <v>7.2634616565358884E-2</v>
      </c>
      <c r="K30" s="6">
        <f t="shared" ref="K30:K43" si="17">(I$25-I30^2/((1-J30)*$I$47))*$I$47/($I$47-1)</f>
        <v>67.91315759738842</v>
      </c>
      <c r="L30" s="7">
        <f t="shared" ref="L30:L43" si="18">I30/SQRT(K30*(1-J30))</f>
        <v>0.41656011578665819</v>
      </c>
      <c r="M30" s="6">
        <f t="shared" ref="M30:M43" si="19">TDIST(ABS(L30),$I$47,2)</f>
        <v>0.68379594847797853</v>
      </c>
      <c r="N30" s="8">
        <f t="shared" si="13"/>
        <v>5.1114511512823438E-3</v>
      </c>
      <c r="O30" s="503">
        <f t="shared" ref="O30:O43" si="20">L30*SQRT(J30/(1-J30))</f>
        <v>0.11658000489553133</v>
      </c>
    </row>
    <row r="31" spans="1:15" x14ac:dyDescent="0.25">
      <c r="A31" s="50">
        <v>25</v>
      </c>
      <c r="B31" s="50">
        <v>60</v>
      </c>
      <c r="E31" s="273">
        <f t="shared" ref="E31:E43" si="21">E30+1</f>
        <v>3</v>
      </c>
      <c r="F31" s="256">
        <f t="shared" si="11"/>
        <v>25</v>
      </c>
      <c r="G31" s="36">
        <f t="shared" si="12"/>
        <v>60</v>
      </c>
      <c r="H31" s="7">
        <f t="shared" si="14"/>
        <v>74.227973230183579</v>
      </c>
      <c r="I31" s="7">
        <f t="shared" si="15"/>
        <v>-14.227973230183579</v>
      </c>
      <c r="J31" s="7">
        <f t="shared" si="16"/>
        <v>8.11076318536256E-2</v>
      </c>
      <c r="K31" s="6">
        <f t="shared" si="17"/>
        <v>50.536568463926024</v>
      </c>
      <c r="L31" s="7">
        <f t="shared" si="18"/>
        <v>-2.0878910978328102</v>
      </c>
      <c r="M31" s="6">
        <f t="shared" si="19"/>
        <v>5.7051848302790274E-2</v>
      </c>
      <c r="N31" s="8">
        <f t="shared" si="13"/>
        <v>0.10768635175167078</v>
      </c>
      <c r="O31" s="503">
        <f t="shared" si="20"/>
        <v>-0.62030656987645671</v>
      </c>
    </row>
    <row r="32" spans="1:15" x14ac:dyDescent="0.25">
      <c r="A32" s="50">
        <v>48</v>
      </c>
      <c r="B32" s="363">
        <v>83</v>
      </c>
      <c r="E32" s="273">
        <f t="shared" si="21"/>
        <v>4</v>
      </c>
      <c r="F32" s="256">
        <f t="shared" si="11"/>
        <v>48</v>
      </c>
      <c r="G32" s="36">
        <f t="shared" si="12"/>
        <v>83</v>
      </c>
      <c r="H32" s="7">
        <f t="shared" si="14"/>
        <v>68.866672806532819</v>
      </c>
      <c r="I32" s="7">
        <f t="shared" si="15"/>
        <v>14.133327193467181</v>
      </c>
      <c r="J32" s="7">
        <f t="shared" si="16"/>
        <v>0.44332903542702762</v>
      </c>
      <c r="K32" s="6">
        <f t="shared" si="17"/>
        <v>38.992590951088779</v>
      </c>
      <c r="L32" s="7">
        <f t="shared" si="18"/>
        <v>3.0335704242792341</v>
      </c>
      <c r="M32" s="367">
        <f t="shared" si="19"/>
        <v>9.5986524115798492E-3</v>
      </c>
      <c r="N32" s="364">
        <f t="shared" si="13"/>
        <v>1.5825593870633301</v>
      </c>
      <c r="O32" s="364">
        <f t="shared" si="20"/>
        <v>2.7071846866501437</v>
      </c>
    </row>
    <row r="33" spans="1:15" x14ac:dyDescent="0.25">
      <c r="A33" s="101">
        <v>17</v>
      </c>
      <c r="B33" s="50">
        <v>85</v>
      </c>
      <c r="E33" s="273">
        <f t="shared" si="21"/>
        <v>5</v>
      </c>
      <c r="F33" s="256">
        <f t="shared" si="11"/>
        <v>17</v>
      </c>
      <c r="G33" s="36">
        <f t="shared" si="12"/>
        <v>85</v>
      </c>
      <c r="H33" s="7">
        <f t="shared" si="14"/>
        <v>76.092773377540368</v>
      </c>
      <c r="I33" s="7">
        <f t="shared" si="15"/>
        <v>8.9072266224596319</v>
      </c>
      <c r="J33" s="7">
        <f t="shared" si="16"/>
        <v>6.9319088843863202E-2</v>
      </c>
      <c r="K33" s="6">
        <f t="shared" si="17"/>
        <v>61.791195061919289</v>
      </c>
      <c r="L33" s="7">
        <f t="shared" si="18"/>
        <v>1.1745697221543929</v>
      </c>
      <c r="M33" s="6">
        <f t="shared" si="19"/>
        <v>0.26123423157628856</v>
      </c>
      <c r="N33" s="8">
        <f t="shared" si="13"/>
        <v>3.5162390266088722E-2</v>
      </c>
      <c r="O33" s="503">
        <f t="shared" si="20"/>
        <v>0.32055667233606566</v>
      </c>
    </row>
    <row r="34" spans="1:15" x14ac:dyDescent="0.25">
      <c r="A34" s="101">
        <v>8</v>
      </c>
      <c r="B34" s="50">
        <v>84</v>
      </c>
      <c r="E34" s="273">
        <f t="shared" si="21"/>
        <v>6</v>
      </c>
      <c r="F34" s="256">
        <f t="shared" si="11"/>
        <v>8</v>
      </c>
      <c r="G34" s="36">
        <f t="shared" si="12"/>
        <v>84</v>
      </c>
      <c r="H34" s="7">
        <f t="shared" si="14"/>
        <v>78.190673543316748</v>
      </c>
      <c r="I34" s="7">
        <f t="shared" si="15"/>
        <v>5.8093264566832516</v>
      </c>
      <c r="J34" s="7">
        <f t="shared" si="16"/>
        <v>0.12651194203966351</v>
      </c>
      <c r="K34" s="6">
        <f t="shared" si="17"/>
        <v>65.675510319216485</v>
      </c>
      <c r="L34" s="7">
        <f t="shared" si="18"/>
        <v>0.76700036126600379</v>
      </c>
      <c r="M34" s="6">
        <f t="shared" si="19"/>
        <v>0.4567854492341652</v>
      </c>
      <c r="N34" s="8">
        <f t="shared" si="13"/>
        <v>3.0989266492074521E-2</v>
      </c>
      <c r="O34" s="503">
        <f t="shared" si="20"/>
        <v>0.29189915907038055</v>
      </c>
    </row>
    <row r="35" spans="1:15" x14ac:dyDescent="0.25">
      <c r="A35" s="50">
        <v>4</v>
      </c>
      <c r="B35" s="50">
        <v>73</v>
      </c>
      <c r="E35" s="273">
        <f t="shared" si="21"/>
        <v>7</v>
      </c>
      <c r="F35" s="256">
        <f t="shared" si="11"/>
        <v>4</v>
      </c>
      <c r="G35" s="36">
        <f t="shared" si="12"/>
        <v>73</v>
      </c>
      <c r="H35" s="7">
        <f t="shared" si="14"/>
        <v>79.123073616995143</v>
      </c>
      <c r="I35" s="7">
        <f t="shared" si="15"/>
        <v>-6.1230736169951427</v>
      </c>
      <c r="J35" s="7">
        <f t="shared" si="16"/>
        <v>0.17587646589304351</v>
      </c>
      <c r="K35" s="6">
        <f t="shared" si="17"/>
        <v>65.104093651976498</v>
      </c>
      <c r="L35" s="7">
        <f t="shared" si="18"/>
        <v>-0.8359285807354262</v>
      </c>
      <c r="M35" s="6">
        <f t="shared" si="19"/>
        <v>0.41829509422943034</v>
      </c>
      <c r="N35" s="8">
        <f t="shared" si="13"/>
        <v>5.3765564822009719E-2</v>
      </c>
      <c r="O35" s="503">
        <f t="shared" si="20"/>
        <v>-0.38616853195838718</v>
      </c>
    </row>
    <row r="36" spans="1:15" x14ac:dyDescent="0.25">
      <c r="A36" s="50">
        <v>26</v>
      </c>
      <c r="B36" s="50">
        <v>79</v>
      </c>
      <c r="E36" s="273">
        <f t="shared" si="21"/>
        <v>8</v>
      </c>
      <c r="F36" s="256">
        <f t="shared" si="11"/>
        <v>26</v>
      </c>
      <c r="G36" s="36">
        <f t="shared" si="12"/>
        <v>79</v>
      </c>
      <c r="H36" s="7">
        <f t="shared" si="14"/>
        <v>73.994873211763974</v>
      </c>
      <c r="I36" s="7">
        <f t="shared" si="15"/>
        <v>5.0051267882360264</v>
      </c>
      <c r="J36" s="7">
        <f t="shared" si="16"/>
        <v>8.6725609381715474E-2</v>
      </c>
      <c r="K36" s="6">
        <f t="shared" si="17"/>
        <v>66.60934550143395</v>
      </c>
      <c r="L36" s="7">
        <f t="shared" si="18"/>
        <v>0.64172189954042136</v>
      </c>
      <c r="M36" s="6">
        <f t="shared" si="19"/>
        <v>0.53220628982870055</v>
      </c>
      <c r="N36" s="8">
        <f t="shared" si="13"/>
        <v>1.4425043135969257E-2</v>
      </c>
      <c r="O36" s="503">
        <f t="shared" si="20"/>
        <v>0.19775155199079963</v>
      </c>
    </row>
    <row r="37" spans="1:15" x14ac:dyDescent="0.25">
      <c r="A37" s="50">
        <v>11</v>
      </c>
      <c r="B37" s="50">
        <v>81</v>
      </c>
      <c r="E37" s="273">
        <f t="shared" si="21"/>
        <v>9</v>
      </c>
      <c r="F37" s="256">
        <f t="shared" si="11"/>
        <v>11</v>
      </c>
      <c r="G37" s="36">
        <f t="shared" si="12"/>
        <v>81</v>
      </c>
      <c r="H37" s="7">
        <f t="shared" si="14"/>
        <v>77.49137348805796</v>
      </c>
      <c r="I37" s="7">
        <f t="shared" si="15"/>
        <v>3.5086265119420403</v>
      </c>
      <c r="J37" s="7">
        <f t="shared" si="16"/>
        <v>9.9158838337324223E-2</v>
      </c>
      <c r="K37" s="6">
        <f t="shared" si="17"/>
        <v>67.756401979053962</v>
      </c>
      <c r="L37" s="7">
        <f t="shared" si="18"/>
        <v>0.44909462967616182</v>
      </c>
      <c r="M37" s="6">
        <f t="shared" si="19"/>
        <v>0.66075882857287715</v>
      </c>
      <c r="N37" s="8">
        <f t="shared" si="13"/>
        <v>8.3301231267839705E-3</v>
      </c>
      <c r="O37" s="503">
        <f t="shared" si="20"/>
        <v>0.14899766618480159</v>
      </c>
    </row>
    <row r="38" spans="1:15" x14ac:dyDescent="0.25">
      <c r="A38" s="50">
        <v>19</v>
      </c>
      <c r="B38" s="50">
        <v>75</v>
      </c>
      <c r="E38" s="273">
        <f t="shared" si="21"/>
        <v>10</v>
      </c>
      <c r="F38" s="256">
        <f t="shared" si="11"/>
        <v>19</v>
      </c>
      <c r="G38" s="36">
        <f t="shared" si="12"/>
        <v>75</v>
      </c>
      <c r="H38" s="7">
        <f t="shared" si="14"/>
        <v>75.626573340701171</v>
      </c>
      <c r="I38" s="7">
        <f t="shared" si="15"/>
        <v>-0.62657334070117088</v>
      </c>
      <c r="J38" s="7">
        <f t="shared" si="16"/>
        <v>6.6740345060477685E-2</v>
      </c>
      <c r="K38" s="6">
        <f t="shared" si="17"/>
        <v>68.860139226514207</v>
      </c>
      <c r="L38" s="7">
        <f t="shared" si="18"/>
        <v>-7.8160390167444527E-2</v>
      </c>
      <c r="M38" s="6">
        <f t="shared" si="19"/>
        <v>0.93889071306326943</v>
      </c>
      <c r="N38" s="8">
        <f t="shared" si="13"/>
        <v>1.6659786937590882E-4</v>
      </c>
      <c r="O38" s="503">
        <f t="shared" si="20"/>
        <v>-2.0901607915602579E-2</v>
      </c>
    </row>
    <row r="39" spans="1:15" x14ac:dyDescent="0.25">
      <c r="A39" s="50">
        <v>14</v>
      </c>
      <c r="B39" s="50">
        <v>68</v>
      </c>
      <c r="E39" s="273">
        <f t="shared" si="21"/>
        <v>11</v>
      </c>
      <c r="F39" s="256">
        <f t="shared" si="11"/>
        <v>14</v>
      </c>
      <c r="G39" s="36">
        <f t="shared" si="12"/>
        <v>68</v>
      </c>
      <c r="H39" s="7">
        <f t="shared" si="14"/>
        <v>76.792073432799157</v>
      </c>
      <c r="I39" s="7">
        <f t="shared" si="15"/>
        <v>-8.7920734327991568</v>
      </c>
      <c r="J39" s="7">
        <f t="shared" si="16"/>
        <v>8.0094553938724125E-2</v>
      </c>
      <c r="K39" s="6">
        <f t="shared" si="17"/>
        <v>61.892613457232223</v>
      </c>
      <c r="L39" s="7">
        <f t="shared" si="18"/>
        <v>-1.1651995306055807</v>
      </c>
      <c r="M39" s="6">
        <f t="shared" si="19"/>
        <v>0.26487373079415383</v>
      </c>
      <c r="N39" s="8">
        <f t="shared" si="13"/>
        <v>4.0517381768841398E-2</v>
      </c>
      <c r="O39" s="503">
        <f t="shared" si="20"/>
        <v>-0.34381925863877488</v>
      </c>
    </row>
    <row r="40" spans="1:15" x14ac:dyDescent="0.25">
      <c r="A40" s="50">
        <v>35</v>
      </c>
      <c r="B40" s="50">
        <v>72</v>
      </c>
      <c r="E40" s="273">
        <f t="shared" si="21"/>
        <v>12</v>
      </c>
      <c r="F40" s="256">
        <f t="shared" si="11"/>
        <v>35</v>
      </c>
      <c r="G40" s="36">
        <f t="shared" si="12"/>
        <v>72</v>
      </c>
      <c r="H40" s="7">
        <f t="shared" si="14"/>
        <v>71.896973045987593</v>
      </c>
      <c r="I40" s="7">
        <f t="shared" si="15"/>
        <v>0.10302695401240669</v>
      </c>
      <c r="J40" s="7">
        <f t="shared" si="16"/>
        <v>0.17873150365322035</v>
      </c>
      <c r="K40" s="6">
        <f t="shared" si="17"/>
        <v>68.894117994456792</v>
      </c>
      <c r="L40" s="7">
        <f t="shared" si="18"/>
        <v>1.3696739817148742E-2</v>
      </c>
      <c r="M40" s="6">
        <f t="shared" si="19"/>
        <v>0.98927989581116516</v>
      </c>
      <c r="N40" s="8">
        <f t="shared" si="13"/>
        <v>1.5576671276696031E-5</v>
      </c>
      <c r="O40" s="503">
        <f t="shared" si="20"/>
        <v>6.3896221754850416E-3</v>
      </c>
    </row>
    <row r="41" spans="1:15" x14ac:dyDescent="0.25">
      <c r="A41" s="50">
        <v>29</v>
      </c>
      <c r="B41" s="50">
        <v>58</v>
      </c>
      <c r="C41" s="349"/>
      <c r="E41" s="273">
        <f t="shared" si="21"/>
        <v>13</v>
      </c>
      <c r="F41" s="256">
        <f t="shared" si="11"/>
        <v>29</v>
      </c>
      <c r="G41" s="36">
        <f t="shared" si="12"/>
        <v>58</v>
      </c>
      <c r="H41" s="7">
        <f t="shared" si="14"/>
        <v>73.295573156505185</v>
      </c>
      <c r="I41" s="7">
        <f t="shared" si="15"/>
        <v>-15.295573156505185</v>
      </c>
      <c r="J41" s="7">
        <f t="shared" si="16"/>
        <v>0.10910542150181127</v>
      </c>
      <c r="K41" s="6">
        <f t="shared" si="17"/>
        <v>47.011333974993796</v>
      </c>
      <c r="L41" s="7">
        <f t="shared" si="18"/>
        <v>-2.3634766178487125</v>
      </c>
      <c r="M41" s="6">
        <f t="shared" si="19"/>
        <v>3.4351715873535388E-2</v>
      </c>
      <c r="N41" s="8">
        <f t="shared" si="13"/>
        <v>0.17810141230850238</v>
      </c>
      <c r="O41" s="503">
        <f t="shared" si="20"/>
        <v>-0.82710627904060263</v>
      </c>
    </row>
    <row r="42" spans="1:15" x14ac:dyDescent="0.25">
      <c r="A42" s="50">
        <v>4</v>
      </c>
      <c r="B42" s="50">
        <v>92</v>
      </c>
      <c r="C42" s="349"/>
      <c r="E42" s="273">
        <f t="shared" si="21"/>
        <v>14</v>
      </c>
      <c r="F42" s="256">
        <f t="shared" si="11"/>
        <v>4</v>
      </c>
      <c r="G42" s="36">
        <f t="shared" si="12"/>
        <v>92</v>
      </c>
      <c r="H42" s="7">
        <f t="shared" si="14"/>
        <v>79.123073616995143</v>
      </c>
      <c r="I42" s="7">
        <f t="shared" si="15"/>
        <v>12.876926383004857</v>
      </c>
      <c r="J42" s="7">
        <f t="shared" si="16"/>
        <v>0.17587646589304351</v>
      </c>
      <c r="K42" s="6">
        <f t="shared" si="17"/>
        <v>52.128368811844858</v>
      </c>
      <c r="L42" s="7">
        <f t="shared" si="18"/>
        <v>1.9646219279288331</v>
      </c>
      <c r="M42" s="6">
        <f t="shared" si="19"/>
        <v>7.1200149564722329E-2</v>
      </c>
      <c r="N42" s="8">
        <f t="shared" si="13"/>
        <v>0.23778785888187254</v>
      </c>
      <c r="O42" s="503">
        <f t="shared" si="20"/>
        <v>0.90758371378338676</v>
      </c>
    </row>
    <row r="43" spans="1:15" x14ac:dyDescent="0.25">
      <c r="A43" s="351">
        <v>23</v>
      </c>
      <c r="B43" s="351">
        <v>65</v>
      </c>
      <c r="D43" s="53" t="s">
        <v>31</v>
      </c>
      <c r="E43" s="9">
        <f t="shared" si="21"/>
        <v>15</v>
      </c>
      <c r="F43" s="37">
        <f t="shared" si="11"/>
        <v>23</v>
      </c>
      <c r="G43" s="38">
        <f t="shared" si="12"/>
        <v>65</v>
      </c>
      <c r="H43" s="10">
        <f t="shared" si="14"/>
        <v>74.694173267022776</v>
      </c>
      <c r="I43" s="10">
        <f t="shared" si="15"/>
        <v>-9.6941732670227765</v>
      </c>
      <c r="J43" s="10">
        <f t="shared" si="16"/>
        <v>7.2634616565358884E-2</v>
      </c>
      <c r="K43" s="9">
        <f t="shared" si="17"/>
        <v>60.450393870340413</v>
      </c>
      <c r="L43" s="10">
        <f t="shared" si="18"/>
        <v>-1.294749553741537</v>
      </c>
      <c r="M43" s="9">
        <f t="shared" si="19"/>
        <v>0.21793120985225448</v>
      </c>
      <c r="N43" s="11">
        <f t="shared" si="13"/>
        <v>4.3954727863048056E-2</v>
      </c>
      <c r="O43" s="420">
        <f t="shared" si="20"/>
        <v>-0.36235324408969694</v>
      </c>
    </row>
    <row r="44" spans="1:15" x14ac:dyDescent="0.25">
      <c r="D44" s="53" t="s">
        <v>56</v>
      </c>
      <c r="E44">
        <v>1</v>
      </c>
    </row>
    <row r="45" spans="1:15" x14ac:dyDescent="0.25">
      <c r="D45" s="53" t="s">
        <v>10</v>
      </c>
      <c r="F45">
        <f>AVERAGE(F29:F43)</f>
        <v>19.399999999999999</v>
      </c>
    </row>
    <row r="46" spans="1:15" x14ac:dyDescent="0.25">
      <c r="D46" s="53" t="s">
        <v>219</v>
      </c>
      <c r="F46">
        <f>DEVSQ(F29:F43)</f>
        <v>2171.6000000000004</v>
      </c>
      <c r="I46">
        <f>SUMSQ(I29:I43)</f>
        <v>1173.7381040093326</v>
      </c>
    </row>
    <row r="47" spans="1:15" x14ac:dyDescent="0.25">
      <c r="D47" s="53" t="s">
        <v>60</v>
      </c>
      <c r="I47">
        <f>E43-E44-1</f>
        <v>13</v>
      </c>
    </row>
    <row r="48" spans="1:15" x14ac:dyDescent="0.25">
      <c r="D48" s="53" t="s">
        <v>240</v>
      </c>
      <c r="I48">
        <f>I46/(E43-E44-1)</f>
        <v>90.287546462256358</v>
      </c>
    </row>
    <row r="64" spans="19:23" x14ac:dyDescent="0.25">
      <c r="S64" s="1309" t="s">
        <v>749</v>
      </c>
      <c r="T64" s="1309"/>
      <c r="V64" s="1309" t="s">
        <v>750</v>
      </c>
      <c r="W64" s="1309"/>
    </row>
    <row r="66" spans="19:23" x14ac:dyDescent="0.25">
      <c r="S66" s="351" t="s">
        <v>377</v>
      </c>
      <c r="T66" s="10" t="s">
        <v>746</v>
      </c>
      <c r="V66" s="351" t="s">
        <v>377</v>
      </c>
      <c r="W66" s="10" t="s">
        <v>746</v>
      </c>
    </row>
    <row r="67" spans="19:23" x14ac:dyDescent="0.25">
      <c r="S67" s="256">
        <f t="shared" ref="S67:S81" si="22">F6</f>
        <v>5</v>
      </c>
      <c r="T67" s="8">
        <f t="shared" ref="T67:T81" si="23">L6</f>
        <v>-0.34114668806182424</v>
      </c>
      <c r="V67" s="256">
        <f>F29</f>
        <v>5</v>
      </c>
      <c r="W67" s="8">
        <f>L29</f>
        <v>0.14623230177453703</v>
      </c>
    </row>
    <row r="68" spans="19:23" x14ac:dyDescent="0.25">
      <c r="S68" s="256">
        <f t="shared" si="22"/>
        <v>23</v>
      </c>
      <c r="T68" s="8">
        <f t="shared" si="23"/>
        <v>0.8677478429535036</v>
      </c>
      <c r="V68" s="256">
        <f t="shared" ref="V68:V81" si="24">F30</f>
        <v>23</v>
      </c>
      <c r="W68" s="8">
        <f t="shared" ref="W68:W81" si="25">L30</f>
        <v>0.41656011578665819</v>
      </c>
    </row>
    <row r="69" spans="19:23" x14ac:dyDescent="0.25">
      <c r="S69" s="256">
        <f t="shared" si="22"/>
        <v>25</v>
      </c>
      <c r="T69" s="8">
        <f t="shared" si="23"/>
        <v>-1.3511137768141768</v>
      </c>
      <c r="V69" s="256">
        <f t="shared" si="24"/>
        <v>25</v>
      </c>
      <c r="W69" s="8">
        <f t="shared" si="25"/>
        <v>-2.0878910978328102</v>
      </c>
    </row>
    <row r="70" spans="19:23" x14ac:dyDescent="0.25">
      <c r="S70" s="256">
        <f t="shared" si="22"/>
        <v>48</v>
      </c>
      <c r="T70" s="8">
        <f t="shared" si="23"/>
        <v>-0.41747423579741882</v>
      </c>
      <c r="V70" s="256">
        <f t="shared" si="24"/>
        <v>48</v>
      </c>
      <c r="W70" s="8">
        <f t="shared" si="25"/>
        <v>3.0335704242792341</v>
      </c>
    </row>
    <row r="71" spans="19:23" x14ac:dyDescent="0.25">
      <c r="S71" s="256">
        <f t="shared" si="22"/>
        <v>17</v>
      </c>
      <c r="T71" s="8">
        <f t="shared" si="23"/>
        <v>1.3325597725103162</v>
      </c>
      <c r="V71" s="256">
        <f t="shared" si="24"/>
        <v>17</v>
      </c>
      <c r="W71" s="8">
        <f t="shared" si="25"/>
        <v>1.1745697221543929</v>
      </c>
    </row>
    <row r="72" spans="19:23" x14ac:dyDescent="0.25">
      <c r="S72" s="256">
        <f t="shared" si="22"/>
        <v>8</v>
      </c>
      <c r="T72" s="8">
        <f t="shared" si="23"/>
        <v>0.42932126412379101</v>
      </c>
      <c r="V72" s="256">
        <f t="shared" si="24"/>
        <v>8</v>
      </c>
      <c r="W72" s="8">
        <f t="shared" si="25"/>
        <v>0.76700036126600379</v>
      </c>
    </row>
    <row r="73" spans="19:23" x14ac:dyDescent="0.25">
      <c r="S73" s="256">
        <f t="shared" si="22"/>
        <v>4</v>
      </c>
      <c r="T73" s="8">
        <f t="shared" si="23"/>
        <v>-1.4718841811600343</v>
      </c>
      <c r="V73" s="256">
        <f t="shared" si="24"/>
        <v>4</v>
      </c>
      <c r="W73" s="8">
        <f t="shared" si="25"/>
        <v>-0.8359285807354262</v>
      </c>
    </row>
    <row r="74" spans="19:23" x14ac:dyDescent="0.25">
      <c r="S74" s="256">
        <f t="shared" si="22"/>
        <v>26</v>
      </c>
      <c r="T74" s="8">
        <f t="shared" si="23"/>
        <v>1.2936066624599454</v>
      </c>
      <c r="V74" s="256">
        <f t="shared" si="24"/>
        <v>26</v>
      </c>
      <c r="W74" s="8">
        <f t="shared" si="25"/>
        <v>0.64172189954042136</v>
      </c>
    </row>
    <row r="75" spans="19:23" x14ac:dyDescent="0.25">
      <c r="S75" s="256">
        <f t="shared" si="22"/>
        <v>11</v>
      </c>
      <c r="T75" s="8">
        <f t="shared" si="23"/>
        <v>0.27885932646467648</v>
      </c>
      <c r="V75" s="256">
        <f t="shared" si="24"/>
        <v>11</v>
      </c>
      <c r="W75" s="8">
        <f t="shared" si="25"/>
        <v>0.44909462967616182</v>
      </c>
    </row>
    <row r="76" spans="19:23" x14ac:dyDescent="0.25">
      <c r="S76" s="256">
        <f t="shared" si="22"/>
        <v>19</v>
      </c>
      <c r="T76" s="8">
        <f t="shared" si="23"/>
        <v>0.1517172019269904</v>
      </c>
      <c r="V76" s="256">
        <f t="shared" si="24"/>
        <v>19</v>
      </c>
      <c r="W76" s="8">
        <f t="shared" si="25"/>
        <v>-7.8160390167444527E-2</v>
      </c>
    </row>
    <row r="77" spans="19:23" x14ac:dyDescent="0.25">
      <c r="S77" s="256">
        <f t="shared" si="22"/>
        <v>14</v>
      </c>
      <c r="T77" s="8">
        <f t="shared" si="23"/>
        <v>-1.1849512188942048</v>
      </c>
      <c r="V77" s="256">
        <f t="shared" si="24"/>
        <v>14</v>
      </c>
      <c r="W77" s="8">
        <f t="shared" si="25"/>
        <v>-1.1651995306055807</v>
      </c>
    </row>
    <row r="78" spans="19:23" x14ac:dyDescent="0.25">
      <c r="S78" s="256">
        <f t="shared" si="22"/>
        <v>35</v>
      </c>
      <c r="T78" s="8">
        <f t="shared" si="23"/>
        <v>1.1588420374683235</v>
      </c>
      <c r="V78" s="256">
        <f t="shared" si="24"/>
        <v>35</v>
      </c>
      <c r="W78" s="8">
        <f t="shared" si="25"/>
        <v>1.3696739817148742E-2</v>
      </c>
    </row>
    <row r="79" spans="19:23" x14ac:dyDescent="0.25">
      <c r="S79" s="256">
        <f t="shared" si="22"/>
        <v>29</v>
      </c>
      <c r="T79" s="8">
        <f t="shared" si="23"/>
        <v>-1.2949003726146766</v>
      </c>
      <c r="V79" s="256">
        <f t="shared" si="24"/>
        <v>29</v>
      </c>
      <c r="W79" s="8">
        <f t="shared" si="25"/>
        <v>-2.3634766178487125</v>
      </c>
    </row>
    <row r="80" spans="19:23" x14ac:dyDescent="0.25">
      <c r="S80" s="256">
        <f t="shared" si="22"/>
        <v>4</v>
      </c>
      <c r="T80" s="8">
        <f t="shared" si="23"/>
        <v>1.2392735154674501</v>
      </c>
      <c r="V80" s="256">
        <f t="shared" si="24"/>
        <v>4</v>
      </c>
      <c r="W80" s="8">
        <f t="shared" si="25"/>
        <v>1.9646219279288331</v>
      </c>
    </row>
    <row r="81" spans="19:23" x14ac:dyDescent="0.25">
      <c r="S81" s="37">
        <f t="shared" si="22"/>
        <v>23</v>
      </c>
      <c r="T81" s="11">
        <f t="shared" si="23"/>
        <v>-0.80558236972443698</v>
      </c>
      <c r="V81" s="37">
        <f t="shared" si="24"/>
        <v>23</v>
      </c>
      <c r="W81" s="11">
        <f t="shared" si="25"/>
        <v>-1.294749553741537</v>
      </c>
    </row>
  </sheetData>
  <mergeCells count="2">
    <mergeCell ref="S64:T64"/>
    <mergeCell ref="V64:W64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AT32"/>
  <sheetViews>
    <sheetView workbookViewId="0"/>
  </sheetViews>
  <sheetFormatPr defaultRowHeight="15" x14ac:dyDescent="0.25"/>
  <cols>
    <col min="1" max="3" width="8.28515625" customWidth="1"/>
    <col min="4" max="4" width="5.5703125" customWidth="1"/>
    <col min="5" max="10" width="5.85546875" customWidth="1"/>
    <col min="11" max="11" width="6.5703125" customWidth="1"/>
    <col min="12" max="12" width="5.42578125" customWidth="1"/>
    <col min="14" max="14" width="5.7109375" customWidth="1"/>
    <col min="16" max="16" width="5.85546875" customWidth="1"/>
    <col min="31" max="34" width="7.28515625" customWidth="1"/>
    <col min="44" max="44" width="5" customWidth="1"/>
    <col min="45" max="45" width="6.28515625" customWidth="1"/>
  </cols>
  <sheetData>
    <row r="1" spans="1:46" x14ac:dyDescent="0.25">
      <c r="A1" s="1" t="s">
        <v>742</v>
      </c>
      <c r="AE1" t="s">
        <v>1585</v>
      </c>
    </row>
    <row r="3" spans="1:46" ht="17.25" x14ac:dyDescent="0.25">
      <c r="A3" s="131" t="s">
        <v>382</v>
      </c>
      <c r="B3" s="131" t="s">
        <v>383</v>
      </c>
      <c r="C3" s="131" t="s">
        <v>376</v>
      </c>
      <c r="E3" s="1309" t="s">
        <v>377</v>
      </c>
      <c r="F3" s="1309"/>
      <c r="G3" s="1309"/>
      <c r="I3" s="349" t="s">
        <v>378</v>
      </c>
      <c r="K3" s="349" t="s">
        <v>131</v>
      </c>
      <c r="M3" s="82" t="s">
        <v>391</v>
      </c>
      <c r="N3" s="349"/>
      <c r="O3" s="82" t="s">
        <v>134</v>
      </c>
      <c r="Q3" t="s">
        <v>714</v>
      </c>
      <c r="AC3" s="349" t="s">
        <v>727</v>
      </c>
      <c r="AE3" t="s">
        <v>748</v>
      </c>
    </row>
    <row r="4" spans="1:46" ht="15.75" thickBot="1" x14ac:dyDescent="0.3">
      <c r="A4" s="349">
        <v>7</v>
      </c>
      <c r="B4" s="349">
        <v>5</v>
      </c>
      <c r="C4" s="349">
        <v>65</v>
      </c>
      <c r="E4" s="140">
        <v>1</v>
      </c>
      <c r="F4" s="129">
        <f t="shared" ref="F4:G14" si="0">A4</f>
        <v>7</v>
      </c>
      <c r="G4" s="104">
        <f t="shared" si="0"/>
        <v>5</v>
      </c>
      <c r="I4" s="126">
        <f t="shared" ref="I4:I14" si="1">C4</f>
        <v>65</v>
      </c>
      <c r="K4" s="114">
        <f t="array" ref="K4:K6">MMULT(E17:G19,MMULT(TRANSPOSE(E4:G14),I4:I14))</f>
        <v>1.7514036585681367</v>
      </c>
      <c r="M4" s="175">
        <f t="array" ref="M4:M14">MMULT(E4:G14,K4:K6)</f>
        <v>54.810499624828537</v>
      </c>
      <c r="O4" s="167">
        <f>I4-M4</f>
        <v>10.189500375171463</v>
      </c>
      <c r="Q4" s="321">
        <f t="array" ref="Q4:AA14">MMULT(MMULT(E4:G14,E17:G19),TRANSPOSE(E4:G14))</f>
        <v>0.12773939817330332</v>
      </c>
      <c r="R4" s="322">
        <v>6.8695179694170633E-2</v>
      </c>
      <c r="S4" s="322">
        <v>0.13418199694688096</v>
      </c>
      <c r="T4" s="322">
        <v>7.9562213770084489E-2</v>
      </c>
      <c r="U4" s="322">
        <v>0.13927915340629765</v>
      </c>
      <c r="V4" s="322">
        <v>6.2252580920592965E-2</v>
      </c>
      <c r="W4" s="322">
        <v>-3.3429066728764195E-2</v>
      </c>
      <c r="X4" s="322">
        <v>2.6960594064529456E-2</v>
      </c>
      <c r="Y4" s="322">
        <v>0.18745633780951648</v>
      </c>
      <c r="Z4" s="322">
        <v>8.6004812543662157E-2</v>
      </c>
      <c r="AA4" s="323">
        <v>0.12129679939972565</v>
      </c>
      <c r="AB4">
        <v>1</v>
      </c>
      <c r="AC4" s="337">
        <f t="array" ref="AC4:AC14">O4:O14/SQRT(O19*(1-INDEX(Q4:AA14,AB4:AB14,AB4:AB14)))</f>
        <v>1.8529159932154711</v>
      </c>
    </row>
    <row r="5" spans="1:46" ht="15.75" thickTop="1" x14ac:dyDescent="0.25">
      <c r="A5" s="349">
        <v>3</v>
      </c>
      <c r="B5" s="349">
        <v>7</v>
      </c>
      <c r="C5" s="349">
        <v>38</v>
      </c>
      <c r="E5" s="35">
        <v>1</v>
      </c>
      <c r="F5" s="50">
        <f t="shared" si="0"/>
        <v>3</v>
      </c>
      <c r="G5" s="36">
        <f t="shared" si="0"/>
        <v>7</v>
      </c>
      <c r="I5" s="124">
        <f t="shared" si="1"/>
        <v>38</v>
      </c>
      <c r="K5" s="23">
        <v>4.8952883645113623</v>
      </c>
      <c r="M5" s="176">
        <v>42.746177132655433</v>
      </c>
      <c r="O5" s="23">
        <f t="shared" ref="O5:O14" si="2">I5-M5</f>
        <v>-4.7461771326554327</v>
      </c>
      <c r="Q5" s="273">
        <v>6.8695179694170494E-2</v>
      </c>
      <c r="R5" s="7">
        <v>0.29053791818675778</v>
      </c>
      <c r="S5" s="7">
        <v>0.23379647597609252</v>
      </c>
      <c r="T5" s="7">
        <v>-8.1580377241325941E-2</v>
      </c>
      <c r="U5" s="7">
        <v>-6.9316153069937325E-2</v>
      </c>
      <c r="V5" s="7">
        <v>0.12543662190483582</v>
      </c>
      <c r="W5" s="7">
        <v>5.899247069781885E-2</v>
      </c>
      <c r="X5" s="7">
        <v>0.3053636575331834</v>
      </c>
      <c r="Y5" s="7">
        <v>8.095940386555911E-2</v>
      </c>
      <c r="Z5" s="7">
        <v>8.3520919040596053E-2</v>
      </c>
      <c r="AA5" s="8">
        <v>-9.64061165877515E-2</v>
      </c>
      <c r="AB5">
        <f>AB4+1</f>
        <v>2</v>
      </c>
      <c r="AC5" s="272">
        <v>-0.95698541007981308</v>
      </c>
      <c r="AE5" s="693" t="s">
        <v>112</v>
      </c>
      <c r="AF5" s="693" t="str">
        <f t="shared" ref="AF5:AF16" si="3">A3</f>
        <v>Color</v>
      </c>
      <c r="AG5" s="693" t="str">
        <f t="shared" ref="AG5:AG16" si="4">B3</f>
        <v>Quality</v>
      </c>
      <c r="AH5" s="693" t="str">
        <f t="shared" ref="AH5:AH16" si="5">C3</f>
        <v>Price</v>
      </c>
      <c r="AI5" s="693" t="s">
        <v>743</v>
      </c>
      <c r="AJ5" s="693" t="s">
        <v>295</v>
      </c>
      <c r="AK5" s="693" t="s">
        <v>744</v>
      </c>
      <c r="AL5" s="693" t="s">
        <v>1638</v>
      </c>
      <c r="AM5" s="693" t="s">
        <v>745</v>
      </c>
      <c r="AN5" s="693" t="s">
        <v>746</v>
      </c>
      <c r="AO5" s="693" t="s">
        <v>1578</v>
      </c>
      <c r="AP5" s="693" t="s">
        <v>748</v>
      </c>
      <c r="AQ5" s="693" t="s">
        <v>1577</v>
      </c>
    </row>
    <row r="6" spans="1:46" x14ac:dyDescent="0.25">
      <c r="A6" s="349">
        <v>5</v>
      </c>
      <c r="B6" s="349">
        <v>8</v>
      </c>
      <c r="C6" s="349">
        <v>51</v>
      </c>
      <c r="E6" s="35">
        <v>1</v>
      </c>
      <c r="F6" s="50">
        <f t="shared" si="0"/>
        <v>5</v>
      </c>
      <c r="G6" s="36">
        <f t="shared" si="0"/>
        <v>8</v>
      </c>
      <c r="I6" s="124">
        <f t="shared" si="1"/>
        <v>51</v>
      </c>
      <c r="K6" s="90">
        <v>3.7584154829361722</v>
      </c>
      <c r="M6" s="176">
        <v>56.295169344614322</v>
      </c>
      <c r="O6" s="23">
        <f t="shared" si="2"/>
        <v>-5.2951693446143224</v>
      </c>
      <c r="Q6" s="6">
        <v>0.13418199694688102</v>
      </c>
      <c r="R6" s="7">
        <v>0.23379647597609252</v>
      </c>
      <c r="S6" s="7">
        <v>0.29509172294237895</v>
      </c>
      <c r="T6" s="7">
        <v>-8.5150974151983277E-2</v>
      </c>
      <c r="U6" s="7">
        <v>2.8823514191829103E-2</v>
      </c>
      <c r="V6" s="7">
        <v>7.2886749980594551E-2</v>
      </c>
      <c r="W6" s="7">
        <v>-0.15219022484411004</v>
      </c>
      <c r="X6" s="7">
        <v>0.17537323087272627</v>
      </c>
      <c r="Y6" s="7">
        <v>0.24815648529069334</v>
      </c>
      <c r="Z6" s="7">
        <v>7.5758751843514716E-2</v>
      </c>
      <c r="AA6" s="8">
        <v>-2.6727729048617005E-2</v>
      </c>
      <c r="AB6">
        <f t="shared" ref="AB6:AB14" si="6">AB5+1</f>
        <v>3</v>
      </c>
      <c r="AC6" s="272">
        <v>-1.0711234253885886</v>
      </c>
      <c r="AE6">
        <v>1</v>
      </c>
      <c r="AF6">
        <f t="shared" si="3"/>
        <v>7</v>
      </c>
      <c r="AG6">
        <f t="shared" si="4"/>
        <v>5</v>
      </c>
      <c r="AH6">
        <f t="shared" si="5"/>
        <v>65</v>
      </c>
      <c r="AI6">
        <f t="array" ref="AI6:AI16">TREND(C4:C14,A4:B14)</f>
        <v>54.810499624828587</v>
      </c>
      <c r="AJ6">
        <f>AH6-AI6</f>
        <v>10.189500375171413</v>
      </c>
      <c r="AK6">
        <f t="array" ref="AK6:AK16">[1]!LEVERAGE(A4:B14)</f>
        <v>0.12773939817330332</v>
      </c>
      <c r="AL6">
        <f>AJ6/SQRT($AT$8)</f>
        <v>1.7305289072382328</v>
      </c>
      <c r="AM6">
        <f>($AT$8-AJ6^2/((1-AK6)*$AT$7))*$AT$7/($AT$7-1)</f>
        <v>22.617923249033847</v>
      </c>
      <c r="AN6">
        <f>AJ6/SQRT(AM6*(1-AK6))</f>
        <v>2.2940527410302689</v>
      </c>
      <c r="AO6">
        <f>TDIST(ABS(AN6),$AT$7,2)</f>
        <v>5.0941566162261191E-2</v>
      </c>
      <c r="AP6">
        <f>(AJ6^2/$AT$8)*(AK6/(1-AK6)^2)/($AT$9+1)</f>
        <v>0.16759799315634039</v>
      </c>
      <c r="AQ6">
        <f>AN6*SQRT(AK6/(1-AK6))</f>
        <v>0.87789525712223704</v>
      </c>
      <c r="AS6" t="s">
        <v>754</v>
      </c>
      <c r="AT6" s="744">
        <f>DEVSQ(AJ6:AJ16)</f>
        <v>277.35630934823672</v>
      </c>
    </row>
    <row r="7" spans="1:46" x14ac:dyDescent="0.25">
      <c r="A7" s="349">
        <v>8</v>
      </c>
      <c r="B7" s="349">
        <v>1</v>
      </c>
      <c r="C7" s="349">
        <v>38</v>
      </c>
      <c r="E7" s="35">
        <v>1</v>
      </c>
      <c r="F7" s="50">
        <f t="shared" si="0"/>
        <v>8</v>
      </c>
      <c r="G7" s="36">
        <f t="shared" si="0"/>
        <v>1</v>
      </c>
      <c r="I7" s="124">
        <f t="shared" si="1"/>
        <v>38</v>
      </c>
      <c r="M7" s="176">
        <v>44.672126057595207</v>
      </c>
      <c r="O7" s="23">
        <f t="shared" si="2"/>
        <v>-6.6721260575952073</v>
      </c>
      <c r="Q7" s="6">
        <v>7.9562213770084517E-2</v>
      </c>
      <c r="R7" s="7">
        <v>-8.1580377241325747E-2</v>
      </c>
      <c r="S7" s="7">
        <v>-8.515097415198325E-2</v>
      </c>
      <c r="T7" s="7">
        <v>0.26709617325157176</v>
      </c>
      <c r="U7" s="7">
        <v>0.20220445548397095</v>
      </c>
      <c r="V7" s="7">
        <v>8.3132810680742075E-2</v>
      </c>
      <c r="W7" s="7">
        <v>0.23216642086470549</v>
      </c>
      <c r="X7" s="7">
        <v>-5.8759605681906302E-2</v>
      </c>
      <c r="Y7" s="7">
        <v>1.4670496002483713E-2</v>
      </c>
      <c r="Z7" s="7">
        <v>0.10238298532950396</v>
      </c>
      <c r="AA7" s="8">
        <v>0.24427540169215228</v>
      </c>
      <c r="AB7">
        <f t="shared" si="6"/>
        <v>4</v>
      </c>
      <c r="AC7" s="272">
        <v>-1.3236303505689102</v>
      </c>
      <c r="AE7">
        <f>AE6+1</f>
        <v>2</v>
      </c>
      <c r="AF7">
        <f t="shared" si="3"/>
        <v>3</v>
      </c>
      <c r="AG7">
        <f t="shared" si="4"/>
        <v>7</v>
      </c>
      <c r="AH7">
        <f t="shared" si="5"/>
        <v>38</v>
      </c>
      <c r="AI7">
        <v>42.746177132655426</v>
      </c>
      <c r="AJ7">
        <f t="shared" ref="AJ7:AJ16" si="7">AH7-AI7</f>
        <v>-4.7461771326554256</v>
      </c>
      <c r="AK7">
        <v>0.29053791818675778</v>
      </c>
      <c r="AL7">
        <f t="shared" ref="AL7:AL16" si="8">AJ7/SQRT($AT$8)</f>
        <v>-0.80606471608232444</v>
      </c>
      <c r="AM7">
        <f t="shared" ref="AM7:AM16" si="9">($AT$8-AJ7^2/((1-AK7)*$AT$7))*$AT$7/($AT$7-1)</f>
        <v>35.086459310201128</v>
      </c>
      <c r="AN7">
        <f t="shared" ref="AN7:AN16" si="10">AJ7/SQRT(AM7*(1-AK7))</f>
        <v>-0.95128264994126799</v>
      </c>
      <c r="AO7">
        <f t="shared" ref="AO7:AO16" si="11">TDIST(ABS(AN7),$AT$7,2)</f>
        <v>0.36931232488633664</v>
      </c>
      <c r="AP7">
        <f t="shared" ref="AP7:AP16" si="12">(AJ7^2/$AT$8)*(AK7/(1-AK7)^2)/($AT$9+1)</f>
        <v>0.12501525470898447</v>
      </c>
      <c r="AQ7">
        <f t="shared" ref="AQ7:AQ16" si="13">AN7*SQRT(AK7/(1-AK7))</f>
        <v>-0.60876039700023254</v>
      </c>
      <c r="AS7" t="s">
        <v>753</v>
      </c>
      <c r="AT7" s="680">
        <f>COUNT(C4:C14)-AT9-1</f>
        <v>8</v>
      </c>
    </row>
    <row r="8" spans="1:46" x14ac:dyDescent="0.25">
      <c r="A8" s="349">
        <v>9</v>
      </c>
      <c r="B8" s="349">
        <v>3</v>
      </c>
      <c r="C8" s="349">
        <v>55</v>
      </c>
      <c r="E8" s="35">
        <v>1</v>
      </c>
      <c r="F8" s="50">
        <f t="shared" si="0"/>
        <v>9</v>
      </c>
      <c r="G8" s="36">
        <f t="shared" si="0"/>
        <v>3</v>
      </c>
      <c r="I8" s="124">
        <f t="shared" si="1"/>
        <v>55</v>
      </c>
      <c r="K8" s="349" t="s">
        <v>425</v>
      </c>
      <c r="M8" s="176">
        <v>57.08424538797891</v>
      </c>
      <c r="O8" s="23">
        <f t="shared" si="2"/>
        <v>-2.0842453879789105</v>
      </c>
      <c r="Q8" s="6">
        <v>0.13927915340629782</v>
      </c>
      <c r="R8" s="7">
        <v>-6.9316153069937117E-2</v>
      </c>
      <c r="S8" s="7">
        <v>2.8823514191829103E-2</v>
      </c>
      <c r="T8" s="7">
        <v>0.2022044554839712</v>
      </c>
      <c r="U8" s="7">
        <v>0.24665579963259088</v>
      </c>
      <c r="V8" s="7">
        <v>4.1139486144531556E-2</v>
      </c>
      <c r="W8" s="7">
        <v>2.8461279722631072E-3</v>
      </c>
      <c r="X8" s="7">
        <v>-0.11684649020673242</v>
      </c>
      <c r="Y8" s="7">
        <v>0.18373049755491749</v>
      </c>
      <c r="Z8" s="7">
        <v>9.1748816269502487E-2</v>
      </c>
      <c r="AA8" s="8">
        <v>0.2497347926207665</v>
      </c>
      <c r="AB8">
        <f t="shared" si="6"/>
        <v>5</v>
      </c>
      <c r="AC8" s="272">
        <v>-0.40782898942708506</v>
      </c>
      <c r="AE8">
        <f t="shared" ref="AE8:AE16" si="14">AE7+1</f>
        <v>3</v>
      </c>
      <c r="AF8">
        <f t="shared" si="3"/>
        <v>5</v>
      </c>
      <c r="AG8">
        <f t="shared" si="4"/>
        <v>8</v>
      </c>
      <c r="AH8">
        <f t="shared" si="5"/>
        <v>51</v>
      </c>
      <c r="AI8">
        <v>56.295169344614344</v>
      </c>
      <c r="AJ8">
        <f t="shared" si="7"/>
        <v>-5.2951693446143437</v>
      </c>
      <c r="AK8">
        <v>0.29509172294237895</v>
      </c>
      <c r="AL8">
        <f t="shared" si="8"/>
        <v>-0.89930254499084783</v>
      </c>
      <c r="AM8">
        <f t="shared" si="9"/>
        <v>33.939965811607287</v>
      </c>
      <c r="AN8">
        <f t="shared" si="10"/>
        <v>-1.0825746381756123</v>
      </c>
      <c r="AO8">
        <f t="shared" si="11"/>
        <v>0.31054512744458967</v>
      </c>
      <c r="AP8">
        <f t="shared" si="12"/>
        <v>0.16009663290396273</v>
      </c>
      <c r="AQ8">
        <f t="shared" si="13"/>
        <v>-0.70043857775134433</v>
      </c>
      <c r="AS8" t="s">
        <v>755</v>
      </c>
      <c r="AT8" s="680">
        <f>AT6/AT7</f>
        <v>34.66953866852959</v>
      </c>
    </row>
    <row r="9" spans="1:46" x14ac:dyDescent="0.25">
      <c r="A9" s="349">
        <v>5</v>
      </c>
      <c r="B9" s="349">
        <v>4</v>
      </c>
      <c r="C9" s="349">
        <v>43</v>
      </c>
      <c r="E9" s="35">
        <v>1</v>
      </c>
      <c r="F9" s="50">
        <f t="shared" si="0"/>
        <v>5</v>
      </c>
      <c r="G9" s="36">
        <f t="shared" si="0"/>
        <v>4</v>
      </c>
      <c r="I9" s="124">
        <f t="shared" si="1"/>
        <v>43</v>
      </c>
      <c r="K9" s="172">
        <f>SQRT(I17)</f>
        <v>6.9602026710152911</v>
      </c>
      <c r="M9" s="176">
        <v>41.261507412869634</v>
      </c>
      <c r="O9" s="23">
        <f t="shared" si="2"/>
        <v>1.7384925871303665</v>
      </c>
      <c r="Q9" s="6">
        <v>6.2252580920593034E-2</v>
      </c>
      <c r="R9" s="7">
        <v>0.12543662190483601</v>
      </c>
      <c r="S9" s="7">
        <v>7.2886749980594689E-2</v>
      </c>
      <c r="T9" s="7">
        <v>8.3132810680742006E-2</v>
      </c>
      <c r="U9" s="7">
        <v>4.1139486144531459E-2</v>
      </c>
      <c r="V9" s="7">
        <v>0.11480245284483437</v>
      </c>
      <c r="W9" s="7">
        <v>0.17775362881316475</v>
      </c>
      <c r="X9" s="7">
        <v>0.15695102072498665</v>
      </c>
      <c r="Y9" s="7">
        <v>2.0259256384382487E-2</v>
      </c>
      <c r="Z9" s="7">
        <v>9.3766979740743661E-2</v>
      </c>
      <c r="AA9" s="8">
        <v>5.1618411860591379E-2</v>
      </c>
      <c r="AB9">
        <f t="shared" si="6"/>
        <v>6</v>
      </c>
      <c r="AC9" s="272">
        <v>0.31381862189921916</v>
      </c>
      <c r="AE9">
        <f t="shared" si="14"/>
        <v>4</v>
      </c>
      <c r="AF9">
        <f t="shared" si="3"/>
        <v>8</v>
      </c>
      <c r="AG9">
        <f t="shared" si="4"/>
        <v>1</v>
      </c>
      <c r="AH9">
        <f t="shared" si="5"/>
        <v>38</v>
      </c>
      <c r="AI9">
        <v>44.672126057595285</v>
      </c>
      <c r="AJ9">
        <f t="shared" si="7"/>
        <v>-6.6721260575952854</v>
      </c>
      <c r="AK9">
        <v>0.26709617325157176</v>
      </c>
      <c r="AL9">
        <f t="shared" si="8"/>
        <v>-1.1331573276684697</v>
      </c>
      <c r="AM9">
        <f t="shared" si="9"/>
        <v>30.945053005315653</v>
      </c>
      <c r="AN9">
        <f t="shared" si="10"/>
        <v>-1.4010225735860871</v>
      </c>
      <c r="AO9">
        <f t="shared" si="11"/>
        <v>0.19878455622172955</v>
      </c>
      <c r="AP9">
        <f t="shared" si="12"/>
        <v>0.2128300051656912</v>
      </c>
      <c r="AQ9">
        <f t="shared" si="13"/>
        <v>-0.84577622150932186</v>
      </c>
      <c r="AS9" t="s">
        <v>56</v>
      </c>
      <c r="AT9" s="681">
        <f>COUNT(A4:B4)</f>
        <v>2</v>
      </c>
    </row>
    <row r="10" spans="1:46" x14ac:dyDescent="0.25">
      <c r="A10" s="349">
        <v>4</v>
      </c>
      <c r="B10" s="349">
        <v>0</v>
      </c>
      <c r="C10" s="349">
        <v>25</v>
      </c>
      <c r="E10" s="35">
        <v>1</v>
      </c>
      <c r="F10" s="50">
        <f t="shared" si="0"/>
        <v>4</v>
      </c>
      <c r="G10" s="36">
        <f t="shared" si="0"/>
        <v>0</v>
      </c>
      <c r="I10" s="124">
        <f t="shared" si="1"/>
        <v>25</v>
      </c>
      <c r="K10" s="173">
        <f>SQRT(J18)</f>
        <v>0.82022977846272849</v>
      </c>
      <c r="M10" s="176">
        <v>21.332557116613586</v>
      </c>
      <c r="O10" s="23">
        <f t="shared" si="2"/>
        <v>3.6674428833864141</v>
      </c>
      <c r="Q10" s="6">
        <v>-3.3429066728764167E-2</v>
      </c>
      <c r="R10" s="7">
        <v>5.8992470697819321E-2</v>
      </c>
      <c r="S10" s="7">
        <v>-0.15219022484410982</v>
      </c>
      <c r="T10" s="7">
        <v>0.23216642086470532</v>
      </c>
      <c r="U10" s="7">
        <v>2.8461279722628852E-3</v>
      </c>
      <c r="V10" s="7">
        <v>0.17775362881316481</v>
      </c>
      <c r="W10" s="7">
        <v>0.57204584853424467</v>
      </c>
      <c r="X10" s="7">
        <v>0.20582680017594307</v>
      </c>
      <c r="Y10" s="7">
        <v>-0.2627493596212066</v>
      </c>
      <c r="Z10" s="7">
        <v>0.11340526274935969</v>
      </c>
      <c r="AA10" s="8">
        <v>8.5332091386581543E-2</v>
      </c>
      <c r="AB10">
        <f t="shared" si="6"/>
        <v>7</v>
      </c>
      <c r="AC10" s="272">
        <v>0.95211784652177578</v>
      </c>
      <c r="AE10">
        <f t="shared" si="14"/>
        <v>5</v>
      </c>
      <c r="AF10">
        <f t="shared" si="3"/>
        <v>9</v>
      </c>
      <c r="AG10">
        <f t="shared" si="4"/>
        <v>3</v>
      </c>
      <c r="AH10">
        <f t="shared" si="5"/>
        <v>55</v>
      </c>
      <c r="AI10">
        <v>57.084245387978996</v>
      </c>
      <c r="AJ10">
        <f t="shared" si="7"/>
        <v>-2.0842453879789957</v>
      </c>
      <c r="AK10">
        <v>0.24665579963259088</v>
      </c>
      <c r="AL10">
        <f t="shared" si="8"/>
        <v>-0.3539768154348728</v>
      </c>
      <c r="AM10">
        <f t="shared" si="9"/>
        <v>38.798559456754262</v>
      </c>
      <c r="AN10">
        <f t="shared" si="10"/>
        <v>-0.38551770153742698</v>
      </c>
      <c r="AO10">
        <f t="shared" si="11"/>
        <v>0.70990258029872355</v>
      </c>
      <c r="AP10">
        <f t="shared" si="12"/>
        <v>1.8152348214671325E-2</v>
      </c>
      <c r="AQ10">
        <f t="shared" si="13"/>
        <v>-0.22059378129479076</v>
      </c>
    </row>
    <row r="11" spans="1:46" x14ac:dyDescent="0.25">
      <c r="A11" s="349">
        <v>2</v>
      </c>
      <c r="B11" s="349">
        <v>6</v>
      </c>
      <c r="C11" s="349">
        <v>33</v>
      </c>
      <c r="E11" s="35">
        <v>1</v>
      </c>
      <c r="F11" s="50">
        <f t="shared" si="0"/>
        <v>2</v>
      </c>
      <c r="G11" s="36">
        <f t="shared" si="0"/>
        <v>6</v>
      </c>
      <c r="I11" s="124">
        <f t="shared" si="1"/>
        <v>33</v>
      </c>
      <c r="K11" s="174">
        <f>SQRT(K19)</f>
        <v>0.75651098735033706</v>
      </c>
      <c r="M11" s="176">
        <v>34.092473285207895</v>
      </c>
      <c r="O11" s="23">
        <f t="shared" si="2"/>
        <v>-1.0924732852078947</v>
      </c>
      <c r="Q11" s="6">
        <v>2.6960594064529331E-2</v>
      </c>
      <c r="R11" s="7">
        <v>0.3053636575331834</v>
      </c>
      <c r="S11" s="7">
        <v>0.17537323087272627</v>
      </c>
      <c r="T11" s="7">
        <v>-5.8759605681906524E-2</v>
      </c>
      <c r="U11" s="7">
        <v>-0.11684649020673266</v>
      </c>
      <c r="V11" s="7">
        <v>0.15695102072498646</v>
      </c>
      <c r="W11" s="7">
        <v>0.20582680017594268</v>
      </c>
      <c r="X11" s="7">
        <v>0.36805609459494448</v>
      </c>
      <c r="Y11" s="7">
        <v>-3.1126290460296802E-2</v>
      </c>
      <c r="Z11" s="7">
        <v>8.9653031126290417E-2</v>
      </c>
      <c r="AA11" s="8">
        <v>-0.12145204274366761</v>
      </c>
      <c r="AB11">
        <f t="shared" si="6"/>
        <v>8</v>
      </c>
      <c r="AC11" s="272">
        <v>-0.23339821457085794</v>
      </c>
      <c r="AE11">
        <f t="shared" si="14"/>
        <v>6</v>
      </c>
      <c r="AF11">
        <f t="shared" si="3"/>
        <v>5</v>
      </c>
      <c r="AG11">
        <f t="shared" si="4"/>
        <v>4</v>
      </c>
      <c r="AH11">
        <f t="shared" si="5"/>
        <v>43</v>
      </c>
      <c r="AI11">
        <v>41.261507412869676</v>
      </c>
      <c r="AJ11">
        <f t="shared" si="7"/>
        <v>1.7384925871303238</v>
      </c>
      <c r="AK11">
        <v>0.11480245284483437</v>
      </c>
      <c r="AL11">
        <f t="shared" si="8"/>
        <v>0.2952560543968572</v>
      </c>
      <c r="AM11">
        <f t="shared" si="9"/>
        <v>39.13456848891785</v>
      </c>
      <c r="AN11">
        <f t="shared" si="10"/>
        <v>0.29537413820836494</v>
      </c>
      <c r="AO11">
        <f t="shared" si="11"/>
        <v>0.77522908029392079</v>
      </c>
      <c r="AP11">
        <f t="shared" si="12"/>
        <v>4.2574262393199839E-3</v>
      </c>
      <c r="AQ11">
        <f t="shared" si="13"/>
        <v>0.106372153159037</v>
      </c>
    </row>
    <row r="12" spans="1:46" x14ac:dyDescent="0.25">
      <c r="A12" s="349">
        <v>8</v>
      </c>
      <c r="B12" s="349">
        <v>7</v>
      </c>
      <c r="C12" s="349">
        <v>71</v>
      </c>
      <c r="E12" s="35">
        <v>1</v>
      </c>
      <c r="F12" s="50">
        <f t="shared" si="0"/>
        <v>8</v>
      </c>
      <c r="G12" s="36">
        <f t="shared" si="0"/>
        <v>7</v>
      </c>
      <c r="I12" s="124">
        <f t="shared" si="1"/>
        <v>71</v>
      </c>
      <c r="M12" s="176">
        <v>67.222618955212241</v>
      </c>
      <c r="O12" s="23">
        <f t="shared" si="2"/>
        <v>3.7773810447877594</v>
      </c>
      <c r="Q12" s="6">
        <v>0.18745633780951643</v>
      </c>
      <c r="R12" s="7">
        <v>8.0959403865559054E-2</v>
      </c>
      <c r="S12" s="7">
        <v>0.24815648529069312</v>
      </c>
      <c r="T12" s="7">
        <v>1.4670496002483775E-2</v>
      </c>
      <c r="U12" s="7">
        <v>0.18373049755491741</v>
      </c>
      <c r="V12" s="7">
        <v>2.0259256384382279E-2</v>
      </c>
      <c r="W12" s="7">
        <v>-0.26274935962120671</v>
      </c>
      <c r="X12" s="7">
        <v>-3.1126290460296857E-2</v>
      </c>
      <c r="Y12" s="7">
        <v>0.35651633936195004</v>
      </c>
      <c r="Z12" s="7">
        <v>7.5370643483660488E-2</v>
      </c>
      <c r="AA12" s="8">
        <v>0.12675619032833968</v>
      </c>
      <c r="AB12">
        <f t="shared" si="6"/>
        <v>9</v>
      </c>
      <c r="AC12" s="272">
        <v>0.79973849933219099</v>
      </c>
      <c r="AE12">
        <f t="shared" si="14"/>
        <v>7</v>
      </c>
      <c r="AF12">
        <f t="shared" si="3"/>
        <v>4</v>
      </c>
      <c r="AG12">
        <f t="shared" si="4"/>
        <v>0</v>
      </c>
      <c r="AH12">
        <f t="shared" si="5"/>
        <v>25</v>
      </c>
      <c r="AI12">
        <v>21.332557116613632</v>
      </c>
      <c r="AJ12">
        <f t="shared" si="7"/>
        <v>3.6674428833863679</v>
      </c>
      <c r="AK12">
        <v>0.57204584853424467</v>
      </c>
      <c r="AL12">
        <f t="shared" si="8"/>
        <v>0.62285840244041202</v>
      </c>
      <c r="AM12">
        <f t="shared" si="9"/>
        <v>35.132484021419948</v>
      </c>
      <c r="AN12">
        <f t="shared" si="10"/>
        <v>0.94582395298764876</v>
      </c>
      <c r="AO12">
        <f t="shared" si="11"/>
        <v>0.37192566649931208</v>
      </c>
      <c r="AP12">
        <f t="shared" si="12"/>
        <v>0.40391850575463223</v>
      </c>
      <c r="AQ12">
        <f t="shared" si="13"/>
        <v>1.0935209443704508</v>
      </c>
    </row>
    <row r="13" spans="1:46" x14ac:dyDescent="0.25">
      <c r="A13" s="349">
        <v>6</v>
      </c>
      <c r="B13" s="349">
        <v>4</v>
      </c>
      <c r="C13" s="349">
        <v>51</v>
      </c>
      <c r="E13" s="35">
        <v>1</v>
      </c>
      <c r="F13" s="50">
        <f t="shared" si="0"/>
        <v>6</v>
      </c>
      <c r="G13" s="36">
        <f t="shared" si="0"/>
        <v>4</v>
      </c>
      <c r="I13" s="124">
        <f t="shared" si="1"/>
        <v>51</v>
      </c>
      <c r="M13" s="176">
        <v>46.156795777380999</v>
      </c>
      <c r="O13" s="23">
        <f t="shared" si="2"/>
        <v>4.8432042226190006</v>
      </c>
      <c r="Q13" s="6">
        <v>8.6004812543662199E-2</v>
      </c>
      <c r="R13" s="7">
        <v>8.3520919040596261E-2</v>
      </c>
      <c r="S13" s="7">
        <v>7.5758751843514785E-2</v>
      </c>
      <c r="T13" s="7">
        <v>0.10238298532950396</v>
      </c>
      <c r="U13" s="7">
        <v>9.174881626950239E-2</v>
      </c>
      <c r="V13" s="7">
        <v>9.3766979740743675E-2</v>
      </c>
      <c r="W13" s="7">
        <v>0.11340526274935969</v>
      </c>
      <c r="X13" s="7">
        <v>8.9653031126290611E-2</v>
      </c>
      <c r="Y13" s="7">
        <v>7.5370643483660626E-2</v>
      </c>
      <c r="Z13" s="7">
        <v>9.2136924629356548E-2</v>
      </c>
      <c r="AA13" s="8">
        <v>9.6250873243809612E-2</v>
      </c>
      <c r="AB13">
        <f t="shared" si="6"/>
        <v>10</v>
      </c>
      <c r="AC13" s="272">
        <v>0.86327382787517848</v>
      </c>
      <c r="AE13">
        <f t="shared" si="14"/>
        <v>8</v>
      </c>
      <c r="AF13">
        <f t="shared" si="3"/>
        <v>2</v>
      </c>
      <c r="AG13">
        <f t="shared" si="4"/>
        <v>6</v>
      </c>
      <c r="AH13">
        <f t="shared" si="5"/>
        <v>33</v>
      </c>
      <c r="AI13">
        <v>34.092473285207895</v>
      </c>
      <c r="AJ13">
        <f t="shared" si="7"/>
        <v>-1.0924732852078947</v>
      </c>
      <c r="AK13">
        <v>0.36805609459494448</v>
      </c>
      <c r="AL13">
        <f t="shared" si="8"/>
        <v>-0.18553967621851886</v>
      </c>
      <c r="AM13">
        <f t="shared" si="9"/>
        <v>39.35252795844837</v>
      </c>
      <c r="AN13">
        <f t="shared" si="10"/>
        <v>-0.21907117761234432</v>
      </c>
      <c r="AO13">
        <f t="shared" si="11"/>
        <v>0.8320804424416649</v>
      </c>
      <c r="AP13">
        <f t="shared" si="12"/>
        <v>1.0575704025892486E-2</v>
      </c>
      <c r="AQ13">
        <f t="shared" si="13"/>
        <v>-0.16718718470802202</v>
      </c>
    </row>
    <row r="14" spans="1:46" x14ac:dyDescent="0.25">
      <c r="A14" s="350">
        <v>9</v>
      </c>
      <c r="B14" s="350">
        <v>2</v>
      </c>
      <c r="C14" s="350">
        <v>49</v>
      </c>
      <c r="E14" s="106">
        <v>1</v>
      </c>
      <c r="F14" s="350">
        <f t="shared" si="0"/>
        <v>9</v>
      </c>
      <c r="G14" s="107">
        <f t="shared" si="0"/>
        <v>2</v>
      </c>
      <c r="I14" s="125">
        <f t="shared" si="1"/>
        <v>49</v>
      </c>
      <c r="M14" s="177">
        <v>53.325829905042738</v>
      </c>
      <c r="O14" s="168">
        <f t="shared" si="2"/>
        <v>-4.3258299050427382</v>
      </c>
      <c r="Q14" s="9">
        <v>0.12129679939972585</v>
      </c>
      <c r="R14" s="10">
        <v>-9.6406116587751223E-2</v>
      </c>
      <c r="S14" s="10">
        <v>-2.6727729048616949E-2</v>
      </c>
      <c r="T14" s="10">
        <v>0.24427540169215248</v>
      </c>
      <c r="U14" s="10">
        <v>0.24973479262076642</v>
      </c>
      <c r="V14" s="10">
        <v>5.1618411860591518E-2</v>
      </c>
      <c r="W14" s="10">
        <v>8.5332091386581793E-2</v>
      </c>
      <c r="X14" s="10">
        <v>-0.12145204274366732</v>
      </c>
      <c r="Y14" s="10">
        <v>0.12675619032833976</v>
      </c>
      <c r="Z14" s="10">
        <v>9.6250873243809765E-2</v>
      </c>
      <c r="AA14" s="11">
        <v>0.26932132784806856</v>
      </c>
      <c r="AB14">
        <f t="shared" si="6"/>
        <v>11</v>
      </c>
      <c r="AC14" s="168">
        <v>-0.85947290855377767</v>
      </c>
      <c r="AE14">
        <f t="shared" si="14"/>
        <v>9</v>
      </c>
      <c r="AF14">
        <f t="shared" si="3"/>
        <v>8</v>
      </c>
      <c r="AG14">
        <f t="shared" si="4"/>
        <v>7</v>
      </c>
      <c r="AH14">
        <f t="shared" si="5"/>
        <v>71</v>
      </c>
      <c r="AI14">
        <v>67.222618955212283</v>
      </c>
      <c r="AJ14">
        <f t="shared" si="7"/>
        <v>3.7773810447877167</v>
      </c>
      <c r="AK14">
        <v>0.35651633936195004</v>
      </c>
      <c r="AL14">
        <f t="shared" si="8"/>
        <v>0.64152969733306831</v>
      </c>
      <c r="AM14">
        <f t="shared" si="9"/>
        <v>36.454615428801176</v>
      </c>
      <c r="AN14">
        <f t="shared" si="10"/>
        <v>0.77991230823400914</v>
      </c>
      <c r="AO14">
        <f t="shared" si="11"/>
        <v>0.45789334437024365</v>
      </c>
      <c r="AP14">
        <f t="shared" si="12"/>
        <v>0.11811815834232482</v>
      </c>
      <c r="AQ14">
        <f t="shared" si="13"/>
        <v>0.58051939191634983</v>
      </c>
    </row>
    <row r="15" spans="1:46" x14ac:dyDescent="0.25">
      <c r="A15" s="50"/>
      <c r="B15" s="50"/>
      <c r="C15" s="50"/>
      <c r="AE15">
        <f t="shared" si="14"/>
        <v>10</v>
      </c>
      <c r="AF15">
        <f t="shared" si="3"/>
        <v>6</v>
      </c>
      <c r="AG15">
        <f t="shared" si="4"/>
        <v>4</v>
      </c>
      <c r="AH15">
        <f t="shared" si="5"/>
        <v>51</v>
      </c>
      <c r="AI15">
        <v>46.156795777381042</v>
      </c>
      <c r="AJ15">
        <f t="shared" si="7"/>
        <v>4.843204222618958</v>
      </c>
      <c r="AK15">
        <v>9.2136924629356548E-2</v>
      </c>
      <c r="AL15">
        <f t="shared" si="8"/>
        <v>0.82254326535214306</v>
      </c>
      <c r="AM15">
        <f t="shared" si="9"/>
        <v>35.931303335287602</v>
      </c>
      <c r="AN15">
        <f t="shared" si="10"/>
        <v>0.84798099811205752</v>
      </c>
      <c r="AO15">
        <f t="shared" si="11"/>
        <v>0.42109359303964677</v>
      </c>
      <c r="AP15">
        <f t="shared" si="12"/>
        <v>2.5210952466611803E-2</v>
      </c>
      <c r="AQ15">
        <f t="shared" si="13"/>
        <v>0.27014242879415451</v>
      </c>
    </row>
    <row r="16" spans="1:46" ht="18.75" x14ac:dyDescent="0.35">
      <c r="A16" s="349"/>
      <c r="B16" s="349"/>
      <c r="C16" s="349"/>
      <c r="D16" s="349"/>
      <c r="E16" s="1314" t="s">
        <v>380</v>
      </c>
      <c r="F16" s="1314"/>
      <c r="G16" s="1314"/>
      <c r="I16" s="1309" t="s">
        <v>424</v>
      </c>
      <c r="J16" s="1309"/>
      <c r="K16" s="1309"/>
      <c r="AE16" s="410">
        <f t="shared" si="14"/>
        <v>11</v>
      </c>
      <c r="AF16" s="410">
        <f t="shared" si="3"/>
        <v>9</v>
      </c>
      <c r="AG16" s="410">
        <f t="shared" si="4"/>
        <v>2</v>
      </c>
      <c r="AH16" s="410">
        <f t="shared" si="5"/>
        <v>49</v>
      </c>
      <c r="AI16" s="410">
        <v>53.325829905042831</v>
      </c>
      <c r="AJ16" s="410">
        <f t="shared" si="7"/>
        <v>-4.3258299050428306</v>
      </c>
      <c r="AK16" s="410">
        <v>0.26932132784806856</v>
      </c>
      <c r="AL16" s="410">
        <f t="shared" si="8"/>
        <v>-0.73467524636567916</v>
      </c>
      <c r="AM16" s="410">
        <f t="shared" si="9"/>
        <v>35.963734318089834</v>
      </c>
      <c r="AN16" s="410">
        <f t="shared" si="10"/>
        <v>-0.84386666783386477</v>
      </c>
      <c r="AO16" s="410">
        <f t="shared" si="11"/>
        <v>0.42325766755386807</v>
      </c>
      <c r="AP16" s="410">
        <f t="shared" si="12"/>
        <v>9.0758528337101352E-2</v>
      </c>
      <c r="AQ16" s="410">
        <f t="shared" si="13"/>
        <v>-0.51232552169277867</v>
      </c>
    </row>
    <row r="17" spans="1:29" ht="18" x14ac:dyDescent="0.35">
      <c r="A17" s="770"/>
      <c r="B17" s="770"/>
      <c r="C17" s="770"/>
      <c r="D17" s="349"/>
      <c r="E17" s="96">
        <f t="array" ref="E17:G19">MINVERSE(MMULT(TRANSPOSE(E4:G14),E4:G14))</f>
        <v>1.3973194649279432</v>
      </c>
      <c r="F17" s="98">
        <v>-0.14197003803461952</v>
      </c>
      <c r="G17" s="97">
        <v>-0.10639343838132949</v>
      </c>
      <c r="I17" s="169">
        <f t="array" ref="I17:K19">O19*E17:G19</f>
        <v>48.444421221608387</v>
      </c>
      <c r="J17" s="170">
        <v>-4.9220357234138561</v>
      </c>
      <c r="K17" s="171">
        <v>-3.6886114260393215</v>
      </c>
      <c r="N17" t="s">
        <v>289</v>
      </c>
      <c r="O17" s="167">
        <f>DEVSQ(O4:O14)</f>
        <v>277.35630934823661</v>
      </c>
    </row>
    <row r="18" spans="1:29" ht="18" x14ac:dyDescent="0.35">
      <c r="A18" s="770"/>
      <c r="B18" s="770"/>
      <c r="C18" s="770"/>
      <c r="E18" s="6">
        <v>-0.14197003803461947</v>
      </c>
      <c r="F18" s="7">
        <v>1.9405417992703587E-2</v>
      </c>
      <c r="G18" s="8">
        <v>5.9768687417527068E-3</v>
      </c>
      <c r="I18" s="6">
        <v>-4.9220357234138543</v>
      </c>
      <c r="J18" s="7">
        <v>0.67277688947701664</v>
      </c>
      <c r="K18" s="8">
        <v>0.20721528195892117</v>
      </c>
      <c r="N18" t="s">
        <v>287</v>
      </c>
      <c r="O18" s="23">
        <f>COUNT(A4:A14)-COUNT(A4:B4)-1</f>
        <v>8</v>
      </c>
    </row>
    <row r="19" spans="1:29" ht="18" x14ac:dyDescent="0.35">
      <c r="A19" s="770"/>
      <c r="B19" s="770"/>
      <c r="C19" s="770"/>
      <c r="E19" s="83">
        <v>-0.10639343838132957</v>
      </c>
      <c r="F19" s="84">
        <v>5.976868741752718E-3</v>
      </c>
      <c r="G19" s="85">
        <v>1.6507542239126507E-2</v>
      </c>
      <c r="I19" s="134">
        <v>-3.6886114260393241</v>
      </c>
      <c r="J19" s="135">
        <v>0.20721528195892158</v>
      </c>
      <c r="K19" s="136">
        <v>0.57230887398178176</v>
      </c>
      <c r="N19" t="s">
        <v>423</v>
      </c>
      <c r="O19" s="168">
        <f>O17/O18</f>
        <v>34.669538668529576</v>
      </c>
    </row>
    <row r="20" spans="1:29" x14ac:dyDescent="0.25">
      <c r="A20" s="770"/>
      <c r="B20" s="770"/>
      <c r="C20" s="770"/>
      <c r="N20" t="s">
        <v>56</v>
      </c>
      <c r="O20">
        <f>COUNT(A4:B4)</f>
        <v>2</v>
      </c>
    </row>
    <row r="21" spans="1:29" x14ac:dyDescent="0.25">
      <c r="A21" s="770"/>
      <c r="B21" s="770"/>
      <c r="C21" s="770"/>
      <c r="Q21" s="359" t="s">
        <v>112</v>
      </c>
      <c r="R21" s="359" t="s">
        <v>382</v>
      </c>
      <c r="S21" s="356" t="s">
        <v>383</v>
      </c>
      <c r="T21" s="360" t="s">
        <v>751</v>
      </c>
      <c r="U21" s="356" t="s">
        <v>743</v>
      </c>
      <c r="V21" s="356" t="s">
        <v>295</v>
      </c>
      <c r="W21" s="356" t="s">
        <v>1638</v>
      </c>
      <c r="X21" s="356" t="s">
        <v>744</v>
      </c>
      <c r="Y21" s="356" t="s">
        <v>745</v>
      </c>
      <c r="Z21" s="356" t="s">
        <v>746</v>
      </c>
      <c r="AA21" s="359" t="s">
        <v>747</v>
      </c>
      <c r="AB21" s="360" t="s">
        <v>748</v>
      </c>
      <c r="AC21" s="731" t="s">
        <v>1577</v>
      </c>
    </row>
    <row r="22" spans="1:29" x14ac:dyDescent="0.25">
      <c r="A22" s="770"/>
      <c r="B22" s="770"/>
      <c r="C22" s="770"/>
      <c r="Q22" s="361">
        <v>1</v>
      </c>
      <c r="R22" s="35">
        <f>A4</f>
        <v>7</v>
      </c>
      <c r="S22" s="50">
        <f>B4</f>
        <v>5</v>
      </c>
      <c r="T22" s="36">
        <f>C4</f>
        <v>65</v>
      </c>
      <c r="U22" s="368">
        <f>M4</f>
        <v>54.810499624828537</v>
      </c>
      <c r="V22" s="357">
        <f>T22-U22</f>
        <v>10.189500375171463</v>
      </c>
      <c r="W22" s="7">
        <f>V22/SQRT($O$19)</f>
        <v>1.7305289072382419</v>
      </c>
      <c r="X22" s="357">
        <f t="shared" ref="X22:X32" si="15">INDEX($Q$4:$AA$14,Q22,Q22)</f>
        <v>0.12773939817330332</v>
      </c>
      <c r="Y22" s="357">
        <f t="shared" ref="Y22:Y32" si="16">($O$19-V22^2/((1-X22)*$O$18))*$O$18/($O$18-1)</f>
        <v>22.617923249033659</v>
      </c>
      <c r="Z22" s="357">
        <f t="shared" ref="Z22:Z32" si="17">V22/SQRT(Y22*(1-X22))</f>
        <v>2.2940527410302898</v>
      </c>
      <c r="AA22" s="6">
        <f>TDIST(ABS(Z22),$O$18,2)</f>
        <v>5.0941566162259533E-2</v>
      </c>
      <c r="AB22" s="8">
        <f t="shared" ref="AB22:AB32" si="18">(V22^2/$O$19)*(X22/(1-X22)^2)/($O$20+1)</f>
        <v>0.16759799315634213</v>
      </c>
      <c r="AC22" s="664">
        <f>Z22*SQRT(X22/(1-X22))</f>
        <v>0.87789525712224503</v>
      </c>
    </row>
    <row r="23" spans="1:29" x14ac:dyDescent="0.25">
      <c r="A23" s="770"/>
      <c r="B23" s="770"/>
      <c r="C23" s="770"/>
      <c r="Q23" s="35">
        <f>Q22+1</f>
        <v>2</v>
      </c>
      <c r="R23" s="35">
        <f t="shared" ref="R23:R32" si="19">A5</f>
        <v>3</v>
      </c>
      <c r="S23" s="50">
        <f t="shared" ref="S23:S32" si="20">B5</f>
        <v>7</v>
      </c>
      <c r="T23" s="36">
        <f t="shared" ref="T23:T32" si="21">C5</f>
        <v>38</v>
      </c>
      <c r="U23" s="369">
        <f t="shared" ref="U23:U32" si="22">M5</f>
        <v>42.746177132655433</v>
      </c>
      <c r="V23" s="7">
        <f t="shared" ref="V23:V32" si="23">T23-U23</f>
        <v>-4.7461771326554327</v>
      </c>
      <c r="W23" s="7">
        <f t="shared" ref="W23:W32" si="24">V23/SQRT($O$19)</f>
        <v>-0.80606471608232588</v>
      </c>
      <c r="X23" s="7">
        <f t="shared" si="15"/>
        <v>0.29053791818675778</v>
      </c>
      <c r="Y23" s="7">
        <f t="shared" si="16"/>
        <v>35.0864593102011</v>
      </c>
      <c r="Z23" s="7">
        <f t="shared" si="17"/>
        <v>-0.95128264994126976</v>
      </c>
      <c r="AA23" s="6">
        <f t="shared" ref="AA23:AA32" si="25">TDIST(ABS(Z23),$O$18,2)</f>
        <v>0.36931232488633514</v>
      </c>
      <c r="AB23" s="8">
        <f t="shared" si="18"/>
        <v>0.12501525470898492</v>
      </c>
      <c r="AC23" s="503">
        <f t="shared" ref="AC23:AC32" si="26">Z23*SQRT(X23/(1-X23))</f>
        <v>-0.60876039700023366</v>
      </c>
    </row>
    <row r="24" spans="1:29" x14ac:dyDescent="0.25">
      <c r="Q24" s="35">
        <f t="shared" ref="Q24:Q32" si="27">Q23+1</f>
        <v>3</v>
      </c>
      <c r="R24" s="35">
        <f t="shared" si="19"/>
        <v>5</v>
      </c>
      <c r="S24" s="50">
        <f t="shared" si="20"/>
        <v>8</v>
      </c>
      <c r="T24" s="36">
        <f t="shared" si="21"/>
        <v>51</v>
      </c>
      <c r="U24" s="369">
        <f t="shared" si="22"/>
        <v>56.295169344614322</v>
      </c>
      <c r="V24" s="7">
        <f t="shared" si="23"/>
        <v>-5.2951693446143224</v>
      </c>
      <c r="W24" s="7">
        <f t="shared" si="24"/>
        <v>-0.8993025449908445</v>
      </c>
      <c r="X24" s="7">
        <f t="shared" si="15"/>
        <v>0.29509172294237895</v>
      </c>
      <c r="Y24" s="7">
        <f t="shared" si="16"/>
        <v>33.939965811607316</v>
      </c>
      <c r="Z24" s="7">
        <f t="shared" si="17"/>
        <v>-1.0825746381756076</v>
      </c>
      <c r="AA24" s="6">
        <f t="shared" si="25"/>
        <v>0.31054512744459173</v>
      </c>
      <c r="AB24" s="8">
        <f t="shared" si="18"/>
        <v>0.16009663290396148</v>
      </c>
      <c r="AC24" s="503">
        <f t="shared" si="26"/>
        <v>-0.70043857775134133</v>
      </c>
    </row>
    <row r="25" spans="1:29" x14ac:dyDescent="0.25">
      <c r="Q25" s="35">
        <f t="shared" si="27"/>
        <v>4</v>
      </c>
      <c r="R25" s="35">
        <f t="shared" si="19"/>
        <v>8</v>
      </c>
      <c r="S25" s="50">
        <f t="shared" si="20"/>
        <v>1</v>
      </c>
      <c r="T25" s="36">
        <f t="shared" si="21"/>
        <v>38</v>
      </c>
      <c r="U25" s="369">
        <f t="shared" si="22"/>
        <v>44.672126057595207</v>
      </c>
      <c r="V25" s="7">
        <f t="shared" si="23"/>
        <v>-6.6721260575952073</v>
      </c>
      <c r="W25" s="7">
        <f t="shared" si="24"/>
        <v>-1.1331573276684568</v>
      </c>
      <c r="X25" s="7">
        <f t="shared" si="15"/>
        <v>0.26709617325157176</v>
      </c>
      <c r="Y25" s="7">
        <f t="shared" si="16"/>
        <v>30.945053005315838</v>
      </c>
      <c r="Z25" s="7">
        <f t="shared" si="17"/>
        <v>-1.4010225735860666</v>
      </c>
      <c r="AA25" s="6">
        <f t="shared" si="25"/>
        <v>0.19878455622173527</v>
      </c>
      <c r="AB25" s="8">
        <f t="shared" si="18"/>
        <v>0.21283000516568629</v>
      </c>
      <c r="AC25" s="503">
        <f t="shared" si="26"/>
        <v>-0.84577622150930953</v>
      </c>
    </row>
    <row r="26" spans="1:29" x14ac:dyDescent="0.25">
      <c r="Q26" s="35">
        <f t="shared" si="27"/>
        <v>5</v>
      </c>
      <c r="R26" s="35">
        <f t="shared" si="19"/>
        <v>9</v>
      </c>
      <c r="S26" s="50">
        <f t="shared" si="20"/>
        <v>3</v>
      </c>
      <c r="T26" s="36">
        <f t="shared" si="21"/>
        <v>55</v>
      </c>
      <c r="U26" s="369">
        <f t="shared" si="22"/>
        <v>57.08424538797891</v>
      </c>
      <c r="V26" s="7">
        <f t="shared" si="23"/>
        <v>-2.0842453879789105</v>
      </c>
      <c r="W26" s="7">
        <f t="shared" si="24"/>
        <v>-0.35397681543485843</v>
      </c>
      <c r="X26" s="7">
        <f t="shared" si="15"/>
        <v>0.24665579963259088</v>
      </c>
      <c r="Y26" s="7">
        <f t="shared" si="16"/>
        <v>38.798559456754319</v>
      </c>
      <c r="Z26" s="7">
        <f t="shared" si="17"/>
        <v>-0.38551770153741088</v>
      </c>
      <c r="AA26" s="6">
        <f t="shared" si="25"/>
        <v>0.7099025802987351</v>
      </c>
      <c r="AB26" s="8">
        <f t="shared" si="18"/>
        <v>1.8152348214669847E-2</v>
      </c>
      <c r="AC26" s="503">
        <f t="shared" si="26"/>
        <v>-0.22059378129478155</v>
      </c>
    </row>
    <row r="27" spans="1:29" x14ac:dyDescent="0.25">
      <c r="Q27" s="35">
        <f t="shared" si="27"/>
        <v>6</v>
      </c>
      <c r="R27" s="35">
        <f t="shared" si="19"/>
        <v>5</v>
      </c>
      <c r="S27" s="50">
        <f t="shared" si="20"/>
        <v>4</v>
      </c>
      <c r="T27" s="36">
        <f t="shared" si="21"/>
        <v>43</v>
      </c>
      <c r="U27" s="369">
        <f t="shared" si="22"/>
        <v>41.261507412869634</v>
      </c>
      <c r="V27" s="7">
        <f t="shared" si="23"/>
        <v>1.7384925871303665</v>
      </c>
      <c r="W27" s="7">
        <f t="shared" si="24"/>
        <v>0.29525605439686453</v>
      </c>
      <c r="X27" s="7">
        <f t="shared" si="15"/>
        <v>0.11480245284483437</v>
      </c>
      <c r="Y27" s="7">
        <f t="shared" si="16"/>
        <v>39.134568488917807</v>
      </c>
      <c r="Z27" s="7">
        <f t="shared" si="17"/>
        <v>0.29537413820837233</v>
      </c>
      <c r="AA27" s="6">
        <f t="shared" si="25"/>
        <v>0.77522908029391524</v>
      </c>
      <c r="AB27" s="8">
        <f t="shared" si="18"/>
        <v>4.2574262393201947E-3</v>
      </c>
      <c r="AC27" s="503">
        <f t="shared" si="26"/>
        <v>0.10637215315903967</v>
      </c>
    </row>
    <row r="28" spans="1:29" x14ac:dyDescent="0.25">
      <c r="Q28" s="35">
        <f t="shared" si="27"/>
        <v>7</v>
      </c>
      <c r="R28" s="35">
        <f t="shared" si="19"/>
        <v>4</v>
      </c>
      <c r="S28" s="50">
        <f t="shared" si="20"/>
        <v>0</v>
      </c>
      <c r="T28" s="36">
        <f t="shared" si="21"/>
        <v>25</v>
      </c>
      <c r="U28" s="369">
        <f t="shared" si="22"/>
        <v>21.332557116613586</v>
      </c>
      <c r="V28" s="7">
        <f t="shared" si="23"/>
        <v>3.6674428833864141</v>
      </c>
      <c r="W28" s="7">
        <f t="shared" si="24"/>
        <v>0.62285840244042012</v>
      </c>
      <c r="X28" s="7">
        <f t="shared" si="15"/>
        <v>0.57204584853424467</v>
      </c>
      <c r="Y28" s="7">
        <f t="shared" si="16"/>
        <v>35.13248402141982</v>
      </c>
      <c r="Z28" s="7">
        <f t="shared" si="17"/>
        <v>0.94582395298766242</v>
      </c>
      <c r="AA28" s="6">
        <f t="shared" si="25"/>
        <v>0.37192566649930447</v>
      </c>
      <c r="AB28" s="8">
        <f t="shared" si="18"/>
        <v>0.40391850575464266</v>
      </c>
      <c r="AC28" s="503">
        <f t="shared" si="26"/>
        <v>1.0935209443704665</v>
      </c>
    </row>
    <row r="29" spans="1:29" x14ac:dyDescent="0.25">
      <c r="Q29" s="35">
        <f t="shared" si="27"/>
        <v>8</v>
      </c>
      <c r="R29" s="35">
        <f t="shared" si="19"/>
        <v>2</v>
      </c>
      <c r="S29" s="50">
        <f t="shared" si="20"/>
        <v>6</v>
      </c>
      <c r="T29" s="36">
        <f t="shared" si="21"/>
        <v>33</v>
      </c>
      <c r="U29" s="369">
        <f t="shared" si="22"/>
        <v>34.092473285207895</v>
      </c>
      <c r="V29" s="7">
        <f t="shared" si="23"/>
        <v>-1.0924732852078947</v>
      </c>
      <c r="W29" s="7">
        <f t="shared" si="24"/>
        <v>-0.18553967621851891</v>
      </c>
      <c r="X29" s="7">
        <f t="shared" si="15"/>
        <v>0.36805609459494448</v>
      </c>
      <c r="Y29" s="7">
        <f t="shared" si="16"/>
        <v>39.352527958448356</v>
      </c>
      <c r="Z29" s="7">
        <f t="shared" si="17"/>
        <v>-0.21907117761234435</v>
      </c>
      <c r="AA29" s="6">
        <f t="shared" si="25"/>
        <v>0.83208044244166479</v>
      </c>
      <c r="AB29" s="8">
        <f t="shared" si="18"/>
        <v>1.057570402589249E-2</v>
      </c>
      <c r="AC29" s="503">
        <f t="shared" si="26"/>
        <v>-0.16718718470802202</v>
      </c>
    </row>
    <row r="30" spans="1:29" x14ac:dyDescent="0.25">
      <c r="Q30" s="35">
        <f t="shared" si="27"/>
        <v>9</v>
      </c>
      <c r="R30" s="35">
        <f t="shared" si="19"/>
        <v>8</v>
      </c>
      <c r="S30" s="50">
        <f t="shared" si="20"/>
        <v>7</v>
      </c>
      <c r="T30" s="36">
        <f t="shared" si="21"/>
        <v>71</v>
      </c>
      <c r="U30" s="369">
        <f t="shared" si="22"/>
        <v>67.222618955212241</v>
      </c>
      <c r="V30" s="7">
        <f t="shared" si="23"/>
        <v>3.7773810447877594</v>
      </c>
      <c r="W30" s="7">
        <f t="shared" si="24"/>
        <v>0.64152969733307574</v>
      </c>
      <c r="X30" s="7">
        <f t="shared" si="15"/>
        <v>0.35651633936195004</v>
      </c>
      <c r="Y30" s="7">
        <f t="shared" si="16"/>
        <v>36.454615428801091</v>
      </c>
      <c r="Z30" s="7">
        <f t="shared" si="17"/>
        <v>0.77991230823401902</v>
      </c>
      <c r="AA30" s="6">
        <f t="shared" si="25"/>
        <v>0.4578933443702381</v>
      </c>
      <c r="AB30" s="8">
        <f t="shared" si="18"/>
        <v>0.11811815834232753</v>
      </c>
      <c r="AC30" s="503">
        <f t="shared" si="26"/>
        <v>0.58051939191635715</v>
      </c>
    </row>
    <row r="31" spans="1:29" x14ac:dyDescent="0.25">
      <c r="Q31" s="35">
        <f t="shared" si="27"/>
        <v>10</v>
      </c>
      <c r="R31" s="35">
        <f t="shared" si="19"/>
        <v>6</v>
      </c>
      <c r="S31" s="50">
        <f t="shared" si="20"/>
        <v>4</v>
      </c>
      <c r="T31" s="36">
        <f t="shared" si="21"/>
        <v>51</v>
      </c>
      <c r="U31" s="369">
        <f t="shared" si="22"/>
        <v>46.156795777380999</v>
      </c>
      <c r="V31" s="7">
        <f t="shared" si="23"/>
        <v>4.8432042226190006</v>
      </c>
      <c r="W31" s="7">
        <f t="shared" si="24"/>
        <v>0.8225432653521505</v>
      </c>
      <c r="X31" s="7">
        <f t="shared" si="15"/>
        <v>9.2136924629356548E-2</v>
      </c>
      <c r="Y31" s="7">
        <f t="shared" si="16"/>
        <v>35.931303335287524</v>
      </c>
      <c r="Z31" s="7">
        <f t="shared" si="17"/>
        <v>0.84798099811206584</v>
      </c>
      <c r="AA31" s="6">
        <f t="shared" si="25"/>
        <v>0.42109359303964244</v>
      </c>
      <c r="AB31" s="8">
        <f t="shared" si="18"/>
        <v>2.5210952466612258E-2</v>
      </c>
      <c r="AC31" s="503">
        <f t="shared" si="26"/>
        <v>0.27014242879415717</v>
      </c>
    </row>
    <row r="32" spans="1:29" x14ac:dyDescent="0.25">
      <c r="Q32" s="37">
        <f t="shared" si="27"/>
        <v>11</v>
      </c>
      <c r="R32" s="37">
        <f t="shared" si="19"/>
        <v>9</v>
      </c>
      <c r="S32" s="353">
        <f t="shared" si="20"/>
        <v>2</v>
      </c>
      <c r="T32" s="38">
        <f t="shared" si="21"/>
        <v>49</v>
      </c>
      <c r="U32" s="370">
        <f t="shared" si="22"/>
        <v>53.325829905042738</v>
      </c>
      <c r="V32" s="10">
        <f t="shared" si="23"/>
        <v>-4.3258299050427382</v>
      </c>
      <c r="W32" s="10">
        <f t="shared" si="24"/>
        <v>-0.73467524636566373</v>
      </c>
      <c r="X32" s="10">
        <f t="shared" si="15"/>
        <v>0.26932132784806856</v>
      </c>
      <c r="Y32" s="10">
        <f t="shared" si="16"/>
        <v>35.963734318089969</v>
      </c>
      <c r="Z32" s="10">
        <f t="shared" si="17"/>
        <v>-0.84386666783384523</v>
      </c>
      <c r="AA32" s="9">
        <f t="shared" si="25"/>
        <v>0.42325766755387828</v>
      </c>
      <c r="AB32" s="11">
        <f t="shared" si="18"/>
        <v>9.0758528337097522E-2</v>
      </c>
      <c r="AC32" s="420">
        <f t="shared" si="26"/>
        <v>-0.51232552169276679</v>
      </c>
    </row>
  </sheetData>
  <mergeCells count="3">
    <mergeCell ref="E3:G3"/>
    <mergeCell ref="E16:G16"/>
    <mergeCell ref="I16:K16"/>
  </mergeCells>
  <pageMargins left="0.7" right="0.7" top="0.75" bottom="0.75" header="0.3" footer="0.3"/>
  <ignoredErrors>
    <ignoredError sqref="O18 O20" formulaRange="1"/>
  </ignoredError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T23"/>
  <sheetViews>
    <sheetView workbookViewId="0"/>
  </sheetViews>
  <sheetFormatPr defaultRowHeight="15" x14ac:dyDescent="0.25"/>
  <cols>
    <col min="1" max="3" width="8.28515625" customWidth="1"/>
  </cols>
  <sheetData>
    <row r="1" spans="1:20" x14ac:dyDescent="0.25">
      <c r="A1" s="1" t="s">
        <v>2609</v>
      </c>
      <c r="E1" t="s">
        <v>748</v>
      </c>
    </row>
    <row r="2" spans="1:20" ht="15.75" thickBot="1" x14ac:dyDescent="0.3"/>
    <row r="3" spans="1:20" ht="15.75" thickTop="1" x14ac:dyDescent="0.25">
      <c r="A3" s="131" t="s">
        <v>382</v>
      </c>
      <c r="B3" s="131" t="s">
        <v>383</v>
      </c>
      <c r="C3" s="131" t="s">
        <v>376</v>
      </c>
      <c r="E3" s="826" t="s">
        <v>112</v>
      </c>
      <c r="F3" s="826" t="str">
        <f>A3</f>
        <v>Color</v>
      </c>
      <c r="G3" s="826" t="str">
        <f>B3</f>
        <v>Quality</v>
      </c>
      <c r="H3" s="826" t="str">
        <f>C3</f>
        <v>Price</v>
      </c>
      <c r="I3" s="826" t="s">
        <v>743</v>
      </c>
      <c r="J3" s="826" t="s">
        <v>295</v>
      </c>
      <c r="K3" s="826" t="s">
        <v>744</v>
      </c>
      <c r="L3" s="826" t="s">
        <v>1638</v>
      </c>
      <c r="M3" s="826" t="s">
        <v>745</v>
      </c>
      <c r="N3" s="826" t="s">
        <v>746</v>
      </c>
      <c r="O3" s="826" t="s">
        <v>1578</v>
      </c>
      <c r="P3" s="826" t="s">
        <v>748</v>
      </c>
      <c r="Q3" s="826" t="s">
        <v>1577</v>
      </c>
    </row>
    <row r="4" spans="1:20" x14ac:dyDescent="0.25">
      <c r="A4" s="1217">
        <v>7</v>
      </c>
      <c r="B4" s="1217">
        <v>5</v>
      </c>
      <c r="C4" s="1217">
        <v>65</v>
      </c>
      <c r="E4">
        <v>1</v>
      </c>
      <c r="F4">
        <f t="shared" ref="F4:F14" si="0">A4</f>
        <v>7</v>
      </c>
      <c r="G4">
        <f t="shared" ref="G4:G14" si="1">B4</f>
        <v>5</v>
      </c>
      <c r="H4">
        <f t="shared" ref="H4:H14" si="2">C4</f>
        <v>65</v>
      </c>
      <c r="I4">
        <f t="array" ref="I4:I14">TREND(C4:C14,A4:B14)</f>
        <v>54.810499624828587</v>
      </c>
      <c r="J4">
        <f>H4-I4</f>
        <v>10.189500375171413</v>
      </c>
      <c r="K4">
        <f t="array" ref="K4:K14">[1]!LEVERAGE(A4:B14)</f>
        <v>0.12773939817330332</v>
      </c>
      <c r="L4">
        <f>J4/SQRT($T$6)</f>
        <v>1.7305289072382328</v>
      </c>
      <c r="M4">
        <f>($T$6-J4^2/((1-K4)*$T$5))*$T$5/($T$5-1)</f>
        <v>22.617923249033847</v>
      </c>
      <c r="N4">
        <f>J4/SQRT(M4*(1-K4))</f>
        <v>2.2940527410302689</v>
      </c>
      <c r="O4">
        <f>TDIST(ABS(N4),$T$5,2)</f>
        <v>5.0941566162261191E-2</v>
      </c>
      <c r="P4">
        <f>(J4^2/$T$6)*(K4/(1-K4)^2)/($T$7+1)</f>
        <v>0.16759799315634039</v>
      </c>
      <c r="Q4">
        <f>N4*SQRT(K4/(1-K4))</f>
        <v>0.87789525712223704</v>
      </c>
      <c r="S4" t="s">
        <v>754</v>
      </c>
      <c r="T4" s="1155">
        <f>DEVSQ(J4:J14)</f>
        <v>277.35630934823672</v>
      </c>
    </row>
    <row r="5" spans="1:20" x14ac:dyDescent="0.25">
      <c r="A5" s="1217">
        <v>3</v>
      </c>
      <c r="B5" s="1217">
        <v>7</v>
      </c>
      <c r="C5" s="1217">
        <v>38</v>
      </c>
      <c r="E5">
        <f>E4+1</f>
        <v>2</v>
      </c>
      <c r="F5">
        <f t="shared" si="0"/>
        <v>3</v>
      </c>
      <c r="G5">
        <f t="shared" si="1"/>
        <v>7</v>
      </c>
      <c r="H5">
        <f t="shared" si="2"/>
        <v>38</v>
      </c>
      <c r="I5">
        <v>42.746177132655426</v>
      </c>
      <c r="J5">
        <f t="shared" ref="J5:J14" si="3">H5-I5</f>
        <v>-4.7461771326554256</v>
      </c>
      <c r="K5">
        <v>0.29053791818675778</v>
      </c>
      <c r="L5">
        <f t="shared" ref="L5:L14" si="4">J5/SQRT($T$6)</f>
        <v>-0.80606471608232444</v>
      </c>
      <c r="M5">
        <f t="shared" ref="M5:M14" si="5">($T$6-J5^2/((1-K5)*$T$5))*$T$5/($T$5-1)</f>
        <v>35.086459310201128</v>
      </c>
      <c r="N5">
        <f t="shared" ref="N5:N14" si="6">J5/SQRT(M5*(1-K5))</f>
        <v>-0.95128264994126799</v>
      </c>
      <c r="O5">
        <f t="shared" ref="O5:O14" si="7">TDIST(ABS(N5),$T$5,2)</f>
        <v>0.36931232488633664</v>
      </c>
      <c r="P5">
        <f t="shared" ref="P5:P14" si="8">(J5^2/$T$6)*(K5/(1-K5)^2)/($T$7+1)</f>
        <v>0.12501525470898447</v>
      </c>
      <c r="Q5">
        <f t="shared" ref="Q5:Q14" si="9">N5*SQRT(K5/(1-K5))</f>
        <v>-0.60876039700023254</v>
      </c>
      <c r="S5" t="s">
        <v>753</v>
      </c>
      <c r="T5" s="680">
        <f>COUNT(C4:C14)-T7-1</f>
        <v>8</v>
      </c>
    </row>
    <row r="6" spans="1:20" x14ac:dyDescent="0.25">
      <c r="A6" s="1217">
        <v>5</v>
      </c>
      <c r="B6" s="1217">
        <v>8</v>
      </c>
      <c r="C6" s="1217">
        <v>51</v>
      </c>
      <c r="E6">
        <f t="shared" ref="E6:E14" si="10">E5+1</f>
        <v>3</v>
      </c>
      <c r="F6">
        <f t="shared" si="0"/>
        <v>5</v>
      </c>
      <c r="G6">
        <f t="shared" si="1"/>
        <v>8</v>
      </c>
      <c r="H6">
        <f t="shared" si="2"/>
        <v>51</v>
      </c>
      <c r="I6">
        <v>56.295169344614344</v>
      </c>
      <c r="J6">
        <f t="shared" si="3"/>
        <v>-5.2951693446143437</v>
      </c>
      <c r="K6">
        <v>0.29509172294237895</v>
      </c>
      <c r="L6">
        <f t="shared" si="4"/>
        <v>-0.89930254499084783</v>
      </c>
      <c r="M6">
        <f t="shared" si="5"/>
        <v>33.939965811607287</v>
      </c>
      <c r="N6">
        <f t="shared" si="6"/>
        <v>-1.0825746381756123</v>
      </c>
      <c r="O6">
        <f t="shared" si="7"/>
        <v>0.31054512744458967</v>
      </c>
      <c r="P6">
        <f t="shared" si="8"/>
        <v>0.16009663290396273</v>
      </c>
      <c r="Q6">
        <f t="shared" si="9"/>
        <v>-0.70043857775134433</v>
      </c>
      <c r="S6" t="s">
        <v>755</v>
      </c>
      <c r="T6" s="680">
        <f>T4/T5</f>
        <v>34.66953866852959</v>
      </c>
    </row>
    <row r="7" spans="1:20" x14ac:dyDescent="0.25">
      <c r="A7" s="1217">
        <v>8</v>
      </c>
      <c r="B7" s="1217">
        <v>1</v>
      </c>
      <c r="C7" s="1217">
        <v>38</v>
      </c>
      <c r="E7">
        <f t="shared" si="10"/>
        <v>4</v>
      </c>
      <c r="F7">
        <f t="shared" si="0"/>
        <v>8</v>
      </c>
      <c r="G7">
        <f t="shared" si="1"/>
        <v>1</v>
      </c>
      <c r="H7">
        <f t="shared" si="2"/>
        <v>38</v>
      </c>
      <c r="I7">
        <v>44.672126057595285</v>
      </c>
      <c r="J7">
        <f t="shared" si="3"/>
        <v>-6.6721260575952854</v>
      </c>
      <c r="K7">
        <v>0.26709617325157176</v>
      </c>
      <c r="L7">
        <f t="shared" si="4"/>
        <v>-1.1331573276684697</v>
      </c>
      <c r="M7">
        <f t="shared" si="5"/>
        <v>30.945053005315653</v>
      </c>
      <c r="N7">
        <f t="shared" si="6"/>
        <v>-1.4010225735860871</v>
      </c>
      <c r="O7">
        <f t="shared" si="7"/>
        <v>0.19878455622172955</v>
      </c>
      <c r="P7">
        <f t="shared" si="8"/>
        <v>0.2128300051656912</v>
      </c>
      <c r="Q7">
        <f t="shared" si="9"/>
        <v>-0.84577622150932186</v>
      </c>
      <c r="S7" t="s">
        <v>56</v>
      </c>
      <c r="T7" s="757">
        <f>COUNT(A4:B4)</f>
        <v>2</v>
      </c>
    </row>
    <row r="8" spans="1:20" x14ac:dyDescent="0.25">
      <c r="A8" s="1217">
        <v>9</v>
      </c>
      <c r="B8" s="1217">
        <v>3</v>
      </c>
      <c r="C8" s="1217">
        <v>55</v>
      </c>
      <c r="E8">
        <f t="shared" si="10"/>
        <v>5</v>
      </c>
      <c r="F8">
        <f t="shared" si="0"/>
        <v>9</v>
      </c>
      <c r="G8">
        <f t="shared" si="1"/>
        <v>3</v>
      </c>
      <c r="H8">
        <f t="shared" si="2"/>
        <v>55</v>
      </c>
      <c r="I8">
        <v>57.084245387978996</v>
      </c>
      <c r="J8">
        <f t="shared" si="3"/>
        <v>-2.0842453879789957</v>
      </c>
      <c r="K8">
        <v>0.24665579963259088</v>
      </c>
      <c r="L8">
        <f t="shared" si="4"/>
        <v>-0.3539768154348728</v>
      </c>
      <c r="M8">
        <f t="shared" si="5"/>
        <v>38.798559456754262</v>
      </c>
      <c r="N8">
        <f t="shared" si="6"/>
        <v>-0.38551770153742698</v>
      </c>
      <c r="O8">
        <f t="shared" si="7"/>
        <v>0.70990258029872355</v>
      </c>
      <c r="P8">
        <f t="shared" si="8"/>
        <v>1.8152348214671325E-2</v>
      </c>
      <c r="Q8">
        <f t="shared" si="9"/>
        <v>-0.22059378129479076</v>
      </c>
    </row>
    <row r="9" spans="1:20" x14ac:dyDescent="0.25">
      <c r="A9" s="1217">
        <v>5</v>
      </c>
      <c r="B9" s="1217">
        <v>4</v>
      </c>
      <c r="C9" s="1217">
        <v>43</v>
      </c>
      <c r="E9">
        <f t="shared" si="10"/>
        <v>6</v>
      </c>
      <c r="F9">
        <f t="shared" si="0"/>
        <v>5</v>
      </c>
      <c r="G9">
        <f t="shared" si="1"/>
        <v>4</v>
      </c>
      <c r="H9">
        <f t="shared" si="2"/>
        <v>43</v>
      </c>
      <c r="I9">
        <v>41.261507412869676</v>
      </c>
      <c r="J9">
        <f t="shared" si="3"/>
        <v>1.7384925871303238</v>
      </c>
      <c r="K9">
        <v>0.11480245284483437</v>
      </c>
      <c r="L9">
        <f t="shared" si="4"/>
        <v>0.2952560543968572</v>
      </c>
      <c r="M9">
        <f t="shared" si="5"/>
        <v>39.13456848891785</v>
      </c>
      <c r="N9">
        <f t="shared" si="6"/>
        <v>0.29537413820836494</v>
      </c>
      <c r="O9">
        <f t="shared" si="7"/>
        <v>0.77522908029392079</v>
      </c>
      <c r="P9">
        <f t="shared" si="8"/>
        <v>4.2574262393199839E-3</v>
      </c>
      <c r="Q9">
        <f t="shared" si="9"/>
        <v>0.106372153159037</v>
      </c>
    </row>
    <row r="10" spans="1:20" x14ac:dyDescent="0.25">
      <c r="A10" s="1217">
        <v>4</v>
      </c>
      <c r="B10" s="1217">
        <v>0</v>
      </c>
      <c r="C10" s="1217">
        <v>25</v>
      </c>
      <c r="E10">
        <f t="shared" si="10"/>
        <v>7</v>
      </c>
      <c r="F10">
        <f t="shared" si="0"/>
        <v>4</v>
      </c>
      <c r="G10">
        <f t="shared" si="1"/>
        <v>0</v>
      </c>
      <c r="H10">
        <f t="shared" si="2"/>
        <v>25</v>
      </c>
      <c r="I10">
        <v>21.332557116613632</v>
      </c>
      <c r="J10">
        <f t="shared" si="3"/>
        <v>3.6674428833863679</v>
      </c>
      <c r="K10">
        <v>0.57204584853424467</v>
      </c>
      <c r="L10">
        <f t="shared" si="4"/>
        <v>0.62285840244041202</v>
      </c>
      <c r="M10">
        <f t="shared" si="5"/>
        <v>35.132484021419948</v>
      </c>
      <c r="N10">
        <f t="shared" si="6"/>
        <v>0.94582395298764876</v>
      </c>
      <c r="O10">
        <f t="shared" si="7"/>
        <v>0.37192566649931208</v>
      </c>
      <c r="P10">
        <f t="shared" si="8"/>
        <v>0.40391850575463223</v>
      </c>
      <c r="Q10">
        <f t="shared" si="9"/>
        <v>1.0935209443704508</v>
      </c>
    </row>
    <row r="11" spans="1:20" x14ac:dyDescent="0.25">
      <c r="A11" s="1217">
        <v>2</v>
      </c>
      <c r="B11" s="1217">
        <v>6</v>
      </c>
      <c r="C11" s="1217">
        <v>33</v>
      </c>
      <c r="E11">
        <f t="shared" si="10"/>
        <v>8</v>
      </c>
      <c r="F11">
        <f t="shared" si="0"/>
        <v>2</v>
      </c>
      <c r="G11">
        <f t="shared" si="1"/>
        <v>6</v>
      </c>
      <c r="H11">
        <f t="shared" si="2"/>
        <v>33</v>
      </c>
      <c r="I11">
        <v>34.092473285207895</v>
      </c>
      <c r="J11">
        <f t="shared" si="3"/>
        <v>-1.0924732852078947</v>
      </c>
      <c r="K11">
        <v>0.36805609459494448</v>
      </c>
      <c r="L11">
        <f t="shared" si="4"/>
        <v>-0.18553967621851886</v>
      </c>
      <c r="M11">
        <f t="shared" si="5"/>
        <v>39.35252795844837</v>
      </c>
      <c r="N11">
        <f t="shared" si="6"/>
        <v>-0.21907117761234432</v>
      </c>
      <c r="O11">
        <f t="shared" si="7"/>
        <v>0.8320804424416649</v>
      </c>
      <c r="P11">
        <f t="shared" si="8"/>
        <v>1.0575704025892486E-2</v>
      </c>
      <c r="Q11">
        <f t="shared" si="9"/>
        <v>-0.16718718470802202</v>
      </c>
    </row>
    <row r="12" spans="1:20" x14ac:dyDescent="0.25">
      <c r="A12" s="1217">
        <v>8</v>
      </c>
      <c r="B12" s="1217">
        <v>7</v>
      </c>
      <c r="C12" s="1217">
        <v>71</v>
      </c>
      <c r="E12">
        <f t="shared" si="10"/>
        <v>9</v>
      </c>
      <c r="F12">
        <f t="shared" si="0"/>
        <v>8</v>
      </c>
      <c r="G12">
        <f t="shared" si="1"/>
        <v>7</v>
      </c>
      <c r="H12">
        <f t="shared" si="2"/>
        <v>71</v>
      </c>
      <c r="I12">
        <v>67.222618955212283</v>
      </c>
      <c r="J12">
        <f t="shared" si="3"/>
        <v>3.7773810447877167</v>
      </c>
      <c r="K12">
        <v>0.35651633936195004</v>
      </c>
      <c r="L12">
        <f t="shared" si="4"/>
        <v>0.64152969733306831</v>
      </c>
      <c r="M12">
        <f t="shared" si="5"/>
        <v>36.454615428801176</v>
      </c>
      <c r="N12">
        <f t="shared" si="6"/>
        <v>0.77991230823400914</v>
      </c>
      <c r="O12">
        <f t="shared" si="7"/>
        <v>0.45789334437024365</v>
      </c>
      <c r="P12">
        <f t="shared" si="8"/>
        <v>0.11811815834232482</v>
      </c>
      <c r="Q12">
        <f t="shared" si="9"/>
        <v>0.58051939191634983</v>
      </c>
    </row>
    <row r="13" spans="1:20" x14ac:dyDescent="0.25">
      <c r="A13" s="1217">
        <v>6</v>
      </c>
      <c r="B13" s="1217">
        <v>4</v>
      </c>
      <c r="C13" s="1217">
        <v>51</v>
      </c>
      <c r="E13">
        <f t="shared" si="10"/>
        <v>10</v>
      </c>
      <c r="F13">
        <f t="shared" si="0"/>
        <v>6</v>
      </c>
      <c r="G13">
        <f t="shared" si="1"/>
        <v>4</v>
      </c>
      <c r="H13">
        <f t="shared" si="2"/>
        <v>51</v>
      </c>
      <c r="I13">
        <v>46.156795777381042</v>
      </c>
      <c r="J13">
        <f t="shared" si="3"/>
        <v>4.843204222618958</v>
      </c>
      <c r="K13">
        <v>9.2136924629356548E-2</v>
      </c>
      <c r="L13">
        <f t="shared" si="4"/>
        <v>0.82254326535214306</v>
      </c>
      <c r="M13">
        <f t="shared" si="5"/>
        <v>35.931303335287602</v>
      </c>
      <c r="N13">
        <f t="shared" si="6"/>
        <v>0.84798099811205752</v>
      </c>
      <c r="O13">
        <f t="shared" si="7"/>
        <v>0.42109359303964677</v>
      </c>
      <c r="P13">
        <f t="shared" si="8"/>
        <v>2.5210952466611803E-2</v>
      </c>
      <c r="Q13">
        <f t="shared" si="9"/>
        <v>0.27014242879415451</v>
      </c>
    </row>
    <row r="14" spans="1:20" x14ac:dyDescent="0.25">
      <c r="A14" s="1219">
        <v>9</v>
      </c>
      <c r="B14" s="1219">
        <v>2</v>
      </c>
      <c r="C14" s="1219">
        <v>49</v>
      </c>
      <c r="E14" s="762">
        <f t="shared" si="10"/>
        <v>11</v>
      </c>
      <c r="F14" s="762">
        <f t="shared" si="0"/>
        <v>9</v>
      </c>
      <c r="G14" s="762">
        <f t="shared" si="1"/>
        <v>2</v>
      </c>
      <c r="H14" s="762">
        <f t="shared" si="2"/>
        <v>49</v>
      </c>
      <c r="I14" s="762">
        <v>53.325829905042831</v>
      </c>
      <c r="J14" s="762">
        <f t="shared" si="3"/>
        <v>-4.3258299050428306</v>
      </c>
      <c r="K14" s="762">
        <v>0.26932132784806856</v>
      </c>
      <c r="L14" s="762">
        <f t="shared" si="4"/>
        <v>-0.73467524636567916</v>
      </c>
      <c r="M14" s="762">
        <f t="shared" si="5"/>
        <v>35.963734318089834</v>
      </c>
      <c r="N14" s="762">
        <f t="shared" si="6"/>
        <v>-0.84386666783386477</v>
      </c>
      <c r="O14" s="762">
        <f t="shared" si="7"/>
        <v>0.42325766755386807</v>
      </c>
      <c r="P14" s="762">
        <f t="shared" si="8"/>
        <v>9.0758528337101352E-2</v>
      </c>
      <c r="Q14" s="762">
        <f t="shared" si="9"/>
        <v>-0.51232552169277867</v>
      </c>
    </row>
    <row r="15" spans="1:20" x14ac:dyDescent="0.25">
      <c r="A15" s="1218"/>
      <c r="B15" s="1218"/>
      <c r="C15" s="1218"/>
    </row>
    <row r="16" spans="1:20" x14ac:dyDescent="0.25">
      <c r="A16" s="1217"/>
      <c r="B16" s="1217"/>
      <c r="C16" s="1217"/>
    </row>
    <row r="17" spans="1:3" x14ac:dyDescent="0.25">
      <c r="A17" s="1217"/>
      <c r="B17" s="1217"/>
      <c r="C17" s="1217"/>
    </row>
    <row r="18" spans="1:3" x14ac:dyDescent="0.25">
      <c r="A18" s="1217"/>
      <c r="B18" s="1217"/>
      <c r="C18" s="1217"/>
    </row>
    <row r="19" spans="1:3" x14ac:dyDescent="0.25">
      <c r="A19" s="1217"/>
      <c r="B19" s="1217"/>
      <c r="C19" s="1217"/>
    </row>
    <row r="20" spans="1:3" x14ac:dyDescent="0.25">
      <c r="A20" s="1217"/>
      <c r="B20" s="1217"/>
      <c r="C20" s="1217"/>
    </row>
    <row r="21" spans="1:3" x14ac:dyDescent="0.25">
      <c r="A21" s="1217"/>
      <c r="B21" s="1217"/>
      <c r="C21" s="1217"/>
    </row>
    <row r="22" spans="1:3" x14ac:dyDescent="0.25">
      <c r="A22" s="1217"/>
      <c r="B22" s="1217"/>
      <c r="C22" s="1217"/>
    </row>
    <row r="23" spans="1:3" x14ac:dyDescent="0.25">
      <c r="A23" s="1217"/>
      <c r="B23" s="1217"/>
      <c r="C23" s="1217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C39"/>
  <sheetViews>
    <sheetView workbookViewId="0"/>
  </sheetViews>
  <sheetFormatPr defaultRowHeight="15" x14ac:dyDescent="0.25"/>
  <cols>
    <col min="5" max="5" width="17.5703125" customWidth="1"/>
  </cols>
  <sheetData>
    <row r="1" spans="1:29" x14ac:dyDescent="0.25">
      <c r="A1" s="1" t="s">
        <v>2647</v>
      </c>
      <c r="E1" t="s">
        <v>1593</v>
      </c>
      <c r="N1" t="s">
        <v>748</v>
      </c>
    </row>
    <row r="2" spans="1:29" ht="15.75" thickBot="1" x14ac:dyDescent="0.3"/>
    <row r="3" spans="1:29" ht="16.5" thickTop="1" thickBot="1" x14ac:dyDescent="0.3">
      <c r="A3" s="131" t="s">
        <v>382</v>
      </c>
      <c r="B3" s="131" t="s">
        <v>383</v>
      </c>
      <c r="C3" s="131" t="s">
        <v>376</v>
      </c>
      <c r="E3" s="743" t="s">
        <v>1598</v>
      </c>
      <c r="F3" s="743"/>
      <c r="H3" s="743"/>
      <c r="I3" s="743"/>
      <c r="N3" s="826" t="s">
        <v>112</v>
      </c>
      <c r="O3" s="826" t="str">
        <f>A3</f>
        <v>Color</v>
      </c>
      <c r="P3" s="826" t="str">
        <f>B3</f>
        <v>Quality</v>
      </c>
      <c r="Q3" s="826" t="str">
        <f>C3</f>
        <v>Price</v>
      </c>
      <c r="R3" s="826" t="s">
        <v>743</v>
      </c>
      <c r="S3" s="826" t="s">
        <v>295</v>
      </c>
      <c r="T3" s="826" t="s">
        <v>744</v>
      </c>
      <c r="U3" s="826" t="s">
        <v>1638</v>
      </c>
      <c r="V3" s="826" t="s">
        <v>745</v>
      </c>
      <c r="W3" s="826" t="s">
        <v>746</v>
      </c>
      <c r="X3" s="826" t="s">
        <v>1578</v>
      </c>
      <c r="Y3" s="826" t="s">
        <v>748</v>
      </c>
      <c r="Z3" s="826" t="s">
        <v>1577</v>
      </c>
    </row>
    <row r="4" spans="1:29" ht="15.75" thickTop="1" x14ac:dyDescent="0.25">
      <c r="A4" s="1223">
        <v>7</v>
      </c>
      <c r="B4" s="1223">
        <v>5</v>
      </c>
      <c r="C4" s="1223">
        <v>65</v>
      </c>
      <c r="E4" t="s">
        <v>292</v>
      </c>
      <c r="F4">
        <f>SQRT(F5)</f>
        <v>0.99468026045304403</v>
      </c>
      <c r="H4" t="s">
        <v>774</v>
      </c>
      <c r="I4">
        <f>F8*LN(G13/F8)+2*F12</f>
        <v>39.588204769990547</v>
      </c>
      <c r="N4">
        <v>1</v>
      </c>
      <c r="O4">
        <f t="shared" ref="O4:O14" si="0">A4</f>
        <v>7</v>
      </c>
      <c r="P4">
        <f t="shared" ref="P4:P14" si="1">B4</f>
        <v>5</v>
      </c>
      <c r="Q4">
        <f t="shared" ref="Q4:Q14" si="2">C4</f>
        <v>65</v>
      </c>
      <c r="R4">
        <f t="array" ref="R4:R14">TREND(C4:C14,A4:B14,,FALSE)</f>
        <v>54.971484121840575</v>
      </c>
      <c r="S4">
        <f>Q4-R4</f>
        <v>10.028515878159425</v>
      </c>
      <c r="T4">
        <f t="array" ref="T4:T14">[1]!LEVERAGE(A4:B14,FALSE)</f>
        <v>0.1159337098416813</v>
      </c>
      <c r="U4">
        <f>S4/SQRT($AC$6)</f>
        <v>1.7993969907778364</v>
      </c>
      <c r="V4">
        <f>($AC$6-S4^2/((1-T4)*$AC$5))*$AC$5/($AC$5-1)</f>
        <v>20.723975787533529</v>
      </c>
      <c r="W4">
        <f>S4/SQRT(V4*(1-T4))</f>
        <v>2.3429213656803558</v>
      </c>
      <c r="X4">
        <f>TDIST(ABS(W4),$AC$5,2)</f>
        <v>4.3810145701074478E-2</v>
      </c>
      <c r="Y4">
        <f>(S4^2/$AC$6)*(T4/(1-T4)^2)/$AC$7</f>
        <v>0.24013975063743861</v>
      </c>
      <c r="Z4">
        <f>W4*SQRT(T4/(1-T4))</f>
        <v>0.84843810246761653</v>
      </c>
      <c r="AB4" t="s">
        <v>754</v>
      </c>
      <c r="AC4" s="1155">
        <f>SUMSQ(S4:S14)</f>
        <v>279.55152300712899</v>
      </c>
    </row>
    <row r="5" spans="1:29" x14ac:dyDescent="0.25">
      <c r="A5" s="1223">
        <v>3</v>
      </c>
      <c r="B5" s="1223">
        <v>7</v>
      </c>
      <c r="C5" s="1223">
        <v>38</v>
      </c>
      <c r="E5" t="s">
        <v>285</v>
      </c>
      <c r="F5">
        <f>G12/G14</f>
        <v>0.9893888205349356</v>
      </c>
      <c r="H5" t="s">
        <v>775</v>
      </c>
      <c r="I5">
        <f>I4+2*(F12+1)*(F12+2)/(F8-F12-2)</f>
        <v>43.016776198561978</v>
      </c>
      <c r="N5">
        <f>N4+1</f>
        <v>2</v>
      </c>
      <c r="O5">
        <f t="shared" si="0"/>
        <v>3</v>
      </c>
      <c r="P5">
        <f t="shared" si="1"/>
        <v>7</v>
      </c>
      <c r="Q5">
        <f t="shared" si="2"/>
        <v>38</v>
      </c>
      <c r="R5">
        <v>42.462086843810752</v>
      </c>
      <c r="S5">
        <f t="shared" ref="S5:S14" si="3">Q5-R5</f>
        <v>-4.4620868438107522</v>
      </c>
      <c r="T5">
        <v>0.25377279881492454</v>
      </c>
      <c r="U5">
        <f t="shared" ref="U5:U14" si="4">S5/SQRT($AC$6)</f>
        <v>-0.80062351567179735</v>
      </c>
      <c r="V5">
        <f t="shared" ref="V5:V14" si="5">($AC$6-S5^2/((1-T5)*$AC$5))*$AC$5/($AC$5-1)</f>
        <v>31.608793424317625</v>
      </c>
      <c r="W5">
        <f t="shared" ref="W5:W14" si="6">S5/SQRT(V5*(1-T5))</f>
        <v>-0.91875247402416549</v>
      </c>
      <c r="X5">
        <f t="shared" ref="X5:X14" si="7">TDIST(ABS(W5),$AC$5,2)</f>
        <v>0.382188079780446</v>
      </c>
      <c r="Y5">
        <f>(S5^2/$AC$6)*(T5/(1-T5)^2)/$AC$7</f>
        <v>0.14605943158827495</v>
      </c>
      <c r="Z5">
        <f t="shared" ref="Z5:Z14" si="8">W5*SQRT(T5/(1-T5))</f>
        <v>-0.53577879164977715</v>
      </c>
      <c r="AB5" t="s">
        <v>753</v>
      </c>
      <c r="AC5" s="680">
        <f>COUNT(C4:C14)-AC7</f>
        <v>9</v>
      </c>
    </row>
    <row r="6" spans="1:29" x14ac:dyDescent="0.25">
      <c r="A6" s="1223">
        <v>5</v>
      </c>
      <c r="B6" s="1223">
        <v>8</v>
      </c>
      <c r="C6" s="1223">
        <v>51</v>
      </c>
      <c r="E6" t="s">
        <v>293</v>
      </c>
      <c r="F6">
        <f>1-(1-F5)*F8/(F8-F12)</f>
        <v>0.98703078065381022</v>
      </c>
      <c r="H6" s="762" t="s">
        <v>2661</v>
      </c>
      <c r="I6" s="762">
        <f>F8*LN(G13/F8)+F12*LN(F8)</f>
        <v>40.383995315587285</v>
      </c>
      <c r="N6">
        <f t="shared" ref="N6:N14" si="9">N5+1</f>
        <v>3</v>
      </c>
      <c r="O6">
        <f t="shared" si="0"/>
        <v>5</v>
      </c>
      <c r="P6">
        <f t="shared" si="1"/>
        <v>8</v>
      </c>
      <c r="Q6">
        <f t="shared" si="2"/>
        <v>51</v>
      </c>
      <c r="R6">
        <v>56.500324044069998</v>
      </c>
      <c r="S6">
        <f t="shared" si="3"/>
        <v>-5.5003240440699983</v>
      </c>
      <c r="T6">
        <v>0.27591889639848161</v>
      </c>
      <c r="U6">
        <f t="shared" si="4"/>
        <v>-0.98691238598497599</v>
      </c>
      <c r="V6">
        <f t="shared" si="5"/>
        <v>29.721189008797047</v>
      </c>
      <c r="W6">
        <f t="shared" si="6"/>
        <v>-1.1856638518162137</v>
      </c>
      <c r="X6">
        <f t="shared" si="7"/>
        <v>0.26611411743736968</v>
      </c>
      <c r="Y6">
        <f t="shared" ref="Y6:Y14" si="10">(S6^2/$AC$6)*(T6/(1-T6)^2)/$AC$7</f>
        <v>0.25629151011138862</v>
      </c>
      <c r="Z6">
        <f t="shared" si="8"/>
        <v>-0.73191170846397302</v>
      </c>
      <c r="AB6" t="s">
        <v>755</v>
      </c>
      <c r="AC6" s="680">
        <f>AC4/AC5</f>
        <v>31.061280334125442</v>
      </c>
    </row>
    <row r="7" spans="1:29" x14ac:dyDescent="0.25">
      <c r="A7" s="1223">
        <v>8</v>
      </c>
      <c r="B7" s="1223">
        <v>1</v>
      </c>
      <c r="C7" s="1223">
        <v>38</v>
      </c>
      <c r="E7" t="s">
        <v>11</v>
      </c>
      <c r="F7">
        <f>SQRT(H13)</f>
        <v>5.5732647823447792</v>
      </c>
      <c r="N7">
        <f t="shared" si="9"/>
        <v>4</v>
      </c>
      <c r="O7">
        <f t="shared" si="0"/>
        <v>8</v>
      </c>
      <c r="P7">
        <f t="shared" si="1"/>
        <v>1</v>
      </c>
      <c r="Q7">
        <f t="shared" si="2"/>
        <v>38</v>
      </c>
      <c r="R7">
        <v>44.477640959170458</v>
      </c>
      <c r="S7">
        <f t="shared" si="3"/>
        <v>-6.4776409591704578</v>
      </c>
      <c r="T7">
        <v>0.24986575317100262</v>
      </c>
      <c r="U7">
        <f t="shared" si="4"/>
        <v>-1.1622704486767812</v>
      </c>
      <c r="V7">
        <f t="shared" si="5"/>
        <v>27.951886524647605</v>
      </c>
      <c r="W7">
        <f t="shared" si="6"/>
        <v>-1.4146265783683416</v>
      </c>
      <c r="X7">
        <f t="shared" si="7"/>
        <v>0.190829627013724</v>
      </c>
      <c r="Y7">
        <f t="shared" si="10"/>
        <v>0.29992532952937406</v>
      </c>
      <c r="Z7">
        <f t="shared" si="8"/>
        <v>-0.81644265157788398</v>
      </c>
      <c r="AB7" t="s">
        <v>56</v>
      </c>
      <c r="AC7" s="757">
        <f>COUNT(A4:B4)</f>
        <v>2</v>
      </c>
    </row>
    <row r="8" spans="1:29" x14ac:dyDescent="0.25">
      <c r="A8" s="1223">
        <v>9</v>
      </c>
      <c r="B8" s="1223">
        <v>3</v>
      </c>
      <c r="C8" s="1223">
        <v>55</v>
      </c>
      <c r="E8" s="762" t="s">
        <v>81</v>
      </c>
      <c r="F8" s="762">
        <f>COUNT(C4:C14)</f>
        <v>11</v>
      </c>
      <c r="N8">
        <f t="shared" si="9"/>
        <v>5</v>
      </c>
      <c r="O8">
        <f t="shared" si="0"/>
        <v>9</v>
      </c>
      <c r="P8">
        <f t="shared" si="1"/>
        <v>3</v>
      </c>
      <c r="Q8">
        <f t="shared" si="2"/>
        <v>55</v>
      </c>
      <c r="R8">
        <v>57.334413480233323</v>
      </c>
      <c r="S8">
        <f t="shared" si="3"/>
        <v>-2.334413480233323</v>
      </c>
      <c r="T8">
        <v>0.21814646791963702</v>
      </c>
      <c r="U8">
        <f t="shared" si="4"/>
        <v>-0.41885924523599594</v>
      </c>
      <c r="V8">
        <f t="shared" si="5"/>
        <v>34.07269562334217</v>
      </c>
      <c r="W8">
        <f t="shared" si="6"/>
        <v>-0.45228463521466356</v>
      </c>
      <c r="X8">
        <f t="shared" si="7"/>
        <v>0.66176811069626296</v>
      </c>
      <c r="Y8">
        <f t="shared" si="10"/>
        <v>3.1304271146513407E-2</v>
      </c>
      <c r="Z8">
        <f t="shared" si="8"/>
        <v>-0.23890389254535194</v>
      </c>
    </row>
    <row r="9" spans="1:29" x14ac:dyDescent="0.25">
      <c r="A9" s="1223">
        <v>5</v>
      </c>
      <c r="B9" s="1223">
        <v>4</v>
      </c>
      <c r="C9" s="1223">
        <v>43</v>
      </c>
      <c r="N9">
        <f t="shared" si="9"/>
        <v>6</v>
      </c>
      <c r="O9">
        <f t="shared" si="0"/>
        <v>5</v>
      </c>
      <c r="P9">
        <f t="shared" si="1"/>
        <v>4</v>
      </c>
      <c r="Q9">
        <f t="shared" si="2"/>
        <v>43</v>
      </c>
      <c r="R9">
        <v>40.933246921581343</v>
      </c>
      <c r="S9">
        <f t="shared" si="3"/>
        <v>2.0667530784186567</v>
      </c>
      <c r="T9">
        <v>6.5716137394685653E-2</v>
      </c>
      <c r="U9">
        <f t="shared" si="4"/>
        <v>0.37083346281443069</v>
      </c>
      <c r="V9">
        <f t="shared" si="5"/>
        <v>34.372450749167598</v>
      </c>
      <c r="W9">
        <f t="shared" si="6"/>
        <v>0.3647068498461139</v>
      </c>
      <c r="X9">
        <f t="shared" si="7"/>
        <v>0.72375272592838136</v>
      </c>
      <c r="Y9">
        <f t="shared" si="10"/>
        <v>5.1765709553694304E-3</v>
      </c>
      <c r="Z9">
        <f t="shared" si="8"/>
        <v>9.6725394768633441E-2</v>
      </c>
    </row>
    <row r="10" spans="1:29" ht="15.75" thickBot="1" x14ac:dyDescent="0.3">
      <c r="A10" s="1223">
        <v>4</v>
      </c>
      <c r="B10" s="1223">
        <v>0</v>
      </c>
      <c r="C10" s="1223">
        <v>25</v>
      </c>
      <c r="E10" t="s">
        <v>294</v>
      </c>
      <c r="I10" s="1240" t="s">
        <v>34</v>
      </c>
      <c r="J10" s="1240">
        <v>0.05</v>
      </c>
      <c r="N10">
        <f t="shared" si="9"/>
        <v>7</v>
      </c>
      <c r="O10">
        <f t="shared" si="0"/>
        <v>4</v>
      </c>
      <c r="P10">
        <f t="shared" si="1"/>
        <v>0</v>
      </c>
      <c r="Q10">
        <f t="shared" si="2"/>
        <v>25</v>
      </c>
      <c r="R10">
        <v>20.292935839274147</v>
      </c>
      <c r="S10">
        <f t="shared" si="3"/>
        <v>4.707064160725853</v>
      </c>
      <c r="T10">
        <v>7.9696324414406064E-2</v>
      </c>
      <c r="U10">
        <f t="shared" si="4"/>
        <v>0.84457931653220986</v>
      </c>
      <c r="V10">
        <f t="shared" si="5"/>
        <v>31.934546085591847</v>
      </c>
      <c r="W10">
        <f t="shared" si="6"/>
        <v>0.86826874104515972</v>
      </c>
      <c r="X10">
        <f t="shared" si="7"/>
        <v>0.40780320740628062</v>
      </c>
      <c r="Y10">
        <f t="shared" si="10"/>
        <v>3.356037975373518E-2</v>
      </c>
      <c r="Z10">
        <f t="shared" si="8"/>
        <v>0.25550990112701077</v>
      </c>
    </row>
    <row r="11" spans="1:29" ht="15.75" thickTop="1" x14ac:dyDescent="0.25">
      <c r="A11" s="1223">
        <v>2</v>
      </c>
      <c r="B11" s="1223">
        <v>6</v>
      </c>
      <c r="C11" s="1223">
        <v>33</v>
      </c>
      <c r="E11" s="826"/>
      <c r="F11" s="826" t="s">
        <v>60</v>
      </c>
      <c r="G11" s="826" t="s">
        <v>219</v>
      </c>
      <c r="H11" s="826" t="s">
        <v>240</v>
      </c>
      <c r="I11" s="826" t="s">
        <v>135</v>
      </c>
      <c r="J11" s="826" t="s">
        <v>67</v>
      </c>
      <c r="K11" s="826" t="s">
        <v>527</v>
      </c>
      <c r="N11">
        <f t="shared" si="9"/>
        <v>8</v>
      </c>
      <c r="O11">
        <f t="shared" si="0"/>
        <v>2</v>
      </c>
      <c r="P11">
        <f t="shared" si="1"/>
        <v>6</v>
      </c>
      <c r="Q11">
        <f t="shared" si="2"/>
        <v>33</v>
      </c>
      <c r="R11">
        <v>33.497083603370058</v>
      </c>
      <c r="S11">
        <f t="shared" si="3"/>
        <v>-0.49708360337005786</v>
      </c>
      <c r="T11">
        <v>0.20657346541986854</v>
      </c>
      <c r="U11">
        <f t="shared" si="4"/>
        <v>-8.9190738782900347E-2</v>
      </c>
      <c r="V11">
        <f t="shared" si="5"/>
        <v>34.905012369016781</v>
      </c>
      <c r="W11">
        <f t="shared" si="6"/>
        <v>-9.4456571852526275E-2</v>
      </c>
      <c r="X11">
        <f t="shared" si="7"/>
        <v>0.92681600630533878</v>
      </c>
      <c r="Y11">
        <f t="shared" si="10"/>
        <v>1.3051806336425141E-3</v>
      </c>
      <c r="Z11">
        <f t="shared" si="8"/>
        <v>-4.8196564995483082E-2</v>
      </c>
    </row>
    <row r="12" spans="1:29" x14ac:dyDescent="0.25">
      <c r="A12" s="1223">
        <v>8</v>
      </c>
      <c r="B12" s="1223">
        <v>7</v>
      </c>
      <c r="C12" s="1223">
        <v>71</v>
      </c>
      <c r="E12" t="s">
        <v>222</v>
      </c>
      <c r="F12">
        <f>COUNT(A4:B4)</f>
        <v>2</v>
      </c>
      <c r="G12">
        <f>SUMSQ(MMULT(A4:B14,F17:F18))</f>
        <v>26065.448476992879</v>
      </c>
      <c r="H12">
        <f>G12/F12</f>
        <v>13032.724238496439</v>
      </c>
      <c r="I12">
        <f>H12/H13</f>
        <v>419.58103781634537</v>
      </c>
      <c r="J12">
        <f>FDIST(I12,F12,F13)</f>
        <v>1.3059798277561389E-9</v>
      </c>
      <c r="K12" s="1240" t="str">
        <f>IF(J12&lt;J10,"yes","no")</f>
        <v>yes</v>
      </c>
      <c r="N12">
        <f t="shared" si="9"/>
        <v>9</v>
      </c>
      <c r="O12">
        <f t="shared" si="0"/>
        <v>8</v>
      </c>
      <c r="P12">
        <f t="shared" si="1"/>
        <v>7</v>
      </c>
      <c r="Q12">
        <f t="shared" si="2"/>
        <v>71</v>
      </c>
      <c r="R12">
        <v>67.82825664290344</v>
      </c>
      <c r="S12">
        <f t="shared" si="3"/>
        <v>3.1717433570965596</v>
      </c>
      <c r="T12">
        <v>0.18942690491621142</v>
      </c>
      <c r="U12">
        <f t="shared" si="4"/>
        <v>0.56909970743613292</v>
      </c>
      <c r="V12">
        <f t="shared" si="5"/>
        <v>33.392575671045122</v>
      </c>
      <c r="W12">
        <f t="shared" si="6"/>
        <v>0.60964495942049135</v>
      </c>
      <c r="X12">
        <f t="shared" si="7"/>
        <v>0.55717288752479721</v>
      </c>
      <c r="Y12">
        <f t="shared" si="10"/>
        <v>4.6687865989864637E-2</v>
      </c>
      <c r="Z12">
        <f t="shared" si="8"/>
        <v>0.29471465141454783</v>
      </c>
    </row>
    <row r="13" spans="1:29" x14ac:dyDescent="0.25">
      <c r="A13" s="1223">
        <v>6</v>
      </c>
      <c r="B13" s="1223">
        <v>4</v>
      </c>
      <c r="C13" s="1223">
        <v>51</v>
      </c>
      <c r="E13" t="s">
        <v>295</v>
      </c>
      <c r="F13">
        <f>F14-F12</f>
        <v>9</v>
      </c>
      <c r="G13">
        <f>G14-G12</f>
        <v>279.55152300712143</v>
      </c>
      <c r="H13">
        <f>G13/F13</f>
        <v>31.061280334124604</v>
      </c>
      <c r="N13">
        <f t="shared" si="9"/>
        <v>10</v>
      </c>
      <c r="O13">
        <f t="shared" si="0"/>
        <v>6</v>
      </c>
      <c r="P13">
        <f t="shared" si="1"/>
        <v>4</v>
      </c>
      <c r="Q13">
        <f t="shared" si="2"/>
        <v>51</v>
      </c>
      <c r="R13">
        <v>46.006480881399874</v>
      </c>
      <c r="S13">
        <f t="shared" si="3"/>
        <v>4.9935191186001262</v>
      </c>
      <c r="T13">
        <v>8.1844273678363083E-2</v>
      </c>
      <c r="U13">
        <f t="shared" si="4"/>
        <v>0.89597736939015293</v>
      </c>
      <c r="V13">
        <f t="shared" si="5"/>
        <v>31.549195825350413</v>
      </c>
      <c r="W13">
        <f t="shared" si="6"/>
        <v>0.92780006057442277</v>
      </c>
      <c r="X13">
        <f t="shared" si="7"/>
        <v>0.37772199095239445</v>
      </c>
      <c r="Y13">
        <f t="shared" si="10"/>
        <v>3.8969038440712048E-2</v>
      </c>
      <c r="Z13">
        <f t="shared" si="8"/>
        <v>0.27700676307753008</v>
      </c>
    </row>
    <row r="14" spans="1:29" x14ac:dyDescent="0.25">
      <c r="A14" s="1224">
        <v>9</v>
      </c>
      <c r="B14" s="1224">
        <v>2</v>
      </c>
      <c r="C14" s="1224">
        <v>49</v>
      </c>
      <c r="E14" s="762" t="s">
        <v>1</v>
      </c>
      <c r="F14" s="762">
        <f>F8</f>
        <v>11</v>
      </c>
      <c r="G14" s="762">
        <f>SUMSQ(C4:C14)</f>
        <v>26345</v>
      </c>
      <c r="H14" s="762"/>
      <c r="I14" s="762"/>
      <c r="J14" s="762"/>
      <c r="K14" s="762"/>
      <c r="N14" s="762">
        <f t="shared" si="9"/>
        <v>11</v>
      </c>
      <c r="O14" s="762">
        <f t="shared" si="0"/>
        <v>9</v>
      </c>
      <c r="P14" s="762">
        <f t="shared" si="1"/>
        <v>2</v>
      </c>
      <c r="Q14" s="762">
        <f t="shared" si="2"/>
        <v>49</v>
      </c>
      <c r="R14" s="762">
        <v>53.442644199611159</v>
      </c>
      <c r="S14" s="762">
        <f t="shared" si="3"/>
        <v>-4.4426441996111592</v>
      </c>
      <c r="T14" s="762">
        <v>0.26310526803073786</v>
      </c>
      <c r="U14" s="762">
        <f t="shared" si="4"/>
        <v>-0.79713496004795836</v>
      </c>
      <c r="V14" s="762">
        <f t="shared" si="5"/>
        <v>31.595923585284936</v>
      </c>
      <c r="W14" s="762">
        <f t="shared" si="6"/>
        <v>-0.92071088963471159</v>
      </c>
      <c r="X14" s="762">
        <f t="shared" si="7"/>
        <v>0.38121815133028281</v>
      </c>
      <c r="Y14" s="762">
        <f t="shared" si="10"/>
        <v>0.15394031026116275</v>
      </c>
      <c r="Z14" s="762">
        <f t="shared" si="8"/>
        <v>-0.55015533121731719</v>
      </c>
    </row>
    <row r="15" spans="1:29" ht="15.75" thickBot="1" x14ac:dyDescent="0.3"/>
    <row r="16" spans="1:29" ht="15.75" thickTop="1" x14ac:dyDescent="0.25">
      <c r="E16" s="826"/>
      <c r="F16" s="826" t="s">
        <v>1592</v>
      </c>
      <c r="G16" s="826" t="s">
        <v>1000</v>
      </c>
      <c r="H16" s="826" t="s">
        <v>61</v>
      </c>
      <c r="I16" s="826" t="s">
        <v>67</v>
      </c>
      <c r="J16" s="826" t="s">
        <v>29</v>
      </c>
      <c r="K16" s="826" t="s">
        <v>30</v>
      </c>
      <c r="L16" s="826" t="s">
        <v>2649</v>
      </c>
    </row>
    <row r="17" spans="5:29" x14ac:dyDescent="0.25">
      <c r="E17" t="str">
        <f t="array" ref="E17:E18">TRANSPOSE(A3:B3)</f>
        <v>Color</v>
      </c>
      <c r="F17">
        <f t="array" ref="F17:G18">[1]!RegCoeff(A4:B14,C4:C14,FALSE)</f>
        <v>5.0732339598185368</v>
      </c>
      <c r="G17">
        <v>0.39334065025077786</v>
      </c>
      <c r="H17">
        <f>F17/G17</f>
        <v>12.89781251081995</v>
      </c>
      <c r="I17">
        <f>TDIST(ABS(H17),$F$13,2)</f>
        <v>4.1550992319964612E-7</v>
      </c>
      <c r="J17">
        <f>F17-TINV(J$10,$F$13)*G17</f>
        <v>4.1834355904340361</v>
      </c>
      <c r="K17">
        <f>F17+TINV(J$10,$F$13)*G17</f>
        <v>5.9630323292030374</v>
      </c>
      <c r="L17">
        <f>[1]!VIF(A4:B14,1)</f>
        <v>1.1255142435768064</v>
      </c>
    </row>
    <row r="18" spans="5:29" x14ac:dyDescent="0.25">
      <c r="E18" s="762" t="str">
        <v>Quality</v>
      </c>
      <c r="F18" s="762">
        <v>3.8917692806221638</v>
      </c>
      <c r="G18" s="762">
        <v>0.51099966783330397</v>
      </c>
      <c r="H18" s="762">
        <f>F18/G18</f>
        <v>7.6159918011761203</v>
      </c>
      <c r="I18" s="762">
        <f>TDIST(ABS(H18),$F$13,2)</f>
        <v>3.271905329750892E-5</v>
      </c>
      <c r="J18" s="762">
        <f>F18-TINV(J$10,$F$13)*G18</f>
        <v>2.7358077218455517</v>
      </c>
      <c r="K18" s="762">
        <f>F18+TINV(J$10,$F$13)*G18</f>
        <v>5.0477308393987759</v>
      </c>
      <c r="L18" s="762">
        <f>[1]!VIF(A4:B14,2)</f>
        <v>1.1255142435768064</v>
      </c>
    </row>
    <row r="21" spans="5:29" x14ac:dyDescent="0.25">
      <c r="E21" t="s">
        <v>2650</v>
      </c>
      <c r="N21" t="s">
        <v>748</v>
      </c>
    </row>
    <row r="22" spans="5:29" ht="15.75" thickBot="1" x14ac:dyDescent="0.3"/>
    <row r="23" spans="5:29" ht="16.5" thickTop="1" thickBot="1" x14ac:dyDescent="0.3">
      <c r="E23" s="743" t="s">
        <v>1598</v>
      </c>
      <c r="F23" s="743"/>
      <c r="H23" s="743"/>
      <c r="I23" s="743"/>
      <c r="N23" s="826" t="s">
        <v>112</v>
      </c>
      <c r="O23" s="826" t="str">
        <f t="shared" ref="O23:O34" si="11">A3</f>
        <v>Color</v>
      </c>
      <c r="P23" s="826" t="str">
        <f t="shared" ref="P23:P34" si="12">B3</f>
        <v>Quality</v>
      </c>
      <c r="Q23" s="826" t="str">
        <f t="shared" ref="Q23:Q34" si="13">C3</f>
        <v>Price</v>
      </c>
      <c r="R23" s="826" t="s">
        <v>743</v>
      </c>
      <c r="S23" s="826" t="s">
        <v>295</v>
      </c>
      <c r="T23" s="826" t="s">
        <v>744</v>
      </c>
      <c r="U23" s="826" t="s">
        <v>1638</v>
      </c>
      <c r="V23" s="826" t="s">
        <v>745</v>
      </c>
      <c r="W23" s="826" t="s">
        <v>746</v>
      </c>
      <c r="X23" s="826" t="s">
        <v>1578</v>
      </c>
      <c r="Y23" s="826" t="s">
        <v>748</v>
      </c>
      <c r="Z23" s="826" t="s">
        <v>1577</v>
      </c>
    </row>
    <row r="24" spans="5:29" ht="15.75" thickTop="1" x14ac:dyDescent="0.25">
      <c r="E24" t="s">
        <v>292</v>
      </c>
      <c r="F24">
        <f>SQRT(F25)</f>
        <v>0.92233072739359656</v>
      </c>
      <c r="H24" t="s">
        <v>774</v>
      </c>
      <c r="I24">
        <f>F28*LN(G33/F28)+2*(F32+1)</f>
        <v>41.501484943438328</v>
      </c>
      <c r="N24">
        <v>1</v>
      </c>
      <c r="O24">
        <f t="shared" si="11"/>
        <v>7</v>
      </c>
      <c r="P24">
        <f t="shared" si="12"/>
        <v>5</v>
      </c>
      <c r="Q24">
        <f t="shared" si="13"/>
        <v>65</v>
      </c>
      <c r="R24">
        <f t="array" ref="R24:R34">TREND(C4:C14,A4:B14)</f>
        <v>54.810499624828587</v>
      </c>
      <c r="S24">
        <f>Q24-R24</f>
        <v>10.189500375171413</v>
      </c>
      <c r="T24">
        <f t="array" ref="T24:T34">[1]!LEVERAGE(A4:B14)</f>
        <v>0.12773939817330332</v>
      </c>
      <c r="U24">
        <f>S24/SQRT($AC$26)</f>
        <v>1.7305289072382328</v>
      </c>
      <c r="V24">
        <f>($AC$26-S24^2/((1-T24)*$AC$25))*$AC$25/($AC$25-1)</f>
        <v>22.617923249033847</v>
      </c>
      <c r="W24">
        <f>S24/SQRT(V24*(1-T24))</f>
        <v>2.2940527410302689</v>
      </c>
      <c r="X24">
        <f>TDIST(ABS(W24),$AC$25,2)</f>
        <v>5.0941566162261191E-2</v>
      </c>
      <c r="Y24">
        <f>(S24^2/$AC$26)*(T24/(1-T24)^2)/($AC$27+1)</f>
        <v>0.16759799315634039</v>
      </c>
      <c r="Z24">
        <f>W24*SQRT(T24/(1-T24))</f>
        <v>0.87789525712223704</v>
      </c>
      <c r="AB24" t="s">
        <v>754</v>
      </c>
      <c r="AC24" s="1155">
        <f>DEVSQ(S24:S34)</f>
        <v>277.35630934823672</v>
      </c>
    </row>
    <row r="25" spans="5:29" x14ac:dyDescent="0.25">
      <c r="E25" t="s">
        <v>285</v>
      </c>
      <c r="F25">
        <f>G32/G34</f>
        <v>0.85069397069440089</v>
      </c>
      <c r="H25" t="s">
        <v>775</v>
      </c>
      <c r="I25">
        <f>I24+2*(F32+2)*(F32+3)/(F28-F32-3)</f>
        <v>48.168151610104992</v>
      </c>
      <c r="N25">
        <f>N24+1</f>
        <v>2</v>
      </c>
      <c r="O25">
        <f t="shared" si="11"/>
        <v>3</v>
      </c>
      <c r="P25">
        <f t="shared" si="12"/>
        <v>7</v>
      </c>
      <c r="Q25">
        <f t="shared" si="13"/>
        <v>38</v>
      </c>
      <c r="R25">
        <v>42.746177132655426</v>
      </c>
      <c r="S25">
        <f t="shared" ref="S25:S34" si="14">Q25-R25</f>
        <v>-4.7461771326554256</v>
      </c>
      <c r="T25">
        <v>0.29053791818675778</v>
      </c>
      <c r="U25">
        <f t="shared" ref="U25:U34" si="15">S25/SQRT($AC$26)</f>
        <v>-0.80606471608232444</v>
      </c>
      <c r="V25">
        <f t="shared" ref="V25:V34" si="16">($AC$26-S25^2/((1-T25)*$AC$25))*$AC$25/($AC$25-1)</f>
        <v>35.086459310201128</v>
      </c>
      <c r="W25">
        <f t="shared" ref="W25:W34" si="17">S25/SQRT(V25*(1-T25))</f>
        <v>-0.95128264994126799</v>
      </c>
      <c r="X25">
        <f t="shared" ref="X25:X34" si="18">TDIST(ABS(W25),$AC$25,2)</f>
        <v>0.36931232488633664</v>
      </c>
      <c r="Y25">
        <f t="shared" ref="Y25:Y34" si="19">(S25^2/$AC$26)*(T25/(1-T25)^2)/($AC$27+1)</f>
        <v>0.12501525470898447</v>
      </c>
      <c r="Z25">
        <f t="shared" ref="Z25:Z34" si="20">W25*SQRT(T25/(1-T25))</f>
        <v>-0.60876039700023254</v>
      </c>
      <c r="AB25" t="s">
        <v>753</v>
      </c>
      <c r="AC25" s="680">
        <f>COUNT(C4:C14)-AC27-1</f>
        <v>8</v>
      </c>
    </row>
    <row r="26" spans="5:29" x14ac:dyDescent="0.25">
      <c r="E26" t="s">
        <v>293</v>
      </c>
      <c r="F26">
        <f>1-(1-F25)*(F28-1)/(F28-F32-1)</f>
        <v>0.81336746336800114</v>
      </c>
      <c r="H26" s="762" t="s">
        <v>2648</v>
      </c>
      <c r="I26" s="762">
        <f>F28*LN(G33/F28)+(F32+1)*LN(F28)</f>
        <v>42.695170761833438</v>
      </c>
      <c r="N26">
        <f t="shared" ref="N26:N34" si="21">N25+1</f>
        <v>3</v>
      </c>
      <c r="O26">
        <f t="shared" si="11"/>
        <v>5</v>
      </c>
      <c r="P26">
        <f t="shared" si="12"/>
        <v>8</v>
      </c>
      <c r="Q26">
        <f t="shared" si="13"/>
        <v>51</v>
      </c>
      <c r="R26">
        <v>56.295169344614344</v>
      </c>
      <c r="S26">
        <f t="shared" si="14"/>
        <v>-5.2951693446143437</v>
      </c>
      <c r="T26">
        <v>0.29509172294237895</v>
      </c>
      <c r="U26">
        <f t="shared" si="15"/>
        <v>-0.89930254499084783</v>
      </c>
      <c r="V26">
        <f t="shared" si="16"/>
        <v>33.939965811607287</v>
      </c>
      <c r="W26">
        <f t="shared" si="17"/>
        <v>-1.0825746381756123</v>
      </c>
      <c r="X26">
        <f t="shared" si="18"/>
        <v>0.31054512744458967</v>
      </c>
      <c r="Y26">
        <f t="shared" si="19"/>
        <v>0.16009663290396273</v>
      </c>
      <c r="Z26">
        <f t="shared" si="20"/>
        <v>-0.70043857775134433</v>
      </c>
      <c r="AB26" t="s">
        <v>755</v>
      </c>
      <c r="AC26" s="680">
        <f>AC24/AC25</f>
        <v>34.66953866852959</v>
      </c>
    </row>
    <row r="27" spans="5:29" x14ac:dyDescent="0.25">
      <c r="E27" t="s">
        <v>11</v>
      </c>
      <c r="F27">
        <f>SQRT(H33)</f>
        <v>5.8880844651320743</v>
      </c>
      <c r="N27">
        <f t="shared" si="21"/>
        <v>4</v>
      </c>
      <c r="O27">
        <f t="shared" si="11"/>
        <v>8</v>
      </c>
      <c r="P27">
        <f t="shared" si="12"/>
        <v>1</v>
      </c>
      <c r="Q27">
        <f t="shared" si="13"/>
        <v>38</v>
      </c>
      <c r="R27">
        <v>44.672126057595285</v>
      </c>
      <c r="S27">
        <f t="shared" si="14"/>
        <v>-6.6721260575952854</v>
      </c>
      <c r="T27">
        <v>0.26709617325157176</v>
      </c>
      <c r="U27">
        <f t="shared" si="15"/>
        <v>-1.1331573276684697</v>
      </c>
      <c r="V27">
        <f t="shared" si="16"/>
        <v>30.945053005315653</v>
      </c>
      <c r="W27">
        <f t="shared" si="17"/>
        <v>-1.4010225735860871</v>
      </c>
      <c r="X27">
        <f t="shared" si="18"/>
        <v>0.19878455622172955</v>
      </c>
      <c r="Y27">
        <f t="shared" si="19"/>
        <v>0.2128300051656912</v>
      </c>
      <c r="Z27">
        <f t="shared" si="20"/>
        <v>-0.84577622150932186</v>
      </c>
      <c r="AB27" t="s">
        <v>56</v>
      </c>
      <c r="AC27" s="757">
        <f>COUNT(A4:B4)</f>
        <v>2</v>
      </c>
    </row>
    <row r="28" spans="5:29" x14ac:dyDescent="0.25">
      <c r="E28" s="762" t="s">
        <v>81</v>
      </c>
      <c r="F28" s="762">
        <f>COUNT(C4:C14)</f>
        <v>11</v>
      </c>
      <c r="N28">
        <f t="shared" si="21"/>
        <v>5</v>
      </c>
      <c r="O28">
        <f t="shared" si="11"/>
        <v>9</v>
      </c>
      <c r="P28">
        <f t="shared" si="12"/>
        <v>3</v>
      </c>
      <c r="Q28">
        <f t="shared" si="13"/>
        <v>55</v>
      </c>
      <c r="R28">
        <v>57.084245387978996</v>
      </c>
      <c r="S28">
        <f t="shared" si="14"/>
        <v>-2.0842453879789957</v>
      </c>
      <c r="T28">
        <v>0.24665579963259088</v>
      </c>
      <c r="U28">
        <f t="shared" si="15"/>
        <v>-0.3539768154348728</v>
      </c>
      <c r="V28">
        <f t="shared" si="16"/>
        <v>38.798559456754262</v>
      </c>
      <c r="W28">
        <f t="shared" si="17"/>
        <v>-0.38551770153742698</v>
      </c>
      <c r="X28">
        <f t="shared" si="18"/>
        <v>0.70990258029872355</v>
      </c>
      <c r="Y28">
        <f t="shared" si="19"/>
        <v>1.8152348214671325E-2</v>
      </c>
      <c r="Z28">
        <f t="shared" si="20"/>
        <v>-0.22059378129479076</v>
      </c>
    </row>
    <row r="29" spans="5:29" x14ac:dyDescent="0.25">
      <c r="N29">
        <f t="shared" si="21"/>
        <v>6</v>
      </c>
      <c r="O29">
        <f t="shared" si="11"/>
        <v>5</v>
      </c>
      <c r="P29">
        <f t="shared" si="12"/>
        <v>4</v>
      </c>
      <c r="Q29">
        <f t="shared" si="13"/>
        <v>43</v>
      </c>
      <c r="R29">
        <v>41.261507412869676</v>
      </c>
      <c r="S29">
        <f t="shared" si="14"/>
        <v>1.7384925871303238</v>
      </c>
      <c r="T29">
        <v>0.11480245284483437</v>
      </c>
      <c r="U29">
        <f t="shared" si="15"/>
        <v>0.2952560543968572</v>
      </c>
      <c r="V29">
        <f t="shared" si="16"/>
        <v>39.13456848891785</v>
      </c>
      <c r="W29">
        <f t="shared" si="17"/>
        <v>0.29537413820836494</v>
      </c>
      <c r="X29">
        <f t="shared" si="18"/>
        <v>0.77522908029392079</v>
      </c>
      <c r="Y29">
        <f t="shared" si="19"/>
        <v>4.2574262393199839E-3</v>
      </c>
      <c r="Z29">
        <f t="shared" si="20"/>
        <v>0.106372153159037</v>
      </c>
    </row>
    <row r="30" spans="5:29" ht="15.75" thickBot="1" x14ac:dyDescent="0.3">
      <c r="E30" t="s">
        <v>294</v>
      </c>
      <c r="I30" s="1223" t="s">
        <v>34</v>
      </c>
      <c r="J30" s="1223">
        <v>0.05</v>
      </c>
      <c r="N30">
        <f t="shared" si="21"/>
        <v>7</v>
      </c>
      <c r="O30">
        <f t="shared" si="11"/>
        <v>4</v>
      </c>
      <c r="P30">
        <f t="shared" si="12"/>
        <v>0</v>
      </c>
      <c r="Q30">
        <f t="shared" si="13"/>
        <v>25</v>
      </c>
      <c r="R30">
        <v>21.332557116613632</v>
      </c>
      <c r="S30">
        <f t="shared" si="14"/>
        <v>3.6674428833863679</v>
      </c>
      <c r="T30">
        <v>0.57204584853424467</v>
      </c>
      <c r="U30">
        <f t="shared" si="15"/>
        <v>0.62285840244041202</v>
      </c>
      <c r="V30">
        <f t="shared" si="16"/>
        <v>35.132484021419948</v>
      </c>
      <c r="W30">
        <f t="shared" si="17"/>
        <v>0.94582395298764876</v>
      </c>
      <c r="X30">
        <f t="shared" si="18"/>
        <v>0.37192566649931208</v>
      </c>
      <c r="Y30">
        <f t="shared" si="19"/>
        <v>0.40391850575463223</v>
      </c>
      <c r="Z30">
        <f t="shared" si="20"/>
        <v>1.0935209443704508</v>
      </c>
    </row>
    <row r="31" spans="5:29" ht="15.75" thickTop="1" x14ac:dyDescent="0.25">
      <c r="E31" s="826"/>
      <c r="F31" s="826" t="s">
        <v>60</v>
      </c>
      <c r="G31" s="826" t="s">
        <v>219</v>
      </c>
      <c r="H31" s="826" t="s">
        <v>240</v>
      </c>
      <c r="I31" s="826" t="s">
        <v>135</v>
      </c>
      <c r="J31" s="826" t="s">
        <v>67</v>
      </c>
      <c r="K31" s="826" t="s">
        <v>527</v>
      </c>
      <c r="N31">
        <f t="shared" si="21"/>
        <v>8</v>
      </c>
      <c r="O31">
        <f t="shared" si="11"/>
        <v>2</v>
      </c>
      <c r="P31">
        <f t="shared" si="12"/>
        <v>6</v>
      </c>
      <c r="Q31">
        <f t="shared" si="13"/>
        <v>33</v>
      </c>
      <c r="R31">
        <v>34.092473285207895</v>
      </c>
      <c r="S31">
        <f t="shared" si="14"/>
        <v>-1.0924732852078947</v>
      </c>
      <c r="T31">
        <v>0.36805609459494448</v>
      </c>
      <c r="U31">
        <f t="shared" si="15"/>
        <v>-0.18553967621851886</v>
      </c>
      <c r="V31">
        <f t="shared" si="16"/>
        <v>39.35252795844837</v>
      </c>
      <c r="W31">
        <f t="shared" si="17"/>
        <v>-0.21907117761234432</v>
      </c>
      <c r="X31">
        <f t="shared" si="18"/>
        <v>0.8320804424416649</v>
      </c>
      <c r="Y31">
        <f t="shared" si="19"/>
        <v>1.0575704025892486E-2</v>
      </c>
      <c r="Z31">
        <f t="shared" si="20"/>
        <v>-0.16718718470802202</v>
      </c>
    </row>
    <row r="32" spans="5:29" x14ac:dyDescent="0.25">
      <c r="E32" t="s">
        <v>222</v>
      </c>
      <c r="F32">
        <f>COUNT(A4:B4)</f>
        <v>2</v>
      </c>
      <c r="G32">
        <f>DEVSQ(MMULT([1]!DESIGN(A4:B14),F37:F39))</f>
        <v>1580.2800542881259</v>
      </c>
      <c r="H32">
        <f>G32/F32</f>
        <v>790.14002714406297</v>
      </c>
      <c r="I32">
        <f>H32/H33</f>
        <v>22.790612667173765</v>
      </c>
      <c r="J32">
        <f>FDIST(I32,F32,F33)</f>
        <v>4.9694621069852922E-4</v>
      </c>
      <c r="K32" s="1223" t="str">
        <f>IF(J32&lt;J30,"yes","no")</f>
        <v>yes</v>
      </c>
      <c r="N32">
        <f t="shared" si="21"/>
        <v>9</v>
      </c>
      <c r="O32">
        <f t="shared" si="11"/>
        <v>8</v>
      </c>
      <c r="P32">
        <f t="shared" si="12"/>
        <v>7</v>
      </c>
      <c r="Q32">
        <f t="shared" si="13"/>
        <v>71</v>
      </c>
      <c r="R32">
        <v>67.222618955212283</v>
      </c>
      <c r="S32">
        <f t="shared" si="14"/>
        <v>3.7773810447877167</v>
      </c>
      <c r="T32">
        <v>0.35651633936195004</v>
      </c>
      <c r="U32">
        <f t="shared" si="15"/>
        <v>0.64152969733306831</v>
      </c>
      <c r="V32">
        <f t="shared" si="16"/>
        <v>36.454615428801176</v>
      </c>
      <c r="W32">
        <f t="shared" si="17"/>
        <v>0.77991230823400914</v>
      </c>
      <c r="X32">
        <f t="shared" si="18"/>
        <v>0.45789334437024365</v>
      </c>
      <c r="Y32">
        <f t="shared" si="19"/>
        <v>0.11811815834232482</v>
      </c>
      <c r="Z32">
        <f t="shared" si="20"/>
        <v>0.58051939191634983</v>
      </c>
    </row>
    <row r="33" spans="5:26" x14ac:dyDescent="0.25">
      <c r="E33" t="s">
        <v>295</v>
      </c>
      <c r="F33">
        <f>F34-F32</f>
        <v>8</v>
      </c>
      <c r="G33">
        <f>G34-G32</f>
        <v>277.35630934823735</v>
      </c>
      <c r="H33">
        <f>G33/F33</f>
        <v>34.669538668529668</v>
      </c>
      <c r="N33">
        <f t="shared" si="21"/>
        <v>10</v>
      </c>
      <c r="O33">
        <f t="shared" si="11"/>
        <v>6</v>
      </c>
      <c r="P33">
        <f t="shared" si="12"/>
        <v>4</v>
      </c>
      <c r="Q33">
        <f t="shared" si="13"/>
        <v>51</v>
      </c>
      <c r="R33">
        <v>46.156795777381042</v>
      </c>
      <c r="S33">
        <f t="shared" si="14"/>
        <v>4.843204222618958</v>
      </c>
      <c r="T33">
        <v>9.2136924629356548E-2</v>
      </c>
      <c r="U33">
        <f t="shared" si="15"/>
        <v>0.82254326535214306</v>
      </c>
      <c r="V33">
        <f t="shared" si="16"/>
        <v>35.931303335287602</v>
      </c>
      <c r="W33">
        <f t="shared" si="17"/>
        <v>0.84798099811205752</v>
      </c>
      <c r="X33">
        <f t="shared" si="18"/>
        <v>0.42109359303964677</v>
      </c>
      <c r="Y33">
        <f t="shared" si="19"/>
        <v>2.5210952466611803E-2</v>
      </c>
      <c r="Z33">
        <f t="shared" si="20"/>
        <v>0.27014242879415451</v>
      </c>
    </row>
    <row r="34" spans="5:26" x14ac:dyDescent="0.25">
      <c r="E34" s="762" t="s">
        <v>1</v>
      </c>
      <c r="F34" s="762">
        <f>F28-1</f>
        <v>10</v>
      </c>
      <c r="G34" s="762">
        <f>DEVSQ(C4:C14)</f>
        <v>1857.6363636363633</v>
      </c>
      <c r="H34" s="762"/>
      <c r="I34" s="762"/>
      <c r="J34" s="762"/>
      <c r="K34" s="762"/>
      <c r="N34" s="762">
        <f t="shared" si="21"/>
        <v>11</v>
      </c>
      <c r="O34" s="762">
        <f t="shared" si="11"/>
        <v>9</v>
      </c>
      <c r="P34" s="762">
        <f t="shared" si="12"/>
        <v>2</v>
      </c>
      <c r="Q34" s="762">
        <f t="shared" si="13"/>
        <v>49</v>
      </c>
      <c r="R34" s="762">
        <v>53.325829905042831</v>
      </c>
      <c r="S34" s="762">
        <f t="shared" si="14"/>
        <v>-4.3258299050428306</v>
      </c>
      <c r="T34" s="762">
        <v>0.26932132784806856</v>
      </c>
      <c r="U34" s="762">
        <f t="shared" si="15"/>
        <v>-0.73467524636567916</v>
      </c>
      <c r="V34" s="762">
        <f t="shared" si="16"/>
        <v>35.963734318089834</v>
      </c>
      <c r="W34" s="762">
        <f t="shared" si="17"/>
        <v>-0.84386666783386477</v>
      </c>
      <c r="X34" s="762">
        <f t="shared" si="18"/>
        <v>0.42325766755386807</v>
      </c>
      <c r="Y34" s="762">
        <f t="shared" si="19"/>
        <v>9.0758528337101352E-2</v>
      </c>
      <c r="Z34" s="762">
        <f t="shared" si="20"/>
        <v>-0.51232552169277867</v>
      </c>
    </row>
    <row r="35" spans="5:26" ht="15.75" thickBot="1" x14ac:dyDescent="0.3"/>
    <row r="36" spans="5:26" ht="15.75" thickTop="1" x14ac:dyDescent="0.25">
      <c r="E36" s="826"/>
      <c r="F36" s="826" t="s">
        <v>1592</v>
      </c>
      <c r="G36" s="826" t="s">
        <v>1000</v>
      </c>
      <c r="H36" s="826" t="s">
        <v>61</v>
      </c>
      <c r="I36" s="826" t="s">
        <v>67</v>
      </c>
      <c r="J36" s="826" t="s">
        <v>29</v>
      </c>
      <c r="K36" s="826" t="s">
        <v>30</v>
      </c>
      <c r="L36" s="826" t="s">
        <v>2649</v>
      </c>
    </row>
    <row r="37" spans="5:26" x14ac:dyDescent="0.25">
      <c r="E37" t="s">
        <v>296</v>
      </c>
      <c r="F37">
        <f t="array" ref="F37:G39">[1]!RegCoeff(A4:B14,C4:C14)</f>
        <v>1.7514036585681438</v>
      </c>
      <c r="G37">
        <v>6.9602026710152867</v>
      </c>
      <c r="H37">
        <f>F37/G37</f>
        <v>0.25163112934363246</v>
      </c>
      <c r="I37">
        <f>TDIST(ABS(H37),$F$33,2)</f>
        <v>0.80766962414536592</v>
      </c>
      <c r="J37">
        <f>F37-TINV(J$30,$F$33)*G37</f>
        <v>-14.298852482652197</v>
      </c>
      <c r="K37">
        <f>F37+TINV(J$30,$F$33)*G37</f>
        <v>17.801659799788485</v>
      </c>
    </row>
    <row r="38" spans="5:26" x14ac:dyDescent="0.25">
      <c r="E38" t="str">
        <f t="array" ref="E38:E39">TRANSPOSE(A3:B3)</f>
        <v>Color</v>
      </c>
      <c r="F38">
        <v>4.8952883645113721</v>
      </c>
      <c r="G38">
        <v>0.82022977846272815</v>
      </c>
      <c r="H38">
        <f>F38/G38</f>
        <v>5.9681914666474372</v>
      </c>
      <c r="I38">
        <f>TDIST(ABS(H38),$F$33,2)</f>
        <v>3.3508360543825895E-4</v>
      </c>
      <c r="J38">
        <f>F38-TINV(J$30,$F$33)*G38</f>
        <v>3.003835103558723</v>
      </c>
      <c r="K38">
        <f>F38+TINV(J$30,$F$33)*G38</f>
        <v>6.7867416254640212</v>
      </c>
      <c r="L38">
        <f>[1]!VIF(A4:B14,1)</f>
        <v>1.1255142435768064</v>
      </c>
    </row>
    <row r="39" spans="5:26" x14ac:dyDescent="0.25">
      <c r="E39" s="762" t="str">
        <v>Quality</v>
      </c>
      <c r="F39" s="762">
        <v>3.7584154829361673</v>
      </c>
      <c r="G39" s="762">
        <v>0.75651098735033695</v>
      </c>
      <c r="H39" s="762">
        <f>F39/G39</f>
        <v>4.9680910730720971</v>
      </c>
      <c r="I39" s="762">
        <f>TDIST(ABS(H39),$F$33,2)</f>
        <v>1.0957202090976618E-3</v>
      </c>
      <c r="J39" s="762">
        <f>F39-TINV(J$30,$F$33)*G39</f>
        <v>2.013898017778903</v>
      </c>
      <c r="K39" s="762">
        <f>F39+TINV(J$30,$F$33)*G39</f>
        <v>5.5029329480934317</v>
      </c>
      <c r="L39" s="762">
        <f>[1]!VIF(A4:B14,2)</f>
        <v>1.1255142435768064</v>
      </c>
    </row>
  </sheetData>
  <pageMargins left="0.7" right="0.7" top="0.75" bottom="0.75" header="0.3" footer="0.3"/>
  <ignoredErrors>
    <ignoredError sqref="AC7 AC27 F32 F12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G21"/>
  <sheetViews>
    <sheetView workbookViewId="0"/>
  </sheetViews>
  <sheetFormatPr defaultRowHeight="15" x14ac:dyDescent="0.25"/>
  <cols>
    <col min="5" max="5" width="17.5703125" customWidth="1"/>
    <col min="10" max="10" width="9.140625" customWidth="1"/>
    <col min="13" max="13" width="3" customWidth="1"/>
    <col min="16" max="16" width="4.85546875" customWidth="1"/>
    <col min="20" max="20" width="4" customWidth="1"/>
    <col min="22" max="22" width="6.42578125" customWidth="1"/>
    <col min="25" max="25" width="13.28515625" customWidth="1"/>
    <col min="28" max="28" width="17.85546875" customWidth="1"/>
    <col min="29" max="29" width="3.28515625" customWidth="1"/>
  </cols>
  <sheetData>
    <row r="1" spans="1:33" x14ac:dyDescent="0.25">
      <c r="A1" s="1" t="s">
        <v>2647</v>
      </c>
      <c r="E1" t="s">
        <v>1593</v>
      </c>
      <c r="N1" t="s">
        <v>2662</v>
      </c>
      <c r="Y1" t="s">
        <v>2660</v>
      </c>
      <c r="AD1" t="s">
        <v>2663</v>
      </c>
    </row>
    <row r="3" spans="1:33" ht="15.75" thickBot="1" x14ac:dyDescent="0.3">
      <c r="A3" s="131" t="s">
        <v>382</v>
      </c>
      <c r="B3" s="131" t="s">
        <v>383</v>
      </c>
      <c r="C3" s="131" t="s">
        <v>376</v>
      </c>
      <c r="E3" s="743" t="s">
        <v>1598</v>
      </c>
      <c r="F3" s="743"/>
      <c r="H3" s="743"/>
      <c r="I3" s="743"/>
      <c r="N3" s="1321" t="s">
        <v>377</v>
      </c>
      <c r="O3" s="1321"/>
      <c r="Q3" s="1240" t="s">
        <v>378</v>
      </c>
      <c r="S3" s="1240" t="s">
        <v>131</v>
      </c>
      <c r="U3" s="82" t="s">
        <v>391</v>
      </c>
      <c r="V3" s="1240"/>
      <c r="W3" s="82" t="s">
        <v>134</v>
      </c>
      <c r="Y3" s="157"/>
      <c r="Z3" s="158" t="s">
        <v>388</v>
      </c>
      <c r="AA3" s="158" t="s">
        <v>387</v>
      </c>
      <c r="AB3" s="157"/>
      <c r="AD3" s="1240" t="s">
        <v>382</v>
      </c>
      <c r="AE3" s="1240" t="s">
        <v>383</v>
      </c>
      <c r="AF3" s="1240" t="s">
        <v>2665</v>
      </c>
      <c r="AG3" s="1240" t="s">
        <v>2664</v>
      </c>
    </row>
    <row r="4" spans="1:33" ht="15.75" thickTop="1" x14ac:dyDescent="0.25">
      <c r="A4" s="1240">
        <v>7</v>
      </c>
      <c r="B4" s="1240">
        <v>5</v>
      </c>
      <c r="C4" s="1240">
        <v>65</v>
      </c>
      <c r="E4" t="s">
        <v>292</v>
      </c>
      <c r="F4">
        <f>[1]!MultipleR(A4:B14,C4:C14,FALSE)</f>
        <v>0.99468026045304392</v>
      </c>
      <c r="H4" t="s">
        <v>774</v>
      </c>
      <c r="I4">
        <f>[1]!RegAIC(A4:B14,C4:C14,FALSE)</f>
        <v>39.588204769990853</v>
      </c>
      <c r="N4" s="1247">
        <f>A4</f>
        <v>7</v>
      </c>
      <c r="O4" s="1107">
        <f>B4</f>
        <v>5</v>
      </c>
      <c r="Q4" s="1250">
        <f>C4</f>
        <v>65</v>
      </c>
      <c r="S4" s="1193">
        <f t="array" ref="S4:S5">MMULT(N17:O18,MMULT(TRANSPOSE(N4:O14),Q4:Q14))</f>
        <v>5.0732339598185341</v>
      </c>
      <c r="U4" s="175">
        <f t="array" ref="U4:U14">MMULT(N4:O14,S4:S5)</f>
        <v>54.971484121840554</v>
      </c>
      <c r="W4" s="167">
        <f>Q4-U4</f>
        <v>10.028515878159446</v>
      </c>
      <c r="Y4" s="157" t="s">
        <v>281</v>
      </c>
      <c r="Z4" s="159">
        <f t="array" ref="Z4:AA8">LINEST(C4:C14,A4:B14,FALSE,TRUE)</f>
        <v>3.8917692806221638</v>
      </c>
      <c r="AA4" s="159">
        <v>5.0732339598185368</v>
      </c>
      <c r="AB4" s="157"/>
      <c r="AD4" s="1194">
        <v>7</v>
      </c>
      <c r="AE4" s="1168">
        <v>5</v>
      </c>
      <c r="AF4" s="1172">
        <f t="array" ref="AF4:AF6">TREND(C4:C14,A4:B14,AD4:AE6,FALSE)</f>
        <v>54.971484121840575</v>
      </c>
      <c r="AG4" s="1173">
        <f t="array" ref="AG4:AG6">TREND(C4:C14,A4:B14,AD4:AE6)</f>
        <v>54.810499624828587</v>
      </c>
    </row>
    <row r="5" spans="1:33" x14ac:dyDescent="0.25">
      <c r="A5" s="1240">
        <v>3</v>
      </c>
      <c r="B5" s="1240">
        <v>7</v>
      </c>
      <c r="C5" s="1240">
        <v>38</v>
      </c>
      <c r="E5" t="s">
        <v>285</v>
      </c>
      <c r="F5">
        <f>[1]!RSquare(A4:B14,C4:C14,FALSE)</f>
        <v>0.98938882053493538</v>
      </c>
      <c r="H5" t="s">
        <v>775</v>
      </c>
      <c r="I5">
        <f>[1]!RegAICc(A4:B14,C4:C14,FALSE)</f>
        <v>43.016776198562283</v>
      </c>
      <c r="N5" s="540">
        <f t="shared" ref="N5:N14" si="0">A5</f>
        <v>3</v>
      </c>
      <c r="O5" s="494">
        <f t="shared" ref="O5:O14" si="1">B5</f>
        <v>7</v>
      </c>
      <c r="Q5" s="575">
        <f t="shared" ref="Q5:Q14" si="2">C5</f>
        <v>38</v>
      </c>
      <c r="S5" s="420">
        <v>3.8917692806221638</v>
      </c>
      <c r="U5" s="176">
        <v>42.462086843810752</v>
      </c>
      <c r="W5" s="23">
        <f t="shared" ref="W5:W14" si="3">Q5-U5</f>
        <v>-4.4620868438107522</v>
      </c>
      <c r="Y5" s="157" t="s">
        <v>403</v>
      </c>
      <c r="Z5" s="159">
        <v>0.51099966783330397</v>
      </c>
      <c r="AA5" s="159">
        <v>0.39334065025077786</v>
      </c>
      <c r="AB5" s="157"/>
      <c r="AD5" s="540">
        <v>4</v>
      </c>
      <c r="AE5" s="1241">
        <v>4</v>
      </c>
      <c r="AF5" s="532">
        <v>35.860012961762806</v>
      </c>
      <c r="AG5" s="533">
        <v>36.366219048358303</v>
      </c>
    </row>
    <row r="6" spans="1:33" x14ac:dyDescent="0.25">
      <c r="A6" s="1240">
        <v>5</v>
      </c>
      <c r="B6" s="1240">
        <v>8</v>
      </c>
      <c r="C6" s="1240">
        <v>51</v>
      </c>
      <c r="E6" t="s">
        <v>293</v>
      </c>
      <c r="F6">
        <f>[1]!AdjRSquare(A4:B14,C4:C14,FALSE)</f>
        <v>0.98703078065380989</v>
      </c>
      <c r="H6" s="762" t="s">
        <v>2661</v>
      </c>
      <c r="I6" s="762">
        <f>[1]!RegSBC(A4:B14,C4:C14,FALSE)</f>
        <v>40.383995315587597</v>
      </c>
      <c r="N6" s="540">
        <f t="shared" si="0"/>
        <v>5</v>
      </c>
      <c r="O6" s="494">
        <f t="shared" si="1"/>
        <v>8</v>
      </c>
      <c r="Q6" s="575">
        <f t="shared" si="2"/>
        <v>51</v>
      </c>
      <c r="U6" s="176">
        <v>56.500324044069984</v>
      </c>
      <c r="W6" s="23">
        <f t="shared" si="3"/>
        <v>-5.5003240440699841</v>
      </c>
      <c r="Y6" s="157" t="s">
        <v>285</v>
      </c>
      <c r="Z6" s="159">
        <v>0.98938882053493538</v>
      </c>
      <c r="AA6" s="159">
        <v>5.5732647823448582</v>
      </c>
      <c r="AB6" s="157" t="s">
        <v>405</v>
      </c>
      <c r="AD6" s="436">
        <v>9</v>
      </c>
      <c r="AE6" s="1242">
        <v>8</v>
      </c>
      <c r="AF6" s="409">
        <v>76.793259883344149</v>
      </c>
      <c r="AG6" s="417">
        <v>75.876322802659843</v>
      </c>
    </row>
    <row r="7" spans="1:33" x14ac:dyDescent="0.25">
      <c r="A7" s="1240">
        <v>8</v>
      </c>
      <c r="B7" s="1240">
        <v>1</v>
      </c>
      <c r="C7" s="1240">
        <v>38</v>
      </c>
      <c r="E7" t="s">
        <v>11</v>
      </c>
      <c r="F7">
        <f>[1]!regse(A4:B14,C4:C14,FALSE)</f>
        <v>5.5732647823448582</v>
      </c>
      <c r="N7" s="540">
        <f t="shared" si="0"/>
        <v>8</v>
      </c>
      <c r="O7" s="494">
        <f t="shared" si="1"/>
        <v>1</v>
      </c>
      <c r="Q7" s="575">
        <f t="shared" si="2"/>
        <v>38</v>
      </c>
      <c r="U7" s="176">
        <v>44.477640959170436</v>
      </c>
      <c r="W7" s="23">
        <f t="shared" si="3"/>
        <v>-6.4776409591704365</v>
      </c>
      <c r="Y7" s="157" t="s">
        <v>135</v>
      </c>
      <c r="Z7" s="159">
        <v>419.58103781633338</v>
      </c>
      <c r="AA7" s="159">
        <v>9</v>
      </c>
      <c r="AB7" s="157" t="s">
        <v>406</v>
      </c>
    </row>
    <row r="8" spans="1:33" x14ac:dyDescent="0.25">
      <c r="A8" s="1240">
        <v>9</v>
      </c>
      <c r="B8" s="1240">
        <v>3</v>
      </c>
      <c r="C8" s="1240">
        <v>55</v>
      </c>
      <c r="E8" s="762" t="s">
        <v>81</v>
      </c>
      <c r="F8" s="762">
        <f>COUNT(C4:C14)</f>
        <v>11</v>
      </c>
      <c r="N8" s="540">
        <f t="shared" si="0"/>
        <v>9</v>
      </c>
      <c r="O8" s="494">
        <f t="shared" si="1"/>
        <v>3</v>
      </c>
      <c r="Q8" s="575">
        <f t="shared" si="2"/>
        <v>55</v>
      </c>
      <c r="S8" s="1240" t="s">
        <v>425</v>
      </c>
      <c r="U8" s="176">
        <v>57.334413480233302</v>
      </c>
      <c r="W8" s="23">
        <f t="shared" si="3"/>
        <v>-2.3344134802333016</v>
      </c>
      <c r="Y8" s="157" t="s">
        <v>407</v>
      </c>
      <c r="Z8" s="159">
        <v>26065.448476992871</v>
      </c>
      <c r="AA8" s="159">
        <v>279.55152300712933</v>
      </c>
      <c r="AB8" s="157" t="s">
        <v>408</v>
      </c>
    </row>
    <row r="9" spans="1:33" x14ac:dyDescent="0.25">
      <c r="A9" s="1240">
        <v>5</v>
      </c>
      <c r="B9" s="1240">
        <v>4</v>
      </c>
      <c r="C9" s="1240">
        <v>43</v>
      </c>
      <c r="N9" s="540">
        <f t="shared" si="0"/>
        <v>5</v>
      </c>
      <c r="O9" s="494">
        <f t="shared" si="1"/>
        <v>4</v>
      </c>
      <c r="Q9" s="575">
        <f t="shared" si="2"/>
        <v>43</v>
      </c>
      <c r="S9" s="1251">
        <f>SQRT(Q17)</f>
        <v>0.39334065025077763</v>
      </c>
      <c r="U9" s="176">
        <v>40.933246921581329</v>
      </c>
      <c r="W9" s="23">
        <f t="shared" si="3"/>
        <v>2.066753078418671</v>
      </c>
    </row>
    <row r="10" spans="1:33" ht="15.75" thickBot="1" x14ac:dyDescent="0.3">
      <c r="A10" s="1240">
        <v>4</v>
      </c>
      <c r="B10" s="1240">
        <v>0</v>
      </c>
      <c r="C10" s="1240">
        <v>25</v>
      </c>
      <c r="E10" t="s">
        <v>294</v>
      </c>
      <c r="I10" s="1240" t="s">
        <v>34</v>
      </c>
      <c r="J10" s="1240">
        <v>0.05</v>
      </c>
      <c r="N10" s="540">
        <f t="shared" si="0"/>
        <v>4</v>
      </c>
      <c r="O10" s="494">
        <f t="shared" si="1"/>
        <v>0</v>
      </c>
      <c r="Q10" s="575">
        <f t="shared" si="2"/>
        <v>25</v>
      </c>
      <c r="S10" s="581">
        <f>SQRT(R18)</f>
        <v>0.51099966783330386</v>
      </c>
      <c r="U10" s="176">
        <v>20.292935839274136</v>
      </c>
      <c r="W10" s="23">
        <f t="shared" si="3"/>
        <v>4.7070641607258636</v>
      </c>
    </row>
    <row r="11" spans="1:33" ht="15.75" thickTop="1" x14ac:dyDescent="0.25">
      <c r="A11" s="1240">
        <v>2</v>
      </c>
      <c r="B11" s="1240">
        <v>6</v>
      </c>
      <c r="C11" s="1240">
        <v>33</v>
      </c>
      <c r="E11" s="826"/>
      <c r="F11" s="826" t="s">
        <v>60</v>
      </c>
      <c r="G11" s="826" t="s">
        <v>219</v>
      </c>
      <c r="H11" s="826" t="s">
        <v>240</v>
      </c>
      <c r="I11" s="826" t="s">
        <v>135</v>
      </c>
      <c r="J11" s="826" t="s">
        <v>67</v>
      </c>
      <c r="K11" s="826" t="s">
        <v>527</v>
      </c>
      <c r="N11" s="540">
        <f t="shared" si="0"/>
        <v>2</v>
      </c>
      <c r="O11" s="494">
        <f t="shared" si="1"/>
        <v>6</v>
      </c>
      <c r="Q11" s="575">
        <f t="shared" si="2"/>
        <v>33</v>
      </c>
      <c r="U11" s="176">
        <v>33.497083603370051</v>
      </c>
      <c r="W11" s="23">
        <f t="shared" si="3"/>
        <v>-0.49708360337005075</v>
      </c>
    </row>
    <row r="12" spans="1:33" x14ac:dyDescent="0.25">
      <c r="A12" s="1240">
        <v>8</v>
      </c>
      <c r="B12" s="1240">
        <v>7</v>
      </c>
      <c r="C12" s="1240">
        <v>71</v>
      </c>
      <c r="E12" t="s">
        <v>222</v>
      </c>
      <c r="F12">
        <f>[1]!dfreg(A4:B14,C4:C14,FALSE)</f>
        <v>2</v>
      </c>
      <c r="G12">
        <f>[1]!SSReg(A4:B14,C4:C14,FALSE)</f>
        <v>26065.448476992871</v>
      </c>
      <c r="H12">
        <f>[1]!mSReg(A4:B14,C4:C14,FALSE)</f>
        <v>13032.724238496436</v>
      </c>
      <c r="I12">
        <f>[1]!RegF(A4:B14,C4:C14,FALSE)</f>
        <v>419.58103781633338</v>
      </c>
      <c r="J12">
        <f>[1]!regtest(A4:B14,C4:C14,FALSE)</f>
        <v>1.305979827756306E-9</v>
      </c>
      <c r="K12" s="1240" t="str">
        <f>IF(J12&lt;J10,"yes","no")</f>
        <v>yes</v>
      </c>
      <c r="N12" s="540">
        <f t="shared" si="0"/>
        <v>8</v>
      </c>
      <c r="O12" s="494">
        <f t="shared" si="1"/>
        <v>7</v>
      </c>
      <c r="Q12" s="575">
        <f t="shared" si="2"/>
        <v>71</v>
      </c>
      <c r="U12" s="176">
        <v>67.828256642903426</v>
      </c>
      <c r="W12" s="23">
        <f t="shared" si="3"/>
        <v>3.1717433570965738</v>
      </c>
    </row>
    <row r="13" spans="1:33" x14ac:dyDescent="0.25">
      <c r="A13" s="1240">
        <v>6</v>
      </c>
      <c r="B13" s="1240">
        <v>4</v>
      </c>
      <c r="C13" s="1240">
        <v>51</v>
      </c>
      <c r="E13" t="s">
        <v>295</v>
      </c>
      <c r="F13">
        <f>[1]!dfres(A4:B14,C4:C14,FALSE)</f>
        <v>9</v>
      </c>
      <c r="G13">
        <f>[1]!ssres(A4:B14,C4:C14,FALSE)</f>
        <v>279.55152300712933</v>
      </c>
      <c r="H13">
        <f>[1]!MSRes(A4:B14,C4:C14,FALSE)</f>
        <v>31.061280334125481</v>
      </c>
      <c r="N13" s="540">
        <f t="shared" si="0"/>
        <v>6</v>
      </c>
      <c r="O13" s="494">
        <f t="shared" si="1"/>
        <v>4</v>
      </c>
      <c r="Q13" s="575">
        <f t="shared" si="2"/>
        <v>51</v>
      </c>
      <c r="U13" s="176">
        <v>46.00648088139986</v>
      </c>
      <c r="W13" s="23">
        <f t="shared" si="3"/>
        <v>4.9935191186001404</v>
      </c>
    </row>
    <row r="14" spans="1:33" x14ac:dyDescent="0.25">
      <c r="A14" s="1243">
        <v>9</v>
      </c>
      <c r="B14" s="1243">
        <v>2</v>
      </c>
      <c r="C14" s="1243">
        <v>49</v>
      </c>
      <c r="E14" s="762" t="s">
        <v>1</v>
      </c>
      <c r="F14" s="762">
        <f>[1]!dfregtot(A4:B14,C4:C14, FALSE)</f>
        <v>11</v>
      </c>
      <c r="G14" s="762">
        <f>[1]!SSRegTot(A4:B14,C4:C14,FALSE)</f>
        <v>26345</v>
      </c>
      <c r="H14" s="762"/>
      <c r="I14" s="762"/>
      <c r="J14" s="762"/>
      <c r="K14" s="762"/>
      <c r="N14" s="436">
        <f t="shared" si="0"/>
        <v>9</v>
      </c>
      <c r="O14" s="412">
        <f t="shared" si="1"/>
        <v>2</v>
      </c>
      <c r="Q14" s="574">
        <f t="shared" si="2"/>
        <v>49</v>
      </c>
      <c r="U14" s="177">
        <v>53.442644199611138</v>
      </c>
      <c r="W14" s="168">
        <f t="shared" si="3"/>
        <v>-4.4426441996111379</v>
      </c>
    </row>
    <row r="15" spans="1:33" ht="15.75" thickBot="1" x14ac:dyDescent="0.3">
      <c r="N15" s="7"/>
    </row>
    <row r="16" spans="1:33" ht="19.5" thickTop="1" x14ac:dyDescent="0.35">
      <c r="E16" s="826"/>
      <c r="F16" s="826" t="s">
        <v>1592</v>
      </c>
      <c r="G16" s="826" t="s">
        <v>1000</v>
      </c>
      <c r="H16" s="826" t="s">
        <v>61</v>
      </c>
      <c r="I16" s="826" t="s">
        <v>67</v>
      </c>
      <c r="J16" s="826" t="s">
        <v>29</v>
      </c>
      <c r="K16" s="826" t="s">
        <v>30</v>
      </c>
      <c r="L16" s="826" t="s">
        <v>2649</v>
      </c>
      <c r="N16" s="1313" t="s">
        <v>380</v>
      </c>
      <c r="O16" s="1313"/>
      <c r="P16" s="1246"/>
      <c r="Q16" s="1313" t="s">
        <v>424</v>
      </c>
      <c r="R16" s="1313"/>
    </row>
    <row r="17" spans="5:23" ht="18" x14ac:dyDescent="0.35">
      <c r="E17" t="str">
        <f t="array" ref="E17:E18">TRANSPOSE(A3:B3)</f>
        <v>Color</v>
      </c>
      <c r="F17">
        <f t="array" ref="F17:G18">[1]!RegCoeff(A4:B14,C4:C14,FALSE)</f>
        <v>5.0732339598185368</v>
      </c>
      <c r="G17">
        <v>0.39334065025077786</v>
      </c>
      <c r="H17">
        <f>F17/G17</f>
        <v>12.89781251081995</v>
      </c>
      <c r="I17">
        <f>TDIST(ABS(H17),$F$13,2)</f>
        <v>4.1550992319964612E-7</v>
      </c>
      <c r="J17">
        <f>F17-TINV(J$10,$F$13)*G17</f>
        <v>4.1834355904340361</v>
      </c>
      <c r="K17">
        <f>F17+TINV(J$10,$F$13)*G17</f>
        <v>5.9630323292030374</v>
      </c>
      <c r="L17">
        <f>[1]!VIF(A4:B14,1)</f>
        <v>1.1255142435768064</v>
      </c>
      <c r="N17" s="1226">
        <f t="array" ref="N17:O18">MINVERSE(MMULT(TRANSPOSE(N4:O14),N4:O14))</f>
        <v>4.981020275900379E-3</v>
      </c>
      <c r="O17" s="1249">
        <v>-4.8328858439033425E-3</v>
      </c>
      <c r="P17" s="1246"/>
      <c r="Q17" s="1172">
        <f t="array" ref="Q17:R18">W19*N17:O19</f>
        <v>0.15471686713970459</v>
      </c>
      <c r="R17" s="1173">
        <v>-0.1501156220203082</v>
      </c>
      <c r="V17" t="s">
        <v>289</v>
      </c>
      <c r="W17" s="167">
        <f>SUMSQ(W4:W14)</f>
        <v>279.55152300712911</v>
      </c>
    </row>
    <row r="18" spans="5:23" ht="18" x14ac:dyDescent="0.35">
      <c r="E18" s="762" t="str">
        <v>Quality</v>
      </c>
      <c r="F18" s="762">
        <v>3.8917692806221638</v>
      </c>
      <c r="G18" s="762">
        <v>0.51099966783330397</v>
      </c>
      <c r="H18" s="762">
        <f>F18/G18</f>
        <v>7.6159918011761203</v>
      </c>
      <c r="I18" s="762">
        <f>TDIST(ABS(H18),$F$13,2)</f>
        <v>3.271905329750892E-5</v>
      </c>
      <c r="J18" s="762">
        <f>F18-TINV(J$10,$F$13)*G18</f>
        <v>2.7358077218455517</v>
      </c>
      <c r="K18" s="762">
        <f>F18+TINV(J$10,$F$13)*G18</f>
        <v>5.0477308393987759</v>
      </c>
      <c r="L18" s="762">
        <f>[1]!VIF(A4:B14,2)</f>
        <v>1.1255142435768064</v>
      </c>
      <c r="N18" s="409">
        <v>-4.8328858439033425E-3</v>
      </c>
      <c r="O18" s="417">
        <v>8.4066290158318676E-3</v>
      </c>
      <c r="P18" s="1246"/>
      <c r="Q18" s="409">
        <v>-0.1501156220203082</v>
      </c>
      <c r="R18" s="417">
        <v>0.26112066052574684</v>
      </c>
      <c r="V18" t="s">
        <v>287</v>
      </c>
      <c r="W18" s="23">
        <f>COUNT(Q4:Q14)-COUNT(N4:O4)</f>
        <v>9</v>
      </c>
    </row>
    <row r="19" spans="5:23" ht="18" x14ac:dyDescent="0.35">
      <c r="P19" s="1246"/>
      <c r="Q19" s="1246"/>
      <c r="R19" s="1246"/>
      <c r="S19" s="1246"/>
      <c r="V19" t="s">
        <v>423</v>
      </c>
      <c r="W19" s="168">
        <f>W17/W18</f>
        <v>31.061280334125456</v>
      </c>
    </row>
    <row r="20" spans="5:23" x14ac:dyDescent="0.25">
      <c r="P20" s="1246"/>
      <c r="Q20" s="1246"/>
      <c r="R20" s="1246"/>
      <c r="S20" s="1246"/>
    </row>
    <row r="21" spans="5:23" x14ac:dyDescent="0.25">
      <c r="P21" s="7"/>
    </row>
  </sheetData>
  <mergeCells count="3">
    <mergeCell ref="N16:O16"/>
    <mergeCell ref="N3:O3"/>
    <mergeCell ref="Q16:R16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D38"/>
  <sheetViews>
    <sheetView workbookViewId="0"/>
  </sheetViews>
  <sheetFormatPr defaultRowHeight="15" x14ac:dyDescent="0.25"/>
  <cols>
    <col min="1" max="1" width="6.5703125" customWidth="1"/>
    <col min="2" max="3" width="9" customWidth="1"/>
    <col min="4" max="4" width="11.42578125" customWidth="1"/>
    <col min="5" max="5" width="3" customWidth="1"/>
    <col min="6" max="7" width="10" customWidth="1"/>
    <col min="8" max="8" width="11.42578125" customWidth="1"/>
    <col min="9" max="9" width="9.140625" customWidth="1"/>
    <col min="10" max="10" width="16.85546875" customWidth="1"/>
    <col min="19" max="19" width="18.140625" customWidth="1"/>
  </cols>
  <sheetData>
    <row r="1" spans="1:30" x14ac:dyDescent="0.25">
      <c r="A1" s="1" t="s">
        <v>2651</v>
      </c>
      <c r="J1" t="s">
        <v>1593</v>
      </c>
      <c r="S1" t="s">
        <v>1593</v>
      </c>
      <c r="AB1" t="s">
        <v>229</v>
      </c>
    </row>
    <row r="3" spans="1:30" ht="15.75" thickBot="1" x14ac:dyDescent="0.3">
      <c r="A3" s="1309" t="s">
        <v>2653</v>
      </c>
      <c r="B3" s="1309"/>
      <c r="C3" s="1309"/>
      <c r="D3" s="1309"/>
      <c r="E3" s="1223"/>
      <c r="F3" s="1309" t="s">
        <v>2655</v>
      </c>
      <c r="G3" s="1309"/>
      <c r="H3" s="1309"/>
      <c r="J3" s="743" t="s">
        <v>1598</v>
      </c>
      <c r="K3" s="743"/>
      <c r="M3" s="743"/>
      <c r="N3" s="743"/>
      <c r="S3" s="743" t="s">
        <v>1598</v>
      </c>
      <c r="T3" s="743"/>
      <c r="V3" s="743"/>
      <c r="W3" s="743"/>
      <c r="AB3" s="13" t="s">
        <v>2573</v>
      </c>
      <c r="AC3" s="13" t="s">
        <v>2672</v>
      </c>
      <c r="AD3" s="13" t="s">
        <v>2673</v>
      </c>
    </row>
    <row r="4" spans="1:30" ht="15.75" thickTop="1" x14ac:dyDescent="0.25">
      <c r="A4" s="1220" t="s">
        <v>2652</v>
      </c>
      <c r="B4" s="1221" t="s">
        <v>29</v>
      </c>
      <c r="C4" s="1221" t="s">
        <v>30</v>
      </c>
      <c r="D4" s="1222" t="s">
        <v>2654</v>
      </c>
      <c r="E4" s="13"/>
      <c r="F4" s="1220" t="s">
        <v>10</v>
      </c>
      <c r="G4" s="1221" t="s">
        <v>58</v>
      </c>
      <c r="H4" s="1198" t="s">
        <v>2656</v>
      </c>
      <c r="J4" t="s">
        <v>292</v>
      </c>
      <c r="K4">
        <f>SQRT(K5)</f>
        <v>0.99552300422952356</v>
      </c>
      <c r="M4" t="s">
        <v>774</v>
      </c>
      <c r="N4">
        <f>K8*LN(L13/K8)+2*K12</f>
        <v>-7.5067439919847292</v>
      </c>
      <c r="S4" t="s">
        <v>292</v>
      </c>
      <c r="T4">
        <f>SQRT(T5)</f>
        <v>0.98159100931798327</v>
      </c>
      <c r="V4" t="s">
        <v>774</v>
      </c>
      <c r="W4">
        <f>T8*LN(U13/T8)+2*(T12+1)</f>
        <v>69.132686939462189</v>
      </c>
      <c r="AB4">
        <v>200</v>
      </c>
      <c r="AC4">
        <f>K17+K18*LN(AB4)</f>
        <v>571.22106844314123</v>
      </c>
      <c r="AD4">
        <f>T17+K18*LN(T18)</f>
        <v>429.9790187993342</v>
      </c>
    </row>
    <row r="5" spans="1:30" x14ac:dyDescent="0.25">
      <c r="A5" s="1172">
        <v>1</v>
      </c>
      <c r="B5" s="1169">
        <v>2</v>
      </c>
      <c r="C5" s="1169">
        <v>25</v>
      </c>
      <c r="D5" s="1173">
        <f>LN(AVERAGE(B5,C5))</f>
        <v>2.6026896854443837</v>
      </c>
      <c r="E5" s="7"/>
      <c r="F5" s="532">
        <v>266.7</v>
      </c>
      <c r="G5" s="7">
        <v>60.5</v>
      </c>
      <c r="H5" s="533">
        <f>1/G5^2</f>
        <v>2.7320538214602825E-4</v>
      </c>
      <c r="J5" t="s">
        <v>285</v>
      </c>
      <c r="K5">
        <f>L12/L14</f>
        <v>0.99106605195017594</v>
      </c>
      <c r="M5" t="s">
        <v>775</v>
      </c>
      <c r="N5">
        <f>N4+2*(K12+1)*(K12+2)/(K8-K12-2)</f>
        <v>-1.5067439919847292</v>
      </c>
      <c r="S5" t="s">
        <v>285</v>
      </c>
      <c r="T5">
        <f>U12/U14</f>
        <v>0.96352090957389713</v>
      </c>
      <c r="V5" t="s">
        <v>775</v>
      </c>
      <c r="W5">
        <f>W4+2*(T12+2)*(T12+3)/(T8-T12-3)</f>
        <v>75.132686939462189</v>
      </c>
    </row>
    <row r="6" spans="1:30" x14ac:dyDescent="0.25">
      <c r="A6" s="532">
        <f>A5+1</f>
        <v>2</v>
      </c>
      <c r="B6" s="7">
        <v>25</v>
      </c>
      <c r="C6" s="7">
        <v>50</v>
      </c>
      <c r="D6" s="533">
        <f t="shared" ref="D6:D12" si="0">LN(AVERAGE(B6,C6))</f>
        <v>3.6243409329763652</v>
      </c>
      <c r="E6" s="7"/>
      <c r="F6" s="532">
        <v>342.5</v>
      </c>
      <c r="G6" s="7">
        <v>68.3</v>
      </c>
      <c r="H6" s="533">
        <f t="shared" ref="H6:H12" si="1">1/G6^2</f>
        <v>2.1436732698948961E-4</v>
      </c>
      <c r="J6" t="s">
        <v>293</v>
      </c>
      <c r="K6">
        <f>1-(1-K5)*K8/(K8-K12)</f>
        <v>0.98808806926690129</v>
      </c>
      <c r="M6" s="762" t="s">
        <v>2648</v>
      </c>
      <c r="N6" s="762">
        <f>K8*LN(L13/K8)+K12*LN(K8)</f>
        <v>-7.3478609086250577</v>
      </c>
      <c r="S6" t="s">
        <v>293</v>
      </c>
      <c r="T6">
        <f>1-(1-T5)*(T8-1)/(T8-T12-1)</f>
        <v>0.95744106116954664</v>
      </c>
      <c r="V6" s="762" t="s">
        <v>2648</v>
      </c>
      <c r="W6" s="762">
        <f>T8*LN(U13/T8)+(T12+1)*LN(T8)</f>
        <v>69.291570022821858</v>
      </c>
    </row>
    <row r="7" spans="1:30" x14ac:dyDescent="0.25">
      <c r="A7" s="532">
        <f t="shared" ref="A7:A12" si="2">A6+1</f>
        <v>3</v>
      </c>
      <c r="B7" s="7">
        <v>50</v>
      </c>
      <c r="C7" s="7">
        <v>100</v>
      </c>
      <c r="D7" s="533">
        <f t="shared" si="0"/>
        <v>4.3174881135363101</v>
      </c>
      <c r="E7" s="7"/>
      <c r="F7" s="532">
        <v>418.1</v>
      </c>
      <c r="G7" s="7">
        <v>81.400000000000006</v>
      </c>
      <c r="H7" s="533">
        <f t="shared" si="1"/>
        <v>1.5092152684290273E-4</v>
      </c>
      <c r="J7" t="s">
        <v>11</v>
      </c>
      <c r="K7">
        <f>SQRT(M13)</f>
        <v>0.56251894623617205</v>
      </c>
      <c r="S7" t="s">
        <v>11</v>
      </c>
      <c r="T7">
        <f>SQRT(V13)</f>
        <v>67.669392305702004</v>
      </c>
    </row>
    <row r="8" spans="1:30" x14ac:dyDescent="0.25">
      <c r="A8" s="532">
        <f t="shared" si="2"/>
        <v>4</v>
      </c>
      <c r="B8" s="7">
        <v>100</v>
      </c>
      <c r="C8" s="7">
        <v>250</v>
      </c>
      <c r="D8" s="533">
        <f t="shared" si="0"/>
        <v>5.1647859739235145</v>
      </c>
      <c r="E8" s="7"/>
      <c r="F8" s="532">
        <v>494.2</v>
      </c>
      <c r="G8" s="7">
        <v>98.8</v>
      </c>
      <c r="H8" s="533">
        <f t="shared" si="1"/>
        <v>1.0244390171941846E-4</v>
      </c>
      <c r="J8" s="762" t="s">
        <v>81</v>
      </c>
      <c r="K8" s="762">
        <f>COUNT(F5:F12)</f>
        <v>8</v>
      </c>
      <c r="S8" s="762" t="s">
        <v>81</v>
      </c>
      <c r="T8" s="762">
        <f>COUNT(F5:F12)</f>
        <v>8</v>
      </c>
    </row>
    <row r="9" spans="1:30" x14ac:dyDescent="0.25">
      <c r="A9" s="532">
        <f t="shared" si="2"/>
        <v>5</v>
      </c>
      <c r="B9" s="7">
        <v>250</v>
      </c>
      <c r="C9" s="7">
        <v>500</v>
      </c>
      <c r="D9" s="533">
        <f t="shared" si="0"/>
        <v>5.9269260259704106</v>
      </c>
      <c r="E9" s="7"/>
      <c r="F9" s="532">
        <v>608.29999999999995</v>
      </c>
      <c r="G9" s="7">
        <v>110.6</v>
      </c>
      <c r="H9" s="533">
        <f t="shared" si="1"/>
        <v>8.1750373599207352E-5</v>
      </c>
    </row>
    <row r="10" spans="1:30" ht="15.75" thickBot="1" x14ac:dyDescent="0.3">
      <c r="A10" s="532">
        <f t="shared" si="2"/>
        <v>6</v>
      </c>
      <c r="B10" s="7">
        <v>500</v>
      </c>
      <c r="C10" s="7">
        <v>1000</v>
      </c>
      <c r="D10" s="533">
        <f t="shared" si="0"/>
        <v>6.620073206530356</v>
      </c>
      <c r="E10" s="7"/>
      <c r="F10" s="532">
        <v>798.3</v>
      </c>
      <c r="G10" s="7">
        <v>145.6</v>
      </c>
      <c r="H10" s="533">
        <f t="shared" si="1"/>
        <v>4.7171235358048554E-5</v>
      </c>
      <c r="J10" t="s">
        <v>294</v>
      </c>
      <c r="N10" s="1223" t="s">
        <v>34</v>
      </c>
      <c r="O10" s="1223">
        <v>0.05</v>
      </c>
      <c r="S10" t="s">
        <v>294</v>
      </c>
      <c r="W10" s="1223" t="s">
        <v>34</v>
      </c>
      <c r="X10" s="1223">
        <v>0.05</v>
      </c>
    </row>
    <row r="11" spans="1:30" ht="15.75" thickTop="1" x14ac:dyDescent="0.25">
      <c r="A11" s="532">
        <f t="shared" si="2"/>
        <v>7</v>
      </c>
      <c r="B11" s="7">
        <v>1000</v>
      </c>
      <c r="C11" s="7">
        <v>5000</v>
      </c>
      <c r="D11" s="533">
        <f t="shared" si="0"/>
        <v>8.0063675676502459</v>
      </c>
      <c r="E11" s="7"/>
      <c r="F11" s="532">
        <v>950.6</v>
      </c>
      <c r="G11" s="7">
        <v>173.1</v>
      </c>
      <c r="H11" s="533">
        <f t="shared" si="1"/>
        <v>3.3373815771864611E-5</v>
      </c>
      <c r="J11" s="826"/>
      <c r="K11" s="826" t="s">
        <v>60</v>
      </c>
      <c r="L11" s="826" t="s">
        <v>219</v>
      </c>
      <c r="M11" s="826" t="s">
        <v>240</v>
      </c>
      <c r="N11" s="826" t="s">
        <v>135</v>
      </c>
      <c r="O11" s="826" t="s">
        <v>67</v>
      </c>
      <c r="P11" s="826" t="s">
        <v>527</v>
      </c>
      <c r="S11" s="826"/>
      <c r="T11" s="826" t="s">
        <v>60</v>
      </c>
      <c r="U11" s="826" t="s">
        <v>219</v>
      </c>
      <c r="V11" s="826" t="s">
        <v>240</v>
      </c>
      <c r="W11" s="826" t="s">
        <v>135</v>
      </c>
      <c r="X11" s="826" t="s">
        <v>67</v>
      </c>
      <c r="Y11" s="826" t="s">
        <v>527</v>
      </c>
    </row>
    <row r="12" spans="1:30" x14ac:dyDescent="0.25">
      <c r="A12" s="409">
        <f t="shared" si="2"/>
        <v>8</v>
      </c>
      <c r="B12" s="762">
        <v>5000</v>
      </c>
      <c r="C12" s="762">
        <v>10000</v>
      </c>
      <c r="D12" s="417">
        <f t="shared" si="0"/>
        <v>8.9226582995244019</v>
      </c>
      <c r="E12" s="7"/>
      <c r="F12" s="409">
        <v>1216.5</v>
      </c>
      <c r="G12" s="762">
        <v>238.3</v>
      </c>
      <c r="H12" s="417">
        <f t="shared" si="1"/>
        <v>1.7609698294800083E-5</v>
      </c>
      <c r="J12" t="s">
        <v>222</v>
      </c>
      <c r="K12">
        <f>COUNT(D5)+1</f>
        <v>2</v>
      </c>
      <c r="L12">
        <f>SUMPRODUCT(H5:H12,MMULT([1]!DESIGN(D5:D12),K17:K18)^2)</f>
        <v>210.61278778403593</v>
      </c>
      <c r="M12">
        <f>L12/K12</f>
        <v>105.30639389201797</v>
      </c>
      <c r="N12">
        <f>M12/M13</f>
        <v>332.79778875690874</v>
      </c>
      <c r="O12">
        <f>FDIST(N12,K12,K13)</f>
        <v>7.1306688515511179E-7</v>
      </c>
      <c r="P12" s="1223" t="str">
        <f>IF(O12&lt;O10,"yes","no")</f>
        <v>yes</v>
      </c>
      <c r="S12" t="s">
        <v>222</v>
      </c>
      <c r="T12">
        <f>COUNT(D5)</f>
        <v>1</v>
      </c>
      <c r="U12">
        <f>DEVSQ(MMULT([1]!DESIGN(D5:D12),T17:T18))</f>
        <v>725693.02006986213</v>
      </c>
      <c r="V12">
        <f>U12/T12</f>
        <v>725693.02006986213</v>
      </c>
      <c r="W12">
        <f>V12/V13</f>
        <v>158.47778521655954</v>
      </c>
      <c r="X12">
        <f>FDIST(W12,T12,T13)</f>
        <v>1.5382054876288751E-5</v>
      </c>
      <c r="Y12" s="1223" t="str">
        <f>IF(X12&lt;X10,"yes","no")</f>
        <v>yes</v>
      </c>
    </row>
    <row r="13" spans="1:30" x14ac:dyDescent="0.25">
      <c r="J13" t="s">
        <v>295</v>
      </c>
      <c r="K13">
        <f>K14-K12</f>
        <v>6</v>
      </c>
      <c r="L13">
        <f>L14-L12</f>
        <v>1.8985653892479206</v>
      </c>
      <c r="M13">
        <f>L13/K13</f>
        <v>0.31642756487465346</v>
      </c>
      <c r="S13" t="s">
        <v>295</v>
      </c>
      <c r="T13">
        <f>T14-T12</f>
        <v>6</v>
      </c>
      <c r="U13">
        <f>U14-U12</f>
        <v>27474.879930138006</v>
      </c>
      <c r="V13">
        <f>U13/T13</f>
        <v>4579.1466550230007</v>
      </c>
    </row>
    <row r="14" spans="1:30" x14ac:dyDescent="0.25">
      <c r="J14" s="762" t="s">
        <v>1</v>
      </c>
      <c r="K14" s="762">
        <f>K8</f>
        <v>8</v>
      </c>
      <c r="L14" s="762">
        <f>SUMPRODUCT(F5:F12^2,H5:H12)</f>
        <v>212.51135317328385</v>
      </c>
      <c r="M14" s="762"/>
      <c r="N14" s="762"/>
      <c r="O14" s="762"/>
      <c r="P14" s="762"/>
      <c r="S14" s="762" t="s">
        <v>1</v>
      </c>
      <c r="T14" s="762">
        <f>T8-1</f>
        <v>7</v>
      </c>
      <c r="U14" s="762">
        <f>DEVSQ(F5:F12)</f>
        <v>753167.90000000014</v>
      </c>
      <c r="V14" s="762"/>
      <c r="W14" s="762"/>
      <c r="X14" s="762"/>
      <c r="Y14" s="762"/>
    </row>
    <row r="15" spans="1:30" ht="15.75" thickBot="1" x14ac:dyDescent="0.3"/>
    <row r="16" spans="1:30" ht="15.75" thickTop="1" x14ac:dyDescent="0.25">
      <c r="J16" s="826"/>
      <c r="K16" s="826" t="s">
        <v>1592</v>
      </c>
      <c r="L16" s="826" t="s">
        <v>1000</v>
      </c>
      <c r="M16" s="826" t="s">
        <v>61</v>
      </c>
      <c r="N16" s="826" t="s">
        <v>67</v>
      </c>
      <c r="O16" s="826" t="s">
        <v>29</v>
      </c>
      <c r="P16" s="826" t="s">
        <v>30</v>
      </c>
      <c r="Q16" s="826" t="s">
        <v>2649</v>
      </c>
      <c r="S16" s="826"/>
      <c r="T16" s="826" t="s">
        <v>1592</v>
      </c>
      <c r="U16" s="826" t="s">
        <v>1000</v>
      </c>
      <c r="V16" s="826" t="s">
        <v>61</v>
      </c>
      <c r="W16" s="826" t="s">
        <v>67</v>
      </c>
      <c r="X16" s="826" t="s">
        <v>29</v>
      </c>
      <c r="Y16" s="826" t="s">
        <v>30</v>
      </c>
      <c r="Z16" s="826" t="s">
        <v>2649</v>
      </c>
    </row>
    <row r="17" spans="5:26" x14ac:dyDescent="0.25">
      <c r="J17" t="str">
        <f>H4</f>
        <v>Weight</v>
      </c>
      <c r="K17">
        <f t="array" ref="K17:L18">[1]!WRegCoeff(D5:D12,F5:F12,H5:H12)</f>
        <v>-100.84563647076402</v>
      </c>
      <c r="L17">
        <v>52.977252442327469</v>
      </c>
      <c r="M17">
        <f>K17/L17</f>
        <v>-1.9035648664593814</v>
      </c>
      <c r="N17">
        <f>TDIST(ABS(M17),$K$13,2)</f>
        <v>0.10564635238524735</v>
      </c>
      <c r="O17">
        <f>K17-TINV(O$10,$K$13)*L17</f>
        <v>-230.47630331299391</v>
      </c>
      <c r="P17">
        <f>K17+TINV(O$10,$K$13)*L17</f>
        <v>28.785030371465865</v>
      </c>
      <c r="Q17">
        <f t="array" ref="Q17">[1]!VIF([1]!MERGE(SQRT(H5:H12),SQRT(H5:H12)*D5:D12),1)</f>
        <v>1.2050094114632472</v>
      </c>
      <c r="S17" t="s">
        <v>296</v>
      </c>
      <c r="T17">
        <f t="array" ref="T17:U18">[1]!RegCoeff(D5:D12,F5:F12)</f>
        <v>-204.76075632552693</v>
      </c>
      <c r="U17">
        <v>71.009683949733287</v>
      </c>
      <c r="V17">
        <f>T17/U17</f>
        <v>-2.8835610150085174</v>
      </c>
      <c r="W17">
        <f>TDIST(ABS(V17),$T$13,2)</f>
        <v>2.7927463543665546E-2</v>
      </c>
      <c r="X17">
        <f>T17-TINV(X$10,$T$13)*U17</f>
        <v>-378.51519352818804</v>
      </c>
      <c r="Y17">
        <f>T17+TINV(X$10,$T$13)*U17</f>
        <v>-31.006319122865818</v>
      </c>
    </row>
    <row r="18" spans="5:26" x14ac:dyDescent="0.25">
      <c r="J18" s="762" t="str">
        <f t="array" ref="J18">TRANSPOSE(D4)</f>
        <v>Ln(mean)</v>
      </c>
      <c r="K18" s="762">
        <v>126.84530925933768</v>
      </c>
      <c r="L18" s="762">
        <v>11.758275813431771</v>
      </c>
      <c r="M18" s="762">
        <f>K18/L18</f>
        <v>10.787747393579519</v>
      </c>
      <c r="N18" s="762">
        <f>TDIST(ABS(M18),$K$13,2)</f>
        <v>3.7529396580570608E-5</v>
      </c>
      <c r="O18" s="762">
        <f>K18-TINV(O$10,$K$13)*L18</f>
        <v>98.073844822420227</v>
      </c>
      <c r="P18" s="762">
        <f>K18+TINV(O$10,$K$13)*L18</f>
        <v>155.61677369625514</v>
      </c>
      <c r="Q18" s="762">
        <f t="array" ref="Q18">[1]!VIF([1]!MERGE(SQRT(H5:H12),SQRT(H5:H12)*D5:D12),2)</f>
        <v>1.2050094114632472</v>
      </c>
      <c r="S18" s="762" t="str">
        <f t="array" ref="S18">TRANSPOSE(D4)</f>
        <v>Ln(mean)</v>
      </c>
      <c r="T18" s="762">
        <v>149.01487008237552</v>
      </c>
      <c r="U18" s="762">
        <v>11.837102599282796</v>
      </c>
      <c r="V18" s="762">
        <f>T18/U18</f>
        <v>12.58879601934043</v>
      </c>
      <c r="W18" s="762">
        <f>TDIST(ABS(V18),$T$13,2)</f>
        <v>1.5382054876288229E-5</v>
      </c>
      <c r="X18" s="762">
        <f>T18-TINV(X$10,$T$13)*U18</f>
        <v>120.05052344897152</v>
      </c>
      <c r="Y18" s="762">
        <f>T18+TINV(X$10,$T$13)*U18</f>
        <v>177.97921671577953</v>
      </c>
      <c r="Z18" s="762" t="e">
        <f>[1]!VIF(D5:D12,1)</f>
        <v>#VALUE!</v>
      </c>
    </row>
    <row r="21" spans="5:26" x14ac:dyDescent="0.25">
      <c r="J21" t="s">
        <v>1593</v>
      </c>
    </row>
    <row r="23" spans="5:26" ht="15.75" thickBot="1" x14ac:dyDescent="0.3">
      <c r="F23" s="1223" t="s">
        <v>2670</v>
      </c>
      <c r="G23" s="1223" t="s">
        <v>2657</v>
      </c>
      <c r="H23" s="1223" t="s">
        <v>2671</v>
      </c>
      <c r="J23" s="743" t="s">
        <v>1598</v>
      </c>
      <c r="K23" s="743"/>
      <c r="M23" s="743"/>
      <c r="N23" s="743"/>
    </row>
    <row r="24" spans="5:26" ht="15.75" thickTop="1" x14ac:dyDescent="0.25">
      <c r="E24">
        <v>1</v>
      </c>
      <c r="F24" s="1172">
        <f>F5/G5</f>
        <v>4.4082644628099175</v>
      </c>
      <c r="G24" s="1169">
        <f t="shared" ref="G24:G31" si="3">1/G5</f>
        <v>1.6528925619834711E-2</v>
      </c>
      <c r="H24" s="1173">
        <f t="shared" ref="H24:H31" si="4">D5/G5</f>
        <v>4.301966422222122E-2</v>
      </c>
      <c r="J24" t="s">
        <v>292</v>
      </c>
      <c r="K24">
        <f>SQRT(K25)</f>
        <v>0.99552300422952267</v>
      </c>
      <c r="M24" t="s">
        <v>774</v>
      </c>
      <c r="N24">
        <f>K28*LN(L33/K28)+2*K32</f>
        <v>-7.5067439919830523</v>
      </c>
    </row>
    <row r="25" spans="5:26" x14ac:dyDescent="0.25">
      <c r="E25">
        <f>E24+1</f>
        <v>2</v>
      </c>
      <c r="F25" s="532">
        <f t="shared" ref="F25:F31" si="5">F6/G6</f>
        <v>5.0146412884333822</v>
      </c>
      <c r="G25" s="7">
        <f t="shared" si="3"/>
        <v>1.4641288433382138E-2</v>
      </c>
      <c r="H25" s="533">
        <f t="shared" si="4"/>
        <v>5.3065020980620284E-2</v>
      </c>
      <c r="J25" t="s">
        <v>285</v>
      </c>
      <c r="K25">
        <f>L32/L34</f>
        <v>0.99106605195017416</v>
      </c>
      <c r="M25" t="s">
        <v>775</v>
      </c>
      <c r="N25">
        <f>N24+2*(K32+1)*(K32+2)/(K28-K32-2)</f>
        <v>-1.5067439919830523</v>
      </c>
    </row>
    <row r="26" spans="5:26" x14ac:dyDescent="0.25">
      <c r="E26">
        <f t="shared" ref="E26:E31" si="6">E25+1</f>
        <v>3</v>
      </c>
      <c r="F26" s="532">
        <f t="shared" si="5"/>
        <v>5.1363636363636367</v>
      </c>
      <c r="G26" s="7">
        <f t="shared" si="3"/>
        <v>1.2285012285012284E-2</v>
      </c>
      <c r="H26" s="533">
        <f t="shared" si="4"/>
        <v>5.3040394515188084E-2</v>
      </c>
      <c r="J26" t="s">
        <v>293</v>
      </c>
      <c r="K26">
        <f>1-(1-K25)*K28/(K28+K32)</f>
        <v>0.99285284156013931</v>
      </c>
      <c r="M26" s="762" t="s">
        <v>2648</v>
      </c>
      <c r="N26" s="762">
        <f>K28*LN(L33/K28)+K32*LN(K28)</f>
        <v>-7.3478609086233808</v>
      </c>
    </row>
    <row r="27" spans="5:26" x14ac:dyDescent="0.25">
      <c r="E27">
        <f t="shared" si="6"/>
        <v>4</v>
      </c>
      <c r="F27" s="532">
        <f t="shared" si="5"/>
        <v>5.0020242914979756</v>
      </c>
      <c r="G27" s="7">
        <f t="shared" si="3"/>
        <v>1.0121457489878543E-2</v>
      </c>
      <c r="H27" s="533">
        <f t="shared" si="4"/>
        <v>5.2275161679387797E-2</v>
      </c>
      <c r="J27" t="s">
        <v>11</v>
      </c>
      <c r="K27">
        <f>SQRT(M33)</f>
        <v>0.562518946236231</v>
      </c>
    </row>
    <row r="28" spans="5:26" x14ac:dyDescent="0.25">
      <c r="E28">
        <f t="shared" si="6"/>
        <v>5</v>
      </c>
      <c r="F28" s="532">
        <f t="shared" si="5"/>
        <v>5.5</v>
      </c>
      <c r="G28" s="7">
        <f t="shared" si="3"/>
        <v>9.0415913200723331E-3</v>
      </c>
      <c r="H28" s="533">
        <f t="shared" si="4"/>
        <v>5.3588842911124875E-2</v>
      </c>
      <c r="J28" s="762" t="s">
        <v>81</v>
      </c>
      <c r="K28" s="762">
        <f>COUNT(F24:F31)</f>
        <v>8</v>
      </c>
    </row>
    <row r="29" spans="5:26" x14ac:dyDescent="0.25">
      <c r="E29">
        <f t="shared" si="6"/>
        <v>6</v>
      </c>
      <c r="F29" s="532">
        <f t="shared" si="5"/>
        <v>5.4828296703296706</v>
      </c>
      <c r="G29" s="7">
        <f t="shared" si="3"/>
        <v>6.868131868131868E-3</v>
      </c>
      <c r="H29" s="533">
        <f t="shared" si="4"/>
        <v>4.5467535759137062E-2</v>
      </c>
    </row>
    <row r="30" spans="5:26" ht="15.75" thickBot="1" x14ac:dyDescent="0.3">
      <c r="E30">
        <f t="shared" si="6"/>
        <v>7</v>
      </c>
      <c r="F30" s="532">
        <f t="shared" si="5"/>
        <v>5.4916233391103413</v>
      </c>
      <c r="G30" s="7">
        <f t="shared" si="3"/>
        <v>5.7770075101097633E-3</v>
      </c>
      <c r="H30" s="533">
        <f t="shared" si="4"/>
        <v>4.6252845567014707E-2</v>
      </c>
      <c r="J30" t="s">
        <v>294</v>
      </c>
      <c r="N30" s="1223" t="s">
        <v>34</v>
      </c>
      <c r="O30" s="1223">
        <v>0.05</v>
      </c>
    </row>
    <row r="31" spans="5:26" ht="15.75" thickTop="1" x14ac:dyDescent="0.25">
      <c r="E31">
        <f t="shared" si="6"/>
        <v>8</v>
      </c>
      <c r="F31" s="409">
        <f t="shared" si="5"/>
        <v>5.1049097775912715</v>
      </c>
      <c r="G31" s="762">
        <f t="shared" si="3"/>
        <v>4.1963911036508603E-3</v>
      </c>
      <c r="H31" s="417">
        <f t="shared" si="4"/>
        <v>3.7442963909040713E-2</v>
      </c>
      <c r="J31" s="826"/>
      <c r="K31" s="826" t="s">
        <v>60</v>
      </c>
      <c r="L31" s="826" t="s">
        <v>219</v>
      </c>
      <c r="M31" s="826" t="s">
        <v>240</v>
      </c>
      <c r="N31" s="826" t="s">
        <v>135</v>
      </c>
      <c r="O31" s="826" t="s">
        <v>67</v>
      </c>
      <c r="P31" s="826" t="s">
        <v>527</v>
      </c>
    </row>
    <row r="32" spans="5:26" x14ac:dyDescent="0.25">
      <c r="J32" t="s">
        <v>222</v>
      </c>
      <c r="K32">
        <f>COUNT(G24:H24)</f>
        <v>2</v>
      </c>
      <c r="L32">
        <f>SUMSQ(MMULT(G24:H31,K37:K38))</f>
        <v>210.61278778403553</v>
      </c>
      <c r="M32">
        <f>L32/K32</f>
        <v>105.30639389201777</v>
      </c>
      <c r="N32">
        <f>M32/M33</f>
        <v>332.79778875683843</v>
      </c>
      <c r="O32">
        <f>FDIST(N32,K32,K33)</f>
        <v>7.1306688515555765E-7</v>
      </c>
      <c r="P32" s="1223" t="str">
        <f>IF(O32&lt;O30,"yes","no")</f>
        <v>yes</v>
      </c>
    </row>
    <row r="33" spans="10:17" x14ac:dyDescent="0.25">
      <c r="J33" t="s">
        <v>295</v>
      </c>
      <c r="K33">
        <f>K34-K32</f>
        <v>6</v>
      </c>
      <c r="L33">
        <f>L34-L32</f>
        <v>1.8985653892483185</v>
      </c>
      <c r="M33">
        <f>L33/K33</f>
        <v>0.31642756487471974</v>
      </c>
    </row>
    <row r="34" spans="10:17" x14ac:dyDescent="0.25">
      <c r="J34" s="762" t="s">
        <v>1</v>
      </c>
      <c r="K34" s="762">
        <f>K28</f>
        <v>8</v>
      </c>
      <c r="L34" s="762">
        <f>SUMSQ(F24:F31)</f>
        <v>212.51135317328385</v>
      </c>
      <c r="M34" s="762"/>
      <c r="N34" s="762"/>
      <c r="O34" s="762"/>
      <c r="P34" s="762"/>
    </row>
    <row r="35" spans="10:17" ht="15.75" thickBot="1" x14ac:dyDescent="0.3"/>
    <row r="36" spans="10:17" ht="15.75" thickTop="1" x14ac:dyDescent="0.25">
      <c r="J36" s="826"/>
      <c r="K36" s="826" t="s">
        <v>1592</v>
      </c>
      <c r="L36" s="826" t="s">
        <v>1000</v>
      </c>
      <c r="M36" s="826" t="s">
        <v>61</v>
      </c>
      <c r="N36" s="826" t="s">
        <v>67</v>
      </c>
      <c r="O36" s="826" t="s">
        <v>29</v>
      </c>
      <c r="P36" s="826" t="s">
        <v>30</v>
      </c>
      <c r="Q36" s="826" t="s">
        <v>2649</v>
      </c>
    </row>
    <row r="37" spans="10:17" x14ac:dyDescent="0.25">
      <c r="J37" t="str">
        <f t="array" ref="J37:J38">TRANSPOSE(G23:H23)</f>
        <v>1/s</v>
      </c>
      <c r="K37">
        <f t="array" ref="K37:L38">[1]!Reg0Coeff(G24:H31,F24:F31)</f>
        <v>-100.84563647076448</v>
      </c>
      <c r="L37">
        <v>53.296454187599394</v>
      </c>
      <c r="M37">
        <f>K37/L37</f>
        <v>-1.8921640849838834</v>
      </c>
      <c r="N37">
        <f>TDIST(ABS(M37),$K$33,2)</f>
        <v>0.10732958929222</v>
      </c>
      <c r="O37">
        <f>K37-TINV(O$30,$K$33)*L37</f>
        <v>-231.25736184640638</v>
      </c>
      <c r="P37">
        <f>K37+TINV(O$30,$K$33)*L37</f>
        <v>29.566088904877432</v>
      </c>
      <c r="Q37">
        <f>[1]!VIF(G24:H31,1)</f>
        <v>1.2050094114632472</v>
      </c>
    </row>
    <row r="38" spans="10:17" x14ac:dyDescent="0.25">
      <c r="J38" s="762" t="str">
        <v>x/s</v>
      </c>
      <c r="K38" s="762">
        <v>126.84530925933768</v>
      </c>
      <c r="L38" s="762">
        <v>11.829122487957257</v>
      </c>
      <c r="M38" s="762">
        <f>K38/L38</f>
        <v>10.723137695841233</v>
      </c>
      <c r="N38" s="762">
        <f>TDIST(ABS(M38),$K$33,2)</f>
        <v>3.8846209434518719E-5</v>
      </c>
      <c r="O38" s="762">
        <f>K38-TINV(O$30,$K$33)*L38</f>
        <v>97.900489254909601</v>
      </c>
      <c r="P38" s="762">
        <f>K38+TINV(O$30,$K$33)*L38</f>
        <v>155.79012926376578</v>
      </c>
      <c r="Q38" s="762">
        <f>[1]!VIF(G24:H31,2)</f>
        <v>1.2050094114632468</v>
      </c>
    </row>
  </sheetData>
  <mergeCells count="2">
    <mergeCell ref="A3:D3"/>
    <mergeCell ref="F3:H3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Q53"/>
  <sheetViews>
    <sheetView workbookViewId="0"/>
  </sheetViews>
  <sheetFormatPr defaultRowHeight="15" x14ac:dyDescent="0.25"/>
  <cols>
    <col min="1" max="1" width="12.28515625" customWidth="1"/>
    <col min="2" max="5" width="11" customWidth="1"/>
    <col min="6" max="6" width="9.140625" customWidth="1"/>
    <col min="7" max="7" width="16.85546875" customWidth="1"/>
    <col min="15" max="15" width="9.140625" customWidth="1"/>
  </cols>
  <sheetData>
    <row r="1" spans="1:17" x14ac:dyDescent="0.25">
      <c r="A1" s="1" t="s">
        <v>2658</v>
      </c>
      <c r="G1" t="s">
        <v>1593</v>
      </c>
    </row>
    <row r="3" spans="1:17" ht="15.75" thickBot="1" x14ac:dyDescent="0.3">
      <c r="A3" s="59"/>
      <c r="B3" s="60" t="s">
        <v>143</v>
      </c>
      <c r="C3" s="60" t="s">
        <v>144</v>
      </c>
      <c r="D3" s="60" t="s">
        <v>145</v>
      </c>
      <c r="E3" s="60" t="s">
        <v>146</v>
      </c>
      <c r="G3" s="743" t="s">
        <v>1598</v>
      </c>
      <c r="H3" s="743"/>
      <c r="J3" s="743"/>
      <c r="K3" s="743"/>
    </row>
    <row r="4" spans="1:17" ht="15.75" thickTop="1" x14ac:dyDescent="0.25">
      <c r="A4" s="58" t="s">
        <v>151</v>
      </c>
      <c r="B4" s="61">
        <v>15.7</v>
      </c>
      <c r="C4" s="62">
        <v>9</v>
      </c>
      <c r="D4" s="63">
        <v>71.027177760140717</v>
      </c>
      <c r="E4" s="64">
        <v>448</v>
      </c>
      <c r="G4" t="s">
        <v>292</v>
      </c>
      <c r="H4">
        <f>SQRT(H5)</f>
        <v>0.58034505841996464</v>
      </c>
      <c r="J4" t="s">
        <v>774</v>
      </c>
      <c r="K4">
        <f>H8*LN(I13/H8)+2*(H12+1)</f>
        <v>94.262896096715181</v>
      </c>
    </row>
    <row r="5" spans="1:17" x14ac:dyDescent="0.25">
      <c r="A5" s="58" t="s">
        <v>152</v>
      </c>
      <c r="B5" s="61">
        <v>8.4</v>
      </c>
      <c r="C5" s="62">
        <v>6.9</v>
      </c>
      <c r="D5" s="63">
        <v>70.62318863808899</v>
      </c>
      <c r="E5" s="64">
        <v>661.2</v>
      </c>
      <c r="G5" t="s">
        <v>285</v>
      </c>
      <c r="H5">
        <f>I12/I14</f>
        <v>0.33680038683247221</v>
      </c>
      <c r="J5" t="s">
        <v>775</v>
      </c>
      <c r="K5">
        <f>K4+2*(H12+2)*(H12+3)/(H8-H12-3)</f>
        <v>95.626532460351541</v>
      </c>
    </row>
    <row r="6" spans="1:17" x14ac:dyDescent="0.25">
      <c r="A6" s="58" t="s">
        <v>153</v>
      </c>
      <c r="B6" s="61">
        <v>14.7</v>
      </c>
      <c r="C6" s="62">
        <v>6.4</v>
      </c>
      <c r="D6" s="63">
        <v>86.505696765320337</v>
      </c>
      <c r="E6" s="64">
        <v>482.7</v>
      </c>
      <c r="G6" t="s">
        <v>293</v>
      </c>
      <c r="H6">
        <f>1-(1-H5)*(H8-1)/(H8-H12-1)</f>
        <v>0.29354823814763353</v>
      </c>
      <c r="J6" s="762" t="s">
        <v>2661</v>
      </c>
      <c r="K6" s="762">
        <f>H8*LN(I13/H8)+(H12+1)*LN(H8)</f>
        <v>101.91098811842777</v>
      </c>
    </row>
    <row r="7" spans="1:17" x14ac:dyDescent="0.25">
      <c r="A7" s="58" t="s">
        <v>154</v>
      </c>
      <c r="B7" s="61">
        <v>17.3</v>
      </c>
      <c r="C7" s="62">
        <v>8.5</v>
      </c>
      <c r="D7" s="63">
        <v>80.783955956979611</v>
      </c>
      <c r="E7" s="64">
        <v>529.4</v>
      </c>
      <c r="G7" t="s">
        <v>11</v>
      </c>
      <c r="H7">
        <f>SQRT(J13)</f>
        <v>2.4702510013005821</v>
      </c>
    </row>
    <row r="8" spans="1:17" x14ac:dyDescent="0.25">
      <c r="A8" s="58" t="s">
        <v>155</v>
      </c>
      <c r="B8" s="61">
        <v>13.3</v>
      </c>
      <c r="C8" s="62">
        <v>5</v>
      </c>
      <c r="D8" s="63">
        <v>76.640052174481781</v>
      </c>
      <c r="E8" s="64">
        <v>522.6</v>
      </c>
      <c r="G8" s="762" t="s">
        <v>81</v>
      </c>
      <c r="H8" s="762">
        <f>COUNT(B4:B53)</f>
        <v>50</v>
      </c>
    </row>
    <row r="9" spans="1:17" x14ac:dyDescent="0.25">
      <c r="A9" s="58" t="s">
        <v>156</v>
      </c>
      <c r="B9" s="61">
        <v>11.4</v>
      </c>
      <c r="C9" s="62">
        <v>5.7</v>
      </c>
      <c r="D9" s="63">
        <v>89.734092175332663</v>
      </c>
      <c r="E9" s="64">
        <v>347.8</v>
      </c>
    </row>
    <row r="10" spans="1:17" ht="15.75" thickBot="1" x14ac:dyDescent="0.3">
      <c r="A10" s="58" t="s">
        <v>157</v>
      </c>
      <c r="B10" s="61">
        <v>9.3000000000000007</v>
      </c>
      <c r="C10" s="62">
        <v>6.2</v>
      </c>
      <c r="D10" s="63">
        <v>84.278652322083644</v>
      </c>
      <c r="E10" s="64">
        <v>256</v>
      </c>
      <c r="G10" t="s">
        <v>294</v>
      </c>
      <c r="K10" s="1223" t="s">
        <v>34</v>
      </c>
      <c r="L10" s="1223">
        <v>0.05</v>
      </c>
    </row>
    <row r="11" spans="1:17" ht="15.75" thickTop="1" x14ac:dyDescent="0.25">
      <c r="A11" s="58" t="s">
        <v>158</v>
      </c>
      <c r="B11" s="70">
        <v>10</v>
      </c>
      <c r="C11" s="62">
        <v>8.3000000000000007</v>
      </c>
      <c r="D11" s="63">
        <v>74.266056727126113</v>
      </c>
      <c r="E11" s="64">
        <v>689.2</v>
      </c>
      <c r="G11" s="826"/>
      <c r="H11" s="826" t="s">
        <v>60</v>
      </c>
      <c r="I11" s="826" t="s">
        <v>219</v>
      </c>
      <c r="J11" s="826" t="s">
        <v>240</v>
      </c>
      <c r="K11" s="826" t="s">
        <v>135</v>
      </c>
      <c r="L11" s="826" t="s">
        <v>67</v>
      </c>
      <c r="M11" s="826" t="s">
        <v>527</v>
      </c>
    </row>
    <row r="12" spans="1:17" x14ac:dyDescent="0.25">
      <c r="A12" s="58" t="s">
        <v>159</v>
      </c>
      <c r="B12" s="61">
        <v>13.2</v>
      </c>
      <c r="C12" s="62">
        <v>7.3</v>
      </c>
      <c r="D12" s="63">
        <v>79.811068541941054</v>
      </c>
      <c r="E12" s="64">
        <v>722.6</v>
      </c>
      <c r="G12" t="s">
        <v>222</v>
      </c>
      <c r="H12">
        <f>COUNT(C4:E4)</f>
        <v>3</v>
      </c>
      <c r="I12">
        <f>DEVSQ(MMULT([1]!DESIGN(C4:E53),H17:H20))</f>
        <v>142.55035956637965</v>
      </c>
      <c r="J12">
        <f>I12/H12</f>
        <v>47.516786522126552</v>
      </c>
      <c r="K12">
        <f>J12/J13</f>
        <v>7.7869053231690959</v>
      </c>
      <c r="L12">
        <f>FDIST(K12,H12,H13)</f>
        <v>2.6221319906049944E-4</v>
      </c>
      <c r="M12" s="1223" t="str">
        <f>IF(L12&lt;L10,"yes","no")</f>
        <v>yes</v>
      </c>
    </row>
    <row r="13" spans="1:17" x14ac:dyDescent="0.25">
      <c r="A13" s="58" t="s">
        <v>160</v>
      </c>
      <c r="B13" s="61">
        <v>14.7</v>
      </c>
      <c r="C13" s="62">
        <v>8.1</v>
      </c>
      <c r="D13" s="63">
        <v>65.387718279566343</v>
      </c>
      <c r="E13" s="64">
        <v>493.2</v>
      </c>
      <c r="G13" t="s">
        <v>295</v>
      </c>
      <c r="H13">
        <f>H14-H12</f>
        <v>46</v>
      </c>
      <c r="I13">
        <f>I14-I12</f>
        <v>280.69844043362031</v>
      </c>
      <c r="J13">
        <f>I13/H13</f>
        <v>6.1021400094265283</v>
      </c>
    </row>
    <row r="14" spans="1:17" x14ac:dyDescent="0.25">
      <c r="A14" s="58" t="s">
        <v>161</v>
      </c>
      <c r="B14" s="61">
        <v>9.1</v>
      </c>
      <c r="C14" s="62">
        <v>5.6</v>
      </c>
      <c r="D14" s="63">
        <v>29.667333748383395</v>
      </c>
      <c r="E14" s="64">
        <v>272.8</v>
      </c>
      <c r="G14" s="762" t="s">
        <v>1</v>
      </c>
      <c r="H14" s="762">
        <f>H8-1</f>
        <v>49</v>
      </c>
      <c r="I14" s="762">
        <f>DEVSQ(B4:B53)</f>
        <v>423.24879999999996</v>
      </c>
      <c r="J14" s="762"/>
      <c r="K14" s="762"/>
      <c r="L14" s="762"/>
      <c r="M14" s="762"/>
    </row>
    <row r="15" spans="1:17" ht="15.75" thickBot="1" x14ac:dyDescent="0.3">
      <c r="A15" s="58" t="s">
        <v>162</v>
      </c>
      <c r="B15" s="61">
        <v>12.6</v>
      </c>
      <c r="C15" s="62">
        <v>6.8</v>
      </c>
      <c r="D15" s="63">
        <v>94.600660447193093</v>
      </c>
      <c r="E15" s="64">
        <v>239.4</v>
      </c>
    </row>
    <row r="16" spans="1:17" ht="15.75" thickTop="1" x14ac:dyDescent="0.25">
      <c r="A16" s="58" t="s">
        <v>163</v>
      </c>
      <c r="B16" s="61">
        <v>12.2</v>
      </c>
      <c r="C16" s="62">
        <v>7.3</v>
      </c>
      <c r="D16" s="63">
        <v>79.13310968601246</v>
      </c>
      <c r="E16" s="64">
        <v>533.20000000000005</v>
      </c>
      <c r="G16" s="826"/>
      <c r="H16" s="826" t="s">
        <v>1592</v>
      </c>
      <c r="I16" s="826" t="s">
        <v>1000</v>
      </c>
      <c r="J16" s="826" t="s">
        <v>61</v>
      </c>
      <c r="K16" s="826" t="s">
        <v>67</v>
      </c>
      <c r="L16" s="826" t="s">
        <v>29</v>
      </c>
      <c r="M16" s="826" t="s">
        <v>30</v>
      </c>
      <c r="N16" s="826" t="s">
        <v>2649</v>
      </c>
      <c r="P16" s="826" t="s">
        <v>2659</v>
      </c>
      <c r="Q16" s="826" t="s">
        <v>67</v>
      </c>
    </row>
    <row r="17" spans="1:17" x14ac:dyDescent="0.25">
      <c r="A17" s="58" t="s">
        <v>164</v>
      </c>
      <c r="B17" s="61">
        <v>13.1</v>
      </c>
      <c r="C17" s="62">
        <v>8</v>
      </c>
      <c r="D17" s="63">
        <v>88.000000627274659</v>
      </c>
      <c r="E17" s="64">
        <v>333.6</v>
      </c>
      <c r="G17" t="s">
        <v>296</v>
      </c>
      <c r="H17">
        <f t="array" ref="H17:I20">[1]!RRegCoeff(C4:E53,B4:B53,3)</f>
        <v>0.43712521875259824</v>
      </c>
      <c r="I17">
        <v>2.614355195188371</v>
      </c>
      <c r="J17">
        <f>H17/I17</f>
        <v>0.1672019240373733</v>
      </c>
      <c r="K17">
        <f>TDIST(ABS(J17),$H$13,2)</f>
        <v>0.86794404746957643</v>
      </c>
      <c r="L17">
        <f>H17-TINV(L$10,$H$13)*I17</f>
        <v>-4.8252988476542207</v>
      </c>
      <c r="M17">
        <f>H17+TINV(L$10,$H$13)*I17</f>
        <v>5.6995492851594172</v>
      </c>
      <c r="P17">
        <f>'Mult Reg 8'!I19</f>
        <v>3.9875336904973384</v>
      </c>
      <c r="Q17">
        <f>'Mult Reg 8'!K19</f>
        <v>0.91318525331884337</v>
      </c>
    </row>
    <row r="18" spans="1:17" x14ac:dyDescent="0.25">
      <c r="A18" s="58" t="s">
        <v>165</v>
      </c>
      <c r="B18" s="61">
        <v>11.5</v>
      </c>
      <c r="C18" s="62">
        <v>5.0999999999999996</v>
      </c>
      <c r="D18" s="63">
        <v>94.170464820794294</v>
      </c>
      <c r="E18" s="64">
        <v>294.7</v>
      </c>
      <c r="G18" t="str">
        <f t="array" ref="G18:G20">TRANSPOSE(C3:E3)</f>
        <v>Infant Mort</v>
      </c>
      <c r="H18">
        <v>1.2793696530498302</v>
      </c>
      <c r="I18">
        <v>0.42942960215269171</v>
      </c>
      <c r="J18">
        <f>H18/I18</f>
        <v>2.9792302315361261</v>
      </c>
      <c r="K18">
        <f>TDIST(ABS(J18),$H$13,2)</f>
        <v>4.6023976607377278E-3</v>
      </c>
      <c r="L18">
        <f>H18-TINV(L$10,$H$13)*I18</f>
        <v>0.41497269683095528</v>
      </c>
      <c r="M18">
        <f>H18+TINV(L$10,$H$13)*I18</f>
        <v>2.1437666092687051</v>
      </c>
      <c r="N18">
        <f>[1]!VIF(C4:E53,1)</f>
        <v>1.3011416807695362</v>
      </c>
      <c r="P18">
        <f>'Mult Reg 8'!I20</f>
        <v>0.3006729090126502</v>
      </c>
      <c r="Q18">
        <f>'Mult Reg 8'!K20</f>
        <v>1.0162763056825428E-4</v>
      </c>
    </row>
    <row r="19" spans="1:17" x14ac:dyDescent="0.25">
      <c r="A19" s="58" t="s">
        <v>166</v>
      </c>
      <c r="B19" s="61">
        <v>11.3</v>
      </c>
      <c r="C19" s="62">
        <v>7.1</v>
      </c>
      <c r="D19" s="63">
        <v>88.703716524620162</v>
      </c>
      <c r="E19" s="64">
        <v>452.7</v>
      </c>
      <c r="G19" t="str">
        <v>White</v>
      </c>
      <c r="H19">
        <v>3.6326923072062201E-2</v>
      </c>
      <c r="I19">
        <v>2.9861507165668284E-2</v>
      </c>
      <c r="J19">
        <f>H19/I19</f>
        <v>1.2165133819443379</v>
      </c>
      <c r="K19">
        <f>TDIST(ABS(J19),$H$13,2)</f>
        <v>0.22999474322410168</v>
      </c>
      <c r="L19">
        <f>H19-TINV(L$10,$H$13)*I19</f>
        <v>-2.378117327881251E-2</v>
      </c>
      <c r="M19">
        <f>H19+TINV(L$10,$H$13)*I19</f>
        <v>9.6435019422936918E-2</v>
      </c>
      <c r="N19">
        <f>[1]!VIF(C4:E53,2)</f>
        <v>1.2995819179754009</v>
      </c>
      <c r="P19">
        <f>'Mult Reg 8'!I21</f>
        <v>3.3602531929280269E-2</v>
      </c>
      <c r="Q19">
        <f>'Mult Reg 8'!K21</f>
        <v>0.28529815262504604</v>
      </c>
    </row>
    <row r="20" spans="1:17" x14ac:dyDescent="0.25">
      <c r="A20" s="58" t="s">
        <v>167</v>
      </c>
      <c r="B20" s="61">
        <v>17.3</v>
      </c>
      <c r="C20" s="62">
        <v>7.5</v>
      </c>
      <c r="D20" s="63">
        <v>89.904327345935869</v>
      </c>
      <c r="E20" s="64">
        <v>295</v>
      </c>
      <c r="G20" s="762" t="str">
        <v>Crime</v>
      </c>
      <c r="H20" s="762">
        <v>1.4214989878582329E-3</v>
      </c>
      <c r="I20" s="762">
        <v>3.1327053275538191E-3</v>
      </c>
      <c r="J20" s="762">
        <f>H20/I20</f>
        <v>0.45376083583584736</v>
      </c>
      <c r="K20" s="762">
        <f>TDIST(ABS(J20),$H$13,2)</f>
        <v>0.65213459846537492</v>
      </c>
      <c r="L20" s="762">
        <f>H20-TINV(L$10,$H$13)*I20</f>
        <v>-4.8843097786863011E-3</v>
      </c>
      <c r="M20" s="762">
        <f>H20+TINV(L$10,$H$13)*I20</f>
        <v>7.7273077544027669E-3</v>
      </c>
      <c r="N20" s="762">
        <f>[1]!VIF(C4:E53,3)</f>
        <v>1.3604840099682212</v>
      </c>
      <c r="P20" s="762">
        <f>'Mult Reg 8'!I22</f>
        <v>2.2421016620427178E-3</v>
      </c>
      <c r="Q20" s="762">
        <f>'Mult Reg 8'!K22</f>
        <v>0.52921921764794777</v>
      </c>
    </row>
    <row r="21" spans="1:17" x14ac:dyDescent="0.25">
      <c r="A21" s="58" t="s">
        <v>168</v>
      </c>
      <c r="B21" s="61">
        <v>17.3</v>
      </c>
      <c r="C21" s="62">
        <v>9.9</v>
      </c>
      <c r="D21" s="63">
        <v>64.839543701408999</v>
      </c>
      <c r="E21" s="64">
        <v>729.5</v>
      </c>
    </row>
    <row r="22" spans="1:17" x14ac:dyDescent="0.25">
      <c r="A22" s="58" t="s">
        <v>169</v>
      </c>
      <c r="B22" s="61">
        <v>12.3</v>
      </c>
      <c r="C22" s="62">
        <v>6.3</v>
      </c>
      <c r="D22" s="63">
        <v>96.389852756187835</v>
      </c>
      <c r="E22" s="64">
        <v>118</v>
      </c>
    </row>
    <row r="23" spans="1:17" x14ac:dyDescent="0.25">
      <c r="A23" s="58" t="s">
        <v>170</v>
      </c>
      <c r="B23" s="61">
        <v>8.1</v>
      </c>
      <c r="C23" s="62">
        <v>8</v>
      </c>
      <c r="D23" s="63">
        <v>63.398020838196281</v>
      </c>
      <c r="E23" s="64">
        <v>641.9</v>
      </c>
    </row>
    <row r="24" spans="1:17" x14ac:dyDescent="0.25">
      <c r="A24" s="58" t="s">
        <v>171</v>
      </c>
      <c r="B24" s="70">
        <v>10</v>
      </c>
      <c r="C24" s="62">
        <v>4.8</v>
      </c>
      <c r="D24" s="63">
        <v>86.203669547721617</v>
      </c>
      <c r="E24" s="64">
        <v>431.5</v>
      </c>
    </row>
    <row r="25" spans="1:17" x14ac:dyDescent="0.25">
      <c r="A25" s="58" t="s">
        <v>172</v>
      </c>
      <c r="B25" s="61">
        <v>14.4</v>
      </c>
      <c r="C25" s="62">
        <v>7.4</v>
      </c>
      <c r="D25" s="63">
        <v>81.183409037427396</v>
      </c>
      <c r="E25" s="64">
        <v>536</v>
      </c>
    </row>
    <row r="26" spans="1:17" x14ac:dyDescent="0.25">
      <c r="A26" s="58" t="s">
        <v>173</v>
      </c>
      <c r="B26" s="61">
        <v>9.6</v>
      </c>
      <c r="C26" s="62">
        <v>5.2</v>
      </c>
      <c r="D26" s="63">
        <v>89.045556531854984</v>
      </c>
      <c r="E26" s="64">
        <v>288.7</v>
      </c>
    </row>
    <row r="27" spans="1:17" x14ac:dyDescent="0.25">
      <c r="A27" s="58" t="s">
        <v>174</v>
      </c>
      <c r="B27" s="61">
        <v>21.2</v>
      </c>
      <c r="C27" s="62">
        <v>10.6</v>
      </c>
      <c r="D27" s="63">
        <v>60.598179144073846</v>
      </c>
      <c r="E27" s="64">
        <v>291.3</v>
      </c>
    </row>
    <row r="28" spans="1:17" x14ac:dyDescent="0.25">
      <c r="A28" s="58" t="s">
        <v>175</v>
      </c>
      <c r="B28" s="61">
        <v>13.4</v>
      </c>
      <c r="C28" s="62">
        <v>7.4</v>
      </c>
      <c r="D28" s="63">
        <v>85.028888093842554</v>
      </c>
      <c r="E28" s="64">
        <v>504.9</v>
      </c>
    </row>
    <row r="29" spans="1:17" x14ac:dyDescent="0.25">
      <c r="A29" s="58" t="s">
        <v>176</v>
      </c>
      <c r="B29" s="61">
        <v>14.8</v>
      </c>
      <c r="C29" s="62">
        <v>5.8</v>
      </c>
      <c r="D29" s="63">
        <v>90.467729264863962</v>
      </c>
      <c r="E29" s="64">
        <v>287.5</v>
      </c>
    </row>
    <row r="30" spans="1:17" x14ac:dyDescent="0.25">
      <c r="A30" s="58" t="s">
        <v>177</v>
      </c>
      <c r="B30" s="61">
        <v>10.8</v>
      </c>
      <c r="C30" s="62">
        <v>5.6</v>
      </c>
      <c r="D30" s="63">
        <v>91.372477335833381</v>
      </c>
      <c r="E30" s="64">
        <v>302.39999999999998</v>
      </c>
    </row>
    <row r="31" spans="1:17" x14ac:dyDescent="0.25">
      <c r="A31" s="58" t="s">
        <v>178</v>
      </c>
      <c r="B31" s="61">
        <v>11.3</v>
      </c>
      <c r="C31" s="62">
        <v>6.4</v>
      </c>
      <c r="D31" s="63">
        <v>80.891227371165002</v>
      </c>
      <c r="E31" s="64">
        <v>750.6</v>
      </c>
    </row>
    <row r="32" spans="1:17" x14ac:dyDescent="0.25">
      <c r="A32" s="58" t="s">
        <v>179</v>
      </c>
      <c r="B32" s="61">
        <v>7.6</v>
      </c>
      <c r="C32" s="62">
        <v>6.1</v>
      </c>
      <c r="D32" s="63">
        <v>95.487186970145373</v>
      </c>
      <c r="E32" s="64">
        <v>137.30000000000001</v>
      </c>
    </row>
    <row r="33" spans="1:5" x14ac:dyDescent="0.25">
      <c r="A33" s="58" t="s">
        <v>180</v>
      </c>
      <c r="B33" s="61">
        <v>8.6999999999999993</v>
      </c>
      <c r="C33" s="62">
        <v>5.5</v>
      </c>
      <c r="D33" s="63">
        <v>76.032117342828414</v>
      </c>
      <c r="E33" s="64">
        <v>329.3</v>
      </c>
    </row>
    <row r="34" spans="1:5" x14ac:dyDescent="0.25">
      <c r="A34" s="58" t="s">
        <v>181</v>
      </c>
      <c r="B34" s="61">
        <v>17.100000000000001</v>
      </c>
      <c r="C34" s="62">
        <v>5.8</v>
      </c>
      <c r="D34" s="63">
        <v>83.996520785584835</v>
      </c>
      <c r="E34" s="64">
        <v>664.2</v>
      </c>
    </row>
    <row r="35" spans="1:5" x14ac:dyDescent="0.25">
      <c r="A35" s="58" t="s">
        <v>182</v>
      </c>
      <c r="B35" s="61">
        <v>13.6</v>
      </c>
      <c r="C35" s="62">
        <v>5.6</v>
      </c>
      <c r="D35" s="63">
        <v>73.422529169257928</v>
      </c>
      <c r="E35" s="64">
        <v>414.1</v>
      </c>
    </row>
    <row r="36" spans="1:5" x14ac:dyDescent="0.25">
      <c r="A36" s="58" t="s">
        <v>183</v>
      </c>
      <c r="B36" s="61">
        <v>14.6</v>
      </c>
      <c r="C36" s="62">
        <v>8.1</v>
      </c>
      <c r="D36" s="63">
        <v>73.937344387272134</v>
      </c>
      <c r="E36" s="64">
        <v>466.4</v>
      </c>
    </row>
    <row r="37" spans="1:5" x14ac:dyDescent="0.25">
      <c r="A37" s="58" t="s">
        <v>184</v>
      </c>
      <c r="B37" s="71">
        <v>12</v>
      </c>
      <c r="C37" s="62">
        <v>5.8</v>
      </c>
      <c r="D37" s="63">
        <v>91.393509706444945</v>
      </c>
      <c r="E37" s="64">
        <v>142.4</v>
      </c>
    </row>
    <row r="38" spans="1:5" x14ac:dyDescent="0.25">
      <c r="A38" s="58" t="s">
        <v>185</v>
      </c>
      <c r="B38" s="61">
        <v>13.4</v>
      </c>
      <c r="C38" s="62">
        <v>7.8</v>
      </c>
      <c r="D38" s="63">
        <v>84.764237226305966</v>
      </c>
      <c r="E38" s="64">
        <v>343.2</v>
      </c>
    </row>
    <row r="39" spans="1:5" x14ac:dyDescent="0.25">
      <c r="A39" s="58" t="s">
        <v>186</v>
      </c>
      <c r="B39" s="61">
        <v>15.9</v>
      </c>
      <c r="C39" s="62">
        <v>8</v>
      </c>
      <c r="D39" s="63">
        <v>78.141238608693655</v>
      </c>
      <c r="E39" s="64">
        <v>499.6</v>
      </c>
    </row>
    <row r="40" spans="1:5" x14ac:dyDescent="0.25">
      <c r="A40" s="58" t="s">
        <v>187</v>
      </c>
      <c r="B40" s="61">
        <v>13.6</v>
      </c>
      <c r="C40" s="62">
        <v>5.5</v>
      </c>
      <c r="D40" s="63">
        <v>90.140446325387984</v>
      </c>
      <c r="E40" s="64">
        <v>287.60000000000002</v>
      </c>
    </row>
    <row r="41" spans="1:5" x14ac:dyDescent="0.25">
      <c r="A41" s="58" t="s">
        <v>188</v>
      </c>
      <c r="B41" s="61">
        <v>12.1</v>
      </c>
      <c r="C41" s="62">
        <v>7.6</v>
      </c>
      <c r="D41" s="63">
        <v>85.424563507935517</v>
      </c>
      <c r="E41" s="64">
        <v>416.5</v>
      </c>
    </row>
    <row r="42" spans="1:5" x14ac:dyDescent="0.25">
      <c r="A42" s="58" t="s">
        <v>189</v>
      </c>
      <c r="B42" s="61">
        <v>11.7</v>
      </c>
      <c r="C42" s="62">
        <v>6.1</v>
      </c>
      <c r="D42" s="63">
        <v>88.483880668602993</v>
      </c>
      <c r="E42" s="64">
        <v>227.3</v>
      </c>
    </row>
    <row r="43" spans="1:5" x14ac:dyDescent="0.25">
      <c r="A43" s="58" t="s">
        <v>190</v>
      </c>
      <c r="B43" s="61">
        <v>15.7</v>
      </c>
      <c r="C43" s="62">
        <v>8.4</v>
      </c>
      <c r="D43" s="63">
        <v>68.748136077503446</v>
      </c>
      <c r="E43" s="64">
        <v>788.3</v>
      </c>
    </row>
    <row r="44" spans="1:5" x14ac:dyDescent="0.25">
      <c r="A44" s="58" t="s">
        <v>191</v>
      </c>
      <c r="B44" s="61">
        <v>12.5</v>
      </c>
      <c r="C44" s="62">
        <v>6.9</v>
      </c>
      <c r="D44" s="63">
        <v>88.189790025789804</v>
      </c>
      <c r="E44" s="64">
        <v>169.2</v>
      </c>
    </row>
    <row r="45" spans="1:5" x14ac:dyDescent="0.25">
      <c r="A45" s="58" t="s">
        <v>192</v>
      </c>
      <c r="B45" s="61">
        <v>15.5</v>
      </c>
      <c r="C45" s="62">
        <v>8.6999999999999993</v>
      </c>
      <c r="D45" s="63">
        <v>80.371971305033981</v>
      </c>
      <c r="E45" s="64">
        <v>753.3</v>
      </c>
    </row>
    <row r="46" spans="1:5" x14ac:dyDescent="0.25">
      <c r="A46" s="58" t="s">
        <v>193</v>
      </c>
      <c r="B46" s="61">
        <v>15.8</v>
      </c>
      <c r="C46" s="62">
        <v>6.2</v>
      </c>
      <c r="D46" s="63">
        <v>82.402677784750395</v>
      </c>
      <c r="E46" s="64">
        <v>510.6</v>
      </c>
    </row>
    <row r="47" spans="1:5" x14ac:dyDescent="0.25">
      <c r="A47" s="58" t="s">
        <v>194</v>
      </c>
      <c r="B47" s="61">
        <v>9.6</v>
      </c>
      <c r="C47" s="62">
        <v>5.0999999999999996</v>
      </c>
      <c r="D47" s="63">
        <v>92.915461931338129</v>
      </c>
      <c r="E47" s="64">
        <v>234.8</v>
      </c>
    </row>
    <row r="48" spans="1:5" x14ac:dyDescent="0.25">
      <c r="A48" s="58" t="s">
        <v>195</v>
      </c>
      <c r="B48" s="61">
        <v>10.6</v>
      </c>
      <c r="C48" s="62">
        <v>5.5</v>
      </c>
      <c r="D48" s="63">
        <v>96.408807764739961</v>
      </c>
      <c r="E48" s="64">
        <v>124.3</v>
      </c>
    </row>
    <row r="49" spans="1:5" x14ac:dyDescent="0.25">
      <c r="A49" s="58" t="s">
        <v>196</v>
      </c>
      <c r="B49" s="61">
        <v>10.199999999999999</v>
      </c>
      <c r="C49" s="62">
        <v>7.1</v>
      </c>
      <c r="D49" s="63">
        <v>73.031896017666924</v>
      </c>
      <c r="E49" s="64">
        <v>269.7</v>
      </c>
    </row>
    <row r="50" spans="1:5" x14ac:dyDescent="0.25">
      <c r="A50" s="58" t="s">
        <v>197</v>
      </c>
      <c r="B50" s="61">
        <v>11.3</v>
      </c>
      <c r="C50" s="62">
        <v>4.7</v>
      </c>
      <c r="D50" s="63">
        <v>84.290902250404002</v>
      </c>
      <c r="E50" s="64">
        <v>333.1</v>
      </c>
    </row>
    <row r="51" spans="1:5" x14ac:dyDescent="0.25">
      <c r="A51" s="58" t="s">
        <v>198</v>
      </c>
      <c r="B51" s="71">
        <v>17</v>
      </c>
      <c r="C51" s="62">
        <v>7.4</v>
      </c>
      <c r="D51" s="63">
        <v>94.524786328554711</v>
      </c>
      <c r="E51" s="64">
        <v>275.2</v>
      </c>
    </row>
    <row r="52" spans="1:5" x14ac:dyDescent="0.25">
      <c r="A52" s="58" t="s">
        <v>199</v>
      </c>
      <c r="B52" s="61">
        <v>10.4</v>
      </c>
      <c r="C52" s="62">
        <v>6.4</v>
      </c>
      <c r="D52" s="63">
        <v>89.673695670212709</v>
      </c>
      <c r="E52" s="64">
        <v>290.89999999999998</v>
      </c>
    </row>
    <row r="53" spans="1:5" x14ac:dyDescent="0.25">
      <c r="A53" s="72" t="s">
        <v>200</v>
      </c>
      <c r="B53" s="73">
        <v>9.4</v>
      </c>
      <c r="C53" s="74">
        <v>7</v>
      </c>
      <c r="D53" s="75">
        <v>93.867286940458214</v>
      </c>
      <c r="E53" s="76">
        <v>239.3</v>
      </c>
    </row>
  </sheetData>
  <pageMargins left="0.7" right="0.7" top="0.75" bottom="0.75" header="0.3" footer="0.3"/>
  <ignoredErrors>
    <ignoredError sqref="H12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16"/>
  <sheetViews>
    <sheetView workbookViewId="0"/>
  </sheetViews>
  <sheetFormatPr defaultRowHeight="15" x14ac:dyDescent="0.25"/>
  <cols>
    <col min="5" max="5" width="4.42578125" customWidth="1"/>
  </cols>
  <sheetData>
    <row r="1" spans="1:29" x14ac:dyDescent="0.25">
      <c r="A1" s="1" t="s">
        <v>2678</v>
      </c>
    </row>
    <row r="2" spans="1:29" x14ac:dyDescent="0.25">
      <c r="AB2" t="s">
        <v>2681</v>
      </c>
    </row>
    <row r="3" spans="1:29" x14ac:dyDescent="0.25">
      <c r="A3" s="131" t="s">
        <v>1959</v>
      </c>
      <c r="B3" s="131" t="s">
        <v>2257</v>
      </c>
      <c r="C3" s="131" t="s">
        <v>1320</v>
      </c>
      <c r="D3" s="131" t="s">
        <v>607</v>
      </c>
      <c r="F3" s="839" t="s">
        <v>1740</v>
      </c>
      <c r="G3" s="839" t="s">
        <v>303</v>
      </c>
      <c r="Q3" s="1152" t="s">
        <v>2680</v>
      </c>
      <c r="R3" s="1152" t="s">
        <v>2679</v>
      </c>
    </row>
    <row r="4" spans="1:29" x14ac:dyDescent="0.25">
      <c r="A4" s="1254">
        <v>2000</v>
      </c>
      <c r="B4" s="1254">
        <v>30</v>
      </c>
      <c r="C4" s="1254">
        <v>20</v>
      </c>
      <c r="D4" s="1254">
        <v>65</v>
      </c>
      <c r="F4">
        <f t="array" ref="F4:F14">TREND(D4:D14,B4:C14)</f>
        <v>62.678719648905208</v>
      </c>
      <c r="G4">
        <f>D4-F4</f>
        <v>2.3212803510947921</v>
      </c>
      <c r="Q4">
        <f t="shared" ref="Q4:Q14" si="0">G4</f>
        <v>2.3212803510947921</v>
      </c>
      <c r="AB4" t="str">
        <f t="array" ref="AB4:AC12">[1]!RUNSTEST("++++-----++",TRUE,2)</f>
        <v>n1</v>
      </c>
      <c r="AC4" s="1227">
        <v>6</v>
      </c>
    </row>
    <row r="5" spans="1:29" x14ac:dyDescent="0.25">
      <c r="A5" s="1254">
        <f>A4+1</f>
        <v>2001</v>
      </c>
      <c r="B5" s="1254">
        <v>23</v>
      </c>
      <c r="C5" s="1254">
        <v>27</v>
      </c>
      <c r="D5" s="1254">
        <v>62</v>
      </c>
      <c r="F5">
        <v>60.68520726995181</v>
      </c>
      <c r="G5">
        <f t="shared" ref="G5:G14" si="1">D5-F5</f>
        <v>1.3147927300481896</v>
      </c>
      <c r="Q5">
        <f t="shared" si="0"/>
        <v>1.3147927300481896</v>
      </c>
      <c r="R5">
        <f>Q4</f>
        <v>2.3212803510947921</v>
      </c>
      <c r="AB5" t="str">
        <v>n2</v>
      </c>
      <c r="AC5" s="503">
        <v>5</v>
      </c>
    </row>
    <row r="6" spans="1:29" x14ac:dyDescent="0.25">
      <c r="A6" s="1254">
        <f t="shared" ref="A6:A13" si="2">A5+1</f>
        <v>2002</v>
      </c>
      <c r="B6" s="1254">
        <v>34</v>
      </c>
      <c r="C6" s="1254">
        <v>28</v>
      </c>
      <c r="D6" s="1254">
        <v>70</v>
      </c>
      <c r="F6">
        <v>69.596336402232495</v>
      </c>
      <c r="G6">
        <f t="shared" si="1"/>
        <v>0.40366359776750471</v>
      </c>
      <c r="Q6">
        <f t="shared" si="0"/>
        <v>0.40366359776750471</v>
      </c>
      <c r="R6">
        <f t="shared" ref="R6:R14" si="3">Q5</f>
        <v>1.3147927300481896</v>
      </c>
      <c r="AB6" t="str">
        <v>mean</v>
      </c>
      <c r="AC6" s="503">
        <v>6.4545454545454541</v>
      </c>
    </row>
    <row r="7" spans="1:29" x14ac:dyDescent="0.25">
      <c r="A7" s="1254">
        <f t="shared" si="2"/>
        <v>2003</v>
      </c>
      <c r="B7" s="1254">
        <v>31</v>
      </c>
      <c r="C7" s="1254">
        <v>21</v>
      </c>
      <c r="D7" s="1254">
        <v>64</v>
      </c>
      <c r="F7">
        <v>63.926584935362293</v>
      </c>
      <c r="G7">
        <f t="shared" si="1"/>
        <v>7.3415064637707417E-2</v>
      </c>
      <c r="Q7">
        <f t="shared" si="0"/>
        <v>7.3415064637707417E-2</v>
      </c>
      <c r="R7">
        <f t="shared" si="3"/>
        <v>0.40366359776750471</v>
      </c>
      <c r="AB7" t="str">
        <v>std dev</v>
      </c>
      <c r="AC7" s="503">
        <v>1.5587661999529314</v>
      </c>
    </row>
    <row r="8" spans="1:29" x14ac:dyDescent="0.25">
      <c r="A8" s="1254">
        <f t="shared" si="2"/>
        <v>2004</v>
      </c>
      <c r="B8" s="1254">
        <v>17</v>
      </c>
      <c r="C8" s="1254">
        <v>23</v>
      </c>
      <c r="D8" s="1254">
        <v>52</v>
      </c>
      <c r="F8">
        <v>54.16109335495873</v>
      </c>
      <c r="G8">
        <f t="shared" si="1"/>
        <v>-2.1610933549587301</v>
      </c>
      <c r="Q8">
        <f t="shared" si="0"/>
        <v>-2.1610933549587301</v>
      </c>
      <c r="R8">
        <f t="shared" si="3"/>
        <v>7.3415064637707417E-2</v>
      </c>
      <c r="AB8" t="str">
        <v>runs</v>
      </c>
      <c r="AC8" s="503">
        <v>3</v>
      </c>
    </row>
    <row r="9" spans="1:29" x14ac:dyDescent="0.25">
      <c r="A9" s="1254">
        <f t="shared" si="2"/>
        <v>2005</v>
      </c>
      <c r="B9" s="1254">
        <v>36</v>
      </c>
      <c r="C9" s="1254">
        <v>24</v>
      </c>
      <c r="D9" s="1254">
        <v>68</v>
      </c>
      <c r="F9">
        <v>69.202833563898281</v>
      </c>
      <c r="G9">
        <f t="shared" si="1"/>
        <v>-1.202833563898281</v>
      </c>
      <c r="Q9">
        <f t="shared" si="0"/>
        <v>-1.202833563898281</v>
      </c>
      <c r="R9">
        <f t="shared" si="3"/>
        <v>-2.1610933549587301</v>
      </c>
      <c r="AB9" t="str">
        <v>tails</v>
      </c>
      <c r="AC9" s="503">
        <v>2</v>
      </c>
    </row>
    <row r="10" spans="1:29" x14ac:dyDescent="0.25">
      <c r="A10" s="1254">
        <f t="shared" si="2"/>
        <v>2006</v>
      </c>
      <c r="B10" s="1254">
        <v>38</v>
      </c>
      <c r="C10" s="1254">
        <v>20</v>
      </c>
      <c r="D10" s="1254">
        <v>68</v>
      </c>
      <c r="F10">
        <v>68.809330725564081</v>
      </c>
      <c r="G10">
        <f t="shared" si="1"/>
        <v>-0.80933072556408092</v>
      </c>
      <c r="Q10">
        <f t="shared" si="0"/>
        <v>-0.80933072556408092</v>
      </c>
      <c r="R10">
        <f t="shared" si="3"/>
        <v>-1.202833563898281</v>
      </c>
      <c r="AB10" t="str">
        <v>z-stat</v>
      </c>
      <c r="AC10" s="503">
        <v>2.2162050053752562</v>
      </c>
    </row>
    <row r="11" spans="1:29" x14ac:dyDescent="0.25">
      <c r="A11" s="1254">
        <f t="shared" si="2"/>
        <v>2007</v>
      </c>
      <c r="B11" s="1254">
        <v>40</v>
      </c>
      <c r="C11" s="1254">
        <v>26</v>
      </c>
      <c r="D11" s="1254">
        <v>72</v>
      </c>
      <c r="F11">
        <v>73.231216905977192</v>
      </c>
      <c r="G11">
        <f t="shared" si="1"/>
        <v>-1.2312169059771918</v>
      </c>
      <c r="Q11">
        <f t="shared" si="0"/>
        <v>-1.2312169059771918</v>
      </c>
      <c r="R11">
        <f t="shared" si="3"/>
        <v>-0.80933072556408092</v>
      </c>
      <c r="AB11" t="str">
        <v>p-value</v>
      </c>
      <c r="AC11" s="503">
        <v>2.6677465241644382E-2</v>
      </c>
    </row>
    <row r="12" spans="1:29" x14ac:dyDescent="0.25">
      <c r="A12" s="1254">
        <f t="shared" si="2"/>
        <v>2008</v>
      </c>
      <c r="B12" s="1254">
        <v>37</v>
      </c>
      <c r="C12" s="1254">
        <v>27</v>
      </c>
      <c r="D12" s="1254">
        <v>71</v>
      </c>
      <c r="F12">
        <v>71.413776654104851</v>
      </c>
      <c r="G12">
        <f t="shared" si="1"/>
        <v>-0.41377665410485065</v>
      </c>
      <c r="Q12">
        <f t="shared" si="0"/>
        <v>-0.41377665410485065</v>
      </c>
      <c r="R12">
        <f t="shared" si="3"/>
        <v>-1.2312169059771918</v>
      </c>
      <c r="AB12" t="str">
        <v>p-exact</v>
      </c>
      <c r="AC12" s="420">
        <v>4.7619047619047623E-2</v>
      </c>
    </row>
    <row r="13" spans="1:29" x14ac:dyDescent="0.25">
      <c r="A13" s="1254">
        <f t="shared" si="2"/>
        <v>2009</v>
      </c>
      <c r="B13" s="1254">
        <v>34</v>
      </c>
      <c r="C13" s="1254">
        <v>24</v>
      </c>
      <c r="D13" s="1254">
        <v>69</v>
      </c>
      <c r="F13">
        <v>67.670180794733568</v>
      </c>
      <c r="G13">
        <f t="shared" si="1"/>
        <v>1.3298192052664319</v>
      </c>
      <c r="Q13">
        <f t="shared" si="0"/>
        <v>1.3298192052664319</v>
      </c>
      <c r="R13">
        <f t="shared" si="3"/>
        <v>-0.41377665410485065</v>
      </c>
    </row>
    <row r="14" spans="1:29" x14ac:dyDescent="0.25">
      <c r="A14" s="1255">
        <f>A13+1</f>
        <v>2010</v>
      </c>
      <c r="B14" s="1255">
        <v>38</v>
      </c>
      <c r="C14" s="1255">
        <v>30</v>
      </c>
      <c r="D14" s="1255">
        <v>74</v>
      </c>
      <c r="F14" s="762">
        <v>73.624719744311392</v>
      </c>
      <c r="G14" s="762">
        <f t="shared" si="1"/>
        <v>0.37528025568860812</v>
      </c>
      <c r="Q14" s="762">
        <f t="shared" si="0"/>
        <v>0.37528025568860812</v>
      </c>
      <c r="R14" s="762">
        <f t="shared" si="3"/>
        <v>1.3298192052664319</v>
      </c>
    </row>
    <row r="16" spans="1:29" x14ac:dyDescent="0.25">
      <c r="F16" s="1254" t="s">
        <v>1972</v>
      </c>
      <c r="G16" s="580">
        <f>CORREL(G4:G13,G5:G14)</f>
        <v>0.58598694595413614</v>
      </c>
      <c r="Q16" s="1254" t="s">
        <v>1972</v>
      </c>
      <c r="R16" s="580">
        <f>CORREL(Q5:Q14,R5:R14)</f>
        <v>0.58598694595413614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/>
  <dimension ref="A1:Q29"/>
  <sheetViews>
    <sheetView workbookViewId="0">
      <selection sqref="A1:G1048576"/>
    </sheetView>
  </sheetViews>
  <sheetFormatPr defaultRowHeight="15" x14ac:dyDescent="0.25"/>
  <cols>
    <col min="5" max="5" width="4.42578125" customWidth="1"/>
    <col min="8" max="8" width="3.85546875" customWidth="1"/>
    <col min="9" max="9" width="9.42578125" customWidth="1"/>
    <col min="11" max="11" width="2.7109375" customWidth="1"/>
    <col min="12" max="12" width="42.5703125" customWidth="1"/>
    <col min="13" max="13" width="9.7109375" customWidth="1"/>
    <col min="16" max="16" width="3.85546875" customWidth="1"/>
    <col min="17" max="17" width="36.5703125" customWidth="1"/>
  </cols>
  <sheetData>
    <row r="1" spans="1:17" x14ac:dyDescent="0.25">
      <c r="A1" s="1" t="s">
        <v>1802</v>
      </c>
      <c r="N1" t="s">
        <v>2125</v>
      </c>
    </row>
    <row r="3" spans="1:17" x14ac:dyDescent="0.25">
      <c r="A3" s="131" t="s">
        <v>1959</v>
      </c>
      <c r="B3" s="131" t="s">
        <v>2257</v>
      </c>
      <c r="C3" s="131" t="s">
        <v>1320</v>
      </c>
      <c r="D3" s="131" t="s">
        <v>607</v>
      </c>
      <c r="F3" s="839" t="s">
        <v>1740</v>
      </c>
      <c r="G3" s="839" t="s">
        <v>303</v>
      </c>
      <c r="I3" s="132" t="s">
        <v>44</v>
      </c>
      <c r="J3" s="868">
        <f>SUMXMY2(G4:G13,G5:G14)/SUMSQ(G4:G14)</f>
        <v>0.72595086575653978</v>
      </c>
      <c r="K3" s="7"/>
      <c r="L3" s="7" t="str">
        <f>[1]!FTEXT(J3)</f>
        <v>=SUMXMY2(G4:G13,G5:G14)/SUMSQ(G4:G14)</v>
      </c>
      <c r="M3" s="7"/>
      <c r="N3" t="s">
        <v>44</v>
      </c>
      <c r="O3" s="28">
        <f>[1]!DURBIN(G4:G14)</f>
        <v>0.72595086575653978</v>
      </c>
      <c r="Q3" s="16" t="s">
        <v>1803</v>
      </c>
    </row>
    <row r="4" spans="1:17" x14ac:dyDescent="0.25">
      <c r="A4" s="1021">
        <v>2000</v>
      </c>
      <c r="B4" s="837">
        <v>30</v>
      </c>
      <c r="C4" s="837">
        <v>20</v>
      </c>
      <c r="D4" s="837">
        <v>65</v>
      </c>
      <c r="F4">
        <f t="array" ref="F4:F14">TREND(D4:D14,B4:C14)</f>
        <v>62.678719648905208</v>
      </c>
      <c r="G4">
        <f>D4-F4</f>
        <v>2.3212803510947921</v>
      </c>
      <c r="I4" t="s">
        <v>2255</v>
      </c>
      <c r="J4" s="503">
        <f>[1]!DLowerCRIT(COUNT(A4:A14),COUNTA(B3:C3))</f>
        <v>0.75797999999999999</v>
      </c>
      <c r="L4" s="7" t="str">
        <f>[1]!FTEXT(J4)</f>
        <v>=DLowerCRIT(COUNT(A4:A14),COUNTA(B3:C3))</v>
      </c>
      <c r="N4" t="s">
        <v>44</v>
      </c>
      <c r="O4" s="420">
        <f>[1]!DURBIN(B4:C14,D4:D14)</f>
        <v>0.72595086575653978</v>
      </c>
      <c r="Q4" s="16" t="s">
        <v>1804</v>
      </c>
    </row>
    <row r="5" spans="1:17" x14ac:dyDescent="0.25">
      <c r="A5" s="1021">
        <f>A4+1</f>
        <v>2001</v>
      </c>
      <c r="B5" s="837">
        <v>23</v>
      </c>
      <c r="C5" s="837">
        <v>27</v>
      </c>
      <c r="D5" s="837">
        <v>62</v>
      </c>
      <c r="F5">
        <v>60.68520726995181</v>
      </c>
      <c r="G5">
        <f t="shared" ref="G5:G14" si="0">D5-F5</f>
        <v>1.3147927300481896</v>
      </c>
      <c r="I5" t="s">
        <v>2256</v>
      </c>
      <c r="J5" s="503">
        <f>[1]!DUpperCRIT(COUNT(A4:A14),COUNTA(B3:C3))</f>
        <v>1.60439</v>
      </c>
      <c r="L5" s="7" t="str">
        <f>[1]!FTEXT(J5)</f>
        <v>=DUpperCRIT(COUNT(A4:A14),COUNTA(B3:C3))</v>
      </c>
    </row>
    <row r="6" spans="1:17" x14ac:dyDescent="0.25">
      <c r="A6" s="1021">
        <f t="shared" ref="A6:A13" si="1">A5+1</f>
        <v>2002</v>
      </c>
      <c r="B6" s="837">
        <v>34</v>
      </c>
      <c r="C6" s="837">
        <v>28</v>
      </c>
      <c r="D6" s="837">
        <v>70</v>
      </c>
      <c r="F6">
        <v>69.596336402232495</v>
      </c>
      <c r="G6">
        <f t="shared" si="0"/>
        <v>0.40366359776750471</v>
      </c>
      <c r="I6" t="s">
        <v>527</v>
      </c>
      <c r="J6" s="414" t="str">
        <f>IF(J3&lt;J4,"yes",IF(J3&gt;J5,"no","unclear"))</f>
        <v>yes</v>
      </c>
      <c r="L6" s="7" t="str">
        <f>[1]!FTEXT(J6)</f>
        <v>=IF(J3&lt;J4,"yes",IF(J3&gt;J5,"no","unclear"))</v>
      </c>
      <c r="N6" t="s">
        <v>2255</v>
      </c>
      <c r="O6" s="868">
        <f>[1]!DLowerCRIT(11,2)</f>
        <v>0.75797999999999999</v>
      </c>
      <c r="Q6" t="str">
        <f>[1]!FTEXT(O6)</f>
        <v>=DLowerCRIT(11,2)</v>
      </c>
    </row>
    <row r="7" spans="1:17" x14ac:dyDescent="0.25">
      <c r="A7" s="1021">
        <f t="shared" si="1"/>
        <v>2003</v>
      </c>
      <c r="B7" s="837">
        <v>31</v>
      </c>
      <c r="C7" s="837">
        <v>21</v>
      </c>
      <c r="D7" s="837">
        <v>64</v>
      </c>
      <c r="F7">
        <v>63.926584935362293</v>
      </c>
      <c r="G7">
        <f t="shared" si="0"/>
        <v>7.3415064637707417E-2</v>
      </c>
      <c r="N7" t="s">
        <v>2256</v>
      </c>
      <c r="O7" s="503">
        <f>[1]!DUpperCRIT(11,2)</f>
        <v>1.60439</v>
      </c>
      <c r="Q7" t="str">
        <f>[1]!FTEXT(O7)</f>
        <v>=DUpperCRIT(11,2)</v>
      </c>
    </row>
    <row r="8" spans="1:17" x14ac:dyDescent="0.25">
      <c r="A8" s="1021">
        <f t="shared" si="1"/>
        <v>2004</v>
      </c>
      <c r="B8" s="837">
        <v>17</v>
      </c>
      <c r="C8" s="837">
        <v>23</v>
      </c>
      <c r="D8" s="837">
        <v>52</v>
      </c>
      <c r="F8">
        <v>54.16109335495873</v>
      </c>
      <c r="G8">
        <f t="shared" si="0"/>
        <v>-2.1610933549587301</v>
      </c>
      <c r="N8" t="s">
        <v>527</v>
      </c>
      <c r="O8" s="414" t="str">
        <f>IF(J3&lt;O6,"yes",IF(J3&gt;O7,"no","unclear"))</f>
        <v>yes</v>
      </c>
      <c r="Q8" t="str">
        <f>[1]!FTEXT(O8)</f>
        <v>=IF(J3&lt;O6,"yes",IF(J3&gt;O7,"no","unclear"))</v>
      </c>
    </row>
    <row r="9" spans="1:17" x14ac:dyDescent="0.25">
      <c r="A9" s="1021">
        <f t="shared" si="1"/>
        <v>2005</v>
      </c>
      <c r="B9" s="837">
        <v>36</v>
      </c>
      <c r="C9" s="837">
        <v>24</v>
      </c>
      <c r="D9" s="837">
        <v>68</v>
      </c>
      <c r="F9">
        <v>69.202833563898281</v>
      </c>
      <c r="G9">
        <f t="shared" si="0"/>
        <v>-1.202833563898281</v>
      </c>
    </row>
    <row r="10" spans="1:17" x14ac:dyDescent="0.25">
      <c r="A10" s="1021">
        <f t="shared" si="1"/>
        <v>2006</v>
      </c>
      <c r="B10" s="837">
        <v>38</v>
      </c>
      <c r="C10" s="837">
        <v>20</v>
      </c>
      <c r="D10" s="837">
        <v>68</v>
      </c>
      <c r="F10">
        <v>68.809330725564081</v>
      </c>
      <c r="G10">
        <f t="shared" si="0"/>
        <v>-0.80933072556408092</v>
      </c>
      <c r="N10" t="str">
        <f t="array" ref="N10:O13">[1]!DURBIN(B4:C14,D4:D14,TRUE)</f>
        <v>D-stat</v>
      </c>
      <c r="O10" s="868">
        <v>0.72595086575653978</v>
      </c>
      <c r="Q10" t="str">
        <f>[1]!FTEXT(O10)</f>
        <v>=DURBIN(B4:C14,D4:D14,TRUE)</v>
      </c>
    </row>
    <row r="11" spans="1:17" x14ac:dyDescent="0.25">
      <c r="A11" s="1021">
        <f t="shared" si="1"/>
        <v>2007</v>
      </c>
      <c r="B11" s="837">
        <v>40</v>
      </c>
      <c r="C11" s="837">
        <v>26</v>
      </c>
      <c r="D11" s="837">
        <v>72</v>
      </c>
      <c r="F11">
        <v>73.231216905977192</v>
      </c>
      <c r="G11">
        <f t="shared" si="0"/>
        <v>-1.2312169059771918</v>
      </c>
      <c r="N11" t="str">
        <v>D-lower</v>
      </c>
      <c r="O11" s="503">
        <v>0.75797999999999999</v>
      </c>
    </row>
    <row r="12" spans="1:17" x14ac:dyDescent="0.25">
      <c r="A12" s="1021">
        <f t="shared" si="1"/>
        <v>2008</v>
      </c>
      <c r="B12" s="837">
        <v>37</v>
      </c>
      <c r="C12" s="837">
        <v>27</v>
      </c>
      <c r="D12" s="837">
        <v>71</v>
      </c>
      <c r="F12">
        <v>71.413776654104851</v>
      </c>
      <c r="G12">
        <f t="shared" si="0"/>
        <v>-0.41377665410485065</v>
      </c>
      <c r="N12" t="str">
        <v>D-upper</v>
      </c>
      <c r="O12" s="503">
        <v>1.60439</v>
      </c>
    </row>
    <row r="13" spans="1:17" x14ac:dyDescent="0.25">
      <c r="A13" s="1021">
        <f t="shared" si="1"/>
        <v>2009</v>
      </c>
      <c r="B13" s="837">
        <v>34</v>
      </c>
      <c r="C13" s="837">
        <v>24</v>
      </c>
      <c r="D13" s="837">
        <v>69</v>
      </c>
      <c r="F13">
        <v>67.670180794733568</v>
      </c>
      <c r="G13">
        <f t="shared" si="0"/>
        <v>1.3298192052664319</v>
      </c>
      <c r="N13" t="str">
        <v>sig</v>
      </c>
      <c r="O13" s="414" t="str">
        <v>yes</v>
      </c>
    </row>
    <row r="14" spans="1:17" x14ac:dyDescent="0.25">
      <c r="A14" s="1022">
        <f>A13+1</f>
        <v>2010</v>
      </c>
      <c r="B14" s="838">
        <v>38</v>
      </c>
      <c r="C14" s="838">
        <v>30</v>
      </c>
      <c r="D14" s="838">
        <v>74</v>
      </c>
      <c r="F14" s="762">
        <v>73.624719744311392</v>
      </c>
      <c r="G14" s="762">
        <f t="shared" si="0"/>
        <v>0.37528025568860812</v>
      </c>
    </row>
    <row r="15" spans="1:17" x14ac:dyDescent="0.25">
      <c r="N15" t="str">
        <f t="array" ref="N15:O18">[1]!DURBIN(G4:G14,2,TRUE)</f>
        <v>D-stat</v>
      </c>
      <c r="O15" s="868">
        <v>0.72595086575653978</v>
      </c>
      <c r="Q15" t="str">
        <f>[1]!FTEXT(O15)</f>
        <v>=DURBIN(G4:G14,2,TRUE)</v>
      </c>
    </row>
    <row r="16" spans="1:17" x14ac:dyDescent="0.25">
      <c r="N16" t="str">
        <v>D-lower</v>
      </c>
      <c r="O16" s="503">
        <v>0.75797999999999999</v>
      </c>
    </row>
    <row r="17" spans="14:15" x14ac:dyDescent="0.25">
      <c r="N17" t="str">
        <v>D-upper</v>
      </c>
      <c r="O17" s="503">
        <v>1.60439</v>
      </c>
    </row>
    <row r="18" spans="14:15" x14ac:dyDescent="0.25">
      <c r="N18" t="str">
        <v>sig</v>
      </c>
      <c r="O18" s="414" t="str">
        <v>yes</v>
      </c>
    </row>
    <row r="20" spans="14:15" x14ac:dyDescent="0.25">
      <c r="N20" t="s">
        <v>1933</v>
      </c>
    </row>
    <row r="22" spans="14:15" x14ac:dyDescent="0.25">
      <c r="N22" t="s">
        <v>1802</v>
      </c>
    </row>
    <row r="24" spans="14:15" x14ac:dyDescent="0.25">
      <c r="N24" t="s">
        <v>34</v>
      </c>
      <c r="O24" s="1036">
        <v>0.05</v>
      </c>
    </row>
    <row r="26" spans="14:15" x14ac:dyDescent="0.25">
      <c r="N26" t="str">
        <f t="array" ref="N26:O29">[1]!DURBIN(B4:C14,D4:D14,TRUE,O24)</f>
        <v>D-stat</v>
      </c>
      <c r="O26" s="1037">
        <v>0.72595086575653978</v>
      </c>
    </row>
    <row r="27" spans="14:15" x14ac:dyDescent="0.25">
      <c r="N27" t="str">
        <v>D-lower</v>
      </c>
      <c r="O27" s="680">
        <v>0.75797999999999999</v>
      </c>
    </row>
    <row r="28" spans="14:15" x14ac:dyDescent="0.25">
      <c r="N28" t="str">
        <v>D-upper</v>
      </c>
      <c r="O28" s="680">
        <v>1.60439</v>
      </c>
    </row>
    <row r="29" spans="14:15" x14ac:dyDescent="0.25">
      <c r="N29" t="str">
        <v>sig</v>
      </c>
      <c r="O29" s="758" t="str">
        <v>yes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AA44"/>
  <sheetViews>
    <sheetView workbookViewId="0"/>
  </sheetViews>
  <sheetFormatPr defaultRowHeight="15" x14ac:dyDescent="0.25"/>
  <cols>
    <col min="1" max="7" width="6.5703125" customWidth="1"/>
    <col min="8" max="8" width="3.5703125" customWidth="1"/>
    <col min="9" max="9" width="6.5703125" customWidth="1"/>
    <col min="15" max="15" width="17.85546875" customWidth="1"/>
    <col min="16" max="16" width="17.7109375" customWidth="1"/>
    <col min="17" max="17" width="13.7109375" customWidth="1"/>
    <col min="18" max="18" width="17.28515625" customWidth="1"/>
    <col min="20" max="20" width="13.140625" customWidth="1"/>
    <col min="21" max="21" width="11.140625" customWidth="1"/>
    <col min="23" max="23" width="12.7109375" customWidth="1"/>
    <col min="24" max="26" width="11.7109375" customWidth="1"/>
    <col min="27" max="27" width="18.85546875" customWidth="1"/>
  </cols>
  <sheetData>
    <row r="1" spans="1:26" x14ac:dyDescent="0.25">
      <c r="A1" s="1" t="s">
        <v>446</v>
      </c>
      <c r="O1" s="1" t="s">
        <v>451</v>
      </c>
    </row>
    <row r="3" spans="1:26" ht="15" customHeight="1" x14ac:dyDescent="0.25">
      <c r="A3" s="46" t="s">
        <v>447</v>
      </c>
      <c r="B3" s="46" t="s">
        <v>448</v>
      </c>
      <c r="C3" s="46" t="s">
        <v>378</v>
      </c>
      <c r="D3" s="95"/>
      <c r="E3" s="1322" t="s">
        <v>377</v>
      </c>
      <c r="F3" s="1322"/>
      <c r="G3" s="1322"/>
      <c r="H3" s="190"/>
      <c r="I3" s="190" t="s">
        <v>378</v>
      </c>
      <c r="J3" s="95"/>
      <c r="K3" s="95" t="s">
        <v>131</v>
      </c>
      <c r="L3" s="95"/>
      <c r="M3" s="95"/>
      <c r="O3" t="s">
        <v>290</v>
      </c>
      <c r="W3" t="s">
        <v>301</v>
      </c>
    </row>
    <row r="4" spans="1:26" ht="15" customHeight="1" thickBot="1" x14ac:dyDescent="0.3">
      <c r="A4" s="192">
        <v>34</v>
      </c>
      <c r="B4" s="193">
        <f>A4/2</f>
        <v>17</v>
      </c>
      <c r="C4" s="194">
        <v>4</v>
      </c>
      <c r="D4" s="95"/>
      <c r="E4" s="192">
        <v>1</v>
      </c>
      <c r="F4" s="179">
        <f>A4</f>
        <v>34</v>
      </c>
      <c r="G4" s="180">
        <f>B4</f>
        <v>17</v>
      </c>
      <c r="H4" s="95"/>
      <c r="I4" s="195">
        <f>C4</f>
        <v>4</v>
      </c>
      <c r="J4" s="95"/>
      <c r="K4" s="195" t="e">
        <f t="array" ref="K4:K6">MMULT(K9:M11,MMULT(TRANSPOSE(E4:G11),I4:I11))</f>
        <v>#NUM!</v>
      </c>
      <c r="L4" s="95"/>
      <c r="M4" s="95"/>
    </row>
    <row r="5" spans="1:26" ht="15" customHeight="1" x14ac:dyDescent="0.25">
      <c r="A5" s="196">
        <v>45</v>
      </c>
      <c r="B5" s="197">
        <f>A5/2</f>
        <v>22.5</v>
      </c>
      <c r="C5" s="198">
        <v>7</v>
      </c>
      <c r="D5" s="95"/>
      <c r="E5" s="196">
        <v>1</v>
      </c>
      <c r="F5" s="50">
        <f t="shared" ref="F5:G11" si="0">A5</f>
        <v>45</v>
      </c>
      <c r="G5" s="36">
        <f t="shared" si="0"/>
        <v>22.5</v>
      </c>
      <c r="H5" s="95"/>
      <c r="I5" s="124">
        <f t="shared" ref="I5:I11" si="1">C5</f>
        <v>7</v>
      </c>
      <c r="J5" s="95"/>
      <c r="K5" s="124" t="e">
        <v>#NUM!</v>
      </c>
      <c r="L5" s="95"/>
      <c r="M5" s="95"/>
      <c r="O5" s="21" t="s">
        <v>291</v>
      </c>
      <c r="P5" s="21"/>
      <c r="W5" s="18" t="s">
        <v>302</v>
      </c>
      <c r="X5" s="18" t="s">
        <v>449</v>
      </c>
      <c r="Y5" s="18" t="s">
        <v>303</v>
      </c>
      <c r="Z5" s="18" t="s">
        <v>420</v>
      </c>
    </row>
    <row r="6" spans="1:26" ht="15" customHeight="1" x14ac:dyDescent="0.25">
      <c r="A6" s="196">
        <v>89</v>
      </c>
      <c r="B6" s="197">
        <f t="shared" ref="B6:B11" si="2">A6/2</f>
        <v>44.5</v>
      </c>
      <c r="C6" s="198">
        <v>17</v>
      </c>
      <c r="D6" s="95"/>
      <c r="E6" s="196">
        <v>1</v>
      </c>
      <c r="F6" s="50">
        <f t="shared" si="0"/>
        <v>89</v>
      </c>
      <c r="G6" s="36">
        <f t="shared" si="0"/>
        <v>44.5</v>
      </c>
      <c r="H6" s="95"/>
      <c r="I6" s="124">
        <f t="shared" si="1"/>
        <v>17</v>
      </c>
      <c r="J6" s="95"/>
      <c r="K6" s="199" t="e">
        <v>#NUM!</v>
      </c>
      <c r="L6" s="95"/>
      <c r="M6" s="95"/>
      <c r="O6" s="19" t="s">
        <v>292</v>
      </c>
      <c r="P6" s="19">
        <v>0.99225902794722864</v>
      </c>
      <c r="W6" s="19">
        <v>1</v>
      </c>
      <c r="X6" s="19">
        <v>4.9030715344200448</v>
      </c>
      <c r="Y6" s="19">
        <v>-0.90307153442004484</v>
      </c>
      <c r="Z6" s="19">
        <v>-1.4197639369118109</v>
      </c>
    </row>
    <row r="7" spans="1:26" ht="15" customHeight="1" x14ac:dyDescent="0.25">
      <c r="A7" s="196">
        <v>54</v>
      </c>
      <c r="B7" s="197">
        <f t="shared" si="2"/>
        <v>27</v>
      </c>
      <c r="C7" s="198">
        <v>10</v>
      </c>
      <c r="D7" s="95"/>
      <c r="E7" s="196">
        <v>1</v>
      </c>
      <c r="F7" s="50">
        <f t="shared" si="0"/>
        <v>54</v>
      </c>
      <c r="G7" s="36">
        <f t="shared" si="0"/>
        <v>27</v>
      </c>
      <c r="H7" s="95"/>
      <c r="I7" s="124">
        <f t="shared" si="1"/>
        <v>10</v>
      </c>
      <c r="J7" s="95"/>
      <c r="K7" s="95"/>
      <c r="L7" s="95"/>
      <c r="M7" s="95"/>
      <c r="O7" s="19" t="s">
        <v>285</v>
      </c>
      <c r="P7" s="19">
        <v>0.98457797854277918</v>
      </c>
      <c r="W7" s="19">
        <v>2</v>
      </c>
      <c r="X7" s="19">
        <v>7.4985854775697156</v>
      </c>
      <c r="Y7" s="19">
        <v>-0.49858547756971561</v>
      </c>
      <c r="Z7" s="19">
        <v>-0.78385117185210951</v>
      </c>
    </row>
    <row r="8" spans="1:26" ht="15" customHeight="1" x14ac:dyDescent="0.25">
      <c r="A8" s="196">
        <v>65</v>
      </c>
      <c r="B8" s="197">
        <f t="shared" si="2"/>
        <v>32.5</v>
      </c>
      <c r="C8" s="198">
        <v>13</v>
      </c>
      <c r="D8" s="95"/>
      <c r="E8" s="196">
        <v>1</v>
      </c>
      <c r="F8" s="50">
        <f t="shared" si="0"/>
        <v>65</v>
      </c>
      <c r="G8" s="36">
        <f t="shared" si="0"/>
        <v>32.5</v>
      </c>
      <c r="H8" s="95"/>
      <c r="I8" s="124">
        <f t="shared" si="1"/>
        <v>13</v>
      </c>
      <c r="J8" s="95"/>
      <c r="K8" s="95"/>
      <c r="L8" s="162" t="s">
        <v>380</v>
      </c>
      <c r="M8" s="162"/>
      <c r="O8" s="19" t="s">
        <v>293</v>
      </c>
      <c r="P8" s="19">
        <v>0.81534097496657576</v>
      </c>
      <c r="W8" s="19">
        <v>3</v>
      </c>
      <c r="X8" s="19">
        <v>17.880641250168395</v>
      </c>
      <c r="Y8" s="19">
        <v>-0.88064125016839512</v>
      </c>
      <c r="Z8" s="19">
        <v>-1.3845001649276516</v>
      </c>
    </row>
    <row r="9" spans="1:26" ht="15" customHeight="1" x14ac:dyDescent="0.25">
      <c r="A9" s="196">
        <v>24</v>
      </c>
      <c r="B9" s="197">
        <f t="shared" si="2"/>
        <v>12</v>
      </c>
      <c r="C9" s="198">
        <v>3</v>
      </c>
      <c r="D9" s="95"/>
      <c r="E9" s="196">
        <v>1</v>
      </c>
      <c r="F9" s="50">
        <f t="shared" si="0"/>
        <v>24</v>
      </c>
      <c r="G9" s="36">
        <f t="shared" si="0"/>
        <v>12</v>
      </c>
      <c r="H9" s="95"/>
      <c r="I9" s="124">
        <f t="shared" si="1"/>
        <v>3</v>
      </c>
      <c r="J9" s="95"/>
      <c r="K9" s="178" t="e">
        <f t="array" ref="K9:M11">MINVERSE(MMULT(TRANSPOSE(E4:G11),E4:G11))</f>
        <v>#NUM!</v>
      </c>
      <c r="L9" s="179" t="e">
        <v>#NUM!</v>
      </c>
      <c r="M9" s="180" t="e">
        <v>#NUM!</v>
      </c>
      <c r="O9" s="19" t="s">
        <v>11</v>
      </c>
      <c r="P9" s="19">
        <v>0.73447223153025987</v>
      </c>
      <c r="W9" s="19">
        <v>4</v>
      </c>
      <c r="X9" s="19">
        <v>9.6221877946921737</v>
      </c>
      <c r="Y9" s="19">
        <v>0.37781220530782633</v>
      </c>
      <c r="Z9" s="19">
        <v>0.5939774686461059</v>
      </c>
    </row>
    <row r="10" spans="1:26" ht="15" customHeight="1" thickBot="1" x14ac:dyDescent="0.3">
      <c r="A10" s="196">
        <v>74</v>
      </c>
      <c r="B10" s="197">
        <f t="shared" si="2"/>
        <v>37</v>
      </c>
      <c r="C10" s="198">
        <v>15</v>
      </c>
      <c r="D10" s="95"/>
      <c r="E10" s="196">
        <v>1</v>
      </c>
      <c r="F10" s="50">
        <f t="shared" si="0"/>
        <v>74</v>
      </c>
      <c r="G10" s="36">
        <f t="shared" si="0"/>
        <v>37</v>
      </c>
      <c r="H10" s="95"/>
      <c r="I10" s="124">
        <f t="shared" si="1"/>
        <v>15</v>
      </c>
      <c r="J10" s="95"/>
      <c r="K10" s="35" t="e">
        <v>#NUM!</v>
      </c>
      <c r="L10" s="50" t="e">
        <v>#NUM!</v>
      </c>
      <c r="M10" s="36" t="e">
        <v>#NUM!</v>
      </c>
      <c r="O10" s="20" t="s">
        <v>81</v>
      </c>
      <c r="P10" s="20">
        <v>8</v>
      </c>
      <c r="W10" s="19">
        <v>5</v>
      </c>
      <c r="X10" s="19">
        <v>12.217701737841844</v>
      </c>
      <c r="Y10" s="19">
        <v>0.78229826215815557</v>
      </c>
      <c r="Z10" s="19">
        <v>1.2298902337058073</v>
      </c>
    </row>
    <row r="11" spans="1:26" ht="15" customHeight="1" x14ac:dyDescent="0.25">
      <c r="A11" s="200">
        <v>81</v>
      </c>
      <c r="B11" s="201">
        <f t="shared" si="2"/>
        <v>40.5</v>
      </c>
      <c r="C11" s="202">
        <v>16</v>
      </c>
      <c r="D11" s="197"/>
      <c r="E11" s="200">
        <v>1</v>
      </c>
      <c r="F11" s="201">
        <f t="shared" si="0"/>
        <v>81</v>
      </c>
      <c r="G11" s="202">
        <f t="shared" si="0"/>
        <v>40.5</v>
      </c>
      <c r="H11" s="95"/>
      <c r="I11" s="199">
        <f t="shared" si="1"/>
        <v>16</v>
      </c>
      <c r="J11" s="95"/>
      <c r="K11" s="181" t="e">
        <v>#NUM!</v>
      </c>
      <c r="L11" s="162" t="e">
        <v>#NUM!</v>
      </c>
      <c r="M11" s="182" t="e">
        <v>#NUM!</v>
      </c>
      <c r="W11" s="19">
        <v>6</v>
      </c>
      <c r="X11" s="19">
        <v>2.5435134042839813</v>
      </c>
      <c r="Y11" s="19">
        <v>0.45648659571601868</v>
      </c>
      <c r="Z11" s="19">
        <v>0.7176654136235826</v>
      </c>
    </row>
    <row r="12" spans="1:26" ht="15" customHeight="1" thickBot="1" x14ac:dyDescent="0.3">
      <c r="A12" s="191"/>
      <c r="B12" s="191"/>
      <c r="C12" s="191"/>
      <c r="D12" s="191"/>
      <c r="E12" s="191"/>
      <c r="F12" s="191"/>
      <c r="G12" s="191"/>
      <c r="O12" t="s">
        <v>294</v>
      </c>
      <c r="W12" s="19">
        <v>7</v>
      </c>
      <c r="X12" s="19">
        <v>14.341304054964302</v>
      </c>
      <c r="Y12" s="19">
        <v>0.65869594503569751</v>
      </c>
      <c r="Z12" s="19">
        <v>1.0355688475468459</v>
      </c>
    </row>
    <row r="13" spans="1:26" ht="15.75" thickBot="1" x14ac:dyDescent="0.3">
      <c r="A13" s="191"/>
      <c r="B13" s="191"/>
      <c r="C13" s="191"/>
      <c r="D13" s="191"/>
      <c r="E13" s="191"/>
      <c r="F13" s="191"/>
      <c r="G13" s="191"/>
      <c r="O13" s="18"/>
      <c r="P13" s="18" t="s">
        <v>60</v>
      </c>
      <c r="Q13" s="18" t="s">
        <v>219</v>
      </c>
      <c r="R13" s="18" t="s">
        <v>240</v>
      </c>
      <c r="S13" s="18" t="s">
        <v>135</v>
      </c>
      <c r="T13" s="18" t="s">
        <v>297</v>
      </c>
      <c r="W13" s="20">
        <v>8</v>
      </c>
      <c r="X13" s="20">
        <v>15.992994746059546</v>
      </c>
      <c r="Y13" s="20">
        <v>7.005253940453926E-3</v>
      </c>
      <c r="Z13" s="20">
        <v>1.1013310169224931E-2</v>
      </c>
    </row>
    <row r="14" spans="1:26" x14ac:dyDescent="0.25">
      <c r="O14" s="19" t="s">
        <v>222</v>
      </c>
      <c r="P14" s="19">
        <v>2</v>
      </c>
      <c r="Q14" s="19">
        <v>206.63830324666577</v>
      </c>
      <c r="R14" s="19">
        <v>103.31915162333289</v>
      </c>
      <c r="S14" s="19">
        <v>383.0540560226413</v>
      </c>
      <c r="T14" s="19">
        <v>3.385609237998677E-6</v>
      </c>
    </row>
    <row r="15" spans="1:26" x14ac:dyDescent="0.25">
      <c r="O15" s="19" t="s">
        <v>295</v>
      </c>
      <c r="P15" s="19">
        <v>6</v>
      </c>
      <c r="Q15" s="19">
        <v>3.2366967533342383</v>
      </c>
      <c r="R15" s="19">
        <v>0.53944945888903972</v>
      </c>
      <c r="S15" s="19"/>
      <c r="T15" s="19"/>
    </row>
    <row r="16" spans="1:26" ht="15.75" thickBot="1" x14ac:dyDescent="0.3">
      <c r="O16" s="20" t="s">
        <v>1</v>
      </c>
      <c r="P16" s="20">
        <v>8</v>
      </c>
      <c r="Q16" s="20">
        <v>209.875</v>
      </c>
      <c r="R16" s="20"/>
      <c r="S16" s="20"/>
      <c r="T16" s="20"/>
      <c r="W16" t="s">
        <v>1663</v>
      </c>
    </row>
    <row r="17" spans="15:27" ht="15.75" thickBot="1" x14ac:dyDescent="0.3">
      <c r="W17" s="157"/>
      <c r="X17" s="158" t="s">
        <v>388</v>
      </c>
      <c r="Y17" s="158" t="s">
        <v>387</v>
      </c>
      <c r="Z17" s="158" t="s">
        <v>400</v>
      </c>
      <c r="AA17" s="157"/>
    </row>
    <row r="18" spans="15:27" x14ac:dyDescent="0.25">
      <c r="O18" s="18"/>
      <c r="P18" s="18" t="s">
        <v>298</v>
      </c>
      <c r="Q18" s="18" t="s">
        <v>11</v>
      </c>
      <c r="R18" s="18" t="s">
        <v>85</v>
      </c>
      <c r="S18" s="18" t="s">
        <v>119</v>
      </c>
      <c r="T18" s="18" t="s">
        <v>299</v>
      </c>
      <c r="U18" s="18" t="s">
        <v>300</v>
      </c>
      <c r="W18" s="157" t="s">
        <v>281</v>
      </c>
      <c r="X18" s="159">
        <f t="array" ref="X18:Z22">LINEST(C4:C11,A4:B11,TRUE,TRUE)</f>
        <v>0</v>
      </c>
      <c r="Y18" s="159">
        <v>0.23595581301360641</v>
      </c>
      <c r="Z18" s="159">
        <v>-3.1194261080425729</v>
      </c>
      <c r="AA18" s="157" t="s">
        <v>282</v>
      </c>
    </row>
    <row r="19" spans="15:27" x14ac:dyDescent="0.25">
      <c r="O19" s="19" t="s">
        <v>296</v>
      </c>
      <c r="P19" s="19">
        <v>-3.1194261080425729</v>
      </c>
      <c r="Q19" s="19">
        <v>0.74873040198404328</v>
      </c>
      <c r="R19" s="19">
        <v>-4.1662874911670187</v>
      </c>
      <c r="S19" s="19">
        <v>5.9028935064076244E-3</v>
      </c>
      <c r="T19" s="19">
        <v>-4.951503401969866</v>
      </c>
      <c r="U19" s="19">
        <v>-1.2873488141152802</v>
      </c>
      <c r="W19" s="157" t="s">
        <v>403</v>
      </c>
      <c r="X19" s="159">
        <v>0</v>
      </c>
      <c r="Y19" s="159">
        <v>1.2055928078301989E-2</v>
      </c>
      <c r="Z19" s="159">
        <v>0.74873040198404328</v>
      </c>
      <c r="AA19" s="157" t="s">
        <v>404</v>
      </c>
    </row>
    <row r="20" spans="15:27" x14ac:dyDescent="0.25">
      <c r="O20" s="19" t="s">
        <v>447</v>
      </c>
      <c r="P20" s="19">
        <v>0.23595581301360641</v>
      </c>
      <c r="Q20" s="19">
        <v>1.2055928078301989E-2</v>
      </c>
      <c r="R20" s="19">
        <v>19.571766808917417</v>
      </c>
      <c r="S20" s="19">
        <v>1.1529266812611095E-6</v>
      </c>
      <c r="T20" s="19">
        <v>0.20645601972225788</v>
      </c>
      <c r="U20" s="19">
        <v>0.26545560630495496</v>
      </c>
      <c r="W20" s="157" t="s">
        <v>285</v>
      </c>
      <c r="X20" s="159">
        <v>0.98457797854277918</v>
      </c>
      <c r="Y20" s="159">
        <v>0.73447223153025987</v>
      </c>
      <c r="Z20" s="159" t="e">
        <v>#N/A</v>
      </c>
      <c r="AA20" s="157" t="s">
        <v>405</v>
      </c>
    </row>
    <row r="21" spans="15:27" ht="15.75" thickBot="1" x14ac:dyDescent="0.3">
      <c r="O21" s="20" t="s">
        <v>448</v>
      </c>
      <c r="P21" s="20">
        <v>0</v>
      </c>
      <c r="Q21" s="20">
        <v>0</v>
      </c>
      <c r="R21" s="20">
        <v>65535</v>
      </c>
      <c r="S21" s="20" t="e">
        <v>#NUM!</v>
      </c>
      <c r="T21" s="20">
        <v>0</v>
      </c>
      <c r="U21" s="20">
        <v>0</v>
      </c>
      <c r="W21" s="157" t="s">
        <v>135</v>
      </c>
      <c r="X21" s="159">
        <v>383.0540560226413</v>
      </c>
      <c r="Y21" s="159">
        <v>6</v>
      </c>
      <c r="Z21" s="159" t="e">
        <v>#N/A</v>
      </c>
      <c r="AA21" s="157" t="s">
        <v>406</v>
      </c>
    </row>
    <row r="22" spans="15:27" x14ac:dyDescent="0.25">
      <c r="W22" s="157" t="s">
        <v>407</v>
      </c>
      <c r="X22" s="159">
        <v>206.63830324666577</v>
      </c>
      <c r="Y22" s="159">
        <v>3.2366967533342383</v>
      </c>
      <c r="Z22" s="159" t="e">
        <v>#N/A</v>
      </c>
      <c r="AA22" s="157" t="s">
        <v>408</v>
      </c>
    </row>
    <row r="23" spans="15:27" x14ac:dyDescent="0.25">
      <c r="O23" s="1" t="s">
        <v>450</v>
      </c>
    </row>
    <row r="25" spans="15:27" x14ac:dyDescent="0.25">
      <c r="O25" t="s">
        <v>290</v>
      </c>
      <c r="W25" t="s">
        <v>301</v>
      </c>
    </row>
    <row r="26" spans="15:27" ht="15.75" thickBot="1" x14ac:dyDescent="0.3"/>
    <row r="27" spans="15:27" x14ac:dyDescent="0.25">
      <c r="O27" s="21" t="s">
        <v>291</v>
      </c>
      <c r="P27" s="21"/>
      <c r="W27" s="18" t="s">
        <v>302</v>
      </c>
      <c r="X27" s="18" t="s">
        <v>449</v>
      </c>
      <c r="Y27" s="18" t="s">
        <v>303</v>
      </c>
      <c r="Z27" s="18" t="s">
        <v>420</v>
      </c>
    </row>
    <row r="28" spans="15:27" x14ac:dyDescent="0.25">
      <c r="O28" s="19" t="s">
        <v>292</v>
      </c>
      <c r="P28" s="19">
        <v>0.99225902794722864</v>
      </c>
      <c r="W28" s="19">
        <v>1</v>
      </c>
      <c r="X28" s="19">
        <v>4.9030715344200448</v>
      </c>
      <c r="Y28" s="19">
        <v>-0.90307153442004484</v>
      </c>
      <c r="Z28" s="19">
        <v>-1.3280675555053323</v>
      </c>
    </row>
    <row r="29" spans="15:27" x14ac:dyDescent="0.25">
      <c r="O29" s="19" t="s">
        <v>285</v>
      </c>
      <c r="P29" s="19">
        <v>0.98457797854277918</v>
      </c>
      <c r="W29" s="19">
        <v>2</v>
      </c>
      <c r="X29" s="19">
        <v>7.4985854775697156</v>
      </c>
      <c r="Y29" s="19">
        <v>-0.49858547756971561</v>
      </c>
      <c r="Z29" s="19">
        <v>-0.73322563182296396</v>
      </c>
    </row>
    <row r="30" spans="15:27" x14ac:dyDescent="0.25">
      <c r="O30" s="19" t="s">
        <v>293</v>
      </c>
      <c r="P30" s="19">
        <v>0.98200764163324239</v>
      </c>
      <c r="W30" s="19">
        <v>3</v>
      </c>
      <c r="X30" s="19">
        <v>17.880641250168395</v>
      </c>
      <c r="Y30" s="19">
        <v>-0.88064125016839512</v>
      </c>
      <c r="Z30" s="19">
        <v>-1.2950813172728219</v>
      </c>
    </row>
    <row r="31" spans="15:27" x14ac:dyDescent="0.25">
      <c r="O31" s="19" t="s">
        <v>11</v>
      </c>
      <c r="P31" s="19">
        <v>0.73447223153025987</v>
      </c>
      <c r="W31" s="19">
        <v>4</v>
      </c>
      <c r="X31" s="19">
        <v>9.6221877946921737</v>
      </c>
      <c r="Y31" s="19">
        <v>0.37781220530782633</v>
      </c>
      <c r="Z31" s="19">
        <v>0.55561504578424725</v>
      </c>
    </row>
    <row r="32" spans="15:27" ht="15.75" thickBot="1" x14ac:dyDescent="0.3">
      <c r="O32" s="20" t="s">
        <v>81</v>
      </c>
      <c r="P32" s="20">
        <v>8</v>
      </c>
      <c r="W32" s="19">
        <v>5</v>
      </c>
      <c r="X32" s="19">
        <v>12.217701737841844</v>
      </c>
      <c r="Y32" s="19">
        <v>0.78229826215815557</v>
      </c>
      <c r="Z32" s="19">
        <v>1.1504569694666156</v>
      </c>
    </row>
    <row r="33" spans="15:26" x14ac:dyDescent="0.25">
      <c r="W33" s="19">
        <v>6</v>
      </c>
      <c r="X33" s="19">
        <v>2.5435134042839813</v>
      </c>
      <c r="Y33" s="19">
        <v>0.45648659571601868</v>
      </c>
      <c r="Z33" s="19">
        <v>0.67131452402921343</v>
      </c>
    </row>
    <row r="34" spans="15:26" ht="15.75" thickBot="1" x14ac:dyDescent="0.3">
      <c r="O34" t="s">
        <v>294</v>
      </c>
      <c r="W34" s="19">
        <v>7</v>
      </c>
      <c r="X34" s="19">
        <v>14.341304054964302</v>
      </c>
      <c r="Y34" s="19">
        <v>0.65869594503569751</v>
      </c>
      <c r="Z34" s="19">
        <v>0.96868595698415838</v>
      </c>
    </row>
    <row r="35" spans="15:26" ht="15.75" thickBot="1" x14ac:dyDescent="0.3">
      <c r="O35" s="18"/>
      <c r="P35" s="18" t="s">
        <v>60</v>
      </c>
      <c r="Q35" s="18" t="s">
        <v>219</v>
      </c>
      <c r="R35" s="18" t="s">
        <v>240</v>
      </c>
      <c r="S35" s="18" t="s">
        <v>135</v>
      </c>
      <c r="T35" s="18" t="s">
        <v>297</v>
      </c>
      <c r="W35" s="20">
        <v>8</v>
      </c>
      <c r="X35" s="20">
        <v>15.992994746059546</v>
      </c>
      <c r="Y35" s="20">
        <v>7.005253940453926E-3</v>
      </c>
      <c r="Z35" s="20">
        <v>1.0302008336878258E-2</v>
      </c>
    </row>
    <row r="36" spans="15:26" x14ac:dyDescent="0.25">
      <c r="O36" s="19" t="s">
        <v>222</v>
      </c>
      <c r="P36" s="19">
        <v>1</v>
      </c>
      <c r="Q36" s="19">
        <v>206.63830324666577</v>
      </c>
      <c r="R36" s="19">
        <v>206.63830324666577</v>
      </c>
      <c r="S36" s="19">
        <v>383.0540560226413</v>
      </c>
      <c r="T36" s="19">
        <v>1.1529266812611095E-6</v>
      </c>
    </row>
    <row r="37" spans="15:26" x14ac:dyDescent="0.25">
      <c r="O37" s="19" t="s">
        <v>295</v>
      </c>
      <c r="P37" s="19">
        <v>6</v>
      </c>
      <c r="Q37" s="19">
        <v>3.2366967533342383</v>
      </c>
      <c r="R37" s="19">
        <v>0.53944945888903972</v>
      </c>
      <c r="S37" s="19"/>
      <c r="T37" s="19"/>
    </row>
    <row r="38" spans="15:26" ht="15.75" thickBot="1" x14ac:dyDescent="0.3">
      <c r="O38" s="20" t="s">
        <v>1</v>
      </c>
      <c r="P38" s="20">
        <v>7</v>
      </c>
      <c r="Q38" s="20">
        <v>209.875</v>
      </c>
      <c r="R38" s="20"/>
      <c r="S38" s="20"/>
      <c r="T38" s="20"/>
      <c r="W38" t="s">
        <v>1663</v>
      </c>
    </row>
    <row r="39" spans="15:26" ht="15.75" thickBot="1" x14ac:dyDescent="0.3">
      <c r="W39" s="157"/>
      <c r="X39" s="158" t="s">
        <v>42</v>
      </c>
      <c r="Y39" s="158" t="s">
        <v>400</v>
      </c>
      <c r="Z39" s="157"/>
    </row>
    <row r="40" spans="15:26" x14ac:dyDescent="0.25">
      <c r="O40" s="18"/>
      <c r="P40" s="18" t="s">
        <v>298</v>
      </c>
      <c r="Q40" s="18" t="s">
        <v>11</v>
      </c>
      <c r="R40" s="18" t="s">
        <v>85</v>
      </c>
      <c r="S40" s="18" t="s">
        <v>119</v>
      </c>
      <c r="T40" s="18" t="s">
        <v>299</v>
      </c>
      <c r="U40" s="18" t="s">
        <v>300</v>
      </c>
      <c r="W40" s="157" t="s">
        <v>281</v>
      </c>
      <c r="X40" s="159">
        <f t="array" ref="X40:Y44">LINEST(C4:C11,A4:A11,TRUE,TRUE)</f>
        <v>0.23595581301360641</v>
      </c>
      <c r="Y40" s="159">
        <v>-3.1194261080425729</v>
      </c>
      <c r="Z40" s="157" t="s">
        <v>282</v>
      </c>
    </row>
    <row r="41" spans="15:26" x14ac:dyDescent="0.25">
      <c r="O41" s="19" t="s">
        <v>296</v>
      </c>
      <c r="P41" s="19">
        <v>-3.1194261080425729</v>
      </c>
      <c r="Q41" s="19">
        <v>0.74873040198404328</v>
      </c>
      <c r="R41" s="19">
        <v>-4.1662874911670187</v>
      </c>
      <c r="S41" s="19">
        <v>5.9028935064076244E-3</v>
      </c>
      <c r="T41" s="19">
        <v>-4.951503401969866</v>
      </c>
      <c r="U41" s="19">
        <v>-1.2873488141152802</v>
      </c>
      <c r="W41" s="157" t="s">
        <v>403</v>
      </c>
      <c r="X41" s="159">
        <v>1.2055928078301989E-2</v>
      </c>
      <c r="Y41" s="159">
        <v>0.74873040198404328</v>
      </c>
      <c r="Z41" s="157" t="s">
        <v>404</v>
      </c>
    </row>
    <row r="42" spans="15:26" ht="15.75" thickBot="1" x14ac:dyDescent="0.3">
      <c r="O42" s="20" t="s">
        <v>447</v>
      </c>
      <c r="P42" s="20">
        <v>0.23595581301360641</v>
      </c>
      <c r="Q42" s="20">
        <v>1.2055928078301989E-2</v>
      </c>
      <c r="R42" s="20">
        <v>19.571766808917417</v>
      </c>
      <c r="S42" s="20">
        <v>1.1529266812611095E-6</v>
      </c>
      <c r="T42" s="20">
        <v>0.20645601972225788</v>
      </c>
      <c r="U42" s="20">
        <v>0.26545560630495496</v>
      </c>
      <c r="W42" s="157" t="s">
        <v>285</v>
      </c>
      <c r="X42" s="159">
        <v>0.98457797854277918</v>
      </c>
      <c r="Y42" s="159">
        <v>0.73447223153025987</v>
      </c>
      <c r="Z42" s="157" t="s">
        <v>405</v>
      </c>
    </row>
    <row r="43" spans="15:26" x14ac:dyDescent="0.25">
      <c r="W43" s="157" t="s">
        <v>135</v>
      </c>
      <c r="X43" s="159">
        <v>383.0540560226413</v>
      </c>
      <c r="Y43" s="159">
        <v>6</v>
      </c>
      <c r="Z43" s="157" t="s">
        <v>406</v>
      </c>
    </row>
    <row r="44" spans="15:26" x14ac:dyDescent="0.25">
      <c r="W44" s="157" t="s">
        <v>407</v>
      </c>
      <c r="X44" s="159">
        <v>206.63830324666577</v>
      </c>
      <c r="Y44" s="159">
        <v>3.2366967533342383</v>
      </c>
      <c r="Z44" s="157" t="s">
        <v>408</v>
      </c>
    </row>
  </sheetData>
  <mergeCells count="1">
    <mergeCell ref="E3:G3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B28"/>
  <sheetViews>
    <sheetView workbookViewId="0"/>
  </sheetViews>
  <sheetFormatPr defaultRowHeight="15" x14ac:dyDescent="0.25"/>
  <cols>
    <col min="1" max="1" width="13.140625" style="17" customWidth="1"/>
    <col min="2" max="8" width="11.28515625" style="17" customWidth="1"/>
    <col min="9" max="9" width="12.140625" style="17" customWidth="1"/>
    <col min="10" max="10" width="11.28515625" style="17" customWidth="1"/>
    <col min="11" max="12" width="9.140625" style="17"/>
    <col min="13" max="20" width="10.28515625" style="17" customWidth="1"/>
    <col min="21" max="21" width="9.140625" style="17"/>
    <col min="22" max="22" width="19.42578125" style="17" customWidth="1"/>
    <col min="23" max="28" width="13.140625" style="17" customWidth="1"/>
    <col min="29" max="241" width="9.140625" style="17"/>
    <col min="242" max="242" width="15" style="17" customWidth="1"/>
    <col min="243" max="251" width="11.28515625" style="17" customWidth="1"/>
    <col min="252" max="497" width="9.140625" style="17"/>
    <col min="498" max="498" width="15" style="17" customWidth="1"/>
    <col min="499" max="507" width="11.28515625" style="17" customWidth="1"/>
    <col min="508" max="753" width="9.140625" style="17"/>
    <col min="754" max="754" width="15" style="17" customWidth="1"/>
    <col min="755" max="763" width="11.28515625" style="17" customWidth="1"/>
    <col min="764" max="1009" width="9.140625" style="17"/>
    <col min="1010" max="1010" width="15" style="17" customWidth="1"/>
    <col min="1011" max="1019" width="11.28515625" style="17" customWidth="1"/>
    <col min="1020" max="1265" width="9.140625" style="17"/>
    <col min="1266" max="1266" width="15" style="17" customWidth="1"/>
    <col min="1267" max="1275" width="11.28515625" style="17" customWidth="1"/>
    <col min="1276" max="1521" width="9.140625" style="17"/>
    <col min="1522" max="1522" width="15" style="17" customWidth="1"/>
    <col min="1523" max="1531" width="11.28515625" style="17" customWidth="1"/>
    <col min="1532" max="1777" width="9.140625" style="17"/>
    <col min="1778" max="1778" width="15" style="17" customWidth="1"/>
    <col min="1779" max="1787" width="11.28515625" style="17" customWidth="1"/>
    <col min="1788" max="2033" width="9.140625" style="17"/>
    <col min="2034" max="2034" width="15" style="17" customWidth="1"/>
    <col min="2035" max="2043" width="11.28515625" style="17" customWidth="1"/>
    <col min="2044" max="2289" width="9.140625" style="17"/>
    <col min="2290" max="2290" width="15" style="17" customWidth="1"/>
    <col min="2291" max="2299" width="11.28515625" style="17" customWidth="1"/>
    <col min="2300" max="2545" width="9.140625" style="17"/>
    <col min="2546" max="2546" width="15" style="17" customWidth="1"/>
    <col min="2547" max="2555" width="11.28515625" style="17" customWidth="1"/>
    <col min="2556" max="2801" width="9.140625" style="17"/>
    <col min="2802" max="2802" width="15" style="17" customWidth="1"/>
    <col min="2803" max="2811" width="11.28515625" style="17" customWidth="1"/>
    <col min="2812" max="3057" width="9.140625" style="17"/>
    <col min="3058" max="3058" width="15" style="17" customWidth="1"/>
    <col min="3059" max="3067" width="11.28515625" style="17" customWidth="1"/>
    <col min="3068" max="3313" width="9.140625" style="17"/>
    <col min="3314" max="3314" width="15" style="17" customWidth="1"/>
    <col min="3315" max="3323" width="11.28515625" style="17" customWidth="1"/>
    <col min="3324" max="3569" width="9.140625" style="17"/>
    <col min="3570" max="3570" width="15" style="17" customWidth="1"/>
    <col min="3571" max="3579" width="11.28515625" style="17" customWidth="1"/>
    <col min="3580" max="3825" width="9.140625" style="17"/>
    <col min="3826" max="3826" width="15" style="17" customWidth="1"/>
    <col min="3827" max="3835" width="11.28515625" style="17" customWidth="1"/>
    <col min="3836" max="4081" width="9.140625" style="17"/>
    <col min="4082" max="4082" width="15" style="17" customWidth="1"/>
    <col min="4083" max="4091" width="11.28515625" style="17" customWidth="1"/>
    <col min="4092" max="4337" width="9.140625" style="17"/>
    <col min="4338" max="4338" width="15" style="17" customWidth="1"/>
    <col min="4339" max="4347" width="11.28515625" style="17" customWidth="1"/>
    <col min="4348" max="4593" width="9.140625" style="17"/>
    <col min="4594" max="4594" width="15" style="17" customWidth="1"/>
    <col min="4595" max="4603" width="11.28515625" style="17" customWidth="1"/>
    <col min="4604" max="4849" width="9.140625" style="17"/>
    <col min="4850" max="4850" width="15" style="17" customWidth="1"/>
    <col min="4851" max="4859" width="11.28515625" style="17" customWidth="1"/>
    <col min="4860" max="5105" width="9.140625" style="17"/>
    <col min="5106" max="5106" width="15" style="17" customWidth="1"/>
    <col min="5107" max="5115" width="11.28515625" style="17" customWidth="1"/>
    <col min="5116" max="5361" width="9.140625" style="17"/>
    <col min="5362" max="5362" width="15" style="17" customWidth="1"/>
    <col min="5363" max="5371" width="11.28515625" style="17" customWidth="1"/>
    <col min="5372" max="5617" width="9.140625" style="17"/>
    <col min="5618" max="5618" width="15" style="17" customWidth="1"/>
    <col min="5619" max="5627" width="11.28515625" style="17" customWidth="1"/>
    <col min="5628" max="5873" width="9.140625" style="17"/>
    <col min="5874" max="5874" width="15" style="17" customWidth="1"/>
    <col min="5875" max="5883" width="11.28515625" style="17" customWidth="1"/>
    <col min="5884" max="6129" width="9.140625" style="17"/>
    <col min="6130" max="6130" width="15" style="17" customWidth="1"/>
    <col min="6131" max="6139" width="11.28515625" style="17" customWidth="1"/>
    <col min="6140" max="6385" width="9.140625" style="17"/>
    <col min="6386" max="6386" width="15" style="17" customWidth="1"/>
    <col min="6387" max="6395" width="11.28515625" style="17" customWidth="1"/>
    <col min="6396" max="6641" width="9.140625" style="17"/>
    <col min="6642" max="6642" width="15" style="17" customWidth="1"/>
    <col min="6643" max="6651" width="11.28515625" style="17" customWidth="1"/>
    <col min="6652" max="6897" width="9.140625" style="17"/>
    <col min="6898" max="6898" width="15" style="17" customWidth="1"/>
    <col min="6899" max="6907" width="11.28515625" style="17" customWidth="1"/>
    <col min="6908" max="7153" width="9.140625" style="17"/>
    <col min="7154" max="7154" width="15" style="17" customWidth="1"/>
    <col min="7155" max="7163" width="11.28515625" style="17" customWidth="1"/>
    <col min="7164" max="7409" width="9.140625" style="17"/>
    <col min="7410" max="7410" width="15" style="17" customWidth="1"/>
    <col min="7411" max="7419" width="11.28515625" style="17" customWidth="1"/>
    <col min="7420" max="7665" width="9.140625" style="17"/>
    <col min="7666" max="7666" width="15" style="17" customWidth="1"/>
    <col min="7667" max="7675" width="11.28515625" style="17" customWidth="1"/>
    <col min="7676" max="7921" width="9.140625" style="17"/>
    <col min="7922" max="7922" width="15" style="17" customWidth="1"/>
    <col min="7923" max="7931" width="11.28515625" style="17" customWidth="1"/>
    <col min="7932" max="8177" width="9.140625" style="17"/>
    <col min="8178" max="8178" width="15" style="17" customWidth="1"/>
    <col min="8179" max="8187" width="11.28515625" style="17" customWidth="1"/>
    <col min="8188" max="8433" width="9.140625" style="17"/>
    <col min="8434" max="8434" width="15" style="17" customWidth="1"/>
    <col min="8435" max="8443" width="11.28515625" style="17" customWidth="1"/>
    <col min="8444" max="8689" width="9.140625" style="17"/>
    <col min="8690" max="8690" width="15" style="17" customWidth="1"/>
    <col min="8691" max="8699" width="11.28515625" style="17" customWidth="1"/>
    <col min="8700" max="8945" width="9.140625" style="17"/>
    <col min="8946" max="8946" width="15" style="17" customWidth="1"/>
    <col min="8947" max="8955" width="11.28515625" style="17" customWidth="1"/>
    <col min="8956" max="9201" width="9.140625" style="17"/>
    <col min="9202" max="9202" width="15" style="17" customWidth="1"/>
    <col min="9203" max="9211" width="11.28515625" style="17" customWidth="1"/>
    <col min="9212" max="9457" width="9.140625" style="17"/>
    <col min="9458" max="9458" width="15" style="17" customWidth="1"/>
    <col min="9459" max="9467" width="11.28515625" style="17" customWidth="1"/>
    <col min="9468" max="9713" width="9.140625" style="17"/>
    <col min="9714" max="9714" width="15" style="17" customWidth="1"/>
    <col min="9715" max="9723" width="11.28515625" style="17" customWidth="1"/>
    <col min="9724" max="9969" width="9.140625" style="17"/>
    <col min="9970" max="9970" width="15" style="17" customWidth="1"/>
    <col min="9971" max="9979" width="11.28515625" style="17" customWidth="1"/>
    <col min="9980" max="10225" width="9.140625" style="17"/>
    <col min="10226" max="10226" width="15" style="17" customWidth="1"/>
    <col min="10227" max="10235" width="11.28515625" style="17" customWidth="1"/>
    <col min="10236" max="10481" width="9.140625" style="17"/>
    <col min="10482" max="10482" width="15" style="17" customWidth="1"/>
    <col min="10483" max="10491" width="11.28515625" style="17" customWidth="1"/>
    <col min="10492" max="10737" width="9.140625" style="17"/>
    <col min="10738" max="10738" width="15" style="17" customWidth="1"/>
    <col min="10739" max="10747" width="11.28515625" style="17" customWidth="1"/>
    <col min="10748" max="10993" width="9.140625" style="17"/>
    <col min="10994" max="10994" width="15" style="17" customWidth="1"/>
    <col min="10995" max="11003" width="11.28515625" style="17" customWidth="1"/>
    <col min="11004" max="11249" width="9.140625" style="17"/>
    <col min="11250" max="11250" width="15" style="17" customWidth="1"/>
    <col min="11251" max="11259" width="11.28515625" style="17" customWidth="1"/>
    <col min="11260" max="11505" width="9.140625" style="17"/>
    <col min="11506" max="11506" width="15" style="17" customWidth="1"/>
    <col min="11507" max="11515" width="11.28515625" style="17" customWidth="1"/>
    <col min="11516" max="11761" width="9.140625" style="17"/>
    <col min="11762" max="11762" width="15" style="17" customWidth="1"/>
    <col min="11763" max="11771" width="11.28515625" style="17" customWidth="1"/>
    <col min="11772" max="12017" width="9.140625" style="17"/>
    <col min="12018" max="12018" width="15" style="17" customWidth="1"/>
    <col min="12019" max="12027" width="11.28515625" style="17" customWidth="1"/>
    <col min="12028" max="12273" width="9.140625" style="17"/>
    <col min="12274" max="12274" width="15" style="17" customWidth="1"/>
    <col min="12275" max="12283" width="11.28515625" style="17" customWidth="1"/>
    <col min="12284" max="12529" width="9.140625" style="17"/>
    <col min="12530" max="12530" width="15" style="17" customWidth="1"/>
    <col min="12531" max="12539" width="11.28515625" style="17" customWidth="1"/>
    <col min="12540" max="12785" width="9.140625" style="17"/>
    <col min="12786" max="12786" width="15" style="17" customWidth="1"/>
    <col min="12787" max="12795" width="11.28515625" style="17" customWidth="1"/>
    <col min="12796" max="13041" width="9.140625" style="17"/>
    <col min="13042" max="13042" width="15" style="17" customWidth="1"/>
    <col min="13043" max="13051" width="11.28515625" style="17" customWidth="1"/>
    <col min="13052" max="13297" width="9.140625" style="17"/>
    <col min="13298" max="13298" width="15" style="17" customWidth="1"/>
    <col min="13299" max="13307" width="11.28515625" style="17" customWidth="1"/>
    <col min="13308" max="13553" width="9.140625" style="17"/>
    <col min="13554" max="13554" width="15" style="17" customWidth="1"/>
    <col min="13555" max="13563" width="11.28515625" style="17" customWidth="1"/>
    <col min="13564" max="13809" width="9.140625" style="17"/>
    <col min="13810" max="13810" width="15" style="17" customWidth="1"/>
    <col min="13811" max="13819" width="11.28515625" style="17" customWidth="1"/>
    <col min="13820" max="14065" width="9.140625" style="17"/>
    <col min="14066" max="14066" width="15" style="17" customWidth="1"/>
    <col min="14067" max="14075" width="11.28515625" style="17" customWidth="1"/>
    <col min="14076" max="14321" width="9.140625" style="17"/>
    <col min="14322" max="14322" width="15" style="17" customWidth="1"/>
    <col min="14323" max="14331" width="11.28515625" style="17" customWidth="1"/>
    <col min="14332" max="14577" width="9.140625" style="17"/>
    <col min="14578" max="14578" width="15" style="17" customWidth="1"/>
    <col min="14579" max="14587" width="11.28515625" style="17" customWidth="1"/>
    <col min="14588" max="14833" width="9.140625" style="17"/>
    <col min="14834" max="14834" width="15" style="17" customWidth="1"/>
    <col min="14835" max="14843" width="11.28515625" style="17" customWidth="1"/>
    <col min="14844" max="15089" width="9.140625" style="17"/>
    <col min="15090" max="15090" width="15" style="17" customWidth="1"/>
    <col min="15091" max="15099" width="11.28515625" style="17" customWidth="1"/>
    <col min="15100" max="15345" width="9.140625" style="17"/>
    <col min="15346" max="15346" width="15" style="17" customWidth="1"/>
    <col min="15347" max="15355" width="11.28515625" style="17" customWidth="1"/>
    <col min="15356" max="15601" width="9.140625" style="17"/>
    <col min="15602" max="15602" width="15" style="17" customWidth="1"/>
    <col min="15603" max="15611" width="11.28515625" style="17" customWidth="1"/>
    <col min="15612" max="15857" width="9.140625" style="17"/>
    <col min="15858" max="15858" width="15" style="17" customWidth="1"/>
    <col min="15859" max="15867" width="11.28515625" style="17" customWidth="1"/>
    <col min="15868" max="16113" width="9.140625" style="17"/>
    <col min="16114" max="16114" width="15" style="17" customWidth="1"/>
    <col min="16115" max="16123" width="11.28515625" style="17" customWidth="1"/>
    <col min="16124" max="16384" width="9.140625" style="17"/>
  </cols>
  <sheetData>
    <row r="1" spans="1:27" x14ac:dyDescent="0.25">
      <c r="A1" s="922" t="s">
        <v>1304</v>
      </c>
      <c r="B1" s="667"/>
      <c r="C1" s="667"/>
      <c r="D1" s="667"/>
      <c r="E1" s="667"/>
      <c r="F1" s="667"/>
      <c r="G1" s="667"/>
      <c r="H1" s="667"/>
      <c r="I1" s="667"/>
      <c r="J1" s="667"/>
      <c r="M1" s="17" t="s">
        <v>1309</v>
      </c>
    </row>
    <row r="2" spans="1:27" x14ac:dyDescent="0.25">
      <c r="A2" s="667"/>
      <c r="B2" s="667"/>
      <c r="C2" s="667"/>
      <c r="D2" s="667"/>
      <c r="E2" s="667"/>
      <c r="F2" s="667"/>
      <c r="G2" s="667"/>
      <c r="H2" s="667"/>
      <c r="I2" s="667"/>
      <c r="J2" s="667"/>
    </row>
    <row r="3" spans="1:27" x14ac:dyDescent="0.25">
      <c r="A3" s="702"/>
      <c r="B3" s="703" t="s">
        <v>143</v>
      </c>
      <c r="C3" s="703" t="s">
        <v>144</v>
      </c>
      <c r="D3" s="703" t="s">
        <v>145</v>
      </c>
      <c r="E3" s="703" t="s">
        <v>146</v>
      </c>
      <c r="F3" s="703" t="s">
        <v>147</v>
      </c>
      <c r="G3" s="703" t="s">
        <v>148</v>
      </c>
      <c r="H3" s="703" t="s">
        <v>149</v>
      </c>
      <c r="I3" s="703" t="s">
        <v>150</v>
      </c>
      <c r="J3" s="703" t="s">
        <v>3</v>
      </c>
      <c r="M3" s="703" t="s">
        <v>144</v>
      </c>
      <c r="N3" s="703" t="s">
        <v>145</v>
      </c>
      <c r="O3" s="703" t="s">
        <v>147</v>
      </c>
      <c r="P3" s="703" t="s">
        <v>148</v>
      </c>
      <c r="Q3" s="703" t="s">
        <v>149</v>
      </c>
      <c r="R3" s="703" t="s">
        <v>150</v>
      </c>
      <c r="S3" s="703" t="s">
        <v>3</v>
      </c>
      <c r="T3" s="703" t="s">
        <v>146</v>
      </c>
      <c r="V3" s="17" t="s">
        <v>290</v>
      </c>
    </row>
    <row r="4" spans="1:27" ht="15.75" thickBot="1" x14ac:dyDescent="0.3">
      <c r="A4" s="667" t="s">
        <v>151</v>
      </c>
      <c r="B4" s="704">
        <v>15.7</v>
      </c>
      <c r="C4" s="705">
        <v>9</v>
      </c>
      <c r="D4" s="706">
        <v>71.027177760140717</v>
      </c>
      <c r="E4" s="707">
        <v>448</v>
      </c>
      <c r="F4" s="708">
        <v>218.17340830567619</v>
      </c>
      <c r="G4" s="709">
        <v>1.81</v>
      </c>
      <c r="H4" s="710">
        <v>22</v>
      </c>
      <c r="I4" s="711">
        <v>5</v>
      </c>
      <c r="J4" s="712">
        <v>42666</v>
      </c>
      <c r="M4" s="705">
        <v>9</v>
      </c>
      <c r="N4" s="706">
        <v>71.027177760140717</v>
      </c>
      <c r="O4" s="708">
        <v>218.17340830567619</v>
      </c>
      <c r="P4" s="709">
        <v>1.81</v>
      </c>
      <c r="Q4" s="710">
        <v>22</v>
      </c>
      <c r="R4" s="711">
        <v>5</v>
      </c>
      <c r="S4" s="712">
        <v>42666</v>
      </c>
      <c r="T4" s="707">
        <v>448</v>
      </c>
    </row>
    <row r="5" spans="1:27" x14ac:dyDescent="0.25">
      <c r="A5" s="667" t="s">
        <v>152</v>
      </c>
      <c r="B5" s="704">
        <v>8.4</v>
      </c>
      <c r="C5" s="705">
        <v>6.9</v>
      </c>
      <c r="D5" s="706">
        <v>70.62318863808899</v>
      </c>
      <c r="E5" s="707">
        <v>661.2</v>
      </c>
      <c r="F5" s="708">
        <v>228.45028196578826</v>
      </c>
      <c r="G5" s="709">
        <v>1.63</v>
      </c>
      <c r="H5" s="710">
        <v>27.3</v>
      </c>
      <c r="I5" s="711">
        <v>6.7</v>
      </c>
      <c r="J5" s="712">
        <v>68460</v>
      </c>
      <c r="M5" s="705">
        <v>6.9</v>
      </c>
      <c r="N5" s="706">
        <v>70.62318863808899</v>
      </c>
      <c r="O5" s="708">
        <v>228.45028196578826</v>
      </c>
      <c r="P5" s="709">
        <v>1.63</v>
      </c>
      <c r="Q5" s="710">
        <v>27.3</v>
      </c>
      <c r="R5" s="711">
        <v>6.7</v>
      </c>
      <c r="S5" s="712">
        <v>68460</v>
      </c>
      <c r="T5" s="707">
        <v>661.2</v>
      </c>
      <c r="V5" s="21" t="s">
        <v>291</v>
      </c>
      <c r="W5" s="21"/>
    </row>
    <row r="6" spans="1:27" x14ac:dyDescent="0.25">
      <c r="A6" s="667" t="s">
        <v>153</v>
      </c>
      <c r="B6" s="704">
        <v>14.7</v>
      </c>
      <c r="C6" s="705">
        <v>6.4</v>
      </c>
      <c r="D6" s="706">
        <v>86.505696765320337</v>
      </c>
      <c r="E6" s="707">
        <v>482.7</v>
      </c>
      <c r="F6" s="708">
        <v>209.66657175716827</v>
      </c>
      <c r="G6" s="709">
        <v>1.69</v>
      </c>
      <c r="H6" s="710">
        <v>25.1</v>
      </c>
      <c r="I6" s="711">
        <v>5.5</v>
      </c>
      <c r="J6" s="712">
        <v>50958</v>
      </c>
      <c r="M6" s="705">
        <v>6.4</v>
      </c>
      <c r="N6" s="706">
        <v>86.505696765320337</v>
      </c>
      <c r="O6" s="708">
        <v>209.66657175716827</v>
      </c>
      <c r="P6" s="709">
        <v>1.69</v>
      </c>
      <c r="Q6" s="710">
        <v>25.1</v>
      </c>
      <c r="R6" s="711">
        <v>5.5</v>
      </c>
      <c r="S6" s="712">
        <v>50958</v>
      </c>
      <c r="T6" s="707">
        <v>482.7</v>
      </c>
      <c r="V6" s="636" t="s">
        <v>292</v>
      </c>
      <c r="W6" s="636">
        <v>0.71976617776723262</v>
      </c>
    </row>
    <row r="7" spans="1:27" x14ac:dyDescent="0.25">
      <c r="A7" s="667" t="s">
        <v>154</v>
      </c>
      <c r="B7" s="704">
        <v>17.3</v>
      </c>
      <c r="C7" s="705">
        <v>8.5</v>
      </c>
      <c r="D7" s="706">
        <v>80.783955956979611</v>
      </c>
      <c r="E7" s="707">
        <v>529.4</v>
      </c>
      <c r="F7" s="708">
        <v>203.42285988234826</v>
      </c>
      <c r="G7" s="709">
        <v>1.96</v>
      </c>
      <c r="H7" s="710">
        <v>18.8</v>
      </c>
      <c r="I7" s="711">
        <v>5.0999999999999996</v>
      </c>
      <c r="J7" s="712">
        <v>38815</v>
      </c>
      <c r="M7" s="705">
        <v>8.5</v>
      </c>
      <c r="N7" s="706">
        <v>80.783955956979611</v>
      </c>
      <c r="O7" s="708">
        <v>203.42285988234826</v>
      </c>
      <c r="P7" s="709">
        <v>1.96</v>
      </c>
      <c r="Q7" s="710">
        <v>18.8</v>
      </c>
      <c r="R7" s="711">
        <v>5.0999999999999996</v>
      </c>
      <c r="S7" s="712">
        <v>38815</v>
      </c>
      <c r="T7" s="707">
        <v>529.4</v>
      </c>
      <c r="V7" s="636" t="s">
        <v>285</v>
      </c>
      <c r="W7" s="636">
        <v>0.51806335065765152</v>
      </c>
    </row>
    <row r="8" spans="1:27" x14ac:dyDescent="0.25">
      <c r="A8" s="667" t="s">
        <v>155</v>
      </c>
      <c r="B8" s="704">
        <v>13.3</v>
      </c>
      <c r="C8" s="705">
        <v>5</v>
      </c>
      <c r="D8" s="706">
        <v>76.640052174481781</v>
      </c>
      <c r="E8" s="707">
        <v>522.6</v>
      </c>
      <c r="F8" s="708">
        <v>268.69056049813605</v>
      </c>
      <c r="G8" s="709">
        <v>1.21</v>
      </c>
      <c r="H8" s="710">
        <v>29.6</v>
      </c>
      <c r="I8" s="711">
        <v>7.2</v>
      </c>
      <c r="J8" s="712">
        <v>61021</v>
      </c>
      <c r="M8" s="705">
        <v>5</v>
      </c>
      <c r="N8" s="706">
        <v>76.640052174481781</v>
      </c>
      <c r="O8" s="708">
        <v>268.69056049813605</v>
      </c>
      <c r="P8" s="709">
        <v>1.21</v>
      </c>
      <c r="Q8" s="710">
        <v>29.6</v>
      </c>
      <c r="R8" s="711">
        <v>7.2</v>
      </c>
      <c r="S8" s="712">
        <v>61021</v>
      </c>
      <c r="T8" s="707">
        <v>522.6</v>
      </c>
      <c r="V8" s="636" t="s">
        <v>293</v>
      </c>
      <c r="W8" s="636">
        <v>-0.32532578569145842</v>
      </c>
    </row>
    <row r="9" spans="1:27" x14ac:dyDescent="0.25">
      <c r="A9" s="667" t="s">
        <v>156</v>
      </c>
      <c r="B9" s="704">
        <v>11.4</v>
      </c>
      <c r="C9" s="705">
        <v>5.7</v>
      </c>
      <c r="D9" s="706">
        <v>89.734092175332663</v>
      </c>
      <c r="E9" s="707">
        <v>347.8</v>
      </c>
      <c r="F9" s="708">
        <v>259.68608874672964</v>
      </c>
      <c r="G9" s="709">
        <v>1.1399999999999999</v>
      </c>
      <c r="H9" s="710">
        <v>35.6</v>
      </c>
      <c r="I9" s="711">
        <v>4.9000000000000004</v>
      </c>
      <c r="J9" s="712">
        <v>56993</v>
      </c>
      <c r="M9" s="705">
        <v>5.7</v>
      </c>
      <c r="N9" s="706">
        <v>89.734092175332663</v>
      </c>
      <c r="O9" s="708">
        <v>259.68608874672964</v>
      </c>
      <c r="P9" s="709">
        <v>1.1399999999999999</v>
      </c>
      <c r="Q9" s="710">
        <v>35.6</v>
      </c>
      <c r="R9" s="711">
        <v>4.9000000000000004</v>
      </c>
      <c r="S9" s="712">
        <v>56993</v>
      </c>
      <c r="T9" s="707">
        <v>347.8</v>
      </c>
      <c r="V9" s="636" t="s">
        <v>11</v>
      </c>
      <c r="W9" s="636">
        <v>192.83508992801839</v>
      </c>
    </row>
    <row r="10" spans="1:27" ht="15.75" thickBot="1" x14ac:dyDescent="0.3">
      <c r="A10" s="667" t="s">
        <v>157</v>
      </c>
      <c r="B10" s="704">
        <v>9.3000000000000007</v>
      </c>
      <c r="C10" s="705">
        <v>6.2</v>
      </c>
      <c r="D10" s="706">
        <v>84.278652322083644</v>
      </c>
      <c r="E10" s="707">
        <v>256</v>
      </c>
      <c r="F10" s="708">
        <v>376.3752669155395</v>
      </c>
      <c r="G10" s="709">
        <v>0.86</v>
      </c>
      <c r="H10" s="710">
        <v>35.6</v>
      </c>
      <c r="I10" s="711">
        <v>5.7</v>
      </c>
      <c r="J10" s="712">
        <v>68595</v>
      </c>
      <c r="M10" s="705">
        <v>6.2</v>
      </c>
      <c r="N10" s="706">
        <v>84.278652322083644</v>
      </c>
      <c r="O10" s="708">
        <v>376.3752669155395</v>
      </c>
      <c r="P10" s="709">
        <v>0.86</v>
      </c>
      <c r="Q10" s="710">
        <v>35.6</v>
      </c>
      <c r="R10" s="711">
        <v>5.7</v>
      </c>
      <c r="S10" s="712">
        <v>68595</v>
      </c>
      <c r="T10" s="707">
        <v>256</v>
      </c>
      <c r="V10" s="640" t="s">
        <v>81</v>
      </c>
      <c r="W10" s="640">
        <v>12</v>
      </c>
    </row>
    <row r="11" spans="1:27" x14ac:dyDescent="0.25">
      <c r="A11" s="667" t="s">
        <v>158</v>
      </c>
      <c r="B11" s="713">
        <v>10</v>
      </c>
      <c r="C11" s="705">
        <v>8.3000000000000007</v>
      </c>
      <c r="D11" s="706">
        <v>74.266056727126113</v>
      </c>
      <c r="E11" s="707">
        <v>689.2</v>
      </c>
      <c r="F11" s="708">
        <v>250.94175668510928</v>
      </c>
      <c r="G11" s="709">
        <v>1.23</v>
      </c>
      <c r="H11" s="710">
        <v>27.5</v>
      </c>
      <c r="I11" s="711">
        <v>4.8</v>
      </c>
      <c r="J11" s="712">
        <v>57989</v>
      </c>
      <c r="M11" s="705">
        <v>8.3000000000000007</v>
      </c>
      <c r="N11" s="706">
        <v>74.266056727126113</v>
      </c>
      <c r="O11" s="708">
        <v>250.94175668510928</v>
      </c>
      <c r="P11" s="709">
        <v>1.23</v>
      </c>
      <c r="Q11" s="710">
        <v>27.5</v>
      </c>
      <c r="R11" s="711">
        <v>4.8</v>
      </c>
      <c r="S11" s="712">
        <v>57989</v>
      </c>
      <c r="T11" s="707">
        <v>689.2</v>
      </c>
    </row>
    <row r="12" spans="1:27" ht="15.75" thickBot="1" x14ac:dyDescent="0.3">
      <c r="A12" s="667" t="s">
        <v>159</v>
      </c>
      <c r="B12" s="704">
        <v>13.2</v>
      </c>
      <c r="C12" s="705">
        <v>7.3</v>
      </c>
      <c r="D12" s="706">
        <v>79.811068541941054</v>
      </c>
      <c r="E12" s="707">
        <v>722.6</v>
      </c>
      <c r="F12" s="708">
        <v>247.86359820579941</v>
      </c>
      <c r="G12" s="709">
        <v>1.56</v>
      </c>
      <c r="H12" s="710">
        <v>25.8</v>
      </c>
      <c r="I12" s="711">
        <v>6.2</v>
      </c>
      <c r="J12" s="712">
        <v>47778</v>
      </c>
      <c r="M12" s="705">
        <v>7.3</v>
      </c>
      <c r="N12" s="706">
        <v>79.811068541941054</v>
      </c>
      <c r="O12" s="708">
        <v>247.86359820579941</v>
      </c>
      <c r="P12" s="709">
        <v>1.56</v>
      </c>
      <c r="Q12" s="710">
        <v>25.8</v>
      </c>
      <c r="R12" s="711">
        <v>6.2</v>
      </c>
      <c r="S12" s="712">
        <v>47778</v>
      </c>
      <c r="T12" s="707">
        <v>722.6</v>
      </c>
      <c r="V12" s="17" t="s">
        <v>294</v>
      </c>
    </row>
    <row r="13" spans="1:27" x14ac:dyDescent="0.25">
      <c r="A13" s="667" t="s">
        <v>160</v>
      </c>
      <c r="B13" s="704">
        <v>14.7</v>
      </c>
      <c r="C13" s="705">
        <v>8.1</v>
      </c>
      <c r="D13" s="706">
        <v>65.387718279566343</v>
      </c>
      <c r="E13" s="707">
        <v>493.2</v>
      </c>
      <c r="F13" s="708">
        <v>217.44570184044454</v>
      </c>
      <c r="G13" s="709">
        <v>1.46</v>
      </c>
      <c r="H13" s="710">
        <v>27.5</v>
      </c>
      <c r="I13" s="711">
        <v>6.2</v>
      </c>
      <c r="J13" s="712">
        <v>50861</v>
      </c>
      <c r="M13" s="705">
        <v>8.1</v>
      </c>
      <c r="N13" s="706">
        <v>65.387718279566343</v>
      </c>
      <c r="O13" s="708">
        <v>217.44570184044454</v>
      </c>
      <c r="P13" s="709">
        <v>1.46</v>
      </c>
      <c r="Q13" s="710">
        <v>27.5</v>
      </c>
      <c r="R13" s="711">
        <v>6.2</v>
      </c>
      <c r="S13" s="712">
        <v>50861</v>
      </c>
      <c r="T13" s="707">
        <v>493.2</v>
      </c>
      <c r="V13" s="919"/>
      <c r="W13" s="919" t="s">
        <v>60</v>
      </c>
      <c r="X13" s="919" t="s">
        <v>219</v>
      </c>
      <c r="Y13" s="919" t="s">
        <v>240</v>
      </c>
      <c r="Z13" s="919" t="s">
        <v>135</v>
      </c>
      <c r="AA13" s="919" t="s">
        <v>297</v>
      </c>
    </row>
    <row r="14" spans="1:27" x14ac:dyDescent="0.25">
      <c r="A14" s="667" t="s">
        <v>161</v>
      </c>
      <c r="B14" s="704">
        <v>9.1</v>
      </c>
      <c r="C14" s="705">
        <v>5.6</v>
      </c>
      <c r="D14" s="706">
        <v>29.667333748383395</v>
      </c>
      <c r="E14" s="707">
        <v>272.8</v>
      </c>
      <c r="F14" s="708">
        <v>316.98289278791503</v>
      </c>
      <c r="G14" s="709">
        <v>1.33</v>
      </c>
      <c r="H14" s="710">
        <v>29.1</v>
      </c>
      <c r="I14" s="711">
        <v>3.9</v>
      </c>
      <c r="J14" s="712">
        <v>67214</v>
      </c>
      <c r="M14" s="705">
        <v>5.6</v>
      </c>
      <c r="N14" s="706">
        <v>29.667333748383395</v>
      </c>
      <c r="O14" s="708">
        <v>316.98289278791503</v>
      </c>
      <c r="P14" s="709">
        <v>1.33</v>
      </c>
      <c r="Q14" s="710">
        <v>29.1</v>
      </c>
      <c r="R14" s="711">
        <v>3.9</v>
      </c>
      <c r="S14" s="712">
        <v>67214</v>
      </c>
      <c r="T14" s="707">
        <v>272.8</v>
      </c>
      <c r="V14" s="636" t="s">
        <v>222</v>
      </c>
      <c r="W14" s="636">
        <v>7</v>
      </c>
      <c r="X14" s="636">
        <v>159891.37486981228</v>
      </c>
      <c r="Y14" s="636">
        <v>22841.624981401754</v>
      </c>
      <c r="Z14" s="636">
        <v>0.61426372279379948</v>
      </c>
      <c r="AA14" s="636">
        <v>0.73111172010500081</v>
      </c>
    </row>
    <row r="15" spans="1:27" x14ac:dyDescent="0.25">
      <c r="A15" s="923" t="s">
        <v>162</v>
      </c>
      <c r="B15" s="924">
        <v>12.6</v>
      </c>
      <c r="C15" s="925">
        <v>6.8</v>
      </c>
      <c r="D15" s="926">
        <v>94.600660447193093</v>
      </c>
      <c r="E15" s="927">
        <v>239.4</v>
      </c>
      <c r="F15" s="928">
        <v>168.83390313104681</v>
      </c>
      <c r="G15" s="929">
        <v>1.6</v>
      </c>
      <c r="H15" s="930">
        <v>24</v>
      </c>
      <c r="I15" s="931">
        <v>4.9000000000000004</v>
      </c>
      <c r="J15" s="932">
        <v>47576</v>
      </c>
      <c r="M15" s="925">
        <v>6.8</v>
      </c>
      <c r="N15" s="926">
        <v>94.600660447193093</v>
      </c>
      <c r="O15" s="928">
        <v>168.83390313104681</v>
      </c>
      <c r="P15" s="929">
        <v>1.6</v>
      </c>
      <c r="Q15" s="930">
        <v>24</v>
      </c>
      <c r="R15" s="931">
        <v>4.9000000000000004</v>
      </c>
      <c r="S15" s="932">
        <v>47576</v>
      </c>
      <c r="T15" s="927">
        <v>239.4</v>
      </c>
      <c r="V15" s="636" t="s">
        <v>295</v>
      </c>
      <c r="W15" s="636">
        <v>4</v>
      </c>
      <c r="X15" s="636">
        <v>148741.48763018777</v>
      </c>
      <c r="Y15" s="636">
        <v>37185.371907546942</v>
      </c>
      <c r="Z15" s="636"/>
      <c r="AA15" s="636"/>
    </row>
    <row r="16" spans="1:27" ht="15.75" thickBot="1" x14ac:dyDescent="0.3">
      <c r="A16" s="41"/>
      <c r="B16" s="704"/>
      <c r="C16" s="705"/>
      <c r="D16" s="714"/>
      <c r="E16" s="707"/>
      <c r="F16" s="708"/>
      <c r="G16" s="715"/>
      <c r="H16" s="710"/>
      <c r="I16" s="716"/>
      <c r="J16" s="717"/>
      <c r="V16" s="640" t="s">
        <v>1</v>
      </c>
      <c r="W16" s="640">
        <v>11</v>
      </c>
      <c r="X16" s="640">
        <v>308632.86250000005</v>
      </c>
      <c r="Y16" s="640"/>
      <c r="Z16" s="640"/>
      <c r="AA16" s="640"/>
    </row>
    <row r="17" spans="1:28" ht="15.75" thickBot="1" x14ac:dyDescent="0.3">
      <c r="A17" s="667" t="s">
        <v>545</v>
      </c>
      <c r="B17" s="667"/>
      <c r="C17" s="667">
        <v>1</v>
      </c>
      <c r="D17" s="667">
        <f>C17+1</f>
        <v>2</v>
      </c>
      <c r="E17" s="667">
        <f t="shared" ref="E17:J17" si="0">D17+1</f>
        <v>3</v>
      </c>
      <c r="F17" s="667">
        <f t="shared" si="0"/>
        <v>4</v>
      </c>
      <c r="G17" s="667">
        <f t="shared" si="0"/>
        <v>5</v>
      </c>
      <c r="H17" s="667">
        <f t="shared" si="0"/>
        <v>6</v>
      </c>
      <c r="I17" s="667">
        <f t="shared" si="0"/>
        <v>7</v>
      </c>
      <c r="J17" s="667">
        <f t="shared" si="0"/>
        <v>8</v>
      </c>
    </row>
    <row r="18" spans="1:28" x14ac:dyDescent="0.25">
      <c r="A18" s="667" t="s">
        <v>1307</v>
      </c>
      <c r="B18" s="667"/>
      <c r="C18" s="933" t="str">
        <f>C3</f>
        <v>Infant Mort</v>
      </c>
      <c r="D18" s="933" t="str">
        <f t="shared" ref="D18:J18" si="1">D3</f>
        <v>White</v>
      </c>
      <c r="E18" s="933" t="str">
        <f t="shared" si="1"/>
        <v>Crime</v>
      </c>
      <c r="F18" s="933" t="str">
        <f t="shared" si="1"/>
        <v>Doctors</v>
      </c>
      <c r="G18" s="933" t="str">
        <f t="shared" si="1"/>
        <v>Traf Deaths</v>
      </c>
      <c r="H18" s="933" t="str">
        <f t="shared" si="1"/>
        <v>University</v>
      </c>
      <c r="I18" s="933" t="str">
        <f t="shared" si="1"/>
        <v>Unemployed</v>
      </c>
      <c r="J18" s="933" t="str">
        <f t="shared" si="1"/>
        <v>Income</v>
      </c>
      <c r="V18" s="919"/>
      <c r="W18" s="919" t="s">
        <v>298</v>
      </c>
      <c r="X18" s="919" t="s">
        <v>11</v>
      </c>
      <c r="Y18" s="919" t="s">
        <v>85</v>
      </c>
      <c r="Z18" s="919" t="s">
        <v>119</v>
      </c>
      <c r="AA18" s="919" t="s">
        <v>299</v>
      </c>
      <c r="AB18" s="919" t="s">
        <v>300</v>
      </c>
    </row>
    <row r="19" spans="1:28" x14ac:dyDescent="0.25">
      <c r="A19" s="667" t="s">
        <v>1305</v>
      </c>
      <c r="B19" s="667"/>
      <c r="C19" s="934">
        <f>[1]!TOLERANCE($C$4:$J$15,C17)</f>
        <v>0.38762652388005014</v>
      </c>
      <c r="D19" s="935">
        <f>[1]!TOLERANCE($C$4:$J$15,D17)</f>
        <v>0.48038000986170726</v>
      </c>
      <c r="E19" s="935">
        <f>[1]!TOLERANCE($C$4:$J$15,E17)</f>
        <v>0.48193664934234814</v>
      </c>
      <c r="F19" s="935">
        <f>[1]!TOLERANCE($C$4:$J$15,F17)</f>
        <v>0.26138730663325516</v>
      </c>
      <c r="G19" s="935">
        <f>[1]!TOLERANCE($C$4:$J$15,G17)</f>
        <v>0.10428798008732632</v>
      </c>
      <c r="H19" s="935">
        <f>[1]!TOLERANCE($C$4:$J$15,H17)</f>
        <v>0.10250251923184073</v>
      </c>
      <c r="I19" s="935">
        <f>[1]!TOLERANCE($C$4:$J$15,I17)</f>
        <v>0.51854222554164031</v>
      </c>
      <c r="J19" s="936">
        <f>[1]!TOLERANCE($C$4:$J$15,J17)</f>
        <v>0.22439438861751448</v>
      </c>
      <c r="V19" s="636" t="s">
        <v>296</v>
      </c>
      <c r="W19" s="636">
        <v>-374.55491616671168</v>
      </c>
      <c r="X19" s="636">
        <v>2180.1320240232571</v>
      </c>
      <c r="Y19" s="636">
        <v>-0.17180377703709013</v>
      </c>
      <c r="Z19" s="636">
        <v>0.87193342814591435</v>
      </c>
      <c r="AA19" s="636">
        <v>-6427.5718029510417</v>
      </c>
      <c r="AB19" s="636">
        <v>5678.461970617619</v>
      </c>
    </row>
    <row r="20" spans="1:28" x14ac:dyDescent="0.25">
      <c r="A20" s="667" t="s">
        <v>1306</v>
      </c>
      <c r="B20" s="667"/>
      <c r="C20" s="937">
        <f>[1]!VIF($C$4:$J$15,C17)</f>
        <v>2.5798028215155036</v>
      </c>
      <c r="D20" s="923">
        <f>[1]!VIF($C$4:$J$15,D17)</f>
        <v>2.0816852897102898</v>
      </c>
      <c r="E20" s="923">
        <f>[1]!VIF($C$4:$J$15,E17)</f>
        <v>2.0749615148891505</v>
      </c>
      <c r="F20" s="923">
        <f>[1]!VIF($C$4:$J$15,F17)</f>
        <v>3.8257404802103516</v>
      </c>
      <c r="G20" s="923">
        <f>[1]!VIF($C$4:$J$15,G17)</f>
        <v>9.5888327606176915</v>
      </c>
      <c r="H20" s="923">
        <f>[1]!VIF($C$4:$J$15,H17)</f>
        <v>9.7558577827555126</v>
      </c>
      <c r="I20" s="923">
        <f>[1]!VIF($C$4:$J$15,I17)</f>
        <v>1.9284832569911847</v>
      </c>
      <c r="J20" s="938">
        <f>[1]!VIF($C$4:$J$15,J17)</f>
        <v>4.4564394241806262</v>
      </c>
      <c r="V20" s="636" t="s">
        <v>144</v>
      </c>
      <c r="W20" s="636">
        <v>65.758997470819949</v>
      </c>
      <c r="X20" s="636">
        <v>65.324211973242114</v>
      </c>
      <c r="Y20" s="636">
        <v>1.0066558093001707</v>
      </c>
      <c r="Z20" s="636">
        <v>0.37105296163684931</v>
      </c>
      <c r="AA20" s="636">
        <v>-115.61009111319122</v>
      </c>
      <c r="AB20" s="636">
        <v>247.1280860548311</v>
      </c>
    </row>
    <row r="21" spans="1:28" x14ac:dyDescent="0.25">
      <c r="A21" s="667"/>
      <c r="B21" s="667"/>
      <c r="C21" s="667"/>
      <c r="D21" s="667"/>
      <c r="E21" s="667"/>
      <c r="F21" s="667"/>
      <c r="G21" s="667"/>
      <c r="H21" s="667"/>
      <c r="I21" s="667"/>
      <c r="J21" s="667"/>
      <c r="V21" s="636" t="s">
        <v>145</v>
      </c>
      <c r="W21" s="636">
        <v>-1.0926639698857727</v>
      </c>
      <c r="X21" s="636">
        <v>4.9989674664258041</v>
      </c>
      <c r="Y21" s="636">
        <v>-0.2185779317877844</v>
      </c>
      <c r="Z21" s="636">
        <v>0.83767804111203337</v>
      </c>
      <c r="AA21" s="636">
        <v>-14.972022723086711</v>
      </c>
      <c r="AB21" s="636">
        <v>12.786694783315165</v>
      </c>
    </row>
    <row r="22" spans="1:28" x14ac:dyDescent="0.25">
      <c r="A22" s="667" t="s">
        <v>1308</v>
      </c>
      <c r="B22" s="667"/>
      <c r="C22" s="939">
        <f>[1]!RSquare(D4:J15,C4:C15)</f>
        <v>0.61237347611994997</v>
      </c>
      <c r="D22" s="667"/>
      <c r="E22" s="939">
        <f>W7</f>
        <v>0.51806335065765152</v>
      </c>
      <c r="F22" s="667"/>
      <c r="G22" s="667"/>
      <c r="H22" s="667"/>
      <c r="I22" s="667"/>
      <c r="J22" s="667"/>
      <c r="V22" s="636" t="s">
        <v>147</v>
      </c>
      <c r="W22" s="636">
        <v>-0.46501337426361106</v>
      </c>
      <c r="X22" s="636">
        <v>2.0403688569738496</v>
      </c>
      <c r="Y22" s="636">
        <v>-0.22790652419253765</v>
      </c>
      <c r="Z22" s="636">
        <v>0.83089488677879719</v>
      </c>
      <c r="AA22" s="636">
        <v>-6.129985500006673</v>
      </c>
      <c r="AB22" s="636">
        <v>5.1999587514794507</v>
      </c>
    </row>
    <row r="23" spans="1:28" x14ac:dyDescent="0.25">
      <c r="A23" s="667" t="s">
        <v>1305</v>
      </c>
      <c r="B23" s="667"/>
      <c r="C23" s="940">
        <f>1-C22</f>
        <v>0.38762652388005003</v>
      </c>
      <c r="D23" s="667"/>
      <c r="E23" s="940">
        <f>1-E22</f>
        <v>0.48193664934234848</v>
      </c>
      <c r="F23" s="667"/>
      <c r="G23" s="667"/>
      <c r="H23" s="667"/>
      <c r="I23" s="667"/>
      <c r="J23" s="667"/>
      <c r="V23" s="636" t="s">
        <v>148</v>
      </c>
      <c r="W23" s="636">
        <v>-26.694848263368264</v>
      </c>
      <c r="X23" s="636">
        <v>574.84205509034223</v>
      </c>
      <c r="Y23" s="636">
        <v>-4.6438579131397928E-2</v>
      </c>
      <c r="Z23" s="636">
        <v>0.9651867047248367</v>
      </c>
      <c r="AA23" s="636">
        <v>-1622.7122583807891</v>
      </c>
      <c r="AB23" s="636">
        <v>1569.3225618540528</v>
      </c>
    </row>
    <row r="24" spans="1:28" x14ac:dyDescent="0.25">
      <c r="A24" s="667" t="s">
        <v>1306</v>
      </c>
      <c r="B24" s="667"/>
      <c r="C24" s="941">
        <f>1/C23</f>
        <v>2.579802821515504</v>
      </c>
      <c r="D24" s="667"/>
      <c r="E24" s="941">
        <f>1/E23</f>
        <v>2.0749615148891492</v>
      </c>
      <c r="F24" s="667"/>
      <c r="G24" s="667"/>
      <c r="H24" s="667"/>
      <c r="I24" s="667"/>
      <c r="J24" s="667"/>
      <c r="V24" s="636" t="s">
        <v>149</v>
      </c>
      <c r="W24" s="636">
        <v>-5.8433433693167975</v>
      </c>
      <c r="X24" s="636">
        <v>36.904815880210677</v>
      </c>
      <c r="Y24" s="636">
        <v>-0.15833552423845448</v>
      </c>
      <c r="Z24" s="636">
        <v>0.88186453570375911</v>
      </c>
      <c r="AA24" s="636">
        <v>-108.30753877815353</v>
      </c>
      <c r="AB24" s="636">
        <v>96.620852039519932</v>
      </c>
    </row>
    <row r="25" spans="1:28" x14ac:dyDescent="0.25">
      <c r="A25" s="667"/>
      <c r="B25" s="667"/>
      <c r="C25" s="667"/>
      <c r="D25" s="667"/>
      <c r="E25" s="667"/>
      <c r="F25" s="667"/>
      <c r="G25" s="667"/>
      <c r="H25" s="667"/>
      <c r="I25" s="667"/>
      <c r="J25" s="667"/>
      <c r="V25" s="636" t="s">
        <v>150</v>
      </c>
      <c r="W25" s="636">
        <v>101.55363179997391</v>
      </c>
      <c r="X25" s="636">
        <v>70.33616028795899</v>
      </c>
      <c r="Y25" s="636">
        <v>1.4438324666033713</v>
      </c>
      <c r="Z25" s="636">
        <v>0.22227778074062871</v>
      </c>
      <c r="AA25" s="636">
        <v>-93.730856149937239</v>
      </c>
      <c r="AB25" s="636">
        <v>296.8381197498851</v>
      </c>
    </row>
    <row r="26" spans="1:28" ht="15.75" thickBot="1" x14ac:dyDescent="0.3">
      <c r="A26" s="667"/>
      <c r="B26" s="667"/>
      <c r="C26" s="667"/>
      <c r="D26" s="667"/>
      <c r="E26" s="667"/>
      <c r="F26" s="667"/>
      <c r="G26" s="667"/>
      <c r="H26" s="667"/>
      <c r="I26" s="667"/>
      <c r="J26" s="667"/>
      <c r="V26" s="640" t="s">
        <v>3</v>
      </c>
      <c r="W26" s="640">
        <v>4.0754607444260724E-3</v>
      </c>
      <c r="X26" s="640">
        <v>1.1997111298070486E-2</v>
      </c>
      <c r="Y26" s="640">
        <v>0.33970350388276677</v>
      </c>
      <c r="Z26" s="640">
        <v>0.75116758819535034</v>
      </c>
      <c r="AA26" s="640">
        <v>-2.9233860195614872E-2</v>
      </c>
      <c r="AB26" s="640">
        <v>3.7384781684467017E-2</v>
      </c>
    </row>
    <row r="27" spans="1:28" x14ac:dyDescent="0.25">
      <c r="A27" s="667"/>
      <c r="B27" s="667"/>
      <c r="C27" s="667"/>
      <c r="D27" s="667"/>
      <c r="E27" s="667"/>
      <c r="F27" s="667"/>
      <c r="G27" s="667"/>
      <c r="H27" s="667"/>
      <c r="I27" s="667"/>
      <c r="J27" s="667"/>
    </row>
    <row r="28" spans="1:28" x14ac:dyDescent="0.25">
      <c r="A28" s="667"/>
      <c r="B28" s="667"/>
      <c r="C28" s="667"/>
      <c r="D28" s="667"/>
      <c r="E28" s="667"/>
      <c r="F28" s="667"/>
      <c r="G28" s="667"/>
      <c r="H28" s="667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D37"/>
  <sheetViews>
    <sheetView workbookViewId="0"/>
  </sheetViews>
  <sheetFormatPr defaultRowHeight="15" x14ac:dyDescent="0.25"/>
  <cols>
    <col min="2" max="2" width="12" bestFit="1" customWidth="1"/>
  </cols>
  <sheetData>
    <row r="1" spans="1:4" x14ac:dyDescent="0.25">
      <c r="A1" s="1" t="s">
        <v>1255</v>
      </c>
    </row>
    <row r="3" spans="1:4" x14ac:dyDescent="0.25">
      <c r="A3" t="s">
        <v>389</v>
      </c>
      <c r="B3">
        <v>1</v>
      </c>
    </row>
    <row r="4" spans="1:4" x14ac:dyDescent="0.25">
      <c r="A4" t="s">
        <v>387</v>
      </c>
      <c r="B4">
        <v>5</v>
      </c>
    </row>
    <row r="6" spans="1:4" x14ac:dyDescent="0.25">
      <c r="A6" s="13" t="s">
        <v>4</v>
      </c>
      <c r="B6" s="13" t="s">
        <v>142</v>
      </c>
    </row>
    <row r="7" spans="1:4" x14ac:dyDescent="0.25">
      <c r="A7">
        <v>-2</v>
      </c>
      <c r="B7">
        <f>1/(1+EXP(-B$3-B$4*A7))</f>
        <v>1.2339457598623172E-4</v>
      </c>
      <c r="D7">
        <v>-3</v>
      </c>
    </row>
    <row r="8" spans="1:4" x14ac:dyDescent="0.25">
      <c r="A8">
        <f>A7+0.1</f>
        <v>-1.9</v>
      </c>
      <c r="B8">
        <f t="shared" ref="B8:B37" si="0">1/(1+EXP(-B$3-B$4*A8))</f>
        <v>2.0342697805520653E-4</v>
      </c>
      <c r="D8">
        <f>D7+0.2</f>
        <v>-2.8</v>
      </c>
    </row>
    <row r="9" spans="1:4" x14ac:dyDescent="0.25">
      <c r="A9">
        <f t="shared" ref="A9:A35" si="1">A8+0.1</f>
        <v>-1.7999999999999998</v>
      </c>
      <c r="B9">
        <f t="shared" si="0"/>
        <v>3.3535013046647811E-4</v>
      </c>
      <c r="D9">
        <f t="shared" ref="D9:D37" si="2">D8+0.2</f>
        <v>-2.5999999999999996</v>
      </c>
    </row>
    <row r="10" spans="1:4" x14ac:dyDescent="0.25">
      <c r="A10">
        <f t="shared" si="1"/>
        <v>-1.6999999999999997</v>
      </c>
      <c r="B10">
        <f t="shared" si="0"/>
        <v>5.5277863692360053E-4</v>
      </c>
      <c r="D10">
        <f t="shared" si="2"/>
        <v>-2.3999999999999995</v>
      </c>
    </row>
    <row r="11" spans="1:4" x14ac:dyDescent="0.25">
      <c r="A11">
        <f t="shared" si="1"/>
        <v>-1.5999999999999996</v>
      </c>
      <c r="B11">
        <f t="shared" si="0"/>
        <v>9.1105119440064691E-4</v>
      </c>
      <c r="D11">
        <f t="shared" si="2"/>
        <v>-2.1999999999999993</v>
      </c>
    </row>
    <row r="12" spans="1:4" x14ac:dyDescent="0.25">
      <c r="A12">
        <f t="shared" si="1"/>
        <v>-1.4999999999999996</v>
      </c>
      <c r="B12">
        <f t="shared" si="0"/>
        <v>1.5011822567369941E-3</v>
      </c>
      <c r="D12">
        <f t="shared" si="2"/>
        <v>-1.9999999999999993</v>
      </c>
    </row>
    <row r="13" spans="1:4" x14ac:dyDescent="0.25">
      <c r="A13">
        <f t="shared" si="1"/>
        <v>-1.3999999999999995</v>
      </c>
      <c r="B13">
        <f t="shared" si="0"/>
        <v>2.4726231566347808E-3</v>
      </c>
      <c r="D13">
        <f t="shared" si="2"/>
        <v>-1.7999999999999994</v>
      </c>
    </row>
    <row r="14" spans="1:4" x14ac:dyDescent="0.25">
      <c r="A14">
        <f t="shared" si="1"/>
        <v>-1.2999999999999994</v>
      </c>
      <c r="B14">
        <f t="shared" si="0"/>
        <v>4.0701377158961416E-3</v>
      </c>
      <c r="D14">
        <f t="shared" si="2"/>
        <v>-1.5999999999999994</v>
      </c>
    </row>
    <row r="15" spans="1:4" x14ac:dyDescent="0.25">
      <c r="A15">
        <f t="shared" si="1"/>
        <v>-1.1999999999999993</v>
      </c>
      <c r="B15">
        <f t="shared" si="0"/>
        <v>6.6928509242848789E-3</v>
      </c>
      <c r="D15">
        <f t="shared" si="2"/>
        <v>-1.3999999999999995</v>
      </c>
    </row>
    <row r="16" spans="1:4" x14ac:dyDescent="0.25">
      <c r="A16">
        <f t="shared" si="1"/>
        <v>-1.0999999999999992</v>
      </c>
      <c r="B16">
        <f t="shared" si="0"/>
        <v>1.0986942630593218E-2</v>
      </c>
      <c r="D16">
        <f t="shared" si="2"/>
        <v>-1.1999999999999995</v>
      </c>
    </row>
    <row r="17" spans="1:4" x14ac:dyDescent="0.25">
      <c r="A17">
        <f t="shared" si="1"/>
        <v>-0.99999999999999922</v>
      </c>
      <c r="B17">
        <f t="shared" si="0"/>
        <v>1.7986209962091621E-2</v>
      </c>
      <c r="D17">
        <f t="shared" si="2"/>
        <v>-0.99999999999999956</v>
      </c>
    </row>
    <row r="18" spans="1:4" x14ac:dyDescent="0.25">
      <c r="A18">
        <f t="shared" si="1"/>
        <v>-0.89999999999999925</v>
      </c>
      <c r="B18">
        <f t="shared" si="0"/>
        <v>2.931223075135642E-2</v>
      </c>
      <c r="D18">
        <f t="shared" si="2"/>
        <v>-0.7999999999999996</v>
      </c>
    </row>
    <row r="19" spans="1:4" x14ac:dyDescent="0.25">
      <c r="A19">
        <f t="shared" si="1"/>
        <v>-0.79999999999999927</v>
      </c>
      <c r="B19">
        <f t="shared" si="0"/>
        <v>4.7425873177566941E-2</v>
      </c>
      <c r="D19">
        <f t="shared" si="2"/>
        <v>-0.59999999999999964</v>
      </c>
    </row>
    <row r="20" spans="1:4" x14ac:dyDescent="0.25">
      <c r="A20">
        <f t="shared" si="1"/>
        <v>-0.69999999999999929</v>
      </c>
      <c r="B20">
        <f t="shared" si="0"/>
        <v>7.5858180021243796E-2</v>
      </c>
      <c r="D20">
        <f t="shared" si="2"/>
        <v>-0.39999999999999963</v>
      </c>
    </row>
    <row r="21" spans="1:4" x14ac:dyDescent="0.25">
      <c r="A21">
        <f t="shared" si="1"/>
        <v>-0.59999999999999931</v>
      </c>
      <c r="B21">
        <f t="shared" si="0"/>
        <v>0.11920292202211794</v>
      </c>
      <c r="D21">
        <f t="shared" si="2"/>
        <v>-0.19999999999999962</v>
      </c>
    </row>
    <row r="22" spans="1:4" x14ac:dyDescent="0.25">
      <c r="A22">
        <f t="shared" si="1"/>
        <v>-0.49999999999999933</v>
      </c>
      <c r="B22">
        <f t="shared" si="0"/>
        <v>0.18242552380635688</v>
      </c>
      <c r="D22">
        <v>0</v>
      </c>
    </row>
    <row r="23" spans="1:4" x14ac:dyDescent="0.25">
      <c r="A23">
        <f t="shared" si="1"/>
        <v>-0.39999999999999936</v>
      </c>
      <c r="B23">
        <f t="shared" si="0"/>
        <v>0.26894142136999571</v>
      </c>
      <c r="D23">
        <f t="shared" si="2"/>
        <v>0.2</v>
      </c>
    </row>
    <row r="24" spans="1:4" x14ac:dyDescent="0.25">
      <c r="A24">
        <f t="shared" si="1"/>
        <v>-0.29999999999999938</v>
      </c>
      <c r="B24">
        <f t="shared" si="0"/>
        <v>0.37754066879814618</v>
      </c>
      <c r="D24">
        <f t="shared" si="2"/>
        <v>0.4</v>
      </c>
    </row>
    <row r="25" spans="1:4" x14ac:dyDescent="0.25">
      <c r="A25">
        <f t="shared" si="1"/>
        <v>-0.19999999999999937</v>
      </c>
      <c r="B25">
        <f t="shared" si="0"/>
        <v>0.50000000000000078</v>
      </c>
      <c r="D25">
        <f t="shared" si="2"/>
        <v>0.60000000000000009</v>
      </c>
    </row>
    <row r="26" spans="1:4" x14ac:dyDescent="0.25">
      <c r="A26">
        <f t="shared" si="1"/>
        <v>-9.9999999999999367E-2</v>
      </c>
      <c r="B26">
        <f t="shared" si="0"/>
        <v>0.62245933120185537</v>
      </c>
      <c r="D26">
        <f t="shared" si="2"/>
        <v>0.8</v>
      </c>
    </row>
    <row r="27" spans="1:4" x14ac:dyDescent="0.25">
      <c r="A27">
        <v>0</v>
      </c>
      <c r="B27">
        <f t="shared" si="0"/>
        <v>0.7310585786300049</v>
      </c>
      <c r="D27">
        <f t="shared" si="2"/>
        <v>1</v>
      </c>
    </row>
    <row r="28" spans="1:4" x14ac:dyDescent="0.25">
      <c r="A28">
        <v>0.1</v>
      </c>
      <c r="B28">
        <f t="shared" si="0"/>
        <v>0.81757447619364365</v>
      </c>
      <c r="D28">
        <f t="shared" si="2"/>
        <v>1.2</v>
      </c>
    </row>
    <row r="29" spans="1:4" x14ac:dyDescent="0.25">
      <c r="A29">
        <f t="shared" si="1"/>
        <v>0.2</v>
      </c>
      <c r="B29">
        <f t="shared" si="0"/>
        <v>0.88079707797788231</v>
      </c>
      <c r="D29">
        <f t="shared" si="2"/>
        <v>1.4</v>
      </c>
    </row>
    <row r="30" spans="1:4" x14ac:dyDescent="0.25">
      <c r="A30">
        <f t="shared" si="1"/>
        <v>0.30000000000000004</v>
      </c>
      <c r="B30">
        <f t="shared" si="0"/>
        <v>0.92414181997875655</v>
      </c>
      <c r="D30">
        <f t="shared" si="2"/>
        <v>1.5999999999999999</v>
      </c>
    </row>
    <row r="31" spans="1:4" x14ac:dyDescent="0.25">
      <c r="A31">
        <f t="shared" si="1"/>
        <v>0.4</v>
      </c>
      <c r="B31">
        <f t="shared" si="0"/>
        <v>0.95257412682243336</v>
      </c>
      <c r="D31">
        <f t="shared" si="2"/>
        <v>1.7999999999999998</v>
      </c>
    </row>
    <row r="32" spans="1:4" x14ac:dyDescent="0.25">
      <c r="A32">
        <f t="shared" si="1"/>
        <v>0.5</v>
      </c>
      <c r="B32">
        <f t="shared" si="0"/>
        <v>0.97068776924864364</v>
      </c>
      <c r="D32">
        <f t="shared" si="2"/>
        <v>1.9999999999999998</v>
      </c>
    </row>
    <row r="33" spans="1:4" x14ac:dyDescent="0.25">
      <c r="A33">
        <f t="shared" si="1"/>
        <v>0.6</v>
      </c>
      <c r="B33">
        <f t="shared" si="0"/>
        <v>0.98201379003790845</v>
      </c>
      <c r="D33">
        <f t="shared" si="2"/>
        <v>2.1999999999999997</v>
      </c>
    </row>
    <row r="34" spans="1:4" x14ac:dyDescent="0.25">
      <c r="A34">
        <f t="shared" si="1"/>
        <v>0.7</v>
      </c>
      <c r="B34">
        <f t="shared" si="0"/>
        <v>0.98901305736940681</v>
      </c>
      <c r="D34">
        <f t="shared" si="2"/>
        <v>2.4</v>
      </c>
    </row>
    <row r="35" spans="1:4" x14ac:dyDescent="0.25">
      <c r="A35">
        <f t="shared" si="1"/>
        <v>0.79999999999999993</v>
      </c>
      <c r="B35">
        <f t="shared" si="0"/>
        <v>0.99330714907571527</v>
      </c>
      <c r="D35">
        <f t="shared" si="2"/>
        <v>2.6</v>
      </c>
    </row>
    <row r="36" spans="1:4" x14ac:dyDescent="0.25">
      <c r="A36">
        <f>A35+0.1</f>
        <v>0.89999999999999991</v>
      </c>
      <c r="B36">
        <f t="shared" si="0"/>
        <v>0.99592986228410396</v>
      </c>
      <c r="D36">
        <f t="shared" si="2"/>
        <v>2.8000000000000003</v>
      </c>
    </row>
    <row r="37" spans="1:4" x14ac:dyDescent="0.25">
      <c r="A37">
        <f>A36+0.1</f>
        <v>0.99999999999999989</v>
      </c>
      <c r="B37">
        <f t="shared" si="0"/>
        <v>0.99752737684336534</v>
      </c>
      <c r="D37">
        <f t="shared" si="2"/>
        <v>3.0000000000000004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AG27"/>
  <sheetViews>
    <sheetView workbookViewId="0"/>
  </sheetViews>
  <sheetFormatPr defaultRowHeight="15" x14ac:dyDescent="0.25"/>
  <cols>
    <col min="2" max="2" width="8.85546875" customWidth="1"/>
    <col min="4" max="4" width="9.140625" customWidth="1"/>
    <col min="6" max="6" width="9.28515625" customWidth="1"/>
    <col min="9" max="9" width="2.5703125" customWidth="1"/>
    <col min="11" max="11" width="10.7109375" customWidth="1"/>
    <col min="14" max="14" width="2.5703125" customWidth="1"/>
    <col min="19" max="19" width="3.28515625" customWidth="1"/>
    <col min="24" max="24" width="3.42578125" customWidth="1"/>
    <col min="27" max="27" width="9.85546875" customWidth="1"/>
    <col min="28" max="28" width="9.28515625" customWidth="1"/>
    <col min="29" max="29" width="3.85546875" customWidth="1"/>
    <col min="30" max="33" width="10.42578125" customWidth="1"/>
    <col min="34" max="34" width="4.85546875" customWidth="1"/>
    <col min="39" max="39" width="4.28515625" customWidth="1"/>
    <col min="44" max="44" width="4.5703125" customWidth="1"/>
    <col min="49" max="49" width="4.140625" customWidth="1"/>
    <col min="54" max="54" width="4.5703125" customWidth="1"/>
    <col min="59" max="59" width="4.28515625" customWidth="1"/>
    <col min="64" max="64" width="4.42578125" customWidth="1"/>
    <col min="69" max="69" width="4.42578125" customWidth="1"/>
    <col min="74" max="74" width="4" customWidth="1"/>
  </cols>
  <sheetData>
    <row r="1" spans="1:33" x14ac:dyDescent="0.25">
      <c r="A1" s="1" t="s">
        <v>1243</v>
      </c>
      <c r="AA1" t="s">
        <v>290</v>
      </c>
    </row>
    <row r="2" spans="1:33" x14ac:dyDescent="0.25">
      <c r="AA2" s="19" t="s">
        <v>292</v>
      </c>
      <c r="AB2" s="19">
        <v>0.98019766125822028</v>
      </c>
    </row>
    <row r="3" spans="1:33" s="13" customFormat="1" x14ac:dyDescent="0.25">
      <c r="A3" s="13" t="s">
        <v>1313</v>
      </c>
      <c r="B3" s="13" t="s">
        <v>1244</v>
      </c>
      <c r="C3" s="13" t="s">
        <v>1245</v>
      </c>
      <c r="E3" s="13" t="str">
        <f>A3</f>
        <v>Rems</v>
      </c>
      <c r="F3" s="13" t="s">
        <v>1246</v>
      </c>
      <c r="G3" s="13" t="s">
        <v>1247</v>
      </c>
      <c r="J3" s="13" t="s">
        <v>1313</v>
      </c>
      <c r="K3" s="13" t="s">
        <v>1246</v>
      </c>
      <c r="AA3" s="19" t="s">
        <v>285</v>
      </c>
      <c r="AB3" s="19">
        <v>0.96078745513608477</v>
      </c>
      <c r="AC3"/>
      <c r="AD3"/>
      <c r="AE3"/>
      <c r="AF3"/>
      <c r="AG3"/>
    </row>
    <row r="4" spans="1:33" x14ac:dyDescent="0.25">
      <c r="A4" s="27">
        <v>50</v>
      </c>
      <c r="B4" s="620">
        <v>21</v>
      </c>
      <c r="C4" s="622">
        <v>0</v>
      </c>
      <c r="E4" s="13">
        <f t="shared" ref="E4:E13" si="0">A4</f>
        <v>50</v>
      </c>
      <c r="F4" s="596">
        <f t="shared" ref="F4:F14" si="1">B4/(B4+C4)</f>
        <v>1</v>
      </c>
      <c r="G4" s="603" t="str">
        <f t="shared" ref="G4:G14" si="2">IF(F4 = 1,"∞",F4/(1-F4))</f>
        <v>∞</v>
      </c>
      <c r="J4" s="648">
        <f t="shared" ref="J4:J13" si="3">A4</f>
        <v>50</v>
      </c>
      <c r="K4">
        <f t="shared" ref="K4:K13" si="4">F4</f>
        <v>1</v>
      </c>
      <c r="AA4" s="19" t="s">
        <v>293</v>
      </c>
      <c r="AB4" s="19">
        <v>0.95294494616330172</v>
      </c>
    </row>
    <row r="5" spans="1:33" x14ac:dyDescent="0.25">
      <c r="A5" s="27">
        <f>A4+100</f>
        <v>150</v>
      </c>
      <c r="B5" s="532">
        <v>29</v>
      </c>
      <c r="C5" s="533">
        <v>1</v>
      </c>
      <c r="E5" s="13">
        <f t="shared" si="0"/>
        <v>150</v>
      </c>
      <c r="F5" s="532">
        <f t="shared" si="1"/>
        <v>0.96666666666666667</v>
      </c>
      <c r="G5" s="602">
        <f t="shared" si="2"/>
        <v>29.000000000000007</v>
      </c>
      <c r="J5" s="648">
        <f t="shared" si="3"/>
        <v>150</v>
      </c>
      <c r="K5">
        <f t="shared" si="4"/>
        <v>0.96666666666666667</v>
      </c>
      <c r="AA5" s="19" t="s">
        <v>11</v>
      </c>
      <c r="AB5" s="19">
        <v>0.48383403651561618</v>
      </c>
    </row>
    <row r="6" spans="1:33" ht="15.75" thickBot="1" x14ac:dyDescent="0.3">
      <c r="A6" s="27">
        <f t="shared" ref="A6:A13" si="5">A5+100</f>
        <v>250</v>
      </c>
      <c r="B6" s="532">
        <v>87</v>
      </c>
      <c r="C6" s="533">
        <v>6</v>
      </c>
      <c r="E6" s="13">
        <f t="shared" si="0"/>
        <v>250</v>
      </c>
      <c r="F6" s="532">
        <f t="shared" si="1"/>
        <v>0.93548387096774188</v>
      </c>
      <c r="G6" s="602">
        <f t="shared" si="2"/>
        <v>14.499999999999988</v>
      </c>
      <c r="J6" s="648">
        <f t="shared" si="3"/>
        <v>250</v>
      </c>
      <c r="K6">
        <f t="shared" si="4"/>
        <v>0.93548387096774188</v>
      </c>
      <c r="AA6" s="20" t="s">
        <v>81</v>
      </c>
      <c r="AB6" s="20">
        <v>7</v>
      </c>
    </row>
    <row r="7" spans="1:33" x14ac:dyDescent="0.25">
      <c r="A7" s="27">
        <f t="shared" si="5"/>
        <v>350</v>
      </c>
      <c r="B7" s="532">
        <v>75</v>
      </c>
      <c r="C7" s="533">
        <v>11</v>
      </c>
      <c r="E7" s="13">
        <f t="shared" si="0"/>
        <v>350</v>
      </c>
      <c r="F7" s="532">
        <f t="shared" si="1"/>
        <v>0.87209302325581395</v>
      </c>
      <c r="G7" s="602">
        <f t="shared" si="2"/>
        <v>6.8181818181818175</v>
      </c>
      <c r="J7" s="648">
        <f t="shared" si="3"/>
        <v>350</v>
      </c>
      <c r="K7">
        <f t="shared" si="4"/>
        <v>0.87209302325581395</v>
      </c>
    </row>
    <row r="8" spans="1:33" ht="15.75" thickBot="1" x14ac:dyDescent="0.3">
      <c r="A8" s="27">
        <f t="shared" si="5"/>
        <v>450</v>
      </c>
      <c r="B8" s="532">
        <v>85</v>
      </c>
      <c r="C8" s="533">
        <v>23</v>
      </c>
      <c r="E8" s="13">
        <f t="shared" si="0"/>
        <v>450</v>
      </c>
      <c r="F8" s="532">
        <f t="shared" si="1"/>
        <v>0.78703703703703709</v>
      </c>
      <c r="G8" s="602">
        <f t="shared" si="2"/>
        <v>3.6956521739130448</v>
      </c>
      <c r="J8" s="648">
        <f t="shared" si="3"/>
        <v>450</v>
      </c>
      <c r="K8">
        <f t="shared" si="4"/>
        <v>0.78703703703703709</v>
      </c>
      <c r="AA8" t="s">
        <v>294</v>
      </c>
    </row>
    <row r="9" spans="1:33" x14ac:dyDescent="0.25">
      <c r="A9" s="27">
        <f t="shared" si="5"/>
        <v>550</v>
      </c>
      <c r="B9" s="532">
        <v>64</v>
      </c>
      <c r="C9" s="533">
        <v>38</v>
      </c>
      <c r="E9" s="13">
        <f t="shared" si="0"/>
        <v>550</v>
      </c>
      <c r="F9" s="532">
        <f t="shared" si="1"/>
        <v>0.62745098039215685</v>
      </c>
      <c r="G9" s="602">
        <f t="shared" si="2"/>
        <v>1.6842105263157894</v>
      </c>
      <c r="J9" s="648">
        <f t="shared" si="3"/>
        <v>550</v>
      </c>
      <c r="K9">
        <f t="shared" si="4"/>
        <v>0.62745098039215685</v>
      </c>
      <c r="AA9" s="588"/>
      <c r="AB9" s="588" t="s">
        <v>60</v>
      </c>
      <c r="AC9" s="588" t="s">
        <v>219</v>
      </c>
      <c r="AD9" s="588" t="s">
        <v>240</v>
      </c>
      <c r="AE9" s="588" t="s">
        <v>135</v>
      </c>
      <c r="AF9" s="588" t="s">
        <v>297</v>
      </c>
    </row>
    <row r="10" spans="1:33" x14ac:dyDescent="0.25">
      <c r="A10" s="27">
        <f t="shared" si="5"/>
        <v>650</v>
      </c>
      <c r="B10" s="532">
        <v>53</v>
      </c>
      <c r="C10" s="533">
        <v>73</v>
      </c>
      <c r="E10" s="13">
        <f t="shared" si="0"/>
        <v>650</v>
      </c>
      <c r="F10" s="532">
        <f t="shared" si="1"/>
        <v>0.42063492063492064</v>
      </c>
      <c r="G10" s="602">
        <f t="shared" si="2"/>
        <v>0.7260273972602741</v>
      </c>
      <c r="J10" s="648">
        <f t="shared" si="3"/>
        <v>650</v>
      </c>
      <c r="K10">
        <f t="shared" si="4"/>
        <v>0.42063492063492064</v>
      </c>
      <c r="AA10" s="19" t="s">
        <v>222</v>
      </c>
      <c r="AB10" s="19">
        <v>1</v>
      </c>
      <c r="AC10" s="19">
        <v>28.679074551422662</v>
      </c>
      <c r="AD10" s="19">
        <v>28.679074551422662</v>
      </c>
      <c r="AE10" s="19">
        <v>122.5102143294242</v>
      </c>
      <c r="AF10" s="19">
        <v>1.0486299346429363E-4</v>
      </c>
    </row>
    <row r="11" spans="1:33" x14ac:dyDescent="0.25">
      <c r="A11" s="27">
        <f t="shared" si="5"/>
        <v>750</v>
      </c>
      <c r="B11" s="532">
        <v>31</v>
      </c>
      <c r="C11" s="533">
        <v>81</v>
      </c>
      <c r="E11" s="13">
        <f t="shared" si="0"/>
        <v>750</v>
      </c>
      <c r="F11" s="532">
        <f t="shared" si="1"/>
        <v>0.2767857142857143</v>
      </c>
      <c r="G11" s="602">
        <f t="shared" si="2"/>
        <v>0.38271604938271608</v>
      </c>
      <c r="J11" s="648">
        <f t="shared" si="3"/>
        <v>750</v>
      </c>
      <c r="K11">
        <f t="shared" si="4"/>
        <v>0.2767857142857143</v>
      </c>
      <c r="AA11" s="19" t="s">
        <v>295</v>
      </c>
      <c r="AB11" s="19">
        <v>5</v>
      </c>
      <c r="AC11" s="19">
        <v>1.1704768744549732</v>
      </c>
      <c r="AD11" s="19">
        <v>0.23409537489099463</v>
      </c>
      <c r="AE11" s="19"/>
      <c r="AF11" s="19"/>
    </row>
    <row r="12" spans="1:33" ht="15.75" thickBot="1" x14ac:dyDescent="0.3">
      <c r="A12" s="27">
        <f t="shared" si="5"/>
        <v>850</v>
      </c>
      <c r="B12" s="532">
        <v>10</v>
      </c>
      <c r="C12" s="533">
        <v>41</v>
      </c>
      <c r="E12" s="13">
        <f t="shared" si="0"/>
        <v>850</v>
      </c>
      <c r="F12" s="532">
        <f t="shared" si="1"/>
        <v>0.19607843137254902</v>
      </c>
      <c r="G12" s="602">
        <f t="shared" si="2"/>
        <v>0.24390243902439024</v>
      </c>
      <c r="J12" s="648">
        <f t="shared" si="3"/>
        <v>850</v>
      </c>
      <c r="K12">
        <f t="shared" si="4"/>
        <v>0.19607843137254902</v>
      </c>
      <c r="AA12" s="20" t="s">
        <v>1</v>
      </c>
      <c r="AB12" s="20">
        <v>6</v>
      </c>
      <c r="AC12" s="20">
        <v>29.849551425877635</v>
      </c>
      <c r="AD12" s="20"/>
      <c r="AE12" s="20"/>
      <c r="AF12" s="20"/>
    </row>
    <row r="13" spans="1:33" ht="15.75" thickBot="1" x14ac:dyDescent="0.3">
      <c r="A13" s="27">
        <f t="shared" si="5"/>
        <v>950</v>
      </c>
      <c r="B13" s="409">
        <v>3</v>
      </c>
      <c r="C13" s="417">
        <v>28</v>
      </c>
      <c r="E13" s="13">
        <f t="shared" si="0"/>
        <v>950</v>
      </c>
      <c r="F13" s="9">
        <f t="shared" si="1"/>
        <v>9.6774193548387094E-2</v>
      </c>
      <c r="G13" s="579">
        <f t="shared" si="2"/>
        <v>0.10714285714285714</v>
      </c>
      <c r="J13" s="648">
        <f t="shared" si="3"/>
        <v>950</v>
      </c>
      <c r="K13">
        <f t="shared" si="4"/>
        <v>9.6774193548387094E-2</v>
      </c>
    </row>
    <row r="14" spans="1:33" x14ac:dyDescent="0.25">
      <c r="B14">
        <f>SUM(B4:B13)</f>
        <v>458</v>
      </c>
      <c r="C14">
        <f>SUM(C4:C13)</f>
        <v>302</v>
      </c>
      <c r="F14">
        <f t="shared" si="1"/>
        <v>0.60263157894736841</v>
      </c>
      <c r="G14" s="13">
        <f t="shared" si="2"/>
        <v>1.5165562913907285</v>
      </c>
      <c r="AA14" s="588"/>
      <c r="AB14" s="588" t="s">
        <v>298</v>
      </c>
      <c r="AC14" s="588" t="s">
        <v>11</v>
      </c>
      <c r="AD14" s="588" t="s">
        <v>85</v>
      </c>
      <c r="AE14" s="588" t="s">
        <v>119</v>
      </c>
      <c r="AF14" s="588" t="s">
        <v>299</v>
      </c>
      <c r="AG14" s="588" t="s">
        <v>300</v>
      </c>
    </row>
    <row r="15" spans="1:33" x14ac:dyDescent="0.25">
      <c r="AA15" s="19" t="s">
        <v>296</v>
      </c>
      <c r="AB15" s="19">
        <v>21.389792432310717</v>
      </c>
      <c r="AC15" s="19">
        <v>1.8833382481789414</v>
      </c>
      <c r="AD15" s="19">
        <v>11.357382272140002</v>
      </c>
      <c r="AE15" s="19">
        <v>9.2576145640744042E-5</v>
      </c>
      <c r="AF15" s="19">
        <v>16.548517342950841</v>
      </c>
      <c r="AG15" s="19">
        <v>26.231067521670592</v>
      </c>
    </row>
    <row r="16" spans="1:33" ht="15.75" thickBot="1" x14ac:dyDescent="0.3">
      <c r="B16" s="53" t="s">
        <v>1316</v>
      </c>
      <c r="C16" s="13"/>
      <c r="AA16" s="20" t="s">
        <v>1248</v>
      </c>
      <c r="AB16" s="20">
        <v>-10.120536856070466</v>
      </c>
      <c r="AC16" s="20">
        <v>0.91436038317775925</v>
      </c>
      <c r="AD16" s="20">
        <v>-11.068433237338706</v>
      </c>
      <c r="AE16" s="20">
        <v>1.0486299346429363E-4</v>
      </c>
      <c r="AF16" s="20">
        <v>-12.470975047434296</v>
      </c>
      <c r="AG16" s="20">
        <v>-7.7700986647066355</v>
      </c>
    </row>
    <row r="17" spans="10:11" x14ac:dyDescent="0.25">
      <c r="J17" s="13" t="s">
        <v>1313</v>
      </c>
      <c r="K17" s="13" t="s">
        <v>2127</v>
      </c>
    </row>
    <row r="18" spans="10:11" x14ac:dyDescent="0.25">
      <c r="J18" s="648">
        <f t="shared" ref="J18:J27" si="6">A4</f>
        <v>50</v>
      </c>
      <c r="K18" s="13" t="str">
        <f t="shared" ref="K18:K27" si="7">IF(G4="∞","∞",IF(G4=0,"-∞",LN(G4)))</f>
        <v>∞</v>
      </c>
    </row>
    <row r="19" spans="10:11" x14ac:dyDescent="0.25">
      <c r="J19" s="648">
        <f t="shared" si="6"/>
        <v>150</v>
      </c>
      <c r="K19" s="13">
        <f t="shared" si="7"/>
        <v>3.3672958299864741</v>
      </c>
    </row>
    <row r="20" spans="10:11" x14ac:dyDescent="0.25">
      <c r="J20" s="648">
        <f t="shared" si="6"/>
        <v>250</v>
      </c>
      <c r="K20">
        <f t="shared" si="7"/>
        <v>2.6741486494265279</v>
      </c>
    </row>
    <row r="21" spans="10:11" x14ac:dyDescent="0.25">
      <c r="J21" s="648">
        <f t="shared" si="6"/>
        <v>350</v>
      </c>
      <c r="K21">
        <f t="shared" si="7"/>
        <v>1.9195928407379399</v>
      </c>
    </row>
    <row r="22" spans="10:11" x14ac:dyDescent="0.25">
      <c r="J22" s="648">
        <f t="shared" si="6"/>
        <v>450</v>
      </c>
      <c r="K22">
        <f t="shared" si="7"/>
        <v>1.3071570405611672</v>
      </c>
    </row>
    <row r="23" spans="10:11" x14ac:dyDescent="0.25">
      <c r="J23" s="648">
        <f t="shared" si="6"/>
        <v>550</v>
      </c>
      <c r="K23">
        <f t="shared" si="7"/>
        <v>0.52129692363328606</v>
      </c>
    </row>
    <row r="24" spans="10:11" x14ac:dyDescent="0.25">
      <c r="J24" s="648">
        <f t="shared" si="6"/>
        <v>650</v>
      </c>
      <c r="K24">
        <f t="shared" si="7"/>
        <v>-0.3201675275962691</v>
      </c>
    </row>
    <row r="25" spans="10:11" x14ac:dyDescent="0.25">
      <c r="J25" s="648">
        <f t="shared" si="6"/>
        <v>750</v>
      </c>
      <c r="K25">
        <f t="shared" si="7"/>
        <v>-0.96046195018729241</v>
      </c>
    </row>
    <row r="26" spans="10:11" x14ac:dyDescent="0.25">
      <c r="J26" s="648">
        <f t="shared" si="6"/>
        <v>850</v>
      </c>
      <c r="K26">
        <f t="shared" si="7"/>
        <v>-1.410986973710262</v>
      </c>
    </row>
    <row r="27" spans="10:11" x14ac:dyDescent="0.25">
      <c r="J27" s="648">
        <f t="shared" si="6"/>
        <v>950</v>
      </c>
      <c r="K27">
        <f t="shared" si="7"/>
        <v>-2.2335922215070942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AK25"/>
  <sheetViews>
    <sheetView workbookViewId="0"/>
  </sheetViews>
  <sheetFormatPr defaultRowHeight="15" x14ac:dyDescent="0.25"/>
  <cols>
    <col min="1" max="1" width="9.140625" style="17"/>
    <col min="2" max="2" width="8.85546875" style="17" customWidth="1"/>
    <col min="3" max="3" width="9.140625" style="17"/>
    <col min="4" max="4" width="5.5703125" style="17" customWidth="1"/>
    <col min="5" max="5" width="9.140625" style="17"/>
    <col min="6" max="6" width="9.28515625" style="17" customWidth="1"/>
    <col min="7" max="7" width="9.140625" style="17"/>
    <col min="8" max="8" width="5.5703125" style="17" customWidth="1"/>
    <col min="9" max="10" width="9.140625" style="17"/>
    <col min="11" max="12" width="9.140625" style="17" customWidth="1"/>
    <col min="13" max="13" width="7.7109375" style="17" customWidth="1"/>
    <col min="14" max="14" width="4.5703125" style="17" customWidth="1"/>
    <col min="15" max="15" width="9.28515625" style="17" customWidth="1"/>
    <col min="16" max="17" width="9.140625" style="17"/>
    <col min="18" max="18" width="2.5703125" style="17" customWidth="1"/>
    <col min="19" max="22" width="9.140625" style="17"/>
    <col min="23" max="23" width="3.28515625" style="17" customWidth="1"/>
    <col min="24" max="27" width="9.140625" style="17"/>
    <col min="28" max="28" width="3.42578125" style="17" customWidth="1"/>
    <col min="29" max="30" width="9.140625" style="17"/>
    <col min="31" max="31" width="9.85546875" style="17" customWidth="1"/>
    <col min="32" max="32" width="9.28515625" style="17" customWidth="1"/>
    <col min="33" max="33" width="3.85546875" style="17" customWidth="1"/>
    <col min="34" max="37" width="10.42578125" style="17" customWidth="1"/>
    <col min="38" max="38" width="4.85546875" style="17" customWidth="1"/>
    <col min="39" max="42" width="9.140625" style="17"/>
    <col min="43" max="43" width="4.28515625" style="17" customWidth="1"/>
    <col min="44" max="47" width="9.140625" style="17"/>
    <col min="48" max="48" width="4.5703125" style="17" customWidth="1"/>
    <col min="49" max="52" width="9.140625" style="17"/>
    <col min="53" max="53" width="4.140625" style="17" customWidth="1"/>
    <col min="54" max="57" width="9.140625" style="17"/>
    <col min="58" max="58" width="4.5703125" style="17" customWidth="1"/>
    <col min="59" max="62" width="9.140625" style="17"/>
    <col min="63" max="63" width="4.28515625" style="17" customWidth="1"/>
    <col min="64" max="67" width="9.140625" style="17"/>
    <col min="68" max="68" width="4.42578125" style="17" customWidth="1"/>
    <col min="69" max="72" width="9.140625" style="17"/>
    <col min="73" max="73" width="4.42578125" style="17" customWidth="1"/>
    <col min="74" max="77" width="9.140625" style="17"/>
    <col min="78" max="78" width="4" style="17" customWidth="1"/>
    <col min="79" max="16384" width="9.140625" style="17"/>
  </cols>
  <sheetData>
    <row r="1" spans="1:37" x14ac:dyDescent="0.25">
      <c r="A1" s="1" t="s">
        <v>1314</v>
      </c>
      <c r="AE1" s="17" t="s">
        <v>290</v>
      </c>
    </row>
    <row r="2" spans="1:37" x14ac:dyDescent="0.25">
      <c r="AE2" s="636" t="s">
        <v>292</v>
      </c>
      <c r="AF2" s="636">
        <v>0.98019766125822028</v>
      </c>
    </row>
    <row r="3" spans="1:37" s="649" customFormat="1" x14ac:dyDescent="0.25">
      <c r="A3" s="649" t="s">
        <v>1313</v>
      </c>
      <c r="B3" s="649" t="s">
        <v>1244</v>
      </c>
      <c r="C3" s="649" t="s">
        <v>1245</v>
      </c>
      <c r="E3" s="649" t="str">
        <f t="shared" ref="E3:E13" si="0">A3</f>
        <v>Rems</v>
      </c>
      <c r="F3" s="649" t="s">
        <v>1246</v>
      </c>
      <c r="G3" s="649" t="s">
        <v>1247</v>
      </c>
      <c r="I3" s="649" t="s">
        <v>4</v>
      </c>
      <c r="J3" s="647" t="s">
        <v>142</v>
      </c>
      <c r="K3" s="647" t="s">
        <v>103</v>
      </c>
      <c r="L3" s="647" t="s">
        <v>1253</v>
      </c>
      <c r="N3" s="17"/>
      <c r="O3" s="647" t="s">
        <v>131</v>
      </c>
      <c r="P3" s="17"/>
      <c r="Q3" s="17"/>
      <c r="R3" s="17"/>
      <c r="S3" s="17"/>
      <c r="T3" s="17"/>
      <c r="U3" s="17"/>
      <c r="V3" s="17"/>
      <c r="W3" s="17"/>
      <c r="X3" s="17"/>
      <c r="AE3" s="636" t="s">
        <v>285</v>
      </c>
      <c r="AF3" s="636">
        <v>0.96078745513608477</v>
      </c>
      <c r="AG3" s="17"/>
      <c r="AH3" s="17"/>
      <c r="AI3" s="17"/>
      <c r="AJ3" s="17"/>
      <c r="AK3" s="17"/>
    </row>
    <row r="4" spans="1:37" x14ac:dyDescent="0.25">
      <c r="A4" s="650">
        <v>50</v>
      </c>
      <c r="B4" s="651">
        <v>21</v>
      </c>
      <c r="C4" s="652">
        <v>0</v>
      </c>
      <c r="E4" s="649">
        <f t="shared" si="0"/>
        <v>50</v>
      </c>
      <c r="F4" s="653">
        <f t="shared" ref="F4:F14" si="1">B4/(B4+C4)</f>
        <v>1</v>
      </c>
      <c r="G4" s="603" t="str">
        <f t="shared" ref="G4:G14" si="2">IF(F4 = 1,"∞",F4/(1-F4))</f>
        <v>∞</v>
      </c>
      <c r="H4" s="655"/>
      <c r="I4" s="649">
        <f>E4</f>
        <v>50</v>
      </c>
      <c r="J4" s="657">
        <f>F4</f>
        <v>1</v>
      </c>
      <c r="K4" s="692">
        <f>1/(1+EXP(-$O$5-$O$6*I4))</f>
        <v>0.98395198029490827</v>
      </c>
      <c r="L4" s="658">
        <f t="shared" ref="L4:L13" si="3">(B4+C4)*(J4*LN(K4)+(1-J4)*LN(1-K4))</f>
        <v>-0.33974185631341247</v>
      </c>
      <c r="AE4" s="636" t="s">
        <v>293</v>
      </c>
      <c r="AF4" s="636">
        <v>0.95294494616330172</v>
      </c>
    </row>
    <row r="5" spans="1:37" x14ac:dyDescent="0.25">
      <c r="A5" s="650">
        <f>A4+100</f>
        <v>150</v>
      </c>
      <c r="B5" s="576">
        <v>29</v>
      </c>
      <c r="C5" s="495">
        <v>1</v>
      </c>
      <c r="E5" s="649">
        <f t="shared" si="0"/>
        <v>150</v>
      </c>
      <c r="F5" s="576">
        <f t="shared" si="1"/>
        <v>0.96666666666666667</v>
      </c>
      <c r="G5" s="654">
        <f t="shared" si="2"/>
        <v>29.000000000000007</v>
      </c>
      <c r="H5" s="655"/>
      <c r="I5" s="649">
        <f t="shared" ref="I5:I13" si="4">E5</f>
        <v>150</v>
      </c>
      <c r="J5" s="659">
        <f t="shared" ref="J5:J13" si="5">F5</f>
        <v>0.96666666666666667</v>
      </c>
      <c r="K5" s="655">
        <f t="shared" ref="K5:K13" si="6">1/(1+EXP(-$O$5-$O$6*I5))</f>
        <v>0.96753388507077187</v>
      </c>
      <c r="L5" s="654">
        <f t="shared" si="3"/>
        <v>-4.3846984606260797</v>
      </c>
      <c r="N5" s="17" t="s">
        <v>41</v>
      </c>
      <c r="O5" s="593">
        <v>4.4767106944921951</v>
      </c>
      <c r="AE5" s="636" t="s">
        <v>11</v>
      </c>
      <c r="AF5" s="636">
        <v>0.48383403651561618</v>
      </c>
    </row>
    <row r="6" spans="1:37" ht="15.75" thickBot="1" x14ac:dyDescent="0.3">
      <c r="A6" s="650">
        <f t="shared" ref="A6:A13" si="7">A5+100</f>
        <v>250</v>
      </c>
      <c r="B6" s="576">
        <v>87</v>
      </c>
      <c r="C6" s="495">
        <v>6</v>
      </c>
      <c r="E6" s="649">
        <f t="shared" si="0"/>
        <v>250</v>
      </c>
      <c r="F6" s="576">
        <f t="shared" si="1"/>
        <v>0.93548387096774188</v>
      </c>
      <c r="G6" s="654">
        <f t="shared" si="2"/>
        <v>14.499999999999988</v>
      </c>
      <c r="H6" s="655"/>
      <c r="I6" s="649">
        <f t="shared" si="4"/>
        <v>250</v>
      </c>
      <c r="J6" s="659">
        <f t="shared" si="5"/>
        <v>0.93548387096774188</v>
      </c>
      <c r="K6" s="655">
        <f t="shared" si="6"/>
        <v>0.93542148257003155</v>
      </c>
      <c r="L6" s="654">
        <f t="shared" si="3"/>
        <v>-22.247192721995795</v>
      </c>
      <c r="N6" s="17" t="s">
        <v>42</v>
      </c>
      <c r="O6" s="595">
        <v>-7.214381164948663E-3</v>
      </c>
      <c r="AE6" s="640" t="s">
        <v>81</v>
      </c>
      <c r="AF6" s="640">
        <v>7</v>
      </c>
    </row>
    <row r="7" spans="1:37" x14ac:dyDescent="0.25">
      <c r="A7" s="650">
        <f t="shared" si="7"/>
        <v>350</v>
      </c>
      <c r="B7" s="576">
        <v>75</v>
      </c>
      <c r="C7" s="495">
        <v>11</v>
      </c>
      <c r="E7" s="649">
        <f t="shared" si="0"/>
        <v>350</v>
      </c>
      <c r="F7" s="576">
        <f t="shared" si="1"/>
        <v>0.87209302325581395</v>
      </c>
      <c r="G7" s="654">
        <f t="shared" si="2"/>
        <v>6.8181818181818175</v>
      </c>
      <c r="H7" s="655"/>
      <c r="I7" s="649">
        <f t="shared" si="4"/>
        <v>350</v>
      </c>
      <c r="J7" s="659">
        <f t="shared" si="5"/>
        <v>0.87209302325581395</v>
      </c>
      <c r="K7" s="655">
        <f t="shared" si="6"/>
        <v>0.87562941771495062</v>
      </c>
      <c r="L7" s="654">
        <f t="shared" si="3"/>
        <v>-32.890309389721565</v>
      </c>
    </row>
    <row r="8" spans="1:37" ht="15.75" thickBot="1" x14ac:dyDescent="0.3">
      <c r="A8" s="650">
        <f t="shared" si="7"/>
        <v>450</v>
      </c>
      <c r="B8" s="576">
        <v>85</v>
      </c>
      <c r="C8" s="495">
        <v>23</v>
      </c>
      <c r="E8" s="649">
        <f t="shared" si="0"/>
        <v>450</v>
      </c>
      <c r="F8" s="576">
        <f t="shared" si="1"/>
        <v>0.78703703703703709</v>
      </c>
      <c r="G8" s="654">
        <f t="shared" si="2"/>
        <v>3.6956521739130448</v>
      </c>
      <c r="H8" s="655"/>
      <c r="I8" s="649">
        <f t="shared" si="4"/>
        <v>450</v>
      </c>
      <c r="J8" s="659">
        <f t="shared" si="5"/>
        <v>0.78703703703703709</v>
      </c>
      <c r="K8" s="655">
        <f t="shared" si="6"/>
        <v>0.77386043191826093</v>
      </c>
      <c r="L8" s="654">
        <f t="shared" si="3"/>
        <v>-55.982785070586239</v>
      </c>
      <c r="AE8" s="17" t="s">
        <v>294</v>
      </c>
    </row>
    <row r="9" spans="1:37" x14ac:dyDescent="0.25">
      <c r="A9" s="650">
        <f t="shared" si="7"/>
        <v>550</v>
      </c>
      <c r="B9" s="576">
        <v>64</v>
      </c>
      <c r="C9" s="495">
        <v>38</v>
      </c>
      <c r="E9" s="649">
        <f t="shared" si="0"/>
        <v>550</v>
      </c>
      <c r="F9" s="576">
        <f t="shared" si="1"/>
        <v>0.62745098039215685</v>
      </c>
      <c r="G9" s="654">
        <f t="shared" si="2"/>
        <v>1.6842105263157894</v>
      </c>
      <c r="H9" s="655"/>
      <c r="I9" s="649">
        <f t="shared" si="4"/>
        <v>550</v>
      </c>
      <c r="J9" s="659">
        <f t="shared" si="5"/>
        <v>0.62745098039215685</v>
      </c>
      <c r="K9" s="655">
        <f t="shared" si="6"/>
        <v>0.62452537145457221</v>
      </c>
      <c r="L9" s="654">
        <f t="shared" si="3"/>
        <v>-67.352299031399639</v>
      </c>
      <c r="AE9" s="646"/>
      <c r="AF9" s="646" t="s">
        <v>60</v>
      </c>
      <c r="AG9" s="646" t="s">
        <v>219</v>
      </c>
      <c r="AH9" s="646" t="s">
        <v>240</v>
      </c>
      <c r="AI9" s="646" t="s">
        <v>135</v>
      </c>
      <c r="AJ9" s="646" t="s">
        <v>297</v>
      </c>
    </row>
    <row r="10" spans="1:37" x14ac:dyDescent="0.25">
      <c r="A10" s="650">
        <f t="shared" si="7"/>
        <v>650</v>
      </c>
      <c r="B10" s="576">
        <v>53</v>
      </c>
      <c r="C10" s="495">
        <v>73</v>
      </c>
      <c r="E10" s="649">
        <f t="shared" si="0"/>
        <v>650</v>
      </c>
      <c r="F10" s="576">
        <f t="shared" si="1"/>
        <v>0.42063492063492064</v>
      </c>
      <c r="G10" s="654">
        <f t="shared" si="2"/>
        <v>0.7260273972602741</v>
      </c>
      <c r="H10" s="655"/>
      <c r="I10" s="649">
        <f t="shared" si="4"/>
        <v>650</v>
      </c>
      <c r="J10" s="659">
        <f t="shared" si="5"/>
        <v>0.42063492063492064</v>
      </c>
      <c r="K10" s="655">
        <f t="shared" si="6"/>
        <v>0.44704013036647189</v>
      </c>
      <c r="L10" s="654">
        <f t="shared" si="3"/>
        <v>-85.920965243919539</v>
      </c>
      <c r="AE10" s="636" t="s">
        <v>222</v>
      </c>
      <c r="AF10" s="636">
        <v>1</v>
      </c>
      <c r="AG10" s="636">
        <v>28.679074551422662</v>
      </c>
      <c r="AH10" s="636">
        <v>28.679074551422662</v>
      </c>
      <c r="AI10" s="636">
        <v>122.5102143294242</v>
      </c>
      <c r="AJ10" s="636">
        <v>1.0486299346429363E-4</v>
      </c>
    </row>
    <row r="11" spans="1:37" x14ac:dyDescent="0.25">
      <c r="A11" s="650">
        <f t="shared" si="7"/>
        <v>750</v>
      </c>
      <c r="B11" s="576">
        <v>31</v>
      </c>
      <c r="C11" s="495">
        <v>81</v>
      </c>
      <c r="E11" s="649">
        <f t="shared" si="0"/>
        <v>750</v>
      </c>
      <c r="F11" s="576">
        <f t="shared" si="1"/>
        <v>0.2767857142857143</v>
      </c>
      <c r="G11" s="654">
        <f t="shared" si="2"/>
        <v>0.38271604938271608</v>
      </c>
      <c r="H11" s="655"/>
      <c r="I11" s="649">
        <f t="shared" si="4"/>
        <v>750</v>
      </c>
      <c r="J11" s="659">
        <f t="shared" si="5"/>
        <v>0.2767857142857143</v>
      </c>
      <c r="K11" s="655">
        <f t="shared" si="6"/>
        <v>0.28209868086119477</v>
      </c>
      <c r="L11" s="654">
        <f t="shared" si="3"/>
        <v>-66.075724241135234</v>
      </c>
      <c r="AE11" s="636" t="s">
        <v>295</v>
      </c>
      <c r="AF11" s="636">
        <v>5</v>
      </c>
      <c r="AG11" s="636">
        <v>1.1704768744549732</v>
      </c>
      <c r="AH11" s="636">
        <v>0.23409537489099463</v>
      </c>
      <c r="AI11" s="636"/>
      <c r="AJ11" s="636"/>
    </row>
    <row r="12" spans="1:37" ht="15.75" thickBot="1" x14ac:dyDescent="0.3">
      <c r="A12" s="650">
        <f t="shared" si="7"/>
        <v>850</v>
      </c>
      <c r="B12" s="576">
        <v>10</v>
      </c>
      <c r="C12" s="495">
        <v>41</v>
      </c>
      <c r="E12" s="649">
        <f t="shared" si="0"/>
        <v>850</v>
      </c>
      <c r="F12" s="576">
        <f t="shared" si="1"/>
        <v>0.19607843137254902</v>
      </c>
      <c r="G12" s="654">
        <f t="shared" si="2"/>
        <v>0.24390243902439024</v>
      </c>
      <c r="H12" s="655"/>
      <c r="I12" s="649">
        <f t="shared" si="4"/>
        <v>850</v>
      </c>
      <c r="J12" s="659">
        <f t="shared" si="5"/>
        <v>0.19607843137254902</v>
      </c>
      <c r="K12" s="655">
        <f t="shared" si="6"/>
        <v>0.16036520341930324</v>
      </c>
      <c r="L12" s="654">
        <f t="shared" si="3"/>
        <v>-25.46933358771334</v>
      </c>
      <c r="AE12" s="640" t="s">
        <v>1</v>
      </c>
      <c r="AF12" s="640">
        <v>6</v>
      </c>
      <c r="AG12" s="640">
        <v>29.849551425877635</v>
      </c>
      <c r="AH12" s="640"/>
      <c r="AI12" s="640"/>
      <c r="AJ12" s="640"/>
    </row>
    <row r="13" spans="1:37" ht="15.75" thickBot="1" x14ac:dyDescent="0.3">
      <c r="A13" s="650">
        <f t="shared" si="7"/>
        <v>950</v>
      </c>
      <c r="B13" s="496">
        <v>3</v>
      </c>
      <c r="C13" s="497">
        <v>28</v>
      </c>
      <c r="E13" s="649">
        <f t="shared" si="0"/>
        <v>950</v>
      </c>
      <c r="F13" s="346">
        <f t="shared" si="1"/>
        <v>9.6774193548387094E-2</v>
      </c>
      <c r="G13" s="656">
        <f t="shared" si="2"/>
        <v>0.10714285714285714</v>
      </c>
      <c r="H13" s="655"/>
      <c r="I13" s="649">
        <f t="shared" si="4"/>
        <v>950</v>
      </c>
      <c r="J13" s="660">
        <f t="shared" si="5"/>
        <v>9.6774193548387094E-2</v>
      </c>
      <c r="K13" s="661">
        <f t="shared" si="6"/>
        <v>8.4947236480021129E-2</v>
      </c>
      <c r="L13" s="662">
        <f t="shared" si="3"/>
        <v>-9.8828342965478342</v>
      </c>
    </row>
    <row r="14" spans="1:37" x14ac:dyDescent="0.25">
      <c r="B14" s="17">
        <f>SUM(B4:B13)</f>
        <v>458</v>
      </c>
      <c r="C14" s="17">
        <f>SUM(C4:C13)</f>
        <v>302</v>
      </c>
      <c r="F14" s="17">
        <f t="shared" si="1"/>
        <v>0.60263157894736841</v>
      </c>
      <c r="G14" s="649">
        <f t="shared" si="2"/>
        <v>1.5165562913907285</v>
      </c>
      <c r="H14" s="649"/>
      <c r="I14" s="649"/>
      <c r="J14" s="649"/>
      <c r="K14" s="649"/>
      <c r="L14" s="649">
        <f>SUM(L4:L13)</f>
        <v>-370.54588389995865</v>
      </c>
      <c r="AE14" s="646"/>
      <c r="AF14" s="646" t="s">
        <v>298</v>
      </c>
      <c r="AG14" s="646" t="s">
        <v>11</v>
      </c>
      <c r="AH14" s="646" t="s">
        <v>85</v>
      </c>
      <c r="AI14" s="646" t="s">
        <v>119</v>
      </c>
      <c r="AJ14" s="646" t="s">
        <v>299</v>
      </c>
      <c r="AK14" s="646" t="s">
        <v>300</v>
      </c>
    </row>
    <row r="15" spans="1:37" x14ac:dyDescent="0.25">
      <c r="AE15" s="636" t="s">
        <v>296</v>
      </c>
      <c r="AF15" s="636">
        <v>21.389792432310717</v>
      </c>
      <c r="AG15" s="636">
        <v>1.8833382481789414</v>
      </c>
      <c r="AH15" s="636">
        <v>11.357382272140002</v>
      </c>
      <c r="AI15" s="636">
        <v>9.2576145640744042E-5</v>
      </c>
      <c r="AJ15" s="636">
        <v>16.548517342950841</v>
      </c>
      <c r="AK15" s="636">
        <v>26.231067521670592</v>
      </c>
    </row>
    <row r="16" spans="1:37" ht="15.75" thickBot="1" x14ac:dyDescent="0.3">
      <c r="B16" s="282" t="s">
        <v>1316</v>
      </c>
      <c r="C16" s="649"/>
      <c r="AE16" s="640" t="s">
        <v>1248</v>
      </c>
      <c r="AF16" s="640">
        <v>-10.120536856070466</v>
      </c>
      <c r="AG16" s="640">
        <v>0.91436038317775925</v>
      </c>
      <c r="AH16" s="640">
        <v>-11.068433237338706</v>
      </c>
      <c r="AI16" s="640">
        <v>1.0486299346429363E-4</v>
      </c>
      <c r="AJ16" s="640">
        <v>-12.470975047434296</v>
      </c>
      <c r="AK16" s="640">
        <v>-7.7700986647066355</v>
      </c>
    </row>
    <row r="18" spans="1:11" x14ac:dyDescent="0.25">
      <c r="A18" s="17" t="s">
        <v>229</v>
      </c>
    </row>
    <row r="19" spans="1:11" x14ac:dyDescent="0.25">
      <c r="K19" s="17" t="e">
        <f>DEL</f>
        <v>#NAME?</v>
      </c>
    </row>
    <row r="20" spans="1:11" x14ac:dyDescent="0.25">
      <c r="A20" s="17" t="s">
        <v>389</v>
      </c>
      <c r="B20" s="593">
        <f>O5</f>
        <v>4.4767106944921951</v>
      </c>
    </row>
    <row r="21" spans="1:11" x14ac:dyDescent="0.25">
      <c r="A21" s="17" t="s">
        <v>387</v>
      </c>
      <c r="B21" s="595">
        <f>O6</f>
        <v>-7.214381164948663E-3</v>
      </c>
    </row>
    <row r="23" spans="1:11" x14ac:dyDescent="0.25">
      <c r="A23" s="17" t="s">
        <v>4</v>
      </c>
      <c r="B23" s="666">
        <v>380</v>
      </c>
    </row>
    <row r="24" spans="1:11" x14ac:dyDescent="0.25">
      <c r="A24" s="17" t="s">
        <v>1249</v>
      </c>
      <c r="B24" s="594">
        <f>B20+B23*B21</f>
        <v>1.7352458518117033</v>
      </c>
    </row>
    <row r="25" spans="1:11" x14ac:dyDescent="0.25">
      <c r="A25" s="17" t="s">
        <v>103</v>
      </c>
      <c r="B25" s="665">
        <f>1/(1+EXP(-B24))</f>
        <v>0.85008219299194931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AK54"/>
  <sheetViews>
    <sheetView workbookViewId="0"/>
  </sheetViews>
  <sheetFormatPr defaultRowHeight="15" x14ac:dyDescent="0.25"/>
  <cols>
    <col min="1" max="1" width="6.140625" customWidth="1"/>
    <col min="2" max="2" width="8.42578125" customWidth="1"/>
    <col min="3" max="3" width="8.140625" customWidth="1"/>
    <col min="4" max="4" width="3.28515625" customWidth="1"/>
    <col min="5" max="6" width="8.85546875" customWidth="1"/>
    <col min="16" max="16" width="3.28515625" customWidth="1"/>
    <col min="18" max="18" width="3.28515625" customWidth="1"/>
    <col min="21" max="21" width="3.28515625" customWidth="1"/>
  </cols>
  <sheetData>
    <row r="1" spans="1:37" x14ac:dyDescent="0.25">
      <c r="A1" s="1" t="s">
        <v>1526</v>
      </c>
      <c r="B1" s="17"/>
      <c r="C1" s="17"/>
      <c r="D1" s="17"/>
    </row>
    <row r="2" spans="1:37" x14ac:dyDescent="0.25">
      <c r="A2" s="17"/>
      <c r="B2" s="17"/>
      <c r="C2" s="17"/>
      <c r="D2" s="17"/>
    </row>
    <row r="3" spans="1:37" x14ac:dyDescent="0.25">
      <c r="A3" s="649" t="s">
        <v>1313</v>
      </c>
      <c r="B3" s="649" t="s">
        <v>1244</v>
      </c>
      <c r="C3" s="649" t="s">
        <v>1245</v>
      </c>
      <c r="D3" s="649"/>
      <c r="E3" t="s">
        <v>1243</v>
      </c>
      <c r="Y3" t="s">
        <v>1709</v>
      </c>
      <c r="AD3" t="s">
        <v>1713</v>
      </c>
    </row>
    <row r="4" spans="1:37" ht="15.75" thickBot="1" x14ac:dyDescent="0.3">
      <c r="A4" s="650">
        <v>50</v>
      </c>
      <c r="B4" s="651">
        <v>21</v>
      </c>
      <c r="C4" s="652">
        <v>0</v>
      </c>
      <c r="D4" s="17"/>
    </row>
    <row r="5" spans="1:37" ht="15.75" thickTop="1" x14ac:dyDescent="0.25">
      <c r="A5" s="650">
        <f>A4+100</f>
        <v>150</v>
      </c>
      <c r="B5" s="576">
        <v>29</v>
      </c>
      <c r="C5" s="495">
        <v>1</v>
      </c>
      <c r="D5" s="17"/>
      <c r="E5" s="800" t="str">
        <f>A3</f>
        <v>Rems</v>
      </c>
      <c r="F5" s="800" t="str">
        <f>B3</f>
        <v>Survived</v>
      </c>
      <c r="G5" s="800" t="str">
        <f>C3</f>
        <v>Died</v>
      </c>
      <c r="H5" s="800" t="s">
        <v>1</v>
      </c>
      <c r="I5" s="800" t="s">
        <v>1322</v>
      </c>
      <c r="J5" s="800" t="s">
        <v>1323</v>
      </c>
      <c r="K5" s="800" t="s">
        <v>1707</v>
      </c>
      <c r="L5" s="800" t="s">
        <v>1708</v>
      </c>
      <c r="M5" s="800" t="s">
        <v>1253</v>
      </c>
      <c r="N5" s="800" t="s">
        <v>1527</v>
      </c>
      <c r="O5" s="800" t="s">
        <v>1648</v>
      </c>
      <c r="Q5" t="s">
        <v>1324</v>
      </c>
      <c r="S5" t="s">
        <v>1252</v>
      </c>
      <c r="T5" s="802">
        <f>F16*LN(F16/H16)+G16*LN(G16/H16)</f>
        <v>-510.66696372157895</v>
      </c>
      <c r="V5" t="s">
        <v>1528</v>
      </c>
      <c r="Z5" s="792" t="s">
        <v>1710</v>
      </c>
      <c r="AA5" s="792" t="s">
        <v>1711</v>
      </c>
      <c r="AD5" s="754" t="s">
        <v>1323</v>
      </c>
      <c r="AE5" s="754" t="s">
        <v>1655</v>
      </c>
      <c r="AF5" s="754" t="s">
        <v>1654</v>
      </c>
      <c r="AG5" s="754" t="s">
        <v>1714</v>
      </c>
      <c r="AH5" s="754" t="s">
        <v>1715</v>
      </c>
      <c r="AI5" s="754" t="s">
        <v>1716</v>
      </c>
      <c r="AJ5" s="754" t="s">
        <v>1717</v>
      </c>
      <c r="AK5" s="754" t="s">
        <v>1718</v>
      </c>
    </row>
    <row r="6" spans="1:37" x14ac:dyDescent="0.25">
      <c r="A6" s="650">
        <f t="shared" ref="A6:A13" si="0">A5+100</f>
        <v>250</v>
      </c>
      <c r="B6" s="576">
        <v>87</v>
      </c>
      <c r="C6" s="495">
        <v>6</v>
      </c>
      <c r="D6" s="17"/>
      <c r="E6">
        <f t="shared" ref="E6:E15" si="1">A4</f>
        <v>50</v>
      </c>
      <c r="F6" s="501">
        <f t="shared" ref="F6:F15" si="2">B4</f>
        <v>21</v>
      </c>
      <c r="G6" s="7">
        <f t="shared" ref="G6:G15" si="3">C4</f>
        <v>0</v>
      </c>
      <c r="H6" s="57">
        <f>F6+G6</f>
        <v>21</v>
      </c>
      <c r="I6">
        <f>F6/H6</f>
        <v>1</v>
      </c>
      <c r="J6">
        <f>1/(1+EXP(-$Q$7-$Q$8*E6))</f>
        <v>0.5</v>
      </c>
      <c r="K6" s="797">
        <f>H6*J6</f>
        <v>10.5</v>
      </c>
      <c r="L6" s="799">
        <f>H6-K6</f>
        <v>10.5</v>
      </c>
      <c r="M6">
        <f>H6*(I6*LN(J6)+(1-I6)*LN(1-J6))</f>
        <v>-14.556090791758852</v>
      </c>
      <c r="N6">
        <f>100*IF(J6&gt;=$Z$12,F6/H6,G6/H6)</f>
        <v>100</v>
      </c>
      <c r="O6">
        <f>(F6-K6)^2/K6+(G6-L6)^2/L6</f>
        <v>21</v>
      </c>
      <c r="S6" t="s">
        <v>1315</v>
      </c>
      <c r="T6" s="757">
        <f>M16</f>
        <v>-526.79185722555849</v>
      </c>
      <c r="V6" s="797">
        <f t="array" ref="V6:W7">MINVERSE(MMULT(TRANSPOSE([1]!DESIGN(E6:E15)),J6:J15*(1-J6:J15)*H6:H15*[1]!DESIGN(E6:E15)))</f>
        <v>3.4831616294048497E-2</v>
      </c>
      <c r="W6" s="799">
        <v>-5.5858882384978527E-5</v>
      </c>
      <c r="Y6" t="s">
        <v>1707</v>
      </c>
      <c r="Z6" s="797">
        <f>SUMIF(J6:J15,"&gt;="&amp;Z12,F6:F15)</f>
        <v>458</v>
      </c>
      <c r="AA6" s="799">
        <f>SUMIF(J6:J15,"&gt;="&amp;Z12,G6:G15)</f>
        <v>302</v>
      </c>
      <c r="AB6">
        <f>Z6+AA6</f>
        <v>760</v>
      </c>
      <c r="AG6">
        <v>0</v>
      </c>
      <c r="AH6">
        <v>0</v>
      </c>
      <c r="AI6">
        <f>1-AG6/AG$16</f>
        <v>1</v>
      </c>
      <c r="AJ6">
        <f>1-AH6/AH$16</f>
        <v>1</v>
      </c>
      <c r="AK6">
        <f>(AI6-AI7)*AJ6</f>
        <v>0</v>
      </c>
    </row>
    <row r="7" spans="1:37" x14ac:dyDescent="0.25">
      <c r="A7" s="650">
        <f t="shared" si="0"/>
        <v>350</v>
      </c>
      <c r="B7" s="576">
        <v>75</v>
      </c>
      <c r="C7" s="495">
        <v>11</v>
      </c>
      <c r="D7" s="17"/>
      <c r="E7">
        <f t="shared" si="1"/>
        <v>150</v>
      </c>
      <c r="F7" s="501">
        <f t="shared" si="2"/>
        <v>29</v>
      </c>
      <c r="G7" s="7">
        <f t="shared" si="3"/>
        <v>1</v>
      </c>
      <c r="H7" s="57">
        <f t="shared" ref="H7:H15" si="4">F7+G7</f>
        <v>30</v>
      </c>
      <c r="I7">
        <f t="shared" ref="I7:I15" si="5">F7/H7</f>
        <v>0.96666666666666667</v>
      </c>
      <c r="J7">
        <f t="shared" ref="J7:J15" si="6">1/(1+EXP(-$Q$7-$Q$8*E7))</f>
        <v>0.5</v>
      </c>
      <c r="K7" s="501">
        <f t="shared" ref="K7:K15" si="7">H7*J7</f>
        <v>15</v>
      </c>
      <c r="L7" s="57">
        <f t="shared" ref="L7:L15" si="8">H7-K7</f>
        <v>15</v>
      </c>
      <c r="M7">
        <f t="shared" ref="M7:M15" si="9">H7*(I7*LN(J7)+(1-I7)*LN(1-J7))</f>
        <v>-20.794415416798358</v>
      </c>
      <c r="N7">
        <f t="shared" ref="N7:N15" si="10">100*IF(J7&gt;=$Z$12,F7/H7,G7/H7)</f>
        <v>96.666666666666671</v>
      </c>
      <c r="O7">
        <f t="shared" ref="O7:O15" si="11">(F7-K7)^2/K7+(G7-L7)^2/L7</f>
        <v>26.133333333333333</v>
      </c>
      <c r="Q7" s="802">
        <v>0</v>
      </c>
      <c r="V7" s="759">
        <v>-5.585888238497852E-5</v>
      </c>
      <c r="W7" s="761">
        <v>1.0552510716525895E-7</v>
      </c>
      <c r="Y7" t="s">
        <v>1708</v>
      </c>
      <c r="Z7" s="759">
        <f>Z8-Z6</f>
        <v>0</v>
      </c>
      <c r="AA7" s="761">
        <f>AA8-AA6</f>
        <v>0</v>
      </c>
      <c r="AB7">
        <f>Z7+AA7</f>
        <v>0</v>
      </c>
      <c r="AD7">
        <f t="array" ref="AD7:AF16">[1]!SelectCols(F6:J15,"5,2,1",1)</f>
        <v>0.5</v>
      </c>
      <c r="AE7">
        <v>0</v>
      </c>
      <c r="AF7">
        <v>21</v>
      </c>
      <c r="AG7">
        <f>AG6+AE7</f>
        <v>0</v>
      </c>
      <c r="AH7">
        <f>AH6+AF7</f>
        <v>21</v>
      </c>
      <c r="AI7">
        <f t="shared" ref="AI7:AI16" si="12">1-AG7/AG$16</f>
        <v>1</v>
      </c>
      <c r="AJ7">
        <f t="shared" ref="AJ7:AJ16" si="13">1-AH7/AH$16</f>
        <v>0.95414847161572047</v>
      </c>
      <c r="AK7">
        <f t="shared" ref="AK7:AK16" si="14">(AI7-AI8)*AJ7</f>
        <v>0.12953671303392233</v>
      </c>
    </row>
    <row r="8" spans="1:37" x14ac:dyDescent="0.25">
      <c r="A8" s="650">
        <f t="shared" si="0"/>
        <v>450</v>
      </c>
      <c r="B8" s="576">
        <v>85</v>
      </c>
      <c r="C8" s="495">
        <v>23</v>
      </c>
      <c r="D8" s="17"/>
      <c r="E8">
        <f t="shared" si="1"/>
        <v>250</v>
      </c>
      <c r="F8" s="501">
        <f t="shared" si="2"/>
        <v>87</v>
      </c>
      <c r="G8" s="7">
        <f t="shared" si="3"/>
        <v>6</v>
      </c>
      <c r="H8" s="57">
        <f t="shared" si="4"/>
        <v>93</v>
      </c>
      <c r="I8">
        <f t="shared" si="5"/>
        <v>0.93548387096774188</v>
      </c>
      <c r="J8">
        <f t="shared" si="6"/>
        <v>0.5</v>
      </c>
      <c r="K8" s="501">
        <f t="shared" si="7"/>
        <v>46.5</v>
      </c>
      <c r="L8" s="57">
        <f t="shared" si="8"/>
        <v>46.5</v>
      </c>
      <c r="M8">
        <f t="shared" si="9"/>
        <v>-64.462687792074917</v>
      </c>
      <c r="N8">
        <f t="shared" si="10"/>
        <v>93.548387096774192</v>
      </c>
      <c r="O8">
        <f t="shared" si="11"/>
        <v>70.548387096774192</v>
      </c>
      <c r="Q8" s="757">
        <v>0</v>
      </c>
      <c r="S8" t="s">
        <v>1328</v>
      </c>
      <c r="T8" s="802">
        <f>2*(T6-T5)</f>
        <v>-32.249787007959071</v>
      </c>
      <c r="Z8">
        <f>F16</f>
        <v>458</v>
      </c>
      <c r="AA8">
        <f>G16</f>
        <v>302</v>
      </c>
      <c r="AB8">
        <f>Z8+AA8</f>
        <v>760</v>
      </c>
      <c r="AD8">
        <v>0.5</v>
      </c>
      <c r="AE8">
        <v>41</v>
      </c>
      <c r="AF8">
        <v>10</v>
      </c>
      <c r="AG8">
        <f t="shared" ref="AG8:AG16" si="15">AG7+AE8</f>
        <v>41</v>
      </c>
      <c r="AH8">
        <f t="shared" ref="AH8:AH16" si="16">AH7+AF8</f>
        <v>31</v>
      </c>
      <c r="AI8">
        <f t="shared" si="12"/>
        <v>0.86423841059602646</v>
      </c>
      <c r="AJ8">
        <f t="shared" si="13"/>
        <v>0.93231441048034935</v>
      </c>
      <c r="AK8">
        <f t="shared" si="14"/>
        <v>8.6439746667052175E-2</v>
      </c>
    </row>
    <row r="9" spans="1:37" x14ac:dyDescent="0.25">
      <c r="A9" s="650">
        <f t="shared" si="0"/>
        <v>550</v>
      </c>
      <c r="B9" s="576">
        <v>64</v>
      </c>
      <c r="C9" s="495">
        <v>38</v>
      </c>
      <c r="D9" s="17"/>
      <c r="E9">
        <f t="shared" si="1"/>
        <v>350</v>
      </c>
      <c r="F9" s="501">
        <f t="shared" si="2"/>
        <v>75</v>
      </c>
      <c r="G9" s="7">
        <f t="shared" si="3"/>
        <v>11</v>
      </c>
      <c r="H9" s="57">
        <f t="shared" si="4"/>
        <v>86</v>
      </c>
      <c r="I9">
        <f t="shared" si="5"/>
        <v>0.87209302325581395</v>
      </c>
      <c r="J9">
        <f t="shared" si="6"/>
        <v>0.5</v>
      </c>
      <c r="K9" s="501">
        <f t="shared" si="7"/>
        <v>43</v>
      </c>
      <c r="L9" s="57">
        <f t="shared" si="8"/>
        <v>43</v>
      </c>
      <c r="M9">
        <f t="shared" si="9"/>
        <v>-59.610657528155294</v>
      </c>
      <c r="N9">
        <f t="shared" si="10"/>
        <v>87.20930232558139</v>
      </c>
      <c r="O9">
        <f t="shared" si="11"/>
        <v>47.627906976744185</v>
      </c>
      <c r="S9" t="s">
        <v>60</v>
      </c>
      <c r="T9" s="680">
        <f>COUNT(E6)</f>
        <v>1</v>
      </c>
      <c r="AD9">
        <v>0.5</v>
      </c>
      <c r="AE9">
        <v>28</v>
      </c>
      <c r="AF9">
        <v>3</v>
      </c>
      <c r="AG9">
        <f t="shared" si="15"/>
        <v>69</v>
      </c>
      <c r="AH9">
        <f t="shared" si="16"/>
        <v>34</v>
      </c>
      <c r="AI9">
        <f t="shared" si="12"/>
        <v>0.77152317880794707</v>
      </c>
      <c r="AJ9">
        <f t="shared" si="13"/>
        <v>0.92576419213973793</v>
      </c>
      <c r="AK9">
        <f t="shared" si="14"/>
        <v>3.0654443448335849E-3</v>
      </c>
    </row>
    <row r="10" spans="1:37" x14ac:dyDescent="0.25">
      <c r="A10" s="650">
        <f t="shared" si="0"/>
        <v>650</v>
      </c>
      <c r="B10" s="576">
        <v>53</v>
      </c>
      <c r="C10" s="495">
        <v>73</v>
      </c>
      <c r="D10" s="17"/>
      <c r="E10">
        <f t="shared" si="1"/>
        <v>450</v>
      </c>
      <c r="F10" s="501">
        <f t="shared" si="2"/>
        <v>85</v>
      </c>
      <c r="G10" s="7">
        <f t="shared" si="3"/>
        <v>23</v>
      </c>
      <c r="H10" s="57">
        <f t="shared" si="4"/>
        <v>108</v>
      </c>
      <c r="I10">
        <f t="shared" si="5"/>
        <v>0.78703703703703709</v>
      </c>
      <c r="J10">
        <f t="shared" si="6"/>
        <v>0.5</v>
      </c>
      <c r="K10" s="501">
        <f t="shared" si="7"/>
        <v>54</v>
      </c>
      <c r="L10" s="57">
        <f t="shared" si="8"/>
        <v>54</v>
      </c>
      <c r="M10">
        <f t="shared" si="9"/>
        <v>-74.859895500474096</v>
      </c>
      <c r="N10">
        <f t="shared" si="10"/>
        <v>78.703703703703709</v>
      </c>
      <c r="O10">
        <f t="shared" si="11"/>
        <v>35.592592592592595</v>
      </c>
      <c r="S10" t="s">
        <v>67</v>
      </c>
      <c r="T10" s="680" t="e">
        <f>CHIDIST(T8,T9)</f>
        <v>#NUM!</v>
      </c>
      <c r="Y10" t="s">
        <v>1735</v>
      </c>
      <c r="Z10" s="803">
        <f>Z6/Z8</f>
        <v>1</v>
      </c>
      <c r="AA10" s="804">
        <f>AA7/AA8</f>
        <v>0</v>
      </c>
      <c r="AB10">
        <f>(Z6+AA7)/AB8</f>
        <v>0.60263157894736841</v>
      </c>
      <c r="AD10">
        <v>0.5</v>
      </c>
      <c r="AE10">
        <v>1</v>
      </c>
      <c r="AF10">
        <v>29</v>
      </c>
      <c r="AG10">
        <f t="shared" si="15"/>
        <v>70</v>
      </c>
      <c r="AH10">
        <f t="shared" si="16"/>
        <v>63</v>
      </c>
      <c r="AI10">
        <f t="shared" si="12"/>
        <v>0.76821192052980136</v>
      </c>
      <c r="AJ10">
        <f t="shared" si="13"/>
        <v>0.86244541484716164</v>
      </c>
      <c r="AK10">
        <f t="shared" si="14"/>
        <v>1.7134677116168767E-2</v>
      </c>
    </row>
    <row r="11" spans="1:37" x14ac:dyDescent="0.25">
      <c r="A11" s="650">
        <f t="shared" si="0"/>
        <v>750</v>
      </c>
      <c r="B11" s="576">
        <v>31</v>
      </c>
      <c r="C11" s="495">
        <v>81</v>
      </c>
      <c r="D11" s="17"/>
      <c r="E11">
        <f t="shared" si="1"/>
        <v>550</v>
      </c>
      <c r="F11" s="501">
        <f t="shared" si="2"/>
        <v>64</v>
      </c>
      <c r="G11" s="7">
        <f t="shared" si="3"/>
        <v>38</v>
      </c>
      <c r="H11" s="57">
        <f t="shared" si="4"/>
        <v>102</v>
      </c>
      <c r="I11">
        <f t="shared" si="5"/>
        <v>0.62745098039215685</v>
      </c>
      <c r="J11">
        <f t="shared" si="6"/>
        <v>0.5</v>
      </c>
      <c r="K11" s="501">
        <f t="shared" si="7"/>
        <v>51</v>
      </c>
      <c r="L11" s="57">
        <f t="shared" si="8"/>
        <v>51</v>
      </c>
      <c r="M11">
        <f t="shared" si="9"/>
        <v>-70.701012417114413</v>
      </c>
      <c r="N11">
        <f t="shared" si="10"/>
        <v>62.745098039215684</v>
      </c>
      <c r="O11">
        <f t="shared" si="11"/>
        <v>6.6274509803921573</v>
      </c>
      <c r="S11" t="s">
        <v>106</v>
      </c>
      <c r="T11" s="680">
        <v>0.05</v>
      </c>
      <c r="AD11">
        <v>0.5</v>
      </c>
      <c r="AE11">
        <v>6</v>
      </c>
      <c r="AF11">
        <v>87</v>
      </c>
      <c r="AG11">
        <f t="shared" si="15"/>
        <v>76</v>
      </c>
      <c r="AH11">
        <f t="shared" si="16"/>
        <v>150</v>
      </c>
      <c r="AI11">
        <f t="shared" si="12"/>
        <v>0.7483443708609272</v>
      </c>
      <c r="AJ11">
        <f t="shared" si="13"/>
        <v>0.67248908296943233</v>
      </c>
      <c r="AK11">
        <f t="shared" si="14"/>
        <v>0.16255530813499525</v>
      </c>
    </row>
    <row r="12" spans="1:37" x14ac:dyDescent="0.25">
      <c r="A12" s="650">
        <f t="shared" si="0"/>
        <v>850</v>
      </c>
      <c r="B12" s="576">
        <v>10</v>
      </c>
      <c r="C12" s="495">
        <v>41</v>
      </c>
      <c r="D12" s="17"/>
      <c r="E12">
        <f t="shared" si="1"/>
        <v>650</v>
      </c>
      <c r="F12" s="501">
        <f t="shared" si="2"/>
        <v>53</v>
      </c>
      <c r="G12" s="7">
        <f t="shared" si="3"/>
        <v>73</v>
      </c>
      <c r="H12" s="57">
        <f t="shared" si="4"/>
        <v>126</v>
      </c>
      <c r="I12">
        <f t="shared" si="5"/>
        <v>0.42063492063492064</v>
      </c>
      <c r="J12">
        <f t="shared" si="6"/>
        <v>0.5</v>
      </c>
      <c r="K12" s="501">
        <f t="shared" si="7"/>
        <v>63</v>
      </c>
      <c r="L12" s="57">
        <f t="shared" si="8"/>
        <v>63</v>
      </c>
      <c r="M12">
        <f t="shared" si="9"/>
        <v>-87.336544750553088</v>
      </c>
      <c r="N12">
        <f t="shared" si="10"/>
        <v>42.063492063492063</v>
      </c>
      <c r="O12">
        <f t="shared" si="11"/>
        <v>3.1746031746031744</v>
      </c>
      <c r="S12" t="s">
        <v>527</v>
      </c>
      <c r="T12" s="758" t="e">
        <f>IF(T10&lt;T11,"yes","no")</f>
        <v>#NUM!</v>
      </c>
      <c r="Y12" t="s">
        <v>1712</v>
      </c>
      <c r="Z12" s="805">
        <v>0.5</v>
      </c>
      <c r="AD12">
        <v>0.5</v>
      </c>
      <c r="AE12">
        <v>73</v>
      </c>
      <c r="AF12">
        <v>53</v>
      </c>
      <c r="AG12">
        <f t="shared" si="15"/>
        <v>149</v>
      </c>
      <c r="AH12">
        <f t="shared" si="16"/>
        <v>203</v>
      </c>
      <c r="AI12">
        <f t="shared" si="12"/>
        <v>0.50662251655629142</v>
      </c>
      <c r="AJ12">
        <f t="shared" si="13"/>
        <v>0.55676855895196509</v>
      </c>
      <c r="AK12">
        <f t="shared" si="14"/>
        <v>0.1493319644871165</v>
      </c>
    </row>
    <row r="13" spans="1:37" x14ac:dyDescent="0.25">
      <c r="A13" s="650">
        <f t="shared" si="0"/>
        <v>950</v>
      </c>
      <c r="B13" s="496">
        <v>3</v>
      </c>
      <c r="C13" s="497">
        <v>28</v>
      </c>
      <c r="D13" s="17"/>
      <c r="E13">
        <f t="shared" si="1"/>
        <v>750</v>
      </c>
      <c r="F13" s="501">
        <f t="shared" si="2"/>
        <v>31</v>
      </c>
      <c r="G13" s="7">
        <f t="shared" si="3"/>
        <v>81</v>
      </c>
      <c r="H13" s="57">
        <f t="shared" si="4"/>
        <v>112</v>
      </c>
      <c r="I13">
        <f t="shared" si="5"/>
        <v>0.2767857142857143</v>
      </c>
      <c r="J13">
        <f t="shared" si="6"/>
        <v>0.5</v>
      </c>
      <c r="K13" s="501">
        <f t="shared" si="7"/>
        <v>56</v>
      </c>
      <c r="L13" s="57">
        <f t="shared" si="8"/>
        <v>56</v>
      </c>
      <c r="M13">
        <f t="shared" si="9"/>
        <v>-77.63248422271387</v>
      </c>
      <c r="N13">
        <f t="shared" si="10"/>
        <v>27.678571428571431</v>
      </c>
      <c r="O13">
        <f t="shared" si="11"/>
        <v>22.321428571428573</v>
      </c>
      <c r="AD13">
        <v>0.5</v>
      </c>
      <c r="AE13">
        <v>81</v>
      </c>
      <c r="AF13">
        <v>31</v>
      </c>
      <c r="AG13">
        <f t="shared" si="15"/>
        <v>230</v>
      </c>
      <c r="AH13">
        <f t="shared" si="16"/>
        <v>234</v>
      </c>
      <c r="AI13">
        <f t="shared" si="12"/>
        <v>0.23841059602649006</v>
      </c>
      <c r="AJ13">
        <f t="shared" si="13"/>
        <v>0.48908296943231444</v>
      </c>
      <c r="AK13">
        <f t="shared" si="14"/>
        <v>1.7814280343561105E-2</v>
      </c>
    </row>
    <row r="14" spans="1:37" x14ac:dyDescent="0.25">
      <c r="A14" s="17"/>
      <c r="B14" s="17">
        <f>SUM(B4:B13)</f>
        <v>458</v>
      </c>
      <c r="C14" s="17">
        <f>SUM(C4:C13)</f>
        <v>302</v>
      </c>
      <c r="D14" s="17"/>
      <c r="E14">
        <f t="shared" si="1"/>
        <v>850</v>
      </c>
      <c r="F14" s="501">
        <f t="shared" si="2"/>
        <v>10</v>
      </c>
      <c r="G14" s="7">
        <f t="shared" si="3"/>
        <v>41</v>
      </c>
      <c r="H14" s="57">
        <f t="shared" si="4"/>
        <v>51</v>
      </c>
      <c r="I14">
        <f t="shared" si="5"/>
        <v>0.19607843137254902</v>
      </c>
      <c r="J14">
        <f t="shared" si="6"/>
        <v>0.5</v>
      </c>
      <c r="K14" s="501">
        <f t="shared" si="7"/>
        <v>25.5</v>
      </c>
      <c r="L14" s="57">
        <f t="shared" si="8"/>
        <v>25.5</v>
      </c>
      <c r="M14">
        <f t="shared" si="9"/>
        <v>-35.350506208557206</v>
      </c>
      <c r="N14">
        <f t="shared" si="10"/>
        <v>19.607843137254903</v>
      </c>
      <c r="O14">
        <f t="shared" si="11"/>
        <v>18.843137254901961</v>
      </c>
      <c r="S14" t="s">
        <v>1325</v>
      </c>
      <c r="T14" s="802">
        <f>1-T6/T5</f>
        <v>-3.1576143846209215E-2</v>
      </c>
      <c r="AD14">
        <v>0.5</v>
      </c>
      <c r="AE14">
        <v>11</v>
      </c>
      <c r="AF14">
        <v>75</v>
      </c>
      <c r="AG14">
        <f t="shared" si="15"/>
        <v>241</v>
      </c>
      <c r="AH14">
        <f t="shared" si="16"/>
        <v>309</v>
      </c>
      <c r="AI14">
        <f t="shared" si="12"/>
        <v>0.20198675496688745</v>
      </c>
      <c r="AJ14">
        <f t="shared" si="13"/>
        <v>0.3253275109170306</v>
      </c>
      <c r="AK14">
        <f t="shared" si="14"/>
        <v>2.4776598513548707E-2</v>
      </c>
    </row>
    <row r="15" spans="1:37" x14ac:dyDescent="0.25">
      <c r="E15">
        <f t="shared" si="1"/>
        <v>950</v>
      </c>
      <c r="F15" s="759">
        <f t="shared" si="2"/>
        <v>3</v>
      </c>
      <c r="G15" s="760">
        <f t="shared" si="3"/>
        <v>28</v>
      </c>
      <c r="H15" s="57">
        <f t="shared" si="4"/>
        <v>31</v>
      </c>
      <c r="I15">
        <f t="shared" si="5"/>
        <v>9.6774193548387094E-2</v>
      </c>
      <c r="J15">
        <f t="shared" si="6"/>
        <v>0.5</v>
      </c>
      <c r="K15" s="501">
        <f t="shared" si="7"/>
        <v>15.5</v>
      </c>
      <c r="L15" s="57">
        <f t="shared" si="8"/>
        <v>15.5</v>
      </c>
      <c r="M15">
        <f t="shared" si="9"/>
        <v>-21.487562597358306</v>
      </c>
      <c r="N15">
        <f t="shared" si="10"/>
        <v>9.67741935483871</v>
      </c>
      <c r="O15">
        <f t="shared" si="11"/>
        <v>20.161290322580644</v>
      </c>
      <c r="S15" t="s">
        <v>1326</v>
      </c>
      <c r="T15" s="680">
        <f>1-EXP((-2/H16)*(T6-T5))</f>
        <v>-4.3347120437658093E-2</v>
      </c>
      <c r="AD15">
        <v>0.5</v>
      </c>
      <c r="AE15">
        <v>23</v>
      </c>
      <c r="AF15">
        <v>85</v>
      </c>
      <c r="AG15">
        <f t="shared" si="15"/>
        <v>264</v>
      </c>
      <c r="AH15">
        <f t="shared" si="16"/>
        <v>394</v>
      </c>
      <c r="AI15">
        <f t="shared" si="12"/>
        <v>0.1258278145695364</v>
      </c>
      <c r="AJ15">
        <f t="shared" si="13"/>
        <v>0.13973799126637554</v>
      </c>
      <c r="AK15">
        <f t="shared" si="14"/>
        <v>1.7582926053384997E-2</v>
      </c>
    </row>
    <row r="16" spans="1:37" x14ac:dyDescent="0.25">
      <c r="E16" s="4"/>
      <c r="F16" s="4">
        <f>SUM(F6:F15)</f>
        <v>458</v>
      </c>
      <c r="G16" s="4">
        <f>SUM(G6:G15)</f>
        <v>302</v>
      </c>
      <c r="H16" s="801">
        <f>SUM(H6:H15)</f>
        <v>760</v>
      </c>
      <c r="I16" s="801"/>
      <c r="J16" s="801"/>
      <c r="K16" s="4">
        <f>SUM(K6:K15)</f>
        <v>380</v>
      </c>
      <c r="L16" s="4">
        <f>SUM(L6:L15)</f>
        <v>380</v>
      </c>
      <c r="M16" s="801">
        <f>SUM(M6:M15)</f>
        <v>-526.79185722555849</v>
      </c>
      <c r="N16" s="801">
        <f>SUMPRODUCT(N6:N15,H6:H15)/H16</f>
        <v>60.263157894736842</v>
      </c>
      <c r="O16" s="801">
        <f>SUM(O6:O15)</f>
        <v>272.0301303033508</v>
      </c>
      <c r="S16" t="s">
        <v>1327</v>
      </c>
      <c r="T16" s="757">
        <f>T15/(1-EXP(2*T5/H16))</f>
        <v>-5.8643502911406416E-2</v>
      </c>
      <c r="AD16" s="762">
        <v>0.5</v>
      </c>
      <c r="AE16" s="762">
        <v>38</v>
      </c>
      <c r="AF16" s="762">
        <v>64</v>
      </c>
      <c r="AG16" s="762">
        <f t="shared" si="15"/>
        <v>302</v>
      </c>
      <c r="AH16" s="762">
        <f t="shared" si="16"/>
        <v>458</v>
      </c>
      <c r="AI16" s="762">
        <f t="shared" si="12"/>
        <v>0</v>
      </c>
      <c r="AJ16" s="762">
        <f t="shared" si="13"/>
        <v>0</v>
      </c>
      <c r="AK16" s="762">
        <f t="shared" si="14"/>
        <v>0</v>
      </c>
    </row>
    <row r="17" spans="1:37" ht="15.75" thickBot="1" x14ac:dyDescent="0.3">
      <c r="AK17">
        <f>SUM(AK6:AK16)</f>
        <v>0.60823765869458346</v>
      </c>
    </row>
    <row r="18" spans="1:37" ht="15.75" thickTop="1" x14ac:dyDescent="0.25">
      <c r="E18" s="754"/>
      <c r="F18" s="754" t="s">
        <v>1529</v>
      </c>
      <c r="G18" s="754" t="s">
        <v>425</v>
      </c>
      <c r="H18" s="754" t="s">
        <v>1530</v>
      </c>
      <c r="I18" s="754" t="s">
        <v>67</v>
      </c>
      <c r="J18" s="754" t="s">
        <v>1531</v>
      </c>
      <c r="K18" s="754" t="s">
        <v>29</v>
      </c>
      <c r="L18" s="754" t="s">
        <v>30</v>
      </c>
      <c r="S18" t="s">
        <v>1653</v>
      </c>
      <c r="T18" s="802">
        <f>O16</f>
        <v>272.0301303033508</v>
      </c>
    </row>
    <row r="19" spans="1:37" x14ac:dyDescent="0.25">
      <c r="E19" t="s">
        <v>296</v>
      </c>
      <c r="F19">
        <f t="array" ref="F19:F20">Q7:Q8</f>
        <v>0</v>
      </c>
      <c r="G19">
        <f t="array" ref="G19:G20">SQRT([1]!DIAG(V6:W7))</f>
        <v>0.18663230238639961</v>
      </c>
      <c r="H19">
        <f>(F19/G19)^2</f>
        <v>0</v>
      </c>
      <c r="I19">
        <f>CHIDIST(H19,1)</f>
        <v>1</v>
      </c>
      <c r="J19">
        <f>EXP(F19)</f>
        <v>1</v>
      </c>
      <c r="S19" t="s">
        <v>60</v>
      </c>
      <c r="T19" s="680">
        <f>COUNT(H6:H15)-2</f>
        <v>8</v>
      </c>
    </row>
    <row r="20" spans="1:37" x14ac:dyDescent="0.25">
      <c r="E20" s="762" t="str">
        <f t="array" ref="E20">TRANSPOSE(E5)</f>
        <v>Rems</v>
      </c>
      <c r="F20" s="762">
        <v>0</v>
      </c>
      <c r="G20" s="762">
        <v>3.2484628236330326E-4</v>
      </c>
      <c r="H20" s="762">
        <f>(F20/G20)^2</f>
        <v>0</v>
      </c>
      <c r="I20" s="762">
        <f>CHIDIST(H20,1)</f>
        <v>1</v>
      </c>
      <c r="J20" s="762">
        <f>EXP(F20)</f>
        <v>1</v>
      </c>
      <c r="K20" s="762">
        <f>EXP(F20-G20*NORMSINV(1-$T$11/2))</f>
        <v>0.99936351562822423</v>
      </c>
      <c r="L20" s="762">
        <f>EXP(F20+G20*NORMSINV(1-$T$11/2))</f>
        <v>1.0006368897421432</v>
      </c>
      <c r="S20" t="s">
        <v>67</v>
      </c>
      <c r="T20" s="680">
        <f>CHIDIST(T18,T19)</f>
        <v>3.6444432907476416E-54</v>
      </c>
    </row>
    <row r="21" spans="1:37" x14ac:dyDescent="0.25">
      <c r="S21" t="s">
        <v>106</v>
      </c>
      <c r="T21" s="680">
        <f>T11</f>
        <v>0.05</v>
      </c>
    </row>
    <row r="22" spans="1:37" x14ac:dyDescent="0.25">
      <c r="S22" t="s">
        <v>527</v>
      </c>
      <c r="T22" s="758" t="str">
        <f>IF(T20&lt;T21,"yes","no")</f>
        <v>yes</v>
      </c>
    </row>
    <row r="23" spans="1:37" x14ac:dyDescent="0.25">
      <c r="E23" t="s">
        <v>1532</v>
      </c>
    </row>
    <row r="24" spans="1:37" x14ac:dyDescent="0.25">
      <c r="E24" t="s">
        <v>1533</v>
      </c>
    </row>
    <row r="25" spans="1:37" x14ac:dyDescent="0.25">
      <c r="E25" t="s">
        <v>1534</v>
      </c>
    </row>
    <row r="26" spans="1:37" x14ac:dyDescent="0.25">
      <c r="E26" t="s">
        <v>1535</v>
      </c>
    </row>
    <row r="27" spans="1:37" x14ac:dyDescent="0.25">
      <c r="E27" t="s">
        <v>1536</v>
      </c>
    </row>
    <row r="30" spans="1:37" x14ac:dyDescent="0.25">
      <c r="A30" s="649" t="s">
        <v>1313</v>
      </c>
      <c r="B30" s="649" t="s">
        <v>1244</v>
      </c>
      <c r="C30" s="649" t="s">
        <v>1245</v>
      </c>
      <c r="D30" s="649"/>
      <c r="E30" t="s">
        <v>1243</v>
      </c>
      <c r="Y30" t="s">
        <v>1709</v>
      </c>
      <c r="AD30" t="s">
        <v>1713</v>
      </c>
    </row>
    <row r="31" spans="1:37" ht="15.75" thickBot="1" x14ac:dyDescent="0.3">
      <c r="A31" s="650">
        <v>50</v>
      </c>
      <c r="B31" s="651">
        <v>21</v>
      </c>
      <c r="C31" s="652">
        <v>0</v>
      </c>
      <c r="D31" s="17"/>
    </row>
    <row r="32" spans="1:37" ht="15.75" thickTop="1" x14ac:dyDescent="0.25">
      <c r="A32" s="650">
        <f>A31+100</f>
        <v>150</v>
      </c>
      <c r="B32" s="576">
        <v>29</v>
      </c>
      <c r="C32" s="495">
        <v>1</v>
      </c>
      <c r="D32" s="17"/>
      <c r="E32" s="800" t="str">
        <f>A30</f>
        <v>Rems</v>
      </c>
      <c r="F32" s="800" t="str">
        <f>B30</f>
        <v>Survived</v>
      </c>
      <c r="G32" s="800" t="str">
        <f>C30</f>
        <v>Died</v>
      </c>
      <c r="H32" s="800" t="s">
        <v>1</v>
      </c>
      <c r="I32" s="800" t="s">
        <v>1322</v>
      </c>
      <c r="J32" s="800" t="s">
        <v>1323</v>
      </c>
      <c r="K32" s="800" t="s">
        <v>1707</v>
      </c>
      <c r="L32" s="800" t="s">
        <v>1708</v>
      </c>
      <c r="M32" s="800" t="s">
        <v>1253</v>
      </c>
      <c r="N32" s="800" t="s">
        <v>1527</v>
      </c>
      <c r="O32" s="800" t="s">
        <v>1648</v>
      </c>
      <c r="Q32" t="s">
        <v>1324</v>
      </c>
      <c r="S32" t="s">
        <v>1252</v>
      </c>
      <c r="T32" s="802">
        <f>F43*LN(F43/H43)+G43*LN(G43/H43)</f>
        <v>-510.66696372157895</v>
      </c>
      <c r="V32" t="s">
        <v>1528</v>
      </c>
      <c r="Z32" s="792" t="s">
        <v>1710</v>
      </c>
      <c r="AA32" s="792" t="s">
        <v>1711</v>
      </c>
      <c r="AD32" s="754" t="s">
        <v>1323</v>
      </c>
      <c r="AE32" s="754" t="s">
        <v>1655</v>
      </c>
      <c r="AF32" s="754" t="s">
        <v>1654</v>
      </c>
      <c r="AG32" s="754" t="s">
        <v>1714</v>
      </c>
      <c r="AH32" s="754" t="s">
        <v>1715</v>
      </c>
      <c r="AI32" s="754" t="s">
        <v>1716</v>
      </c>
      <c r="AJ32" s="754" t="s">
        <v>1717</v>
      </c>
      <c r="AK32" s="754" t="s">
        <v>1718</v>
      </c>
    </row>
    <row r="33" spans="1:37" x14ac:dyDescent="0.25">
      <c r="A33" s="650">
        <f t="shared" ref="A33:A40" si="17">A32+100</f>
        <v>250</v>
      </c>
      <c r="B33" s="576">
        <v>87</v>
      </c>
      <c r="C33" s="495">
        <v>6</v>
      </c>
      <c r="D33" s="17"/>
      <c r="E33">
        <f t="shared" ref="E33:E42" si="18">A31</f>
        <v>50</v>
      </c>
      <c r="F33" s="501">
        <f t="shared" ref="F33:F42" si="19">B31</f>
        <v>21</v>
      </c>
      <c r="G33" s="7">
        <f t="shared" ref="G33:G42" si="20">C31</f>
        <v>0</v>
      </c>
      <c r="H33" s="57">
        <f>F33+G33</f>
        <v>21</v>
      </c>
      <c r="I33">
        <f>F33/H33</f>
        <v>1</v>
      </c>
      <c r="J33">
        <f>1/(1+EXP(-$Q$34-$Q$35*E33))</f>
        <v>0.98399905066887317</v>
      </c>
      <c r="K33" s="797">
        <f>H33*J33</f>
        <v>20.663980064046335</v>
      </c>
      <c r="L33" s="799">
        <f>H33-K33</f>
        <v>0.33601993595366508</v>
      </c>
      <c r="M33">
        <f>H33*(I33*LN(J33)+(1-I33)*LN(1-J33))</f>
        <v>-0.33873728065284109</v>
      </c>
      <c r="N33">
        <f>100*IF(J33&gt;=$Z$39,F33/H33,G33/H33)</f>
        <v>100</v>
      </c>
      <c r="O33">
        <f>(F33-K33)^2/K33+(G33-L33)^2/L33</f>
        <v>0.34148400420229635</v>
      </c>
      <c r="S33" t="s">
        <v>1315</v>
      </c>
      <c r="T33" s="757">
        <f>M43</f>
        <v>-370.54593104356275</v>
      </c>
      <c r="V33" s="797">
        <f t="array" ref="V33:W34">MINVERSE(MMULT(TRANSPOSE([1]!DESIGN(E33:E42)),J33:J42*(1-J33:J42)*H33:H42*[1]!DESIGN(E33:E42)))</f>
        <v>0.11176838260278731</v>
      </c>
      <c r="W33" s="799">
        <v>-1.760444046260405E-4</v>
      </c>
      <c r="Y33" t="s">
        <v>1707</v>
      </c>
      <c r="Z33" s="797">
        <f>SUMIF(J33:J42,"&gt;="&amp;Z39,F33:F42)</f>
        <v>361</v>
      </c>
      <c r="AA33" s="799">
        <f>SUMIF(J33:J42,"&gt;="&amp;Z39,G33:G42)</f>
        <v>79</v>
      </c>
      <c r="AB33">
        <f>Z33+AA33</f>
        <v>440</v>
      </c>
      <c r="AG33">
        <v>0</v>
      </c>
      <c r="AH33">
        <v>0</v>
      </c>
      <c r="AI33">
        <f>1-AG33/AG$43</f>
        <v>1</v>
      </c>
      <c r="AJ33">
        <f>1-AH33/AH$43</f>
        <v>1</v>
      </c>
      <c r="AK33">
        <f>(AI33-AI34)*AJ33</f>
        <v>9.27152317880795E-2</v>
      </c>
    </row>
    <row r="34" spans="1:37" x14ac:dyDescent="0.25">
      <c r="A34" s="650">
        <f t="shared" si="17"/>
        <v>350</v>
      </c>
      <c r="B34" s="576">
        <v>75</v>
      </c>
      <c r="C34" s="495">
        <v>11</v>
      </c>
      <c r="D34" s="17"/>
      <c r="E34">
        <f t="shared" si="18"/>
        <v>150</v>
      </c>
      <c r="F34" s="501">
        <f t="shared" si="19"/>
        <v>29</v>
      </c>
      <c r="G34" s="7">
        <f t="shared" si="20"/>
        <v>1</v>
      </c>
      <c r="H34" s="57">
        <f t="shared" ref="H34:H42" si="21">F34+G34</f>
        <v>30</v>
      </c>
      <c r="I34">
        <f t="shared" ref="I34:I42" si="22">F34/H34</f>
        <v>0.96666666666666667</v>
      </c>
      <c r="J34">
        <f t="shared" ref="J34:J42" si="23">1/(1+EXP(-$Q$34-$Q$35*E34))</f>
        <v>0.96761153941827338</v>
      </c>
      <c r="K34" s="501">
        <f t="shared" ref="K34:K42" si="24">H34*J34</f>
        <v>29.028346182548201</v>
      </c>
      <c r="L34" s="57">
        <f t="shared" ref="L34:L42" si="25">H34-K34</f>
        <v>0.97165381745179857</v>
      </c>
      <c r="M34">
        <f t="shared" ref="M34:M42" si="26">H34*(I34*LN(J34)+(1-I34)*LN(1-J34))</f>
        <v>-4.3847657350855842</v>
      </c>
      <c r="N34">
        <f t="shared" ref="N34:N42" si="27">100*IF(J34&gt;=$Z$39,F34/H34,G34/H34)</f>
        <v>96.666666666666671</v>
      </c>
      <c r="O34">
        <f t="shared" ref="O34:O42" si="28">(F34-K34)^2/K34+(G34-L34)^2/L34</f>
        <v>8.5462690116574352E-4</v>
      </c>
      <c r="Q34" s="802">
        <v>4.4799510679118164</v>
      </c>
      <c r="V34" s="759">
        <v>-1.7604440462604053E-4</v>
      </c>
      <c r="W34" s="761">
        <v>2.9920335469133561E-7</v>
      </c>
      <c r="Y34" t="s">
        <v>1708</v>
      </c>
      <c r="Z34" s="759">
        <f>Z35-Z33</f>
        <v>97</v>
      </c>
      <c r="AA34" s="761">
        <f>AA35-AA33</f>
        <v>223</v>
      </c>
      <c r="AB34">
        <f>Z34+AA34</f>
        <v>320</v>
      </c>
      <c r="AD34">
        <f t="array" ref="AD34:AF43">[1]!SelectCols(F33:J42,"5,2,1",1)</f>
        <v>8.4822396670280353E-2</v>
      </c>
      <c r="AE34">
        <v>28</v>
      </c>
      <c r="AF34">
        <v>3</v>
      </c>
      <c r="AG34">
        <f>AG33+AE34</f>
        <v>28</v>
      </c>
      <c r="AH34">
        <f>AH33+AF34</f>
        <v>3</v>
      </c>
      <c r="AI34">
        <f t="shared" ref="AI34:AI43" si="29">1-AG34/AG$43</f>
        <v>0.9072847682119205</v>
      </c>
      <c r="AJ34">
        <f t="shared" ref="AJ34:AJ43" si="30">1-AH34/AH$43</f>
        <v>0.99344978165938869</v>
      </c>
      <c r="AK34">
        <f t="shared" ref="AK34:AK43" si="31">(AI34-AI35)*AJ34</f>
        <v>0.13487232135110896</v>
      </c>
    </row>
    <row r="35" spans="1:37" x14ac:dyDescent="0.25">
      <c r="A35" s="650">
        <f t="shared" si="17"/>
        <v>450</v>
      </c>
      <c r="B35" s="576">
        <v>85</v>
      </c>
      <c r="C35" s="495">
        <v>23</v>
      </c>
      <c r="D35" s="17"/>
      <c r="E35">
        <f t="shared" si="18"/>
        <v>250</v>
      </c>
      <c r="F35" s="501">
        <f t="shared" si="19"/>
        <v>87</v>
      </c>
      <c r="G35" s="7">
        <f t="shared" si="20"/>
        <v>6</v>
      </c>
      <c r="H35" s="57">
        <f t="shared" si="21"/>
        <v>93</v>
      </c>
      <c r="I35">
        <f t="shared" si="22"/>
        <v>0.93548387096774188</v>
      </c>
      <c r="J35">
        <f t="shared" si="23"/>
        <v>0.93554006604006168</v>
      </c>
      <c r="K35" s="501">
        <f t="shared" si="24"/>
        <v>87.005226141725743</v>
      </c>
      <c r="L35" s="57">
        <f t="shared" si="25"/>
        <v>5.9947738582742573</v>
      </c>
      <c r="M35">
        <f t="shared" si="26"/>
        <v>-22.247192159267104</v>
      </c>
      <c r="N35">
        <f t="shared" si="27"/>
        <v>93.548387096774192</v>
      </c>
      <c r="O35">
        <f t="shared" si="28"/>
        <v>4.8699799100109463E-6</v>
      </c>
      <c r="Q35" s="757">
        <v>-7.2194837860498247E-3</v>
      </c>
      <c r="S35" t="s">
        <v>1328</v>
      </c>
      <c r="T35" s="802">
        <f>2*(T33-T32)</f>
        <v>280.24206535603241</v>
      </c>
      <c r="Z35">
        <f>F43</f>
        <v>458</v>
      </c>
      <c r="AA35">
        <f>G43</f>
        <v>302</v>
      </c>
      <c r="AB35">
        <f>Z35+AA35</f>
        <v>760</v>
      </c>
      <c r="AD35">
        <v>0.16021756894064951</v>
      </c>
      <c r="AE35">
        <v>41</v>
      </c>
      <c r="AF35">
        <v>10</v>
      </c>
      <c r="AG35">
        <f t="shared" ref="AG35:AG43" si="32">AG34+AE35</f>
        <v>69</v>
      </c>
      <c r="AH35">
        <f t="shared" ref="AH35:AH43" si="33">AH34+AF35</f>
        <v>13</v>
      </c>
      <c r="AI35">
        <f t="shared" si="29"/>
        <v>0.77152317880794707</v>
      </c>
      <c r="AJ35">
        <f t="shared" si="30"/>
        <v>0.97161572052401746</v>
      </c>
      <c r="AK35">
        <f t="shared" si="31"/>
        <v>0.26059891841869348</v>
      </c>
    </row>
    <row r="36" spans="1:37" x14ac:dyDescent="0.25">
      <c r="A36" s="650">
        <f t="shared" si="17"/>
        <v>550</v>
      </c>
      <c r="B36" s="576">
        <v>64</v>
      </c>
      <c r="C36" s="495">
        <v>38</v>
      </c>
      <c r="D36" s="17"/>
      <c r="E36">
        <f t="shared" si="18"/>
        <v>350</v>
      </c>
      <c r="F36" s="501">
        <f t="shared" si="19"/>
        <v>75</v>
      </c>
      <c r="G36" s="7">
        <f t="shared" si="20"/>
        <v>11</v>
      </c>
      <c r="H36" s="57">
        <f t="shared" si="21"/>
        <v>86</v>
      </c>
      <c r="I36">
        <f t="shared" si="22"/>
        <v>0.87209302325581395</v>
      </c>
      <c r="J36">
        <f t="shared" si="23"/>
        <v>0.87578772515515479</v>
      </c>
      <c r="K36" s="501">
        <f t="shared" si="24"/>
        <v>75.317744363343309</v>
      </c>
      <c r="L36" s="57">
        <f t="shared" si="25"/>
        <v>10.682255636656691</v>
      </c>
      <c r="M36">
        <f t="shared" si="26"/>
        <v>-32.890761635929508</v>
      </c>
      <c r="N36">
        <f t="shared" si="27"/>
        <v>87.20930232558139</v>
      </c>
      <c r="O36">
        <f t="shared" si="28"/>
        <v>1.0791800031495111E-2</v>
      </c>
      <c r="S36" t="s">
        <v>60</v>
      </c>
      <c r="T36" s="680">
        <f>COUNT(E33)</f>
        <v>1</v>
      </c>
      <c r="AD36">
        <v>0.28197989993070216</v>
      </c>
      <c r="AE36">
        <v>81</v>
      </c>
      <c r="AF36">
        <v>31</v>
      </c>
      <c r="AG36">
        <f t="shared" si="32"/>
        <v>150</v>
      </c>
      <c r="AH36">
        <f t="shared" si="33"/>
        <v>44</v>
      </c>
      <c r="AI36">
        <f t="shared" si="29"/>
        <v>0.50331125827814571</v>
      </c>
      <c r="AJ36">
        <f t="shared" si="30"/>
        <v>0.90393013100436681</v>
      </c>
      <c r="AK36">
        <f t="shared" si="31"/>
        <v>0.21849966742820789</v>
      </c>
    </row>
    <row r="37" spans="1:37" x14ac:dyDescent="0.25">
      <c r="A37" s="650">
        <f t="shared" si="17"/>
        <v>650</v>
      </c>
      <c r="B37" s="576">
        <v>53</v>
      </c>
      <c r="C37" s="495">
        <v>73</v>
      </c>
      <c r="D37" s="17"/>
      <c r="E37">
        <f t="shared" si="18"/>
        <v>450</v>
      </c>
      <c r="F37" s="501">
        <f t="shared" si="19"/>
        <v>85</v>
      </c>
      <c r="G37" s="7">
        <f t="shared" si="20"/>
        <v>23</v>
      </c>
      <c r="H37" s="57">
        <f t="shared" si="21"/>
        <v>108</v>
      </c>
      <c r="I37">
        <f t="shared" si="22"/>
        <v>0.78703703703703709</v>
      </c>
      <c r="J37">
        <f t="shared" si="23"/>
        <v>0.77402562356583138</v>
      </c>
      <c r="K37" s="501">
        <f t="shared" si="24"/>
        <v>83.594767345109787</v>
      </c>
      <c r="L37" s="57">
        <f t="shared" si="25"/>
        <v>24.405232654890213</v>
      </c>
      <c r="M37">
        <f t="shared" si="26"/>
        <v>-55.981449836638433</v>
      </c>
      <c r="N37">
        <f t="shared" si="27"/>
        <v>78.703703703703709</v>
      </c>
      <c r="O37">
        <f t="shared" si="28"/>
        <v>0.10453414627634554</v>
      </c>
      <c r="S37" t="s">
        <v>67</v>
      </c>
      <c r="T37" s="680">
        <f>CHIDIST(T35,T36)</f>
        <v>6.6503726856595022E-63</v>
      </c>
      <c r="Y37" t="s">
        <v>1735</v>
      </c>
      <c r="Z37" s="803">
        <f>Z33/Z35</f>
        <v>0.78820960698689957</v>
      </c>
      <c r="AA37" s="804">
        <f>AA34/AA35</f>
        <v>0.73841059602649006</v>
      </c>
      <c r="AB37">
        <f>(Z33+AA34)/AB35</f>
        <v>0.76842105263157889</v>
      </c>
      <c r="AD37">
        <v>0.4470212619559516</v>
      </c>
      <c r="AE37">
        <v>73</v>
      </c>
      <c r="AF37">
        <v>53</v>
      </c>
      <c r="AG37">
        <f t="shared" si="32"/>
        <v>223</v>
      </c>
      <c r="AH37">
        <f t="shared" si="33"/>
        <v>97</v>
      </c>
      <c r="AI37">
        <f t="shared" si="29"/>
        <v>0.26158940397350994</v>
      </c>
      <c r="AJ37">
        <f t="shared" si="30"/>
        <v>0.78820960698689957</v>
      </c>
      <c r="AK37">
        <f t="shared" si="31"/>
        <v>9.917869226987476E-2</v>
      </c>
    </row>
    <row r="38" spans="1:37" x14ac:dyDescent="0.25">
      <c r="A38" s="650">
        <f t="shared" si="17"/>
        <v>750</v>
      </c>
      <c r="B38" s="576">
        <v>31</v>
      </c>
      <c r="C38" s="495">
        <v>81</v>
      </c>
      <c r="D38" s="17"/>
      <c r="E38">
        <f t="shared" si="18"/>
        <v>550</v>
      </c>
      <c r="F38" s="501">
        <f t="shared" si="19"/>
        <v>64</v>
      </c>
      <c r="G38" s="7">
        <f t="shared" si="20"/>
        <v>38</v>
      </c>
      <c r="H38" s="57">
        <f t="shared" si="21"/>
        <v>102</v>
      </c>
      <c r="I38">
        <f t="shared" si="22"/>
        <v>0.62745098039215685</v>
      </c>
      <c r="J38">
        <f t="shared" si="23"/>
        <v>0.6246271201151895</v>
      </c>
      <c r="K38" s="501">
        <f t="shared" si="24"/>
        <v>63.711966251749331</v>
      </c>
      <c r="L38" s="57">
        <f t="shared" si="25"/>
        <v>38.288033748250669</v>
      </c>
      <c r="M38">
        <f t="shared" si="26"/>
        <v>-67.352171792682327</v>
      </c>
      <c r="N38">
        <f t="shared" si="27"/>
        <v>62.745098039215684</v>
      </c>
      <c r="O38">
        <f t="shared" si="28"/>
        <v>3.4689884306584205E-3</v>
      </c>
      <c r="S38" t="s">
        <v>106</v>
      </c>
      <c r="T38" s="680">
        <v>0.05</v>
      </c>
      <c r="AD38">
        <v>0.6246271201151895</v>
      </c>
      <c r="AE38">
        <v>38</v>
      </c>
      <c r="AF38">
        <v>64</v>
      </c>
      <c r="AG38">
        <f t="shared" si="32"/>
        <v>261</v>
      </c>
      <c r="AH38">
        <f t="shared" si="33"/>
        <v>161</v>
      </c>
      <c r="AI38">
        <f t="shared" si="29"/>
        <v>0.13576158940397354</v>
      </c>
      <c r="AJ38">
        <f t="shared" si="30"/>
        <v>0.64847161572052403</v>
      </c>
      <c r="AK38">
        <f t="shared" si="31"/>
        <v>4.9386911131033322E-2</v>
      </c>
    </row>
    <row r="39" spans="1:37" x14ac:dyDescent="0.25">
      <c r="A39" s="650">
        <f t="shared" si="17"/>
        <v>850</v>
      </c>
      <c r="B39" s="576">
        <v>10</v>
      </c>
      <c r="C39" s="495">
        <v>41</v>
      </c>
      <c r="D39" s="17"/>
      <c r="E39">
        <f t="shared" si="18"/>
        <v>650</v>
      </c>
      <c r="F39" s="501">
        <f t="shared" si="19"/>
        <v>53</v>
      </c>
      <c r="G39" s="7">
        <f t="shared" si="20"/>
        <v>73</v>
      </c>
      <c r="H39" s="57">
        <f t="shared" si="21"/>
        <v>126</v>
      </c>
      <c r="I39">
        <f t="shared" si="22"/>
        <v>0.42063492063492064</v>
      </c>
      <c r="J39">
        <f t="shared" si="23"/>
        <v>0.4470212619559516</v>
      </c>
      <c r="K39" s="501">
        <f t="shared" si="24"/>
        <v>56.324679006449898</v>
      </c>
      <c r="L39" s="57">
        <f t="shared" si="25"/>
        <v>69.675320993550102</v>
      </c>
      <c r="M39">
        <f t="shared" si="26"/>
        <v>-85.920711379451973</v>
      </c>
      <c r="N39">
        <f t="shared" si="27"/>
        <v>57.936507936507944</v>
      </c>
      <c r="O39">
        <f t="shared" si="28"/>
        <v>0.35488879194923151</v>
      </c>
      <c r="S39" t="s">
        <v>527</v>
      </c>
      <c r="T39" s="758" t="str">
        <f>IF(T37&lt;T38,"yes","no")</f>
        <v>yes</v>
      </c>
      <c r="Y39" t="s">
        <v>1712</v>
      </c>
      <c r="Z39" s="805">
        <v>0.5</v>
      </c>
      <c r="AD39">
        <v>0.77402562356583138</v>
      </c>
      <c r="AE39">
        <v>23</v>
      </c>
      <c r="AF39">
        <v>85</v>
      </c>
      <c r="AG39">
        <f t="shared" si="32"/>
        <v>284</v>
      </c>
      <c r="AH39">
        <f t="shared" si="33"/>
        <v>246</v>
      </c>
      <c r="AI39">
        <f t="shared" si="29"/>
        <v>5.9602649006622488E-2</v>
      </c>
      <c r="AJ39">
        <f t="shared" si="30"/>
        <v>0.46288209606986896</v>
      </c>
      <c r="AK39">
        <f t="shared" si="31"/>
        <v>1.6859943896584614E-2</v>
      </c>
    </row>
    <row r="40" spans="1:37" x14ac:dyDescent="0.25">
      <c r="A40" s="650">
        <f t="shared" si="17"/>
        <v>950</v>
      </c>
      <c r="B40" s="496">
        <v>3</v>
      </c>
      <c r="C40" s="497">
        <v>28</v>
      </c>
      <c r="D40" s="17"/>
      <c r="E40">
        <f t="shared" si="18"/>
        <v>750</v>
      </c>
      <c r="F40" s="501">
        <f t="shared" si="19"/>
        <v>31</v>
      </c>
      <c r="G40" s="7">
        <f t="shared" si="20"/>
        <v>81</v>
      </c>
      <c r="H40" s="57">
        <f t="shared" si="21"/>
        <v>112</v>
      </c>
      <c r="I40">
        <f t="shared" si="22"/>
        <v>0.2767857142857143</v>
      </c>
      <c r="J40">
        <f t="shared" si="23"/>
        <v>0.28197989993070216</v>
      </c>
      <c r="K40" s="501">
        <f t="shared" si="24"/>
        <v>31.581748792238642</v>
      </c>
      <c r="L40" s="57">
        <f t="shared" si="25"/>
        <v>80.418251207761358</v>
      </c>
      <c r="M40">
        <f t="shared" si="26"/>
        <v>-66.075379090022125</v>
      </c>
      <c r="N40">
        <f t="shared" si="27"/>
        <v>72.321428571428569</v>
      </c>
      <c r="O40">
        <f t="shared" si="28"/>
        <v>1.4924445484827981E-2</v>
      </c>
      <c r="AD40">
        <v>0.87578772515515479</v>
      </c>
      <c r="AE40">
        <v>11</v>
      </c>
      <c r="AF40">
        <v>75</v>
      </c>
      <c r="AG40">
        <f t="shared" si="32"/>
        <v>295</v>
      </c>
      <c r="AH40">
        <f t="shared" si="33"/>
        <v>321</v>
      </c>
      <c r="AI40">
        <f t="shared" si="29"/>
        <v>2.3178807947019875E-2</v>
      </c>
      <c r="AJ40">
        <f t="shared" si="30"/>
        <v>0.29912663755458513</v>
      </c>
      <c r="AK40">
        <f t="shared" si="31"/>
        <v>5.9429133288990393E-3</v>
      </c>
    </row>
    <row r="41" spans="1:37" x14ac:dyDescent="0.25">
      <c r="A41" s="17"/>
      <c r="B41" s="17">
        <f>SUM(B31:B40)</f>
        <v>458</v>
      </c>
      <c r="C41" s="17">
        <f>SUM(C31:C40)</f>
        <v>302</v>
      </c>
      <c r="D41" s="17"/>
      <c r="E41">
        <f t="shared" si="18"/>
        <v>850</v>
      </c>
      <c r="F41" s="501">
        <f t="shared" si="19"/>
        <v>10</v>
      </c>
      <c r="G41" s="7">
        <f t="shared" si="20"/>
        <v>41</v>
      </c>
      <c r="H41" s="57">
        <f t="shared" si="21"/>
        <v>51</v>
      </c>
      <c r="I41">
        <f t="shared" si="22"/>
        <v>0.19607843137254902</v>
      </c>
      <c r="J41">
        <f t="shared" si="23"/>
        <v>0.16021756894064951</v>
      </c>
      <c r="K41" s="501">
        <f t="shared" si="24"/>
        <v>8.1710960159731254</v>
      </c>
      <c r="L41" s="57">
        <f t="shared" si="25"/>
        <v>42.828903984026873</v>
      </c>
      <c r="M41">
        <f t="shared" si="26"/>
        <v>-25.471335500515707</v>
      </c>
      <c r="N41">
        <f t="shared" si="27"/>
        <v>80.392156862745097</v>
      </c>
      <c r="O41">
        <f t="shared" si="28"/>
        <v>0.48745520662094172</v>
      </c>
      <c r="S41" t="s">
        <v>1325</v>
      </c>
      <c r="T41" s="802">
        <f>1-T33/T32</f>
        <v>0.27438828558021167</v>
      </c>
      <c r="AD41">
        <v>0.93554006604006168</v>
      </c>
      <c r="AE41">
        <v>6</v>
      </c>
      <c r="AF41">
        <v>87</v>
      </c>
      <c r="AG41">
        <f t="shared" si="32"/>
        <v>301</v>
      </c>
      <c r="AH41">
        <f t="shared" si="33"/>
        <v>408</v>
      </c>
      <c r="AI41">
        <f t="shared" si="29"/>
        <v>3.3112582781457123E-3</v>
      </c>
      <c r="AJ41">
        <f t="shared" si="30"/>
        <v>0.10917030567685593</v>
      </c>
      <c r="AK41">
        <f t="shared" si="31"/>
        <v>3.6149107840018703E-4</v>
      </c>
    </row>
    <row r="42" spans="1:37" x14ac:dyDescent="0.25">
      <c r="E42">
        <f t="shared" si="18"/>
        <v>950</v>
      </c>
      <c r="F42" s="759">
        <f t="shared" si="19"/>
        <v>3</v>
      </c>
      <c r="G42" s="760">
        <f t="shared" si="20"/>
        <v>28</v>
      </c>
      <c r="H42" s="57">
        <f t="shared" si="21"/>
        <v>31</v>
      </c>
      <c r="I42">
        <f t="shared" si="22"/>
        <v>9.6774193548387094E-2</v>
      </c>
      <c r="J42">
        <f t="shared" si="23"/>
        <v>8.4822396670280353E-2</v>
      </c>
      <c r="K42" s="501">
        <f t="shared" si="24"/>
        <v>2.6294942967786907</v>
      </c>
      <c r="L42" s="57">
        <f t="shared" si="25"/>
        <v>28.370505703221308</v>
      </c>
      <c r="M42">
        <f t="shared" si="26"/>
        <v>-9.8834266333171676</v>
      </c>
      <c r="N42">
        <f t="shared" si="27"/>
        <v>90.322580645161281</v>
      </c>
      <c r="O42">
        <f t="shared" si="28"/>
        <v>5.7044289923064956E-2</v>
      </c>
      <c r="S42" t="s">
        <v>1326</v>
      </c>
      <c r="T42" s="680">
        <f>1-EXP((-2/H43)*(T33-T32))</f>
        <v>0.3083944910424008</v>
      </c>
      <c r="AD42">
        <v>0.96761153941827338</v>
      </c>
      <c r="AE42">
        <v>1</v>
      </c>
      <c r="AF42">
        <v>29</v>
      </c>
      <c r="AG42">
        <f t="shared" si="32"/>
        <v>302</v>
      </c>
      <c r="AH42">
        <f t="shared" si="33"/>
        <v>437</v>
      </c>
      <c r="AI42">
        <f t="shared" si="29"/>
        <v>0</v>
      </c>
      <c r="AJ42">
        <f t="shared" si="30"/>
        <v>4.5851528384279527E-2</v>
      </c>
      <c r="AK42">
        <f t="shared" si="31"/>
        <v>0</v>
      </c>
    </row>
    <row r="43" spans="1:37" x14ac:dyDescent="0.25">
      <c r="E43" s="4"/>
      <c r="F43" s="4">
        <f>SUM(F33:F42)</f>
        <v>458</v>
      </c>
      <c r="G43" s="4">
        <f>SUM(G33:G42)</f>
        <v>302</v>
      </c>
      <c r="H43" s="801">
        <f>SUM(H33:H42)</f>
        <v>760</v>
      </c>
      <c r="I43" s="801"/>
      <c r="J43" s="801"/>
      <c r="K43" s="4">
        <f>SUM(K33:K42)</f>
        <v>458.02904845996318</v>
      </c>
      <c r="L43" s="4">
        <f>SUM(L33:L42)</f>
        <v>301.97095154003694</v>
      </c>
      <c r="M43" s="801">
        <f>SUM(M33:M42)</f>
        <v>-370.54593104356275</v>
      </c>
      <c r="N43" s="801">
        <f>SUMPRODUCT(N33:N42,H33:H42)/H43</f>
        <v>76.84210526315789</v>
      </c>
      <c r="O43" s="801">
        <f>SUM(O33:O42)</f>
        <v>1.3754511697999374</v>
      </c>
      <c r="S43" t="s">
        <v>1327</v>
      </c>
      <c r="T43" s="757">
        <f>T42/(1-EXP(2*T32/H43))</f>
        <v>0.41722109913430327</v>
      </c>
      <c r="AD43" s="762">
        <v>0.98399905066887317</v>
      </c>
      <c r="AE43" s="762">
        <v>0</v>
      </c>
      <c r="AF43" s="762">
        <v>21</v>
      </c>
      <c r="AG43" s="762">
        <f t="shared" si="32"/>
        <v>302</v>
      </c>
      <c r="AH43" s="762">
        <f t="shared" si="33"/>
        <v>458</v>
      </c>
      <c r="AI43" s="762">
        <f t="shared" si="29"/>
        <v>0</v>
      </c>
      <c r="AJ43" s="762">
        <f t="shared" si="30"/>
        <v>0</v>
      </c>
      <c r="AK43" s="762">
        <f t="shared" si="31"/>
        <v>0</v>
      </c>
    </row>
    <row r="44" spans="1:37" ht="15.75" thickBot="1" x14ac:dyDescent="0.3">
      <c r="AK44">
        <f>SUM(AK33:AK43)</f>
        <v>0.87841609069088189</v>
      </c>
    </row>
    <row r="45" spans="1:37" ht="15.75" thickTop="1" x14ac:dyDescent="0.25">
      <c r="E45" s="754"/>
      <c r="F45" s="754" t="s">
        <v>1529</v>
      </c>
      <c r="G45" s="754" t="s">
        <v>425</v>
      </c>
      <c r="H45" s="754" t="s">
        <v>1530</v>
      </c>
      <c r="I45" s="754" t="s">
        <v>67</v>
      </c>
      <c r="J45" s="754" t="s">
        <v>1531</v>
      </c>
      <c r="K45" s="754" t="s">
        <v>29</v>
      </c>
      <c r="L45" s="754" t="s">
        <v>30</v>
      </c>
      <c r="S45" t="s">
        <v>1653</v>
      </c>
      <c r="T45" s="802">
        <f>O43</f>
        <v>1.3754511697999374</v>
      </c>
    </row>
    <row r="46" spans="1:37" x14ac:dyDescent="0.25">
      <c r="E46" t="s">
        <v>296</v>
      </c>
      <c r="F46">
        <f t="array" ref="F46:F47">Q34:Q35</f>
        <v>4.4799510679118164</v>
      </c>
      <c r="G46">
        <f t="array" ref="G46:G47">SQRT([1]!DIAG(V33:W34))</f>
        <v>0.33431778684776453</v>
      </c>
      <c r="H46">
        <f>(F46/G46)^2</f>
        <v>179.56743314619385</v>
      </c>
      <c r="I46">
        <f>CHIDIST(H46,1)</f>
        <v>6.0237622770764714E-41</v>
      </c>
      <c r="J46">
        <f>EXP(F46)</f>
        <v>88.230355274497853</v>
      </c>
      <c r="S46" t="s">
        <v>60</v>
      </c>
      <c r="T46" s="680">
        <f>COUNT(H33:H42)-2</f>
        <v>8</v>
      </c>
    </row>
    <row r="47" spans="1:37" x14ac:dyDescent="0.25">
      <c r="E47" s="762" t="str">
        <f t="array" ref="E47">TRANSPOSE(E32)</f>
        <v>Rems</v>
      </c>
      <c r="F47" s="762">
        <v>-7.2194837860498247E-3</v>
      </c>
      <c r="G47" s="762">
        <v>5.4699483973007972E-4</v>
      </c>
      <c r="H47" s="762">
        <f>(F47/G47)^2</f>
        <v>174.19907002983092</v>
      </c>
      <c r="I47" s="762">
        <f>CHIDIST(H47,1)</f>
        <v>8.9559451418810683E-40</v>
      </c>
      <c r="J47" s="762">
        <f>EXP(F47)</f>
        <v>0.99280651408565923</v>
      </c>
      <c r="K47" s="762">
        <f>EXP(F47-G47*NORMSINV(1-$T$38/2))</f>
        <v>0.99174270631653538</v>
      </c>
      <c r="L47" s="762">
        <f>EXP(F47+G47*NORMSINV(1-$T$38/2))</f>
        <v>0.99387146296422857</v>
      </c>
      <c r="S47" t="s">
        <v>67</v>
      </c>
      <c r="T47" s="680">
        <f>CHIDIST(T45,T46)</f>
        <v>0.9945880046597233</v>
      </c>
    </row>
    <row r="48" spans="1:37" x14ac:dyDescent="0.25">
      <c r="S48" t="s">
        <v>106</v>
      </c>
      <c r="T48" s="680">
        <f>T38</f>
        <v>0.05</v>
      </c>
    </row>
    <row r="49" spans="5:20" x14ac:dyDescent="0.25">
      <c r="S49" t="s">
        <v>527</v>
      </c>
      <c r="T49" s="758" t="str">
        <f>IF(T47&lt;T48,"yes","no")</f>
        <v>no</v>
      </c>
    </row>
    <row r="50" spans="5:20" x14ac:dyDescent="0.25">
      <c r="E50" t="s">
        <v>1532</v>
      </c>
    </row>
    <row r="51" spans="5:20" x14ac:dyDescent="0.25">
      <c r="E51" t="s">
        <v>1533</v>
      </c>
    </row>
    <row r="52" spans="5:20" x14ac:dyDescent="0.25">
      <c r="E52" t="s">
        <v>1534</v>
      </c>
    </row>
    <row r="53" spans="5:20" x14ac:dyDescent="0.25">
      <c r="E53" t="s">
        <v>1535</v>
      </c>
    </row>
    <row r="54" spans="5:20" x14ac:dyDescent="0.25">
      <c r="E54" t="s">
        <v>1536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AY30"/>
  <sheetViews>
    <sheetView zoomScaleNormal="100" workbookViewId="0"/>
  </sheetViews>
  <sheetFormatPr defaultRowHeight="15" x14ac:dyDescent="0.25"/>
  <cols>
    <col min="1" max="1" width="9.140625" style="17"/>
    <col min="2" max="2" width="8.85546875" style="17" customWidth="1"/>
    <col min="3" max="3" width="9.140625" style="17"/>
    <col min="4" max="4" width="5.5703125" style="17" customWidth="1"/>
    <col min="5" max="6" width="9.140625" style="17"/>
    <col min="7" max="8" width="9.140625" style="17" customWidth="1"/>
    <col min="9" max="9" width="7.7109375" style="17" customWidth="1"/>
    <col min="10" max="11" width="8.7109375" style="17" customWidth="1"/>
    <col min="12" max="12" width="4" style="17" customWidth="1"/>
    <col min="13" max="14" width="9.140625" style="17"/>
    <col min="15" max="16" width="9.140625" style="17" customWidth="1"/>
    <col min="17" max="17" width="7.7109375" style="17" customWidth="1"/>
    <col min="18" max="19" width="8.7109375" style="17" customWidth="1"/>
    <col min="20" max="20" width="4" style="17" customWidth="1"/>
    <col min="21" max="22" width="9.140625" style="17"/>
    <col min="23" max="24" width="9.140625" style="17" customWidth="1"/>
    <col min="25" max="25" width="7.7109375" style="17" customWidth="1"/>
    <col min="26" max="27" width="8.7109375" style="17" customWidth="1"/>
    <col min="28" max="28" width="4.140625" style="17" customWidth="1"/>
    <col min="29" max="30" width="9.140625" style="17"/>
    <col min="31" max="32" width="9.140625" style="17" customWidth="1"/>
    <col min="33" max="33" width="7.7109375" style="17" customWidth="1"/>
    <col min="34" max="35" width="8.7109375" style="17" customWidth="1"/>
    <col min="36" max="36" width="4.140625" style="17" customWidth="1"/>
    <col min="37" max="38" width="9.140625" style="17"/>
    <col min="39" max="40" width="9.140625" style="17" customWidth="1"/>
    <col min="41" max="41" width="7.7109375" style="17" customWidth="1"/>
    <col min="42" max="43" width="8.7109375" style="17" customWidth="1"/>
    <col min="44" max="44" width="4.42578125" style="17" customWidth="1"/>
    <col min="45" max="46" width="9.140625" style="17"/>
    <col min="47" max="48" width="9.140625" style="17" customWidth="1"/>
    <col min="49" max="49" width="7.7109375" style="17" customWidth="1"/>
    <col min="50" max="51" width="8.7109375" style="17" customWidth="1"/>
    <col min="52" max="55" width="9.140625" style="17"/>
    <col min="56" max="56" width="4.42578125" style="17" customWidth="1"/>
    <col min="57" max="60" width="9.140625" style="17"/>
    <col min="61" max="61" width="4" style="17" customWidth="1"/>
    <col min="62" max="16384" width="9.140625" style="17"/>
  </cols>
  <sheetData>
    <row r="1" spans="1:51" x14ac:dyDescent="0.25">
      <c r="A1" s="1" t="s">
        <v>1540</v>
      </c>
      <c r="F1" s="17" t="s">
        <v>1539</v>
      </c>
      <c r="N1" s="17" t="s">
        <v>1541</v>
      </c>
      <c r="V1" s="17" t="s">
        <v>1542</v>
      </c>
      <c r="AD1" s="17" t="s">
        <v>1543</v>
      </c>
      <c r="AL1" s="17" t="s">
        <v>1544</v>
      </c>
      <c r="AT1" s="17" t="s">
        <v>1545</v>
      </c>
    </row>
    <row r="3" spans="1:51" s="649" customFormat="1" x14ac:dyDescent="0.25">
      <c r="A3" s="649" t="s">
        <v>1313</v>
      </c>
      <c r="B3" s="649" t="s">
        <v>1244</v>
      </c>
      <c r="C3" s="649" t="s">
        <v>1245</v>
      </c>
      <c r="E3" s="649" t="s">
        <v>4</v>
      </c>
      <c r="F3" s="690" t="s">
        <v>142</v>
      </c>
      <c r="G3" s="690" t="s">
        <v>103</v>
      </c>
      <c r="H3" s="690" t="s">
        <v>1253</v>
      </c>
      <c r="J3" s="282" t="s">
        <v>1324</v>
      </c>
      <c r="K3" s="17"/>
      <c r="L3" s="17"/>
      <c r="M3" s="649" t="s">
        <v>4</v>
      </c>
      <c r="N3" s="690" t="s">
        <v>142</v>
      </c>
      <c r="O3" s="690" t="s">
        <v>103</v>
      </c>
      <c r="P3" s="690" t="s">
        <v>1253</v>
      </c>
      <c r="R3" s="282" t="s">
        <v>1324</v>
      </c>
      <c r="S3" s="17"/>
      <c r="U3" s="649" t="s">
        <v>4</v>
      </c>
      <c r="V3" s="690" t="s">
        <v>142</v>
      </c>
      <c r="W3" s="690" t="s">
        <v>103</v>
      </c>
      <c r="X3" s="690" t="s">
        <v>1253</v>
      </c>
      <c r="Z3" s="282" t="s">
        <v>1324</v>
      </c>
      <c r="AA3" s="17"/>
      <c r="AC3" s="649" t="s">
        <v>4</v>
      </c>
      <c r="AD3" s="690" t="s">
        <v>142</v>
      </c>
      <c r="AE3" s="690" t="s">
        <v>103</v>
      </c>
      <c r="AF3" s="690" t="s">
        <v>1253</v>
      </c>
      <c r="AH3" s="282" t="s">
        <v>1324</v>
      </c>
      <c r="AI3" s="17"/>
      <c r="AK3" s="649" t="s">
        <v>4</v>
      </c>
      <c r="AL3" s="690" t="s">
        <v>142</v>
      </c>
      <c r="AM3" s="690" t="s">
        <v>103</v>
      </c>
      <c r="AN3" s="690" t="s">
        <v>1253</v>
      </c>
      <c r="AP3" s="282" t="s">
        <v>1324</v>
      </c>
      <c r="AQ3" s="17"/>
      <c r="AS3" s="649" t="s">
        <v>4</v>
      </c>
      <c r="AT3" s="690" t="s">
        <v>142</v>
      </c>
      <c r="AU3" s="690" t="s">
        <v>103</v>
      </c>
      <c r="AV3" s="690" t="s">
        <v>1253</v>
      </c>
      <c r="AX3" s="282" t="s">
        <v>1324</v>
      </c>
      <c r="AY3" s="17"/>
    </row>
    <row r="4" spans="1:51" x14ac:dyDescent="0.25">
      <c r="A4" s="650">
        <v>50</v>
      </c>
      <c r="B4" s="651">
        <v>21</v>
      </c>
      <c r="C4" s="652">
        <v>0</v>
      </c>
      <c r="E4" s="649">
        <f>A4</f>
        <v>50</v>
      </c>
      <c r="F4" s="657">
        <f>B4/(B4+C4)</f>
        <v>1</v>
      </c>
      <c r="G4" s="695">
        <f>1/(1+EXP(-J$5-J$6*E4))</f>
        <v>0.5</v>
      </c>
      <c r="H4" s="658">
        <f>($B4+$C4)*(F4*LN(G4)+(1-F4)*LN(1-G4))</f>
        <v>-14.556090791758852</v>
      </c>
      <c r="M4" s="649">
        <f>E4</f>
        <v>50</v>
      </c>
      <c r="N4" s="657">
        <f>F4</f>
        <v>1</v>
      </c>
      <c r="O4" s="695">
        <f>1/(1+EXP(-R$5-R$6*M4))</f>
        <v>0.94073124491537863</v>
      </c>
      <c r="P4" s="658">
        <f>($B4+$C4)*(N4*LN(O4)+(1-N4)*LN(1-O4))</f>
        <v>-1.2830535063858215</v>
      </c>
      <c r="U4" s="649">
        <f>M4</f>
        <v>50</v>
      </c>
      <c r="V4" s="657">
        <f>N4</f>
        <v>1</v>
      </c>
      <c r="W4" s="695">
        <f>1/(1+EXP(-Z$5-Z$6*U4))</f>
        <v>0.97860162394454031</v>
      </c>
      <c r="X4" s="658">
        <f>($B4+$C4)*(V4*LN(W4)+(1-V4)*LN(1-W4))</f>
        <v>-0.45424345410302036</v>
      </c>
      <c r="AC4" s="649">
        <f>U4</f>
        <v>50</v>
      </c>
      <c r="AD4" s="657">
        <f>V4</f>
        <v>1</v>
      </c>
      <c r="AE4" s="695">
        <f>1/(1+EXP(-AH$5-AH$6*AC4))</f>
        <v>0.98370016716096598</v>
      </c>
      <c r="AF4" s="658">
        <f>($B4+$C4)*(AD4*LN(AE4)+(1-AD4)*LN(1-AE4))</f>
        <v>-0.34511686718461226</v>
      </c>
      <c r="AK4" s="649">
        <f>AC4</f>
        <v>50</v>
      </c>
      <c r="AL4" s="657">
        <f>AD4</f>
        <v>1</v>
      </c>
      <c r="AM4" s="695">
        <f>1/(1+EXP(-AP$5-AP$6*AK4))</f>
        <v>0.98395116130655669</v>
      </c>
      <c r="AN4" s="658">
        <f>($B4+$C4)*(AL4*LN(AM4)+(1-AL4)*LN(1-AM4))</f>
        <v>-0.33975933558362614</v>
      </c>
      <c r="AS4" s="649">
        <f>AK4</f>
        <v>50</v>
      </c>
      <c r="AT4" s="657">
        <f>AL4</f>
        <v>1</v>
      </c>
      <c r="AU4" s="695">
        <f>1/(1+EXP(-AX$5-AX$6*AS4))</f>
        <v>0.98395191314343078</v>
      </c>
      <c r="AV4" s="658">
        <f>($B4+$C4)*(AT4*LN(AU4)+(1-AT4)*LN(1-AU4))</f>
        <v>-0.33974328949420141</v>
      </c>
    </row>
    <row r="5" spans="1:51" x14ac:dyDescent="0.25">
      <c r="A5" s="650">
        <f>A4+100</f>
        <v>150</v>
      </c>
      <c r="B5" s="576">
        <v>29</v>
      </c>
      <c r="C5" s="495">
        <v>1</v>
      </c>
      <c r="E5" s="649">
        <f t="shared" ref="E5:E13" si="0">A5</f>
        <v>150</v>
      </c>
      <c r="F5" s="659">
        <f t="shared" ref="F5:F13" si="1">B5/(B5+C5)</f>
        <v>0.96666666666666667</v>
      </c>
      <c r="G5" s="655">
        <f t="shared" ref="G5:G13" si="2">1/(1+EXP(-J$5-J$6*E5))</f>
        <v>0.5</v>
      </c>
      <c r="H5" s="654">
        <f t="shared" ref="H5:H13" si="3">($B5+$C5)*(F5*LN(G5)+(1-F5)*LN(1-G5))</f>
        <v>-20.794415416798358</v>
      </c>
      <c r="J5" s="593">
        <v>0</v>
      </c>
      <c r="M5" s="649">
        <f t="shared" ref="M5:M13" si="4">E5</f>
        <v>150</v>
      </c>
      <c r="N5" s="659">
        <f t="shared" ref="N5:N13" si="5">F5</f>
        <v>0.96666666666666667</v>
      </c>
      <c r="O5" s="655">
        <f t="shared" ref="O5:O13" si="6">1/(1+EXP(-R$5-R$6*M5))</f>
        <v>0.90665631698441695</v>
      </c>
      <c r="P5" s="654">
        <f t="shared" ref="P5:P13" si="7">($B5+$C5)*(N5*LN(O5)+(1-N5)*LN(1-O5))</f>
        <v>-5.2132299631422194</v>
      </c>
      <c r="R5" s="593">
        <f t="array" ref="R5:R6">J5:J6+J13:J14</f>
        <v>3.0101252034569201</v>
      </c>
      <c r="U5" s="649">
        <f t="shared" ref="U5:U13" si="8">M5</f>
        <v>150</v>
      </c>
      <c r="V5" s="659">
        <f t="shared" ref="V5:V13" si="9">N5</f>
        <v>0.96666666666666667</v>
      </c>
      <c r="W5" s="655">
        <f t="shared" ref="W5:W13" si="10">1/(1+EXP(-Z$5-Z$6*U5))</f>
        <v>0.95893806538612869</v>
      </c>
      <c r="X5" s="654">
        <f t="shared" ref="X5:X13" si="11">($B5+$C5)*(V5*LN(W5)+(1-V5)*LN(1-W5))</f>
        <v>-4.4086086234816477</v>
      </c>
      <c r="Z5" s="593">
        <f t="array" ref="Z5:Z6">R5:R6+R13:R14</f>
        <v>4.1588419250976143</v>
      </c>
      <c r="AC5" s="649">
        <f t="shared" ref="AC5:AC13" si="12">U5</f>
        <v>150</v>
      </c>
      <c r="AD5" s="659">
        <f t="shared" ref="AD5:AD13" si="13">V5</f>
        <v>0.96666666666666667</v>
      </c>
      <c r="AE5" s="655">
        <f t="shared" ref="AE5:AE13" si="14">1/(1+EXP(-AH$5-AH$6*AC5))</f>
        <v>0.96711735162164791</v>
      </c>
      <c r="AF5" s="654">
        <f t="shared" ref="AF5:AF13" si="15">($B5+$C5)*(AD5*LN(AE5)+(1-AD5)*LN(1-AE5))</f>
        <v>-4.3844377660314473</v>
      </c>
      <c r="AH5" s="593">
        <f t="array" ref="AH5:AH6">Z5:Z6+Z13:Z14</f>
        <v>4.4595620695744191</v>
      </c>
      <c r="AK5" s="649">
        <f t="shared" ref="AK5:AK13" si="16">AC5</f>
        <v>150</v>
      </c>
      <c r="AL5" s="659">
        <f t="shared" ref="AL5:AL13" si="17">AD5</f>
        <v>0.96666666666666667</v>
      </c>
      <c r="AM5" s="655">
        <f t="shared" ref="AM5:AM13" si="18">1/(1+EXP(-AP$5-AP$6*AK5))</f>
        <v>0.96753253223981761</v>
      </c>
      <c r="AN5" s="654">
        <f t="shared" ref="AN5:AN13" si="19">($B5+$C5)*(AL5*LN(AM5)+(1-AL5)*LN(1-AM5))</f>
        <v>-4.3846973410614991</v>
      </c>
      <c r="AP5" s="593">
        <f t="array" ref="AP5:AP6">AH5:AH6+AH13:AH14</f>
        <v>4.4766544306994263</v>
      </c>
      <c r="AS5" s="649">
        <f t="shared" ref="AS5:AS13" si="20">AK5</f>
        <v>150</v>
      </c>
      <c r="AT5" s="659">
        <f t="shared" ref="AT5:AT13" si="21">AL5</f>
        <v>0.96666666666666667</v>
      </c>
      <c r="AU5" s="655">
        <f t="shared" ref="AU5:AU13" si="22">1/(1+EXP(-AX$5-AX$6*AS5))</f>
        <v>0.96753377874238444</v>
      </c>
      <c r="AV5" s="654">
        <f t="shared" ref="AV5:AV13" si="23">($B5+$C5)*(AT5*LN(AU5)+(1-AT5)*LN(1-AU5))</f>
        <v>-4.3846983725667954</v>
      </c>
      <c r="AX5" s="593">
        <f t="array" ref="AX5:AX6">AP5:AP6+AP13:AP14</f>
        <v>4.4767060079959613</v>
      </c>
    </row>
    <row r="6" spans="1:51" x14ac:dyDescent="0.25">
      <c r="A6" s="650">
        <f t="shared" ref="A6:A13" si="24">A5+100</f>
        <v>250</v>
      </c>
      <c r="B6" s="576">
        <v>87</v>
      </c>
      <c r="C6" s="495">
        <v>6</v>
      </c>
      <c r="E6" s="649">
        <f t="shared" si="0"/>
        <v>250</v>
      </c>
      <c r="F6" s="659">
        <f t="shared" si="1"/>
        <v>0.93548387096774188</v>
      </c>
      <c r="G6" s="655">
        <f t="shared" si="2"/>
        <v>0.5</v>
      </c>
      <c r="H6" s="654">
        <f t="shared" si="3"/>
        <v>-64.462687792074917</v>
      </c>
      <c r="J6" s="595">
        <v>0</v>
      </c>
      <c r="M6" s="649">
        <f t="shared" si="4"/>
        <v>250</v>
      </c>
      <c r="N6" s="659">
        <f t="shared" si="5"/>
        <v>0.93548387096774188</v>
      </c>
      <c r="O6" s="655">
        <f t="shared" si="6"/>
        <v>0.85598991883509701</v>
      </c>
      <c r="P6" s="654">
        <f t="shared" si="7"/>
        <v>-25.15544300012656</v>
      </c>
      <c r="R6" s="595">
        <v>-4.910999638645934E-3</v>
      </c>
      <c r="U6" s="649">
        <f t="shared" si="8"/>
        <v>250</v>
      </c>
      <c r="V6" s="659">
        <f t="shared" si="9"/>
        <v>0.93548387096774188</v>
      </c>
      <c r="W6" s="655">
        <f t="shared" si="10"/>
        <v>0.92263365069852377</v>
      </c>
      <c r="X6" s="654">
        <f t="shared" si="11"/>
        <v>-22.360724162540819</v>
      </c>
      <c r="Z6" s="595">
        <v>-6.7206464135306258E-3</v>
      </c>
      <c r="AC6" s="649">
        <f t="shared" si="12"/>
        <v>250</v>
      </c>
      <c r="AD6" s="659">
        <f t="shared" si="13"/>
        <v>0.93548387096774188</v>
      </c>
      <c r="AE6" s="655">
        <f t="shared" si="14"/>
        <v>0.93478232487641277</v>
      </c>
      <c r="AF6" s="654">
        <f t="shared" si="15"/>
        <v>-22.247566379818668</v>
      </c>
      <c r="AH6" s="595">
        <v>-7.1879155922205083E-3</v>
      </c>
      <c r="AK6" s="649">
        <f t="shared" si="16"/>
        <v>250</v>
      </c>
      <c r="AL6" s="659">
        <f t="shared" si="17"/>
        <v>0.93548387096774188</v>
      </c>
      <c r="AM6" s="655">
        <f t="shared" si="18"/>
        <v>0.93541941246778892</v>
      </c>
      <c r="AN6" s="654">
        <f t="shared" si="19"/>
        <v>-22.247192924122022</v>
      </c>
      <c r="AP6" s="595">
        <v>-7.2142931821397643E-3</v>
      </c>
      <c r="AS6" s="649">
        <f t="shared" si="20"/>
        <v>250</v>
      </c>
      <c r="AT6" s="659">
        <f t="shared" si="21"/>
        <v>0.93548387096774188</v>
      </c>
      <c r="AU6" s="655">
        <f t="shared" si="22"/>
        <v>0.93542133050751741</v>
      </c>
      <c r="AV6" s="654">
        <f t="shared" si="23"/>
        <v>-22.247192736618977</v>
      </c>
      <c r="AX6" s="595">
        <v>-7.2143724879621292E-3</v>
      </c>
    </row>
    <row r="7" spans="1:51" x14ac:dyDescent="0.25">
      <c r="A7" s="650">
        <f t="shared" si="24"/>
        <v>350</v>
      </c>
      <c r="B7" s="576">
        <v>75</v>
      </c>
      <c r="C7" s="495">
        <v>11</v>
      </c>
      <c r="E7" s="649">
        <f t="shared" si="0"/>
        <v>350</v>
      </c>
      <c r="F7" s="659">
        <f t="shared" si="1"/>
        <v>0.87209302325581395</v>
      </c>
      <c r="G7" s="655">
        <f t="shared" si="2"/>
        <v>0.5</v>
      </c>
      <c r="H7" s="654">
        <f t="shared" si="3"/>
        <v>-59.610657528155294</v>
      </c>
      <c r="M7" s="649">
        <f t="shared" si="4"/>
        <v>350</v>
      </c>
      <c r="N7" s="659">
        <f t="shared" si="5"/>
        <v>0.87209302325581395</v>
      </c>
      <c r="O7" s="655">
        <f t="shared" si="6"/>
        <v>0.78436297377410424</v>
      </c>
      <c r="P7" s="654">
        <f t="shared" si="7"/>
        <v>-35.092000084934696</v>
      </c>
      <c r="U7" s="649">
        <f t="shared" si="8"/>
        <v>350</v>
      </c>
      <c r="V7" s="659">
        <f t="shared" si="9"/>
        <v>0.87209302325581395</v>
      </c>
      <c r="W7" s="655">
        <f t="shared" si="10"/>
        <v>0.85895235096260103</v>
      </c>
      <c r="X7" s="654">
        <f t="shared" si="11"/>
        <v>-32.948369768888554</v>
      </c>
      <c r="AC7" s="649">
        <f t="shared" si="12"/>
        <v>350</v>
      </c>
      <c r="AD7" s="659">
        <f t="shared" si="13"/>
        <v>0.87209302325581395</v>
      </c>
      <c r="AE7" s="655">
        <f t="shared" si="14"/>
        <v>0.8747681008962791</v>
      </c>
      <c r="AF7" s="654">
        <f t="shared" si="15"/>
        <v>-32.888202890866594</v>
      </c>
      <c r="AK7" s="649">
        <f t="shared" si="16"/>
        <v>350</v>
      </c>
      <c r="AL7" s="659">
        <f t="shared" si="17"/>
        <v>0.87209302325581395</v>
      </c>
      <c r="AM7" s="655">
        <f t="shared" si="18"/>
        <v>0.8756266439614353</v>
      </c>
      <c r="AN7" s="654">
        <f t="shared" si="19"/>
        <v>-32.890301646628117</v>
      </c>
      <c r="AS7" s="649">
        <f t="shared" si="20"/>
        <v>350</v>
      </c>
      <c r="AT7" s="659">
        <f t="shared" si="21"/>
        <v>0.87209302325581395</v>
      </c>
      <c r="AU7" s="655">
        <f t="shared" si="22"/>
        <v>0.87562923807455051</v>
      </c>
      <c r="AV7" s="654">
        <f t="shared" si="23"/>
        <v>-32.890308888056509</v>
      </c>
    </row>
    <row r="8" spans="1:51" x14ac:dyDescent="0.25">
      <c r="A8" s="650">
        <f t="shared" si="24"/>
        <v>450</v>
      </c>
      <c r="B8" s="576">
        <v>85</v>
      </c>
      <c r="C8" s="495">
        <v>23</v>
      </c>
      <c r="E8" s="649">
        <f t="shared" si="0"/>
        <v>450</v>
      </c>
      <c r="F8" s="659">
        <f t="shared" si="1"/>
        <v>0.78703703703703709</v>
      </c>
      <c r="G8" s="655">
        <f t="shared" si="2"/>
        <v>0.5</v>
      </c>
      <c r="H8" s="654">
        <f t="shared" si="3"/>
        <v>-74.859895500474096</v>
      </c>
      <c r="J8" s="17" t="s">
        <v>1528</v>
      </c>
      <c r="M8" s="649">
        <f t="shared" si="4"/>
        <v>450</v>
      </c>
      <c r="N8" s="659">
        <f t="shared" si="5"/>
        <v>0.78703703703703709</v>
      </c>
      <c r="O8" s="655">
        <f t="shared" si="6"/>
        <v>0.69001199237983746</v>
      </c>
      <c r="P8" s="654">
        <f t="shared" si="7"/>
        <v>-58.4770339578969</v>
      </c>
      <c r="R8" s="17" t="s">
        <v>1528</v>
      </c>
      <c r="U8" s="649">
        <f t="shared" si="8"/>
        <v>450</v>
      </c>
      <c r="V8" s="659">
        <f t="shared" si="9"/>
        <v>0.78703703703703709</v>
      </c>
      <c r="W8" s="655">
        <f t="shared" si="10"/>
        <v>0.75667779901613674</v>
      </c>
      <c r="X8" s="654">
        <f t="shared" si="11"/>
        <v>-56.206990349307929</v>
      </c>
      <c r="Z8" s="17" t="s">
        <v>1528</v>
      </c>
      <c r="AC8" s="649">
        <f t="shared" si="12"/>
        <v>450</v>
      </c>
      <c r="AD8" s="659">
        <f t="shared" si="13"/>
        <v>0.78703703703703709</v>
      </c>
      <c r="AE8" s="655">
        <f t="shared" si="14"/>
        <v>0.77294226871156824</v>
      </c>
      <c r="AF8" s="654">
        <f t="shared" si="15"/>
        <v>-55.990500354317291</v>
      </c>
      <c r="AH8" s="17" t="s">
        <v>1528</v>
      </c>
      <c r="AK8" s="649">
        <f t="shared" si="16"/>
        <v>450</v>
      </c>
      <c r="AL8" s="659">
        <f t="shared" si="17"/>
        <v>0.78703703703703709</v>
      </c>
      <c r="AM8" s="655">
        <f t="shared" si="18"/>
        <v>0.77385751437967398</v>
      </c>
      <c r="AN8" s="654">
        <f t="shared" si="19"/>
        <v>-55.982808798021125</v>
      </c>
      <c r="AP8" s="17" t="s">
        <v>1528</v>
      </c>
      <c r="AS8" s="649">
        <f t="shared" si="20"/>
        <v>450</v>
      </c>
      <c r="AT8" s="659">
        <f t="shared" si="21"/>
        <v>0.78703703703703709</v>
      </c>
      <c r="AU8" s="655">
        <f t="shared" si="22"/>
        <v>0.77386029509371757</v>
      </c>
      <c r="AV8" s="654">
        <f t="shared" si="23"/>
        <v>-55.98278618322518</v>
      </c>
      <c r="AX8" s="17" t="s">
        <v>1528</v>
      </c>
    </row>
    <row r="9" spans="1:51" x14ac:dyDescent="0.25">
      <c r="A9" s="650">
        <f t="shared" si="24"/>
        <v>550</v>
      </c>
      <c r="B9" s="576">
        <v>64</v>
      </c>
      <c r="C9" s="495">
        <v>38</v>
      </c>
      <c r="E9" s="649">
        <f t="shared" si="0"/>
        <v>550</v>
      </c>
      <c r="F9" s="659">
        <f t="shared" si="1"/>
        <v>0.62745098039215685</v>
      </c>
      <c r="G9" s="655">
        <f t="shared" si="2"/>
        <v>0.5</v>
      </c>
      <c r="H9" s="654">
        <f t="shared" si="3"/>
        <v>-70.701012417114413</v>
      </c>
      <c r="J9" s="671">
        <f t="array" ref="J9:K10">MINVERSE(MMULT(TRANSPOSE([1]!DESIGN(E4:E13)),MMULT([1]!DIAGONAL(G4:G13*(1-G4:G13)*($B$4:$B$13+$C$4:$C$13)),[1]!DESIGN(E4:E13))))</f>
        <v>3.4831616294048497E-2</v>
      </c>
      <c r="K9" s="672">
        <v>-5.5858882384978527E-5</v>
      </c>
      <c r="M9" s="649">
        <f t="shared" si="4"/>
        <v>550</v>
      </c>
      <c r="N9" s="659">
        <f t="shared" si="5"/>
        <v>0.62745098039215685</v>
      </c>
      <c r="O9" s="655">
        <f t="shared" si="6"/>
        <v>0.57665956126907403</v>
      </c>
      <c r="P9" s="654">
        <f t="shared" si="7"/>
        <v>-67.896191860433831</v>
      </c>
      <c r="R9" s="671">
        <f t="array" ref="R9:S10">MINVERSE(MMULT(TRANSPOSE([1]!DESIGN(M4:M13)*O4:O13*(1-O4:O13)*($B$4:$B$13+$C$4:$C$13)),[1]!DESIGN(M4:M13)))</f>
        <v>6.6922384900613988E-2</v>
      </c>
      <c r="S9" s="672">
        <v>-1.0630495771952037E-4</v>
      </c>
      <c r="U9" s="649">
        <f t="shared" si="8"/>
        <v>550</v>
      </c>
      <c r="V9" s="659">
        <f t="shared" si="9"/>
        <v>0.62745098039215685</v>
      </c>
      <c r="W9" s="655">
        <f t="shared" si="10"/>
        <v>0.61360385277331964</v>
      </c>
      <c r="X9" s="654">
        <f t="shared" si="11"/>
        <v>-67.391869609201422</v>
      </c>
      <c r="Z9" s="671">
        <f t="array" ref="Z9:AA10">MINVERSE(MMULT(TRANSPOSE([1]!DESIGN(U4:U13)*W4:W13*(1-W4:W13)*($B$4:$B$13+$C$4:$C$13)),[1]!DESIGN(U4:U13)))</f>
        <v>9.9865465375153187E-2</v>
      </c>
      <c r="AA9" s="672">
        <v>-1.5760257724256951E-4</v>
      </c>
      <c r="AC9" s="649">
        <f t="shared" si="12"/>
        <v>550</v>
      </c>
      <c r="AD9" s="659">
        <f t="shared" si="13"/>
        <v>0.62745098039215685</v>
      </c>
      <c r="AE9" s="655">
        <f t="shared" si="14"/>
        <v>0.62391723719312486</v>
      </c>
      <c r="AF9" s="654">
        <f t="shared" si="15"/>
        <v>-67.353153081897332</v>
      </c>
      <c r="AH9" s="671">
        <f t="array" ref="AH9:AI10">MINVERSE(MMULT(TRANSPOSE([1]!DESIGN(AC4:AC13)*AE4:AE13*(1-AE4:AE13)*($B$4:$B$13+$C$4:$C$13)),[1]!DESIGN(AC4:AC13)))</f>
        <v>0.11097408935109039</v>
      </c>
      <c r="AI9" s="672">
        <v>-1.7481529937966351E-4</v>
      </c>
      <c r="AK9" s="649">
        <f t="shared" si="16"/>
        <v>550</v>
      </c>
      <c r="AL9" s="659">
        <f t="shared" si="17"/>
        <v>0.62745098039215685</v>
      </c>
      <c r="AM9" s="655">
        <f t="shared" si="18"/>
        <v>0.62452352522784804</v>
      </c>
      <c r="AN9" s="654">
        <f t="shared" si="19"/>
        <v>-67.352301381613515</v>
      </c>
      <c r="AP9" s="671">
        <f t="array" ref="AP9:AQ10">MINVERSE(MMULT(TRANSPOSE([1]!DESIGN(AK4:AK13)*AM4:AM13*(1-AM4:AM13)*($B$4:$B$13+$C$4:$C$13)),[1]!DESIGN(AK4:AK13)))</f>
        <v>0.11163994444712524</v>
      </c>
      <c r="AQ9" s="672">
        <v>-1.7584471494182949E-4</v>
      </c>
      <c r="AS9" s="649">
        <f t="shared" si="20"/>
        <v>550</v>
      </c>
      <c r="AT9" s="659">
        <f t="shared" si="21"/>
        <v>0.62745098039215685</v>
      </c>
      <c r="AU9" s="655">
        <f t="shared" si="22"/>
        <v>0.62452539158497944</v>
      </c>
      <c r="AV9" s="654">
        <f t="shared" si="23"/>
        <v>-67.352299005782157</v>
      </c>
      <c r="AX9" s="671">
        <f t="array" ref="AX9:AY10">MINVERSE(MMULT(TRANSPOSE([1]!DESIGN(AS4:AS13)*AU4:AU13*(1-AU4:AU13)*($B$4:$B$13+$C$4:$C$13)),[1]!DESIGN(AS4:AS13)))</f>
        <v>0.111641960483038</v>
      </c>
      <c r="AY9" s="672">
        <v>-1.7584782849844267E-4</v>
      </c>
    </row>
    <row r="10" spans="1:51" x14ac:dyDescent="0.25">
      <c r="A10" s="650">
        <f t="shared" si="24"/>
        <v>650</v>
      </c>
      <c r="B10" s="576">
        <v>53</v>
      </c>
      <c r="C10" s="495">
        <v>73</v>
      </c>
      <c r="E10" s="649">
        <f t="shared" si="0"/>
        <v>650</v>
      </c>
      <c r="F10" s="659">
        <f t="shared" si="1"/>
        <v>0.42063492063492064</v>
      </c>
      <c r="G10" s="655">
        <f t="shared" si="2"/>
        <v>0.5</v>
      </c>
      <c r="H10" s="654">
        <f t="shared" si="3"/>
        <v>-87.336544750553088</v>
      </c>
      <c r="J10" s="496">
        <v>-5.585888238497852E-5</v>
      </c>
      <c r="K10" s="497">
        <v>1.0552510716525895E-7</v>
      </c>
      <c r="M10" s="649">
        <f t="shared" si="4"/>
        <v>650</v>
      </c>
      <c r="N10" s="659">
        <f t="shared" si="5"/>
        <v>0.42063492063492064</v>
      </c>
      <c r="O10" s="655">
        <f t="shared" si="6"/>
        <v>0.45461909069543571</v>
      </c>
      <c r="P10" s="654">
        <f t="shared" si="7"/>
        <v>-86.037424116912732</v>
      </c>
      <c r="R10" s="496">
        <v>-1.0630495771952034E-4</v>
      </c>
      <c r="S10" s="497">
        <v>1.8790795342653965E-7</v>
      </c>
      <c r="U10" s="649">
        <f t="shared" si="8"/>
        <v>650</v>
      </c>
      <c r="V10" s="659">
        <f t="shared" si="9"/>
        <v>0.42063492063492064</v>
      </c>
      <c r="W10" s="655">
        <f t="shared" si="10"/>
        <v>0.44779637782574988</v>
      </c>
      <c r="X10" s="654">
        <f t="shared" si="11"/>
        <v>-85.931287832726554</v>
      </c>
      <c r="Z10" s="496">
        <v>-1.5760257724256949E-4</v>
      </c>
      <c r="AA10" s="497">
        <v>2.6997834941365916E-7</v>
      </c>
      <c r="AC10" s="649">
        <f t="shared" si="12"/>
        <v>650</v>
      </c>
      <c r="AD10" s="659">
        <f t="shared" si="13"/>
        <v>0.42063492063492064</v>
      </c>
      <c r="AE10" s="655">
        <f t="shared" si="14"/>
        <v>0.44705347829455711</v>
      </c>
      <c r="AF10" s="654">
        <f t="shared" si="15"/>
        <v>-85.921144941575605</v>
      </c>
      <c r="AH10" s="496">
        <v>-1.7481529937966351E-4</v>
      </c>
      <c r="AI10" s="497">
        <v>2.972597448081242E-7</v>
      </c>
      <c r="AK10" s="649">
        <f t="shared" si="16"/>
        <v>650</v>
      </c>
      <c r="AL10" s="659">
        <f t="shared" si="17"/>
        <v>0.42063492063492064</v>
      </c>
      <c r="AM10" s="655">
        <f t="shared" si="18"/>
        <v>0.44704035903025274</v>
      </c>
      <c r="AN10" s="654">
        <f t="shared" si="19"/>
        <v>-85.920968321569902</v>
      </c>
      <c r="AP10" s="496">
        <v>-1.7584471494182954E-4</v>
      </c>
      <c r="AQ10" s="497">
        <v>2.9888579282515131E-7</v>
      </c>
      <c r="AS10" s="649">
        <f t="shared" si="20"/>
        <v>650</v>
      </c>
      <c r="AT10" s="659">
        <f t="shared" si="21"/>
        <v>0.42063492063492064</v>
      </c>
      <c r="AU10" s="655">
        <f t="shared" si="22"/>
        <v>0.44704036607828396</v>
      </c>
      <c r="AV10" s="654">
        <f t="shared" si="23"/>
        <v>-85.920968416431762</v>
      </c>
      <c r="AX10" s="496">
        <v>-1.7584782849844265E-4</v>
      </c>
      <c r="AY10" s="497">
        <v>2.988907045725891E-7</v>
      </c>
    </row>
    <row r="11" spans="1:51" x14ac:dyDescent="0.25">
      <c r="A11" s="650">
        <f t="shared" si="24"/>
        <v>750</v>
      </c>
      <c r="B11" s="576">
        <v>31</v>
      </c>
      <c r="C11" s="495">
        <v>81</v>
      </c>
      <c r="E11" s="649">
        <f t="shared" si="0"/>
        <v>750</v>
      </c>
      <c r="F11" s="659">
        <f t="shared" si="1"/>
        <v>0.2767857142857143</v>
      </c>
      <c r="G11" s="655">
        <f t="shared" si="2"/>
        <v>0.5</v>
      </c>
      <c r="H11" s="654">
        <f t="shared" si="3"/>
        <v>-77.63248422271387</v>
      </c>
      <c r="M11" s="649">
        <f t="shared" si="4"/>
        <v>750</v>
      </c>
      <c r="N11" s="659">
        <f t="shared" si="5"/>
        <v>0.2767857142857143</v>
      </c>
      <c r="O11" s="655">
        <f t="shared" si="6"/>
        <v>0.33779756069961842</v>
      </c>
      <c r="P11" s="654">
        <f t="shared" si="7"/>
        <v>-67.031464958779594</v>
      </c>
      <c r="U11" s="649">
        <f t="shared" si="8"/>
        <v>750</v>
      </c>
      <c r="V11" s="659">
        <f t="shared" si="9"/>
        <v>0.2767857142857143</v>
      </c>
      <c r="W11" s="655">
        <f t="shared" si="10"/>
        <v>0.29283744847595222</v>
      </c>
      <c r="X11" s="654">
        <f t="shared" si="11"/>
        <v>-66.138338325477505</v>
      </c>
      <c r="AC11" s="649">
        <f t="shared" si="12"/>
        <v>750</v>
      </c>
      <c r="AD11" s="659">
        <f t="shared" si="13"/>
        <v>0.2767857142857143</v>
      </c>
      <c r="AE11" s="655">
        <f t="shared" si="14"/>
        <v>0.28264591621527613</v>
      </c>
      <c r="AF11" s="654">
        <f t="shared" si="15"/>
        <v>-66.077413955029812</v>
      </c>
      <c r="AK11" s="649">
        <f t="shared" si="16"/>
        <v>750</v>
      </c>
      <c r="AL11" s="659">
        <f t="shared" si="17"/>
        <v>0.2767857142857143</v>
      </c>
      <c r="AM11" s="655">
        <f t="shared" si="18"/>
        <v>0.28210065002132262</v>
      </c>
      <c r="AN11" s="654">
        <f t="shared" si="19"/>
        <v>-66.075730028087321</v>
      </c>
      <c r="AS11" s="649">
        <f t="shared" si="20"/>
        <v>750</v>
      </c>
      <c r="AT11" s="659">
        <f t="shared" si="21"/>
        <v>0.2767857142857143</v>
      </c>
      <c r="AU11" s="655">
        <f t="shared" si="22"/>
        <v>0.28209904969781491</v>
      </c>
      <c r="AV11" s="654">
        <f t="shared" si="23"/>
        <v>-66.075725324908007</v>
      </c>
    </row>
    <row r="12" spans="1:51" x14ac:dyDescent="0.25">
      <c r="A12" s="650">
        <f t="shared" si="24"/>
        <v>850</v>
      </c>
      <c r="B12" s="576">
        <v>10</v>
      </c>
      <c r="C12" s="495">
        <v>41</v>
      </c>
      <c r="E12" s="649">
        <f t="shared" si="0"/>
        <v>850</v>
      </c>
      <c r="F12" s="659">
        <f t="shared" si="1"/>
        <v>0.19607843137254902</v>
      </c>
      <c r="G12" s="655">
        <f t="shared" si="2"/>
        <v>0.5</v>
      </c>
      <c r="H12" s="654">
        <f t="shared" si="3"/>
        <v>-35.350506208557206</v>
      </c>
      <c r="J12" s="17" t="s">
        <v>1538</v>
      </c>
      <c r="M12" s="649">
        <f t="shared" si="4"/>
        <v>850</v>
      </c>
      <c r="N12" s="659">
        <f t="shared" si="5"/>
        <v>0.19607843137254902</v>
      </c>
      <c r="O12" s="655">
        <f t="shared" si="6"/>
        <v>0.23790052106165885</v>
      </c>
      <c r="P12" s="654">
        <f t="shared" si="7"/>
        <v>-25.49783217737593</v>
      </c>
      <c r="R12" s="17" t="s">
        <v>1538</v>
      </c>
      <c r="U12" s="649">
        <f t="shared" si="8"/>
        <v>850</v>
      </c>
      <c r="V12" s="659">
        <f t="shared" si="9"/>
        <v>0.19607843137254902</v>
      </c>
      <c r="W12" s="655">
        <f t="shared" si="10"/>
        <v>0.17455143106161833</v>
      </c>
      <c r="X12" s="654">
        <f t="shared" si="11"/>
        <v>-25.320319608731701</v>
      </c>
      <c r="Z12" s="17" t="s">
        <v>1538</v>
      </c>
      <c r="AC12" s="649">
        <f t="shared" si="12"/>
        <v>850</v>
      </c>
      <c r="AD12" s="659">
        <f t="shared" si="13"/>
        <v>0.19607843137254902</v>
      </c>
      <c r="AE12" s="655">
        <f t="shared" si="14"/>
        <v>0.16108649062454461</v>
      </c>
      <c r="AF12" s="654">
        <f t="shared" si="15"/>
        <v>-25.459692782790373</v>
      </c>
      <c r="AH12" s="17" t="s">
        <v>1538</v>
      </c>
      <c r="AK12" s="649">
        <f t="shared" si="16"/>
        <v>850</v>
      </c>
      <c r="AL12" s="659">
        <f t="shared" si="17"/>
        <v>0.19607843137254902</v>
      </c>
      <c r="AM12" s="655">
        <f t="shared" si="18"/>
        <v>0.16036769733448342</v>
      </c>
      <c r="AN12" s="654">
        <f t="shared" si="19"/>
        <v>-25.46929985412843</v>
      </c>
      <c r="AP12" s="17" t="s">
        <v>1538</v>
      </c>
      <c r="AS12" s="649">
        <f t="shared" si="20"/>
        <v>850</v>
      </c>
      <c r="AT12" s="659">
        <f t="shared" si="21"/>
        <v>0.19607843137254902</v>
      </c>
      <c r="AU12" s="655">
        <f t="shared" si="22"/>
        <v>0.16036556548089054</v>
      </c>
      <c r="AV12" s="654">
        <f t="shared" si="23"/>
        <v>-25.469328690166854</v>
      </c>
      <c r="AX12" s="17" t="s">
        <v>1538</v>
      </c>
    </row>
    <row r="13" spans="1:51" x14ac:dyDescent="0.25">
      <c r="A13" s="650">
        <f t="shared" si="24"/>
        <v>950</v>
      </c>
      <c r="B13" s="496">
        <v>3</v>
      </c>
      <c r="C13" s="497">
        <v>28</v>
      </c>
      <c r="E13" s="649">
        <f t="shared" si="0"/>
        <v>950</v>
      </c>
      <c r="F13" s="660">
        <f t="shared" si="1"/>
        <v>9.6774193548387094E-2</v>
      </c>
      <c r="G13" s="661">
        <f t="shared" si="2"/>
        <v>0.5</v>
      </c>
      <c r="H13" s="662">
        <f t="shared" si="3"/>
        <v>-21.487562597358306</v>
      </c>
      <c r="J13" s="694">
        <f t="array" ref="J13:J14">MMULT(J9:K10,MMULT(TRANSPOSE([1]!DESIGN(E4:E13)),($B$4:$B$13+$C$4:$C$13)*(F4:F13-G4:G13)))</f>
        <v>3.0101252034569201</v>
      </c>
      <c r="M13" s="649">
        <f t="shared" si="4"/>
        <v>950</v>
      </c>
      <c r="N13" s="660">
        <f t="shared" si="5"/>
        <v>9.6774193548387094E-2</v>
      </c>
      <c r="O13" s="661">
        <f t="shared" si="6"/>
        <v>0.16039063234808937</v>
      </c>
      <c r="P13" s="662">
        <f t="shared" si="7"/>
        <v>-10.385347908139018</v>
      </c>
      <c r="R13" s="694">
        <f t="array" ref="R13:R14">MMULT(R9:S10,MMULT(TRANSPOSE([1]!DESIGN(M4:M13)),($B$4:$B$13+$C$4:$C$13)*(N4:N13-O4:O13)))</f>
        <v>1.1487167216406942</v>
      </c>
      <c r="U13" s="649">
        <f t="shared" si="8"/>
        <v>950</v>
      </c>
      <c r="V13" s="660">
        <f t="shared" si="9"/>
        <v>9.6774193548387094E-2</v>
      </c>
      <c r="W13" s="661">
        <f t="shared" si="10"/>
        <v>9.7459894919660867E-2</v>
      </c>
      <c r="X13" s="662">
        <f t="shared" si="11"/>
        <v>-9.8561232152781368</v>
      </c>
      <c r="Z13" s="694">
        <f t="array" ref="Z13:Z14">MMULT(Z9:AA10,MMULT(TRANSPOSE([1]!DESIGN(U4:U13)),($B$4:$B$13+$C$4:$C$13)*(V4:V13-W4:W13)))</f>
        <v>0.30072014447680478</v>
      </c>
      <c r="AC13" s="649">
        <f t="shared" si="12"/>
        <v>950</v>
      </c>
      <c r="AD13" s="660">
        <f t="shared" si="13"/>
        <v>9.6774193548387094E-2</v>
      </c>
      <c r="AE13" s="661">
        <f t="shared" si="14"/>
        <v>8.5570659073634175E-2</v>
      </c>
      <c r="AF13" s="662">
        <f t="shared" si="15"/>
        <v>-9.8799806901664802</v>
      </c>
      <c r="AH13" s="694">
        <f t="array" ref="AH13:AH14">MMULT(AH9:AI10,MMULT(TRANSPOSE([1]!DESIGN(AC4:AC13)),($B$4:$B$13+$C$4:$C$13)*(AD4:AD13-AE4:AE13)))</f>
        <v>1.7092361125006748E-2</v>
      </c>
      <c r="AK13" s="649">
        <f t="shared" si="16"/>
        <v>950</v>
      </c>
      <c r="AL13" s="660">
        <f t="shared" si="17"/>
        <v>9.6774193548387094E-2</v>
      </c>
      <c r="AM13" s="661">
        <f t="shared" si="18"/>
        <v>8.4949360110917596E-2</v>
      </c>
      <c r="AN13" s="662">
        <f t="shared" si="19"/>
        <v>-9.8828242810061973</v>
      </c>
      <c r="AP13" s="694">
        <f t="array" ref="AP13:AP14">MMULT(AP9:AQ10,MMULT(TRANSPOSE([1]!DESIGN(AK4:AK13)),($B$4:$B$13+$C$4:$C$13)*(AL4:AL13-AM4:AM13)))</f>
        <v>5.1577296535375849E-5</v>
      </c>
      <c r="AS13" s="649">
        <f t="shared" si="20"/>
        <v>950</v>
      </c>
      <c r="AT13" s="660">
        <f t="shared" si="21"/>
        <v>9.6774193548387094E-2</v>
      </c>
      <c r="AU13" s="661">
        <f t="shared" si="22"/>
        <v>8.4947512942412526E-2</v>
      </c>
      <c r="AV13" s="662">
        <f t="shared" si="23"/>
        <v>-9.8828329925716307</v>
      </c>
      <c r="AX13" s="694">
        <f t="array" ref="AX13:AX14">MMULT(AX9:AY10,MMULT(TRANSPOSE([1]!DESIGN(AS4:AS13)),AT4:AT13-AU4:AU13))</f>
        <v>4.7187538950008504E-5</v>
      </c>
    </row>
    <row r="14" spans="1:51" x14ac:dyDescent="0.25">
      <c r="B14" s="17">
        <f>SUM(B4:B13)</f>
        <v>458</v>
      </c>
      <c r="C14" s="17">
        <f>SUM(C4:C13)</f>
        <v>302</v>
      </c>
      <c r="E14" s="649"/>
      <c r="F14" s="649"/>
      <c r="G14" s="649"/>
      <c r="H14" s="649">
        <f>SUM(H4:H13)</f>
        <v>-526.79185722555849</v>
      </c>
      <c r="J14" s="595">
        <v>-4.910999638645934E-3</v>
      </c>
      <c r="M14" s="649"/>
      <c r="N14" s="649"/>
      <c r="O14" s="649"/>
      <c r="P14" s="649">
        <f>SUM(P4:P13)</f>
        <v>-382.06902153412727</v>
      </c>
      <c r="R14" s="595">
        <v>-1.809646774884692E-3</v>
      </c>
      <c r="U14" s="649"/>
      <c r="V14" s="649"/>
      <c r="W14" s="649"/>
      <c r="X14" s="649">
        <f>SUM(X4:X13)</f>
        <v>-371.01687494973731</v>
      </c>
      <c r="Z14" s="595">
        <v>-4.6726917868988215E-4</v>
      </c>
      <c r="AC14" s="649"/>
      <c r="AD14" s="649"/>
      <c r="AE14" s="649"/>
      <c r="AF14" s="649">
        <f>SUM(AF4:AF13)</f>
        <v>-370.54720970967821</v>
      </c>
      <c r="AH14" s="595">
        <v>-2.6377589919255746E-5</v>
      </c>
      <c r="AK14" s="649"/>
      <c r="AL14" s="649"/>
      <c r="AM14" s="649"/>
      <c r="AN14" s="649">
        <f>SUM(AN4:AN13)</f>
        <v>-370.54588391182176</v>
      </c>
      <c r="AP14" s="595">
        <v>-7.9305822365080913E-8</v>
      </c>
      <c r="AS14" s="649"/>
      <c r="AT14" s="649"/>
      <c r="AU14" s="649"/>
      <c r="AV14" s="649">
        <f>SUM(AV4:AV13)</f>
        <v>-370.54588389982212</v>
      </c>
      <c r="AX14" s="595">
        <v>5.2675366276471196E-7</v>
      </c>
    </row>
    <row r="17" spans="8:27" x14ac:dyDescent="0.25">
      <c r="N17" s="17" t="s">
        <v>1543</v>
      </c>
      <c r="V17" s="17" t="s">
        <v>1544</v>
      </c>
    </row>
    <row r="18" spans="8:27" x14ac:dyDescent="0.25">
      <c r="H18" s="17" t="e">
        <f>LN(-LN(0))</f>
        <v>#NUM!</v>
      </c>
    </row>
    <row r="19" spans="8:27" x14ac:dyDescent="0.25">
      <c r="M19" s="649" t="s">
        <v>4</v>
      </c>
      <c r="N19" s="690" t="s">
        <v>142</v>
      </c>
      <c r="O19" s="690" t="s">
        <v>103</v>
      </c>
      <c r="P19" s="690" t="s">
        <v>1253</v>
      </c>
      <c r="Q19" s="649"/>
      <c r="R19" s="282" t="s">
        <v>1324</v>
      </c>
      <c r="T19" s="649"/>
      <c r="U19" s="649" t="s">
        <v>4</v>
      </c>
      <c r="V19" s="690" t="s">
        <v>142</v>
      </c>
      <c r="W19" s="690" t="s">
        <v>103</v>
      </c>
      <c r="X19" s="690" t="s">
        <v>1253</v>
      </c>
      <c r="Y19" s="649"/>
      <c r="Z19" s="282" t="s">
        <v>1324</v>
      </c>
    </row>
    <row r="20" spans="8:27" x14ac:dyDescent="0.25">
      <c r="H20" s="17">
        <f>LN(0.5)</f>
        <v>-0.69314718055994529</v>
      </c>
      <c r="M20" s="649">
        <f>U4</f>
        <v>50</v>
      </c>
      <c r="N20" s="657">
        <f>V4</f>
        <v>1</v>
      </c>
      <c r="O20" s="695">
        <f>1/(1+EXP(-R$21-R$22*M20))</f>
        <v>0.98370016716096598</v>
      </c>
      <c r="P20" s="658">
        <f>($B4+$C4)*(N20*LN(O20)+(1-N20)*LN(1-O20))</f>
        <v>-0.34511686718461226</v>
      </c>
      <c r="U20" s="649">
        <f>M20</f>
        <v>50</v>
      </c>
      <c r="V20" s="657">
        <f>N20</f>
        <v>1</v>
      </c>
      <c r="W20" s="695">
        <f>1/(1+EXP(-Z$21-Z$22*U20))</f>
        <v>0.98395116130655669</v>
      </c>
      <c r="X20" s="658">
        <f>($B4+$C4)*(V20*LN(W20)+(1-V20)*LN(1-W20))</f>
        <v>-0.33975933558362614</v>
      </c>
    </row>
    <row r="21" spans="8:27" x14ac:dyDescent="0.25">
      <c r="M21" s="649">
        <f t="shared" ref="M21:M29" si="25">U5</f>
        <v>150</v>
      </c>
      <c r="N21" s="659">
        <f t="shared" ref="N21:N29" si="26">V5</f>
        <v>0.96666666666666667</v>
      </c>
      <c r="O21" s="655">
        <f t="shared" ref="O21:O29" si="27">1/(1+EXP(-R$21-R$22*M21))</f>
        <v>0.96711735162164791</v>
      </c>
      <c r="P21" s="654">
        <f t="shared" ref="P21:P29" si="28">($B5+$C5)*(N21*LN(O21)+(1-N21)*LN(1-O21))</f>
        <v>-4.3844377660314473</v>
      </c>
      <c r="R21" s="593">
        <f t="array" ref="R21:R22">Z5:Z6+Z13:Z14</f>
        <v>4.4595620695744191</v>
      </c>
      <c r="U21" s="649">
        <f t="shared" ref="U21:U29" si="29">M21</f>
        <v>150</v>
      </c>
      <c r="V21" s="659">
        <f t="shared" ref="V21:V29" si="30">N21</f>
        <v>0.96666666666666667</v>
      </c>
      <c r="W21" s="655">
        <f t="shared" ref="W21:W29" si="31">1/(1+EXP(-Z$21-Z$22*U21))</f>
        <v>0.96753253223981761</v>
      </c>
      <c r="X21" s="654">
        <f t="shared" ref="X21:X29" si="32">($B5+$C5)*(V21*LN(W21)+(1-V21)*LN(1-W21))</f>
        <v>-4.3846973410614991</v>
      </c>
      <c r="Z21" s="593">
        <f t="array" ref="Z21:Z22">R21:R22+R29:R30</f>
        <v>4.4766544306994263</v>
      </c>
    </row>
    <row r="22" spans="8:27" x14ac:dyDescent="0.25">
      <c r="M22" s="649">
        <f t="shared" si="25"/>
        <v>250</v>
      </c>
      <c r="N22" s="659">
        <f t="shared" si="26"/>
        <v>0.93548387096774188</v>
      </c>
      <c r="O22" s="655">
        <f t="shared" si="27"/>
        <v>0.93478232487641277</v>
      </c>
      <c r="P22" s="654">
        <f t="shared" si="28"/>
        <v>-22.247566379818668</v>
      </c>
      <c r="R22" s="595">
        <v>-7.1879155922205083E-3</v>
      </c>
      <c r="U22" s="649">
        <f t="shared" si="29"/>
        <v>250</v>
      </c>
      <c r="V22" s="659">
        <f t="shared" si="30"/>
        <v>0.93548387096774188</v>
      </c>
      <c r="W22" s="655">
        <f t="shared" si="31"/>
        <v>0.93541941246778892</v>
      </c>
      <c r="X22" s="654">
        <f t="shared" si="32"/>
        <v>-22.247192924122022</v>
      </c>
      <c r="Z22" s="595">
        <v>-7.2142931821397643E-3</v>
      </c>
    </row>
    <row r="23" spans="8:27" x14ac:dyDescent="0.25">
      <c r="M23" s="649">
        <f t="shared" si="25"/>
        <v>350</v>
      </c>
      <c r="N23" s="659">
        <f t="shared" si="26"/>
        <v>0.87209302325581395</v>
      </c>
      <c r="O23" s="655">
        <f t="shared" si="27"/>
        <v>0.8747681008962791</v>
      </c>
      <c r="P23" s="654">
        <f t="shared" si="28"/>
        <v>-32.888202890866594</v>
      </c>
      <c r="U23" s="649">
        <f t="shared" si="29"/>
        <v>350</v>
      </c>
      <c r="V23" s="659">
        <f t="shared" si="30"/>
        <v>0.87209302325581395</v>
      </c>
      <c r="W23" s="655">
        <f t="shared" si="31"/>
        <v>0.8756266439614353</v>
      </c>
      <c r="X23" s="654">
        <f t="shared" si="32"/>
        <v>-32.890301646628117</v>
      </c>
    </row>
    <row r="24" spans="8:27" x14ac:dyDescent="0.25">
      <c r="M24" s="649">
        <f t="shared" si="25"/>
        <v>450</v>
      </c>
      <c r="N24" s="659">
        <f t="shared" si="26"/>
        <v>0.78703703703703709</v>
      </c>
      <c r="O24" s="655">
        <f t="shared" si="27"/>
        <v>0.77294226871156824</v>
      </c>
      <c r="P24" s="654">
        <f t="shared" si="28"/>
        <v>-55.990500354317291</v>
      </c>
      <c r="R24" s="17" t="s">
        <v>1528</v>
      </c>
      <c r="U24" s="649">
        <f t="shared" si="29"/>
        <v>450</v>
      </c>
      <c r="V24" s="659">
        <f t="shared" si="30"/>
        <v>0.78703703703703709</v>
      </c>
      <c r="W24" s="655">
        <f t="shared" si="31"/>
        <v>0.77385751437967398</v>
      </c>
      <c r="X24" s="654">
        <f t="shared" si="32"/>
        <v>-55.982808798021125</v>
      </c>
      <c r="Z24" s="17" t="s">
        <v>1528</v>
      </c>
    </row>
    <row r="25" spans="8:27" x14ac:dyDescent="0.25">
      <c r="M25" s="649">
        <f t="shared" si="25"/>
        <v>550</v>
      </c>
      <c r="N25" s="659">
        <f t="shared" si="26"/>
        <v>0.62745098039215685</v>
      </c>
      <c r="O25" s="655">
        <f t="shared" si="27"/>
        <v>0.62391723719312486</v>
      </c>
      <c r="P25" s="654">
        <f t="shared" si="28"/>
        <v>-67.353153081897332</v>
      </c>
      <c r="R25" s="671">
        <f t="array" ref="R25:S26">MINVERSE(MMULT(TRANSPOSE([1]!DESIGN(M20:M29)*O20:O29*(1-O20:O29)*($B$4:$B$13+$C$4:$C$13)),[1]!DESIGN(M20:M29)))</f>
        <v>0.11097408935109039</v>
      </c>
      <c r="S25" s="672">
        <v>-1.7481529937966351E-4</v>
      </c>
      <c r="U25" s="649">
        <f t="shared" si="29"/>
        <v>550</v>
      </c>
      <c r="V25" s="659">
        <f t="shared" si="30"/>
        <v>0.62745098039215685</v>
      </c>
      <c r="W25" s="655">
        <f t="shared" si="31"/>
        <v>0.62452352522784804</v>
      </c>
      <c r="X25" s="654">
        <f t="shared" si="32"/>
        <v>-67.352301381613515</v>
      </c>
      <c r="Z25" s="671">
        <f t="array" ref="Z25:AA26">MINVERSE(MMULT(TRANSPOSE([1]!DESIGN(U20:U29)*W20:W29*(1-W20:W29)*($B$4:$B$13+$C$4:$C$13)),[1]!DESIGN(U20:U29)))</f>
        <v>0.11163994444712524</v>
      </c>
      <c r="AA25" s="672">
        <v>-1.7584471494182949E-4</v>
      </c>
    </row>
    <row r="26" spans="8:27" x14ac:dyDescent="0.25">
      <c r="M26" s="649">
        <f t="shared" si="25"/>
        <v>650</v>
      </c>
      <c r="N26" s="659">
        <f t="shared" si="26"/>
        <v>0.42063492063492064</v>
      </c>
      <c r="O26" s="655">
        <f t="shared" si="27"/>
        <v>0.44705347829455711</v>
      </c>
      <c r="P26" s="654">
        <f t="shared" si="28"/>
        <v>-85.921144941575605</v>
      </c>
      <c r="R26" s="496">
        <v>-1.7481529937966351E-4</v>
      </c>
      <c r="S26" s="497">
        <v>2.972597448081242E-7</v>
      </c>
      <c r="U26" s="649">
        <f t="shared" si="29"/>
        <v>650</v>
      </c>
      <c r="V26" s="659">
        <f t="shared" si="30"/>
        <v>0.42063492063492064</v>
      </c>
      <c r="W26" s="655">
        <f t="shared" si="31"/>
        <v>0.44704035903025274</v>
      </c>
      <c r="X26" s="654">
        <f t="shared" si="32"/>
        <v>-85.920968321569902</v>
      </c>
      <c r="Z26" s="496">
        <v>-1.7584471494182954E-4</v>
      </c>
      <c r="AA26" s="497">
        <v>2.9888579282515131E-7</v>
      </c>
    </row>
    <row r="27" spans="8:27" x14ac:dyDescent="0.25">
      <c r="M27" s="649">
        <f t="shared" si="25"/>
        <v>750</v>
      </c>
      <c r="N27" s="659">
        <f t="shared" si="26"/>
        <v>0.2767857142857143</v>
      </c>
      <c r="O27" s="655">
        <f t="shared" si="27"/>
        <v>0.28264591621527613</v>
      </c>
      <c r="P27" s="654">
        <f t="shared" si="28"/>
        <v>-66.077413955029812</v>
      </c>
      <c r="U27" s="649">
        <f t="shared" si="29"/>
        <v>750</v>
      </c>
      <c r="V27" s="659">
        <f t="shared" si="30"/>
        <v>0.2767857142857143</v>
      </c>
      <c r="W27" s="655">
        <f t="shared" si="31"/>
        <v>0.28210065002132262</v>
      </c>
      <c r="X27" s="654">
        <f t="shared" si="32"/>
        <v>-66.075730028087321</v>
      </c>
    </row>
    <row r="28" spans="8:27" x14ac:dyDescent="0.25">
      <c r="M28" s="649">
        <f t="shared" si="25"/>
        <v>850</v>
      </c>
      <c r="N28" s="659">
        <f t="shared" si="26"/>
        <v>0.19607843137254902</v>
      </c>
      <c r="O28" s="655">
        <f t="shared" si="27"/>
        <v>0.16108649062454461</v>
      </c>
      <c r="P28" s="654">
        <f t="shared" si="28"/>
        <v>-25.459692782790373</v>
      </c>
      <c r="R28" s="17" t="s">
        <v>1538</v>
      </c>
      <c r="U28" s="649">
        <f t="shared" si="29"/>
        <v>850</v>
      </c>
      <c r="V28" s="659">
        <f t="shared" si="30"/>
        <v>0.19607843137254902</v>
      </c>
      <c r="W28" s="655">
        <f t="shared" si="31"/>
        <v>0.16036769733448342</v>
      </c>
      <c r="X28" s="654">
        <f t="shared" si="32"/>
        <v>-25.46929985412843</v>
      </c>
      <c r="Z28" s="17" t="s">
        <v>1538</v>
      </c>
    </row>
    <row r="29" spans="8:27" x14ac:dyDescent="0.25">
      <c r="M29" s="649">
        <f t="shared" si="25"/>
        <v>950</v>
      </c>
      <c r="N29" s="660">
        <f t="shared" si="26"/>
        <v>9.6774193548387094E-2</v>
      </c>
      <c r="O29" s="661">
        <f t="shared" si="27"/>
        <v>8.5570659073634175E-2</v>
      </c>
      <c r="P29" s="662">
        <f t="shared" si="28"/>
        <v>-9.8799806901664802</v>
      </c>
      <c r="R29" s="694">
        <f t="array" ref="R29:R30">MMULT(R25:S26,MMULT(TRANSPOSE([1]!DESIGN(M20:M29)),($B$4:$B$13+$C$4:$C$13)*(N20:N29-O20:O29)))</f>
        <v>1.7092361125006748E-2</v>
      </c>
      <c r="U29" s="649">
        <f t="shared" si="29"/>
        <v>950</v>
      </c>
      <c r="V29" s="660">
        <f t="shared" si="30"/>
        <v>9.6774193548387094E-2</v>
      </c>
      <c r="W29" s="661">
        <f t="shared" si="31"/>
        <v>8.4949360110917596E-2</v>
      </c>
      <c r="X29" s="662">
        <f t="shared" si="32"/>
        <v>-9.8828242810061973</v>
      </c>
      <c r="Z29" s="694">
        <f t="array" ref="Z29:Z30">MMULT(Z25:AA26,MMULT(TRANSPOSE([1]!DESIGN(U20:U29)),($B$4:$B$13+$C$4:$C$13)*(V20:V29-W20:W29)))</f>
        <v>5.1577296535375849E-5</v>
      </c>
    </row>
    <row r="30" spans="8:27" x14ac:dyDescent="0.25">
      <c r="M30" s="649"/>
      <c r="N30" s="649"/>
      <c r="O30" s="649"/>
      <c r="P30" s="649">
        <f>SUM(P20:P29)</f>
        <v>-370.54720970967821</v>
      </c>
      <c r="R30" s="595">
        <v>-2.6377589919255746E-5</v>
      </c>
      <c r="U30" s="649"/>
      <c r="V30" s="649"/>
      <c r="W30" s="649"/>
      <c r="X30" s="649">
        <f>SUM(X20:X29)</f>
        <v>-370.54588391182176</v>
      </c>
      <c r="Z30" s="595">
        <v>-7.9305822365080913E-8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AM33"/>
  <sheetViews>
    <sheetView zoomScale="105" workbookViewId="0"/>
  </sheetViews>
  <sheetFormatPr defaultRowHeight="15" x14ac:dyDescent="0.25"/>
  <cols>
    <col min="1" max="3" width="9.28515625" bestFit="1" customWidth="1"/>
    <col min="4" max="4" width="5" customWidth="1"/>
    <col min="5" max="5" width="9.42578125" bestFit="1" customWidth="1"/>
    <col min="6" max="7" width="9.5703125" bestFit="1" customWidth="1"/>
    <col min="8" max="8" width="11.28515625" bestFit="1" customWidth="1"/>
    <col min="9" max="9" width="12" bestFit="1" customWidth="1"/>
    <col min="10" max="12" width="9.5703125" bestFit="1" customWidth="1"/>
    <col min="13" max="14" width="9.28515625" bestFit="1" customWidth="1"/>
    <col min="15" max="15" width="12" bestFit="1" customWidth="1"/>
    <col min="16" max="16" width="4.5703125" customWidth="1"/>
    <col min="17" max="17" width="9.28515625" customWidth="1"/>
    <col min="18" max="18" width="4.28515625" customWidth="1"/>
    <col min="20" max="20" width="12" bestFit="1" customWidth="1"/>
    <col min="21" max="21" width="5" customWidth="1"/>
    <col min="22" max="22" width="9.28515625" bestFit="1" customWidth="1"/>
    <col min="24" max="24" width="4.7109375" customWidth="1"/>
  </cols>
  <sheetData>
    <row r="1" spans="1:39" x14ac:dyDescent="0.25">
      <c r="A1" s="1" t="s">
        <v>1537</v>
      </c>
    </row>
    <row r="3" spans="1:39" x14ac:dyDescent="0.25">
      <c r="A3" s="13" t="s">
        <v>1313</v>
      </c>
      <c r="B3" s="13" t="s">
        <v>1244</v>
      </c>
      <c r="C3" s="13" t="s">
        <v>1245</v>
      </c>
      <c r="E3" t="s">
        <v>1243</v>
      </c>
      <c r="AA3" t="s">
        <v>1709</v>
      </c>
      <c r="AF3" t="s">
        <v>1713</v>
      </c>
    </row>
    <row r="4" spans="1:39" ht="15.75" thickBot="1" x14ac:dyDescent="0.3">
      <c r="A4" s="27">
        <v>50</v>
      </c>
      <c r="B4" s="620">
        <v>21</v>
      </c>
      <c r="C4" s="622">
        <v>0</v>
      </c>
    </row>
    <row r="5" spans="1:39" ht="15.75" thickTop="1" x14ac:dyDescent="0.25">
      <c r="A5" s="27">
        <f>A4+100</f>
        <v>150</v>
      </c>
      <c r="B5" s="532">
        <v>29</v>
      </c>
      <c r="C5" s="533">
        <v>1</v>
      </c>
      <c r="E5" s="800" t="str">
        <f>A3</f>
        <v>Rems</v>
      </c>
      <c r="F5" s="800" t="str">
        <f>B3</f>
        <v>Survived</v>
      </c>
      <c r="G5" s="800" t="str">
        <f>C3</f>
        <v>Died</v>
      </c>
      <c r="H5" s="800" t="s">
        <v>1</v>
      </c>
      <c r="I5" s="800" t="s">
        <v>1322</v>
      </c>
      <c r="J5" s="800" t="s">
        <v>1323</v>
      </c>
      <c r="K5" s="800" t="s">
        <v>1707</v>
      </c>
      <c r="L5" s="800" t="s">
        <v>1708</v>
      </c>
      <c r="M5" s="800" t="s">
        <v>1253</v>
      </c>
      <c r="N5" s="800" t="s">
        <v>1527</v>
      </c>
      <c r="O5" s="800" t="s">
        <v>1648</v>
      </c>
      <c r="Q5" t="s">
        <v>1324</v>
      </c>
      <c r="S5" t="s">
        <v>1252</v>
      </c>
      <c r="T5" s="802">
        <f>F16*LN(F16/H16)+G16*LN(G16/H16)</f>
        <v>-510.66696372157895</v>
      </c>
      <c r="V5" t="s">
        <v>1528</v>
      </c>
      <c r="Y5" t="s">
        <v>1719</v>
      </c>
      <c r="AB5" s="792" t="s">
        <v>1710</v>
      </c>
      <c r="AC5" s="792" t="s">
        <v>1711</v>
      </c>
      <c r="AF5" s="754" t="s">
        <v>1323</v>
      </c>
      <c r="AG5" s="754" t="s">
        <v>1655</v>
      </c>
      <c r="AH5" s="754" t="s">
        <v>1654</v>
      </c>
      <c r="AI5" s="754" t="s">
        <v>1714</v>
      </c>
      <c r="AJ5" s="754" t="s">
        <v>1715</v>
      </c>
      <c r="AK5" s="754" t="s">
        <v>1716</v>
      </c>
      <c r="AL5" s="754" t="s">
        <v>1717</v>
      </c>
      <c r="AM5" s="754" t="s">
        <v>1718</v>
      </c>
    </row>
    <row r="6" spans="1:39" x14ac:dyDescent="0.25">
      <c r="A6" s="27">
        <f t="shared" ref="A6:A13" si="0">A5+100</f>
        <v>250</v>
      </c>
      <c r="B6" s="532">
        <v>87</v>
      </c>
      <c r="C6" s="533">
        <v>6</v>
      </c>
      <c r="E6">
        <f t="shared" ref="E6:E15" si="1">A4</f>
        <v>50</v>
      </c>
      <c r="F6" s="501">
        <f t="shared" ref="F6:F15" si="2">B4</f>
        <v>21</v>
      </c>
      <c r="G6" s="7">
        <f t="shared" ref="G6:G15" si="3">C4</f>
        <v>0</v>
      </c>
      <c r="H6" s="57">
        <f>F6+G6</f>
        <v>21</v>
      </c>
      <c r="I6">
        <f>F6/H6</f>
        <v>1</v>
      </c>
      <c r="J6">
        <f>1/(1+EXP(-$Q$7-$Q$8*E6))</f>
        <v>0.9839519131502602</v>
      </c>
      <c r="K6" s="797">
        <f>H6*J6</f>
        <v>20.662990176155464</v>
      </c>
      <c r="L6" s="799">
        <f>H6-K6</f>
        <v>0.33700982384453582</v>
      </c>
      <c r="M6">
        <f>H6*(I6*LN(J6)+(1-I6)*LN(1-J6))</f>
        <v>-0.33974328934844439</v>
      </c>
      <c r="N6">
        <f>100*IF(J6&gt;=$AB$12,F6/H6,G6/H6)</f>
        <v>100</v>
      </c>
      <c r="O6">
        <f>(F6-K6)^2/K6+(G6-L6)^2/L6</f>
        <v>0.34250639623795387</v>
      </c>
      <c r="S6" t="s">
        <v>1315</v>
      </c>
      <c r="T6" s="757">
        <f>M16</f>
        <v>-370.54588389982206</v>
      </c>
      <c r="V6" s="797">
        <f t="array" ref="V6:W7">MINVERSE(MMULT(TRANSPOSE([1]!DESIGN(E6:E15)),J6:J15*(1-J6:J15)*H6:H15*[1]!DESIGN(E6:E15)))</f>
        <v>0.11164196050135301</v>
      </c>
      <c r="W6" s="799">
        <v>-1.7584782852671316E-4</v>
      </c>
      <c r="Y6" s="802">
        <f t="array" ref="Y6:Y7">MMULT(V6:W7,MMULT(TRANSPOSE([1]!DESIGN(E6:E15)),H6:H15*(I6:I15-J6:J15)))</f>
        <v>-1.1798888239740246E-15</v>
      </c>
      <c r="AA6" t="s">
        <v>1707</v>
      </c>
      <c r="AB6" s="797">
        <f>SUMIF(J6:J15,"&gt;="&amp;AB12,F6:F15)</f>
        <v>361</v>
      </c>
      <c r="AC6" s="799">
        <f>SUMIF(J6:J15,"&gt;="&amp;AB12,G6:G15)</f>
        <v>79</v>
      </c>
      <c r="AD6">
        <f>AB6+AC6</f>
        <v>440</v>
      </c>
      <c r="AI6">
        <v>0</v>
      </c>
      <c r="AJ6">
        <v>0</v>
      </c>
      <c r="AK6">
        <f>1-AI6/AI$16</f>
        <v>1</v>
      </c>
      <c r="AL6">
        <f>1-AJ6/AJ$16</f>
        <v>1</v>
      </c>
      <c r="AM6">
        <f>(AK6-AK7)*AL6</f>
        <v>9.27152317880795E-2</v>
      </c>
    </row>
    <row r="7" spans="1:39" x14ac:dyDescent="0.25">
      <c r="A7" s="27">
        <f t="shared" si="0"/>
        <v>350</v>
      </c>
      <c r="B7" s="532">
        <v>75</v>
      </c>
      <c r="C7" s="533">
        <v>11</v>
      </c>
      <c r="E7">
        <f t="shared" si="1"/>
        <v>150</v>
      </c>
      <c r="F7" s="501">
        <f t="shared" si="2"/>
        <v>29</v>
      </c>
      <c r="G7" s="7">
        <f t="shared" si="3"/>
        <v>1</v>
      </c>
      <c r="H7" s="57">
        <f t="shared" ref="H7:H15" si="4">F7+G7</f>
        <v>30</v>
      </c>
      <c r="I7">
        <f t="shared" ref="I7:I15" si="5">F7/H7</f>
        <v>0.96666666666666667</v>
      </c>
      <c r="J7">
        <f t="shared" ref="J7:J15" si="6">1/(1+EXP(-$Q$7-$Q$8*E7))</f>
        <v>0.96753377875371183</v>
      </c>
      <c r="K7" s="501">
        <f t="shared" ref="K7:K15" si="7">H7*J7</f>
        <v>29.026013362611355</v>
      </c>
      <c r="L7" s="57">
        <f t="shared" ref="L7:L15" si="8">H7-K7</f>
        <v>0.97398663738864499</v>
      </c>
      <c r="M7">
        <f t="shared" ref="M7:M15" si="9">H7*(I7*LN(J7)+(1-I7)*LN(1-J7))</f>
        <v>-4.3846983725761755</v>
      </c>
      <c r="N7">
        <f t="shared" ref="N7:N15" si="10">100*IF(J7&gt;=$AB$12,F7/H7,G7/H7)</f>
        <v>96.666666666666671</v>
      </c>
      <c r="O7">
        <f t="shared" ref="O7:O15" si="11">(F7-K7)^2/K7+(G7-L7)^2/L7</f>
        <v>7.1808169302898942E-4</v>
      </c>
      <c r="Q7" s="802">
        <f t="array" ref="Q7:Q8">[1]!LogitCoeff(E6:G15,,,,,20)</f>
        <v>4.4767060084643973</v>
      </c>
      <c r="V7" s="759">
        <v>-1.7584782852671316E-4</v>
      </c>
      <c r="W7" s="761">
        <v>2.9889070461715796E-7</v>
      </c>
      <c r="Y7" s="757">
        <v>1.3552482848285081E-18</v>
      </c>
      <c r="AA7" t="s">
        <v>1708</v>
      </c>
      <c r="AB7" s="759">
        <f>AB8-AB6</f>
        <v>97</v>
      </c>
      <c r="AC7" s="761">
        <f>AC8-AC6</f>
        <v>223</v>
      </c>
      <c r="AD7">
        <f>AB7+AC7</f>
        <v>320</v>
      </c>
      <c r="AF7">
        <f t="array" ref="AF7:AH16">[1]!SelectCols(F6:J15,"5,2,1",1)</f>
        <v>8.4947512925737934E-2</v>
      </c>
      <c r="AG7">
        <v>28</v>
      </c>
      <c r="AH7">
        <v>3</v>
      </c>
      <c r="AI7">
        <f>AI6+AG7</f>
        <v>28</v>
      </c>
      <c r="AJ7">
        <f>AJ6+AH7</f>
        <v>3</v>
      </c>
      <c r="AK7">
        <f t="shared" ref="AK7:AK16" si="12">1-AI7/AI$16</f>
        <v>0.9072847682119205</v>
      </c>
      <c r="AL7">
        <f t="shared" ref="AL7:AL16" si="13">1-AJ7/AJ$16</f>
        <v>0.99344978165938869</v>
      </c>
      <c r="AM7">
        <f t="shared" ref="AM7:AM16" si="14">(AK7-AK8)*AL7</f>
        <v>0.13487232135110896</v>
      </c>
    </row>
    <row r="8" spans="1:39" x14ac:dyDescent="0.25">
      <c r="A8" s="27">
        <f t="shared" si="0"/>
        <v>450</v>
      </c>
      <c r="B8" s="532">
        <v>85</v>
      </c>
      <c r="C8" s="533">
        <v>23</v>
      </c>
      <c r="E8">
        <f t="shared" si="1"/>
        <v>250</v>
      </c>
      <c r="F8" s="501">
        <f t="shared" si="2"/>
        <v>87</v>
      </c>
      <c r="G8" s="7">
        <f t="shared" si="3"/>
        <v>6</v>
      </c>
      <c r="H8" s="57">
        <f t="shared" si="4"/>
        <v>93</v>
      </c>
      <c r="I8">
        <f t="shared" si="5"/>
        <v>0.93548387096774188</v>
      </c>
      <c r="J8">
        <f t="shared" si="6"/>
        <v>0.93542133052495802</v>
      </c>
      <c r="K8" s="501">
        <f t="shared" si="7"/>
        <v>86.994183738821093</v>
      </c>
      <c r="L8" s="57">
        <f t="shared" si="8"/>
        <v>6.0058162611789072</v>
      </c>
      <c r="M8">
        <f t="shared" si="9"/>
        <v>-22.247192736617301</v>
      </c>
      <c r="N8">
        <f t="shared" si="10"/>
        <v>93.548387096774192</v>
      </c>
      <c r="O8">
        <f t="shared" si="11"/>
        <v>6.0215526788318843E-6</v>
      </c>
      <c r="Q8" s="757">
        <v>-7.2143724886810255E-3</v>
      </c>
      <c r="S8" t="s">
        <v>1328</v>
      </c>
      <c r="T8" s="802">
        <f>2*(T6-T5)</f>
        <v>280.24215964351379</v>
      </c>
      <c r="AB8">
        <f>F16</f>
        <v>458</v>
      </c>
      <c r="AC8">
        <f>G16</f>
        <v>302</v>
      </c>
      <c r="AD8">
        <f>AB8+AC8</f>
        <v>760</v>
      </c>
      <c r="AF8">
        <v>0.16036556546168612</v>
      </c>
      <c r="AG8">
        <v>41</v>
      </c>
      <c r="AH8">
        <v>10</v>
      </c>
      <c r="AI8">
        <f t="shared" ref="AI8:AI16" si="15">AI7+AG8</f>
        <v>69</v>
      </c>
      <c r="AJ8">
        <f t="shared" ref="AJ8:AJ16" si="16">AJ7+AH8</f>
        <v>13</v>
      </c>
      <c r="AK8">
        <f t="shared" si="12"/>
        <v>0.77152317880794707</v>
      </c>
      <c r="AL8">
        <f t="shared" si="13"/>
        <v>0.97161572052401746</v>
      </c>
      <c r="AM8">
        <f t="shared" si="14"/>
        <v>0.26059891841869348</v>
      </c>
    </row>
    <row r="9" spans="1:39" x14ac:dyDescent="0.25">
      <c r="A9" s="27">
        <f t="shared" si="0"/>
        <v>550</v>
      </c>
      <c r="B9" s="532">
        <v>64</v>
      </c>
      <c r="C9" s="533">
        <v>38</v>
      </c>
      <c r="E9">
        <f t="shared" si="1"/>
        <v>350</v>
      </c>
      <c r="F9" s="501">
        <f t="shared" si="2"/>
        <v>75</v>
      </c>
      <c r="G9" s="7">
        <f t="shared" si="3"/>
        <v>11</v>
      </c>
      <c r="H9" s="57">
        <f t="shared" si="4"/>
        <v>86</v>
      </c>
      <c r="I9">
        <f t="shared" si="5"/>
        <v>0.87209302325581395</v>
      </c>
      <c r="J9">
        <f t="shared" si="6"/>
        <v>0.87562923809816318</v>
      </c>
      <c r="K9" s="501">
        <f t="shared" si="7"/>
        <v>75.304114476442038</v>
      </c>
      <c r="L9" s="57">
        <f t="shared" si="8"/>
        <v>10.695885523557962</v>
      </c>
      <c r="M9">
        <f t="shared" si="9"/>
        <v>-32.890308888122448</v>
      </c>
      <c r="N9">
        <f t="shared" si="10"/>
        <v>87.20930232558139</v>
      </c>
      <c r="O9">
        <f t="shared" si="11"/>
        <v>9.8750018819134117E-3</v>
      </c>
      <c r="S9" t="s">
        <v>60</v>
      </c>
      <c r="T9" s="680">
        <f>COUNT(E6)</f>
        <v>1</v>
      </c>
      <c r="AF9">
        <v>0.28209904968348942</v>
      </c>
      <c r="AG9">
        <v>81</v>
      </c>
      <c r="AH9">
        <v>31</v>
      </c>
      <c r="AI9">
        <f t="shared" si="15"/>
        <v>150</v>
      </c>
      <c r="AJ9">
        <f t="shared" si="16"/>
        <v>44</v>
      </c>
      <c r="AK9">
        <f t="shared" si="12"/>
        <v>0.50331125827814571</v>
      </c>
      <c r="AL9">
        <f t="shared" si="13"/>
        <v>0.90393013100436681</v>
      </c>
      <c r="AM9">
        <f t="shared" si="14"/>
        <v>0.21849966742820789</v>
      </c>
    </row>
    <row r="10" spans="1:39" x14ac:dyDescent="0.25">
      <c r="A10" s="27">
        <f t="shared" si="0"/>
        <v>650</v>
      </c>
      <c r="B10" s="532">
        <v>53</v>
      </c>
      <c r="C10" s="533">
        <v>73</v>
      </c>
      <c r="E10">
        <f t="shared" si="1"/>
        <v>450</v>
      </c>
      <c r="F10" s="501">
        <f t="shared" si="2"/>
        <v>85</v>
      </c>
      <c r="G10" s="7">
        <f t="shared" si="3"/>
        <v>23</v>
      </c>
      <c r="H10" s="57">
        <f t="shared" si="4"/>
        <v>108</v>
      </c>
      <c r="I10">
        <f t="shared" si="5"/>
        <v>0.78703703703703709</v>
      </c>
      <c r="J10">
        <f t="shared" si="6"/>
        <v>0.77386029511908094</v>
      </c>
      <c r="K10" s="501">
        <f t="shared" si="7"/>
        <v>83.576911872860748</v>
      </c>
      <c r="L10" s="57">
        <f t="shared" si="8"/>
        <v>24.423088127139252</v>
      </c>
      <c r="M10">
        <f t="shared" si="9"/>
        <v>-55.982786183018931</v>
      </c>
      <c r="N10">
        <f t="shared" si="10"/>
        <v>78.703703703703709</v>
      </c>
      <c r="O10">
        <f t="shared" si="11"/>
        <v>0.10715204142215937</v>
      </c>
      <c r="S10" t="s">
        <v>67</v>
      </c>
      <c r="T10" s="680">
        <f>CHIDIST(T8,T9)</f>
        <v>6.6500580587432102E-63</v>
      </c>
      <c r="AA10" t="s">
        <v>1735</v>
      </c>
      <c r="AB10" s="803">
        <f>AB6/AB8</f>
        <v>0.78820960698689957</v>
      </c>
      <c r="AC10" s="804">
        <f>AC7/AC8</f>
        <v>0.73841059602649006</v>
      </c>
      <c r="AD10">
        <f>(AB6+AC7)/AD8</f>
        <v>0.76842105263157889</v>
      </c>
      <c r="AF10">
        <v>0.44704036607856912</v>
      </c>
      <c r="AG10">
        <v>73</v>
      </c>
      <c r="AH10">
        <v>53</v>
      </c>
      <c r="AI10">
        <f t="shared" si="15"/>
        <v>223</v>
      </c>
      <c r="AJ10">
        <f t="shared" si="16"/>
        <v>97</v>
      </c>
      <c r="AK10">
        <f t="shared" si="12"/>
        <v>0.26158940397350994</v>
      </c>
      <c r="AL10">
        <f t="shared" si="13"/>
        <v>0.78820960698689957</v>
      </c>
      <c r="AM10">
        <f t="shared" si="14"/>
        <v>9.917869226987476E-2</v>
      </c>
    </row>
    <row r="11" spans="1:39" x14ac:dyDescent="0.25">
      <c r="A11" s="27">
        <f t="shared" si="0"/>
        <v>750</v>
      </c>
      <c r="B11" s="532">
        <v>31</v>
      </c>
      <c r="C11" s="533">
        <v>81</v>
      </c>
      <c r="E11">
        <f t="shared" si="1"/>
        <v>550</v>
      </c>
      <c r="F11" s="501">
        <f t="shared" si="2"/>
        <v>64</v>
      </c>
      <c r="G11" s="7">
        <f t="shared" si="3"/>
        <v>38</v>
      </c>
      <c r="H11" s="57">
        <f t="shared" si="4"/>
        <v>102</v>
      </c>
      <c r="I11">
        <f t="shared" si="5"/>
        <v>0.62745098039215685</v>
      </c>
      <c r="J11">
        <f t="shared" si="6"/>
        <v>0.62452539160210752</v>
      </c>
      <c r="K11" s="501">
        <f t="shared" si="7"/>
        <v>63.701589943414966</v>
      </c>
      <c r="L11" s="57">
        <f t="shared" si="8"/>
        <v>38.298410056585034</v>
      </c>
      <c r="M11">
        <f t="shared" si="9"/>
        <v>-67.352299005760358</v>
      </c>
      <c r="N11">
        <f t="shared" si="10"/>
        <v>62.745098039215684</v>
      </c>
      <c r="O11">
        <f t="shared" si="11"/>
        <v>3.7230259633471196E-3</v>
      </c>
      <c r="S11" t="s">
        <v>106</v>
      </c>
      <c r="T11" s="680">
        <v>0.05</v>
      </c>
      <c r="AF11">
        <v>0.62452539160210752</v>
      </c>
      <c r="AG11">
        <v>38</v>
      </c>
      <c r="AH11">
        <v>64</v>
      </c>
      <c r="AI11">
        <f t="shared" si="15"/>
        <v>261</v>
      </c>
      <c r="AJ11">
        <f t="shared" si="16"/>
        <v>161</v>
      </c>
      <c r="AK11">
        <f t="shared" si="12"/>
        <v>0.13576158940397354</v>
      </c>
      <c r="AL11">
        <f t="shared" si="13"/>
        <v>0.64847161572052403</v>
      </c>
      <c r="AM11">
        <f t="shared" si="14"/>
        <v>4.9386911131033322E-2</v>
      </c>
    </row>
    <row r="12" spans="1:39" x14ac:dyDescent="0.25">
      <c r="A12" s="27">
        <f t="shared" si="0"/>
        <v>850</v>
      </c>
      <c r="B12" s="532">
        <v>10</v>
      </c>
      <c r="C12" s="533">
        <v>41</v>
      </c>
      <c r="E12">
        <f t="shared" si="1"/>
        <v>650</v>
      </c>
      <c r="F12" s="501">
        <f t="shared" si="2"/>
        <v>53</v>
      </c>
      <c r="G12" s="7">
        <f t="shared" si="3"/>
        <v>73</v>
      </c>
      <c r="H12" s="57">
        <f t="shared" si="4"/>
        <v>126</v>
      </c>
      <c r="I12">
        <f t="shared" si="5"/>
        <v>0.42063492063492064</v>
      </c>
      <c r="J12">
        <f t="shared" si="6"/>
        <v>0.44704036607856912</v>
      </c>
      <c r="K12" s="501">
        <f t="shared" si="7"/>
        <v>56.327086125899712</v>
      </c>
      <c r="L12" s="57">
        <f t="shared" si="8"/>
        <v>69.672913874100288</v>
      </c>
      <c r="M12">
        <f t="shared" si="9"/>
        <v>-85.920968416435599</v>
      </c>
      <c r="N12">
        <f t="shared" si="10"/>
        <v>57.936507936507944</v>
      </c>
      <c r="O12">
        <f t="shared" si="11"/>
        <v>0.35539995823464854</v>
      </c>
      <c r="S12" t="s">
        <v>527</v>
      </c>
      <c r="T12" s="758" t="str">
        <f>IF(T10&lt;T11,"yes","no")</f>
        <v>yes</v>
      </c>
      <c r="AA12" t="s">
        <v>1712</v>
      </c>
      <c r="AB12" s="805">
        <v>0.5</v>
      </c>
      <c r="AF12">
        <v>0.77386029511908094</v>
      </c>
      <c r="AG12">
        <v>23</v>
      </c>
      <c r="AH12">
        <v>85</v>
      </c>
      <c r="AI12">
        <f t="shared" si="15"/>
        <v>284</v>
      </c>
      <c r="AJ12">
        <f t="shared" si="16"/>
        <v>246</v>
      </c>
      <c r="AK12">
        <f t="shared" si="12"/>
        <v>5.9602649006622488E-2</v>
      </c>
      <c r="AL12">
        <f t="shared" si="13"/>
        <v>0.46288209606986896</v>
      </c>
      <c r="AM12">
        <f t="shared" si="14"/>
        <v>1.6859943896584614E-2</v>
      </c>
    </row>
    <row r="13" spans="1:39" x14ac:dyDescent="0.25">
      <c r="A13" s="27">
        <f t="shared" si="0"/>
        <v>950</v>
      </c>
      <c r="B13" s="409">
        <v>3</v>
      </c>
      <c r="C13" s="417">
        <v>28</v>
      </c>
      <c r="E13">
        <f t="shared" si="1"/>
        <v>750</v>
      </c>
      <c r="F13" s="501">
        <f t="shared" si="2"/>
        <v>31</v>
      </c>
      <c r="G13" s="7">
        <f t="shared" si="3"/>
        <v>81</v>
      </c>
      <c r="H13" s="57">
        <f t="shared" si="4"/>
        <v>112</v>
      </c>
      <c r="I13">
        <f t="shared" si="5"/>
        <v>0.2767857142857143</v>
      </c>
      <c r="J13">
        <f t="shared" si="6"/>
        <v>0.28209904968348942</v>
      </c>
      <c r="K13" s="501">
        <f t="shared" si="7"/>
        <v>31.595093564550815</v>
      </c>
      <c r="L13" s="57">
        <f t="shared" si="8"/>
        <v>80.404906435449192</v>
      </c>
      <c r="M13">
        <f t="shared" si="9"/>
        <v>-66.075725324865914</v>
      </c>
      <c r="N13">
        <f t="shared" si="10"/>
        <v>72.321428571428569</v>
      </c>
      <c r="O13">
        <f t="shared" si="11"/>
        <v>1.5612999056641545E-2</v>
      </c>
      <c r="AF13">
        <v>0.87562923809816318</v>
      </c>
      <c r="AG13">
        <v>11</v>
      </c>
      <c r="AH13">
        <v>75</v>
      </c>
      <c r="AI13">
        <f t="shared" si="15"/>
        <v>295</v>
      </c>
      <c r="AJ13">
        <f t="shared" si="16"/>
        <v>321</v>
      </c>
      <c r="AK13">
        <f t="shared" si="12"/>
        <v>2.3178807947019875E-2</v>
      </c>
      <c r="AL13">
        <f t="shared" si="13"/>
        <v>0.29912663755458513</v>
      </c>
      <c r="AM13">
        <f t="shared" si="14"/>
        <v>5.9429133288990393E-3</v>
      </c>
    </row>
    <row r="14" spans="1:39" x14ac:dyDescent="0.25">
      <c r="B14">
        <f>SUM(B4:B13)</f>
        <v>458</v>
      </c>
      <c r="C14">
        <f>SUM(C4:C13)</f>
        <v>302</v>
      </c>
      <c r="E14">
        <f t="shared" si="1"/>
        <v>850</v>
      </c>
      <c r="F14" s="501">
        <f t="shared" si="2"/>
        <v>10</v>
      </c>
      <c r="G14" s="7">
        <f t="shared" si="3"/>
        <v>41</v>
      </c>
      <c r="H14" s="57">
        <f t="shared" si="4"/>
        <v>51</v>
      </c>
      <c r="I14">
        <f t="shared" si="5"/>
        <v>0.19607843137254902</v>
      </c>
      <c r="J14">
        <f t="shared" si="6"/>
        <v>0.16036556546168612</v>
      </c>
      <c r="K14" s="501">
        <f t="shared" si="7"/>
        <v>8.1786438385459928</v>
      </c>
      <c r="L14" s="57">
        <f t="shared" si="8"/>
        <v>42.821356161454005</v>
      </c>
      <c r="M14">
        <f t="shared" si="9"/>
        <v>-25.469328690426629</v>
      </c>
      <c r="N14">
        <f t="shared" si="10"/>
        <v>80.392156862745097</v>
      </c>
      <c r="O14">
        <f t="shared" si="11"/>
        <v>0.48307906958328156</v>
      </c>
      <c r="S14" t="s">
        <v>1325</v>
      </c>
      <c r="T14" s="802">
        <f>1-T6/T5</f>
        <v>0.27438837789818804</v>
      </c>
      <c r="AF14">
        <v>0.93542133052495802</v>
      </c>
      <c r="AG14">
        <v>6</v>
      </c>
      <c r="AH14">
        <v>87</v>
      </c>
      <c r="AI14">
        <f t="shared" si="15"/>
        <v>301</v>
      </c>
      <c r="AJ14">
        <f t="shared" si="16"/>
        <v>408</v>
      </c>
      <c r="AK14">
        <f t="shared" si="12"/>
        <v>3.3112582781457123E-3</v>
      </c>
      <c r="AL14">
        <f t="shared" si="13"/>
        <v>0.10917030567685593</v>
      </c>
      <c r="AM14">
        <f t="shared" si="14"/>
        <v>3.6149107840018703E-4</v>
      </c>
    </row>
    <row r="15" spans="1:39" x14ac:dyDescent="0.25">
      <c r="E15">
        <f t="shared" si="1"/>
        <v>950</v>
      </c>
      <c r="F15" s="759">
        <f t="shared" si="2"/>
        <v>3</v>
      </c>
      <c r="G15" s="760">
        <f t="shared" si="3"/>
        <v>28</v>
      </c>
      <c r="H15" s="57">
        <f t="shared" si="4"/>
        <v>31</v>
      </c>
      <c r="I15">
        <f t="shared" si="5"/>
        <v>9.6774193548387094E-2</v>
      </c>
      <c r="J15">
        <f t="shared" si="6"/>
        <v>8.4947512925737934E-2</v>
      </c>
      <c r="K15" s="501">
        <f t="shared" si="7"/>
        <v>2.6333729006978759</v>
      </c>
      <c r="L15" s="57">
        <f t="shared" si="8"/>
        <v>28.366627099302125</v>
      </c>
      <c r="M15">
        <f t="shared" si="9"/>
        <v>-9.8828329926502807</v>
      </c>
      <c r="N15">
        <f t="shared" si="10"/>
        <v>90.322580645161281</v>
      </c>
      <c r="O15">
        <f t="shared" si="11"/>
        <v>5.578157310613862E-2</v>
      </c>
      <c r="S15" t="s">
        <v>1326</v>
      </c>
      <c r="T15" s="680">
        <f>1-EXP((-2/H16)*(T6-T5))</f>
        <v>0.30839457684468696</v>
      </c>
      <c r="AF15">
        <v>0.96753377875371183</v>
      </c>
      <c r="AG15">
        <v>1</v>
      </c>
      <c r="AH15">
        <v>29</v>
      </c>
      <c r="AI15">
        <f t="shared" si="15"/>
        <v>302</v>
      </c>
      <c r="AJ15">
        <f t="shared" si="16"/>
        <v>437</v>
      </c>
      <c r="AK15">
        <f t="shared" si="12"/>
        <v>0</v>
      </c>
      <c r="AL15">
        <f t="shared" si="13"/>
        <v>4.5851528384279527E-2</v>
      </c>
      <c r="AM15">
        <f t="shared" si="14"/>
        <v>0</v>
      </c>
    </row>
    <row r="16" spans="1:39" x14ac:dyDescent="0.25">
      <c r="E16" s="4"/>
      <c r="F16" s="4">
        <f>SUM(F6:F15)</f>
        <v>458</v>
      </c>
      <c r="G16" s="4">
        <f>SUM(G6:G15)</f>
        <v>302</v>
      </c>
      <c r="H16" s="801">
        <f>SUM(H6:H15)</f>
        <v>760</v>
      </c>
      <c r="I16" s="801"/>
      <c r="J16" s="801"/>
      <c r="K16" s="4">
        <f>SUM(K6:K15)</f>
        <v>458.00000000000006</v>
      </c>
      <c r="L16" s="4">
        <f>SUM(L6:L15)</f>
        <v>302</v>
      </c>
      <c r="M16" s="801">
        <f>SUM(M6:M15)</f>
        <v>-370.54588389982206</v>
      </c>
      <c r="N16" s="801">
        <f>SUMPRODUCT(N6:N15,H6:H15)/H16</f>
        <v>76.84210526315789</v>
      </c>
      <c r="O16" s="801">
        <f>SUM(O6:O15)</f>
        <v>1.373854168731792</v>
      </c>
      <c r="S16" t="s">
        <v>1327</v>
      </c>
      <c r="T16" s="757">
        <f>T15/(1-EXP(2*T5/H16))</f>
        <v>0.41722121521460037</v>
      </c>
      <c r="AF16" s="762">
        <v>0.9839519131502602</v>
      </c>
      <c r="AG16" s="762">
        <v>0</v>
      </c>
      <c r="AH16" s="762">
        <v>21</v>
      </c>
      <c r="AI16" s="762">
        <f t="shared" si="15"/>
        <v>302</v>
      </c>
      <c r="AJ16" s="762">
        <f t="shared" si="16"/>
        <v>458</v>
      </c>
      <c r="AK16" s="762">
        <f t="shared" si="12"/>
        <v>0</v>
      </c>
      <c r="AL16" s="762">
        <f t="shared" si="13"/>
        <v>0</v>
      </c>
      <c r="AM16" s="762">
        <f t="shared" si="14"/>
        <v>0</v>
      </c>
    </row>
    <row r="17" spans="1:39" ht="15.75" thickBot="1" x14ac:dyDescent="0.3">
      <c r="AM17">
        <f>SUM(AM6:AM16)</f>
        <v>0.87841609069088189</v>
      </c>
    </row>
    <row r="18" spans="1:39" ht="15.75" thickTop="1" x14ac:dyDescent="0.25">
      <c r="E18" s="754"/>
      <c r="F18" s="754" t="s">
        <v>1529</v>
      </c>
      <c r="G18" s="754" t="s">
        <v>425</v>
      </c>
      <c r="H18" s="754" t="s">
        <v>1530</v>
      </c>
      <c r="I18" s="754" t="s">
        <v>67</v>
      </c>
      <c r="J18" s="754" t="s">
        <v>1531</v>
      </c>
      <c r="K18" s="754" t="s">
        <v>29</v>
      </c>
      <c r="L18" s="754" t="s">
        <v>30</v>
      </c>
      <c r="S18" t="s">
        <v>1653</v>
      </c>
      <c r="T18" s="802">
        <f>O16</f>
        <v>1.373854168731792</v>
      </c>
    </row>
    <row r="19" spans="1:39" x14ac:dyDescent="0.25">
      <c r="E19" t="s">
        <v>296</v>
      </c>
      <c r="F19">
        <f t="array" ref="F19:F20">Q7:Q8</f>
        <v>4.4767060084643973</v>
      </c>
      <c r="G19">
        <f t="array" ref="G19:G20">SQRT([1]!DIAG(V6:W7))</f>
        <v>0.33412865860526392</v>
      </c>
      <c r="H19">
        <f>(F19/G19)^2</f>
        <v>179.51043314022021</v>
      </c>
      <c r="I19">
        <f>CHIDIST(H19,1)</f>
        <v>6.1988825940398121E-41</v>
      </c>
      <c r="J19">
        <f>EXP(F19)</f>
        <v>87.944506575417904</v>
      </c>
      <c r="S19" t="s">
        <v>60</v>
      </c>
      <c r="T19" s="680">
        <f>COUNT(H6:H15)-2</f>
        <v>8</v>
      </c>
      <c r="AB19" s="814" t="s">
        <v>1710</v>
      </c>
      <c r="AC19" s="814" t="s">
        <v>1711</v>
      </c>
    </row>
    <row r="20" spans="1:39" x14ac:dyDescent="0.25">
      <c r="E20" s="762" t="str">
        <f t="array" ref="E20">TRANSPOSE(E5)</f>
        <v>Rems</v>
      </c>
      <c r="F20" s="762">
        <v>-7.2143724886810255E-3</v>
      </c>
      <c r="G20" s="762">
        <v>5.4670897616296548E-4</v>
      </c>
      <c r="H20" s="762">
        <f>(F20/G20)^2</f>
        <v>174.13445651347251</v>
      </c>
      <c r="I20" s="762">
        <f>CHIDIST(H20,1)</f>
        <v>9.251704024961487E-40</v>
      </c>
      <c r="J20" s="762">
        <f>EXP(F20)</f>
        <v>0.99281158862795116</v>
      </c>
      <c r="K20" s="762">
        <f>EXP(F20-G20*NORMSINV(1-$T$11/2))</f>
        <v>0.99174833108025195</v>
      </c>
      <c r="L20" s="762">
        <f>EXP(F20+G20*NORMSINV(1-$T$11/2))</f>
        <v>0.99387598609852934</v>
      </c>
      <c r="S20" t="s">
        <v>67</v>
      </c>
      <c r="T20" s="680">
        <f>CHIDIST(T18,T19)</f>
        <v>0.99460973722214274</v>
      </c>
      <c r="AA20" t="s">
        <v>1707</v>
      </c>
      <c r="AB20" s="815" t="s">
        <v>1726</v>
      </c>
      <c r="AC20" s="816" t="s">
        <v>1727</v>
      </c>
      <c r="AD20" s="814" t="s">
        <v>1730</v>
      </c>
    </row>
    <row r="21" spans="1:39" x14ac:dyDescent="0.25">
      <c r="S21" t="s">
        <v>106</v>
      </c>
      <c r="T21" s="680">
        <f>T11</f>
        <v>0.05</v>
      </c>
      <c r="AA21" t="s">
        <v>1708</v>
      </c>
      <c r="AB21" s="817" t="s">
        <v>1728</v>
      </c>
      <c r="AC21" s="818" t="s">
        <v>1729</v>
      </c>
      <c r="AD21" s="814" t="s">
        <v>1731</v>
      </c>
    </row>
    <row r="22" spans="1:39" x14ac:dyDescent="0.25">
      <c r="S22" t="s">
        <v>527</v>
      </c>
      <c r="T22" s="758" t="str">
        <f>IF(T20&lt;T21,"yes","no")</f>
        <v>no</v>
      </c>
      <c r="AB22" s="814" t="s">
        <v>1732</v>
      </c>
      <c r="AC22" s="814" t="s">
        <v>1733</v>
      </c>
      <c r="AD22" s="814" t="s">
        <v>1734</v>
      </c>
    </row>
    <row r="24" spans="1:39" x14ac:dyDescent="0.25">
      <c r="A24" t="s">
        <v>2327</v>
      </c>
    </row>
    <row r="25" spans="1:39" x14ac:dyDescent="0.25">
      <c r="E25" t="str">
        <f t="array" ref="E25:L27">[1]!LogitCoeff(A4:C13,TRUE)</f>
        <v/>
      </c>
      <c r="F25" t="str">
        <v>coeff</v>
      </c>
      <c r="G25" t="str">
        <v>s.e.</v>
      </c>
      <c r="H25" t="str">
        <v>Wald</v>
      </c>
      <c r="I25" t="str">
        <v>p-value</v>
      </c>
      <c r="J25" t="str">
        <v>exp(b)</v>
      </c>
      <c r="K25" t="str">
        <v>lower</v>
      </c>
      <c r="L25" t="str">
        <v>upper</v>
      </c>
      <c r="N25" t="str">
        <f t="array" ref="N25:O31">[1]!LogitRSquare(A4:C13,1)</f>
        <v>LL</v>
      </c>
      <c r="O25" s="831">
        <v>-370.54588389982206</v>
      </c>
      <c r="S25" t="str">
        <f t="array" ref="S25:T29">[1]!LogitTest(A4:C13,1)</f>
        <v>LL</v>
      </c>
      <c r="T25" s="831">
        <v>-370.54588389982206</v>
      </c>
    </row>
    <row r="26" spans="1:39" x14ac:dyDescent="0.25">
      <c r="E26" t="str">
        <v>intercept</v>
      </c>
      <c r="F26" s="751">
        <v>4.4767060084643973</v>
      </c>
      <c r="G26" s="752">
        <v>0.33412865860526514</v>
      </c>
      <c r="H26" s="752">
        <v>179.51043314021891</v>
      </c>
      <c r="I26" s="752">
        <v>6.198882594043977E-41</v>
      </c>
      <c r="J26" s="752">
        <v>87.944506575417904</v>
      </c>
      <c r="K26" s="752" t="str">
        <v/>
      </c>
      <c r="L26" s="755" t="str">
        <v/>
      </c>
      <c r="N26" t="str">
        <v>LL0</v>
      </c>
      <c r="O26" s="503">
        <v>-510.66696372157901</v>
      </c>
      <c r="S26" t="str">
        <v>LL0</v>
      </c>
      <c r="T26" s="503">
        <v>-510.66696372157901</v>
      </c>
    </row>
    <row r="27" spans="1:39" x14ac:dyDescent="0.25">
      <c r="E27" t="str">
        <v>var 1</v>
      </c>
      <c r="F27" s="409">
        <v>-7.2143724886810255E-3</v>
      </c>
      <c r="G27" s="762">
        <v>5.4670897616296754E-4</v>
      </c>
      <c r="H27" s="762">
        <v>174.13445651347124</v>
      </c>
      <c r="I27" s="762">
        <v>9.251704024967306E-40</v>
      </c>
      <c r="J27" s="762">
        <v>0.99281158862795116</v>
      </c>
      <c r="K27" s="762">
        <v>0.99174833108025195</v>
      </c>
      <c r="L27" s="417">
        <v>0.99387598609852934</v>
      </c>
      <c r="N27" t="str">
        <v>R-sq (L)</v>
      </c>
      <c r="O27" s="503">
        <v>0.27438837789818815</v>
      </c>
      <c r="S27" t="str">
        <v>Chi-square</v>
      </c>
      <c r="T27" s="503">
        <v>280.2421596435139</v>
      </c>
    </row>
    <row r="28" spans="1:39" x14ac:dyDescent="0.25">
      <c r="N28" t="str">
        <v>R-sq (CS)</v>
      </c>
      <c r="O28" s="503">
        <v>0.30839457684468707</v>
      </c>
      <c r="S28" t="str">
        <v>df</v>
      </c>
      <c r="T28" s="503">
        <v>1</v>
      </c>
    </row>
    <row r="29" spans="1:39" x14ac:dyDescent="0.25">
      <c r="E29" t="s">
        <v>229</v>
      </c>
      <c r="N29" t="str">
        <v>R-sq (N)</v>
      </c>
      <c r="O29" s="503">
        <v>0.41722121521460054</v>
      </c>
      <c r="S29" t="str">
        <v>p-value</v>
      </c>
      <c r="T29" s="420">
        <v>6.6500580587426445E-63</v>
      </c>
    </row>
    <row r="30" spans="1:39" x14ac:dyDescent="0.25">
      <c r="N30" t="str">
        <v>AIC</v>
      </c>
      <c r="O30" s="503">
        <v>745.09176779964412</v>
      </c>
    </row>
    <row r="31" spans="1:39" x14ac:dyDescent="0.25">
      <c r="E31" s="13" t="s">
        <v>1739</v>
      </c>
      <c r="F31" s="828" t="s">
        <v>1740</v>
      </c>
      <c r="N31" t="str">
        <v>BIC</v>
      </c>
      <c r="O31" s="420">
        <v>754.35840466620482</v>
      </c>
    </row>
    <row r="32" spans="1:39" x14ac:dyDescent="0.25">
      <c r="E32">
        <v>250</v>
      </c>
      <c r="F32" s="831">
        <f>[1]!LogitPred(E32:E32,$A$4:$C$13)</f>
        <v>0.93542133052495791</v>
      </c>
    </row>
    <row r="33" spans="5:6" x14ac:dyDescent="0.25">
      <c r="E33">
        <v>300</v>
      </c>
      <c r="F33" s="420">
        <f>[1]!LogitPred(E33:E33,$A$4:$C$13)</f>
        <v>0.90989833764653261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AZ67"/>
  <sheetViews>
    <sheetView zoomScaleNormal="100" workbookViewId="0"/>
  </sheetViews>
  <sheetFormatPr defaultRowHeight="15" x14ac:dyDescent="0.25"/>
  <cols>
    <col min="1" max="3" width="7" customWidth="1"/>
    <col min="4" max="4" width="3" customWidth="1"/>
    <col min="7" max="8" width="9.140625" customWidth="1"/>
    <col min="9" max="9" width="8.7109375" customWidth="1"/>
    <col min="14" max="14" width="8.7109375" customWidth="1"/>
    <col min="15" max="15" width="9.140625" customWidth="1"/>
    <col min="17" max="17" width="8" customWidth="1"/>
    <col min="18" max="18" width="8.85546875" customWidth="1"/>
    <col min="19" max="19" width="3.140625" customWidth="1"/>
    <col min="20" max="20" width="9.140625" customWidth="1"/>
    <col min="22" max="22" width="3.140625" customWidth="1"/>
    <col min="24" max="24" width="9.140625" customWidth="1"/>
    <col min="26" max="26" width="3.85546875" customWidth="1"/>
  </cols>
  <sheetData>
    <row r="1" spans="1:52" x14ac:dyDescent="0.25">
      <c r="A1" s="1" t="s">
        <v>1547</v>
      </c>
    </row>
    <row r="3" spans="1:52" x14ac:dyDescent="0.25">
      <c r="A3" s="649" t="s">
        <v>1320</v>
      </c>
      <c r="B3" s="649" t="s">
        <v>1321</v>
      </c>
      <c r="C3" s="13" t="s">
        <v>130</v>
      </c>
      <c r="E3" t="s">
        <v>1243</v>
      </c>
      <c r="AC3" t="s">
        <v>1709</v>
      </c>
      <c r="AH3" t="s">
        <v>1713</v>
      </c>
      <c r="AR3" t="s">
        <v>1720</v>
      </c>
    </row>
    <row r="4" spans="1:52" ht="15.75" thickBot="1" x14ac:dyDescent="0.3">
      <c r="A4" s="673">
        <v>20</v>
      </c>
      <c r="B4" s="698">
        <v>0</v>
      </c>
      <c r="C4" s="664">
        <v>1</v>
      </c>
    </row>
    <row r="5" spans="1:52" ht="15.75" thickTop="1" x14ac:dyDescent="0.25">
      <c r="A5" s="675">
        <v>22</v>
      </c>
      <c r="B5" s="696">
        <v>1</v>
      </c>
      <c r="C5" s="503">
        <v>1</v>
      </c>
      <c r="E5" s="800" t="str">
        <f>A3</f>
        <v>Temp</v>
      </c>
      <c r="F5" s="800" t="str">
        <f>B3</f>
        <v>Water</v>
      </c>
      <c r="G5" s="800" t="s">
        <v>1654</v>
      </c>
      <c r="H5" s="800" t="s">
        <v>1655</v>
      </c>
      <c r="I5" s="800" t="s">
        <v>1</v>
      </c>
      <c r="J5" s="800" t="s">
        <v>1322</v>
      </c>
      <c r="K5" s="800" t="s">
        <v>1323</v>
      </c>
      <c r="L5" s="800" t="s">
        <v>1707</v>
      </c>
      <c r="M5" s="800" t="s">
        <v>1708</v>
      </c>
      <c r="N5" s="800" t="s">
        <v>1253</v>
      </c>
      <c r="O5" s="800" t="s">
        <v>1527</v>
      </c>
      <c r="P5" s="800" t="s">
        <v>1648</v>
      </c>
      <c r="R5" t="s">
        <v>1324</v>
      </c>
      <c r="T5" t="s">
        <v>1252</v>
      </c>
      <c r="U5" s="802">
        <f>G12*LN(G12/I12)+H12*LN(H12/I12)</f>
        <v>-33.95400705736499</v>
      </c>
      <c r="W5" t="s">
        <v>1528</v>
      </c>
      <c r="AA5" t="s">
        <v>1719</v>
      </c>
      <c r="AD5" s="792" t="s">
        <v>1710</v>
      </c>
      <c r="AE5" s="792" t="s">
        <v>1711</v>
      </c>
      <c r="AH5" s="754" t="s">
        <v>1323</v>
      </c>
      <c r="AI5" s="754" t="s">
        <v>1655</v>
      </c>
      <c r="AJ5" s="754" t="s">
        <v>1654</v>
      </c>
      <c r="AK5" s="754" t="s">
        <v>1714</v>
      </c>
      <c r="AL5" s="754" t="s">
        <v>1715</v>
      </c>
      <c r="AM5" s="754" t="s">
        <v>1716</v>
      </c>
      <c r="AN5" s="754" t="s">
        <v>1717</v>
      </c>
      <c r="AO5" s="754" t="s">
        <v>1718</v>
      </c>
      <c r="AR5" s="13" t="s">
        <v>57</v>
      </c>
      <c r="AS5" s="649" t="s">
        <v>1320</v>
      </c>
      <c r="AT5" s="649" t="s">
        <v>1321</v>
      </c>
      <c r="AU5" s="13" t="s">
        <v>130</v>
      </c>
      <c r="AV5" s="13"/>
      <c r="AW5" s="13" t="s">
        <v>57</v>
      </c>
      <c r="AX5" s="649" t="s">
        <v>1320</v>
      </c>
      <c r="AY5" s="649" t="s">
        <v>1321</v>
      </c>
      <c r="AZ5" s="13" t="s">
        <v>130</v>
      </c>
    </row>
    <row r="6" spans="1:52" x14ac:dyDescent="0.25">
      <c r="A6" s="675">
        <v>22</v>
      </c>
      <c r="B6" s="696">
        <v>1</v>
      </c>
      <c r="C6" s="503">
        <v>0</v>
      </c>
      <c r="E6">
        <f t="array" ref="E6:H11">[1]!LogitSummary(A4:C52)</f>
        <v>20</v>
      </c>
      <c r="F6">
        <v>0</v>
      </c>
      <c r="G6" s="501">
        <v>7</v>
      </c>
      <c r="H6" s="7">
        <v>1</v>
      </c>
      <c r="I6" s="57">
        <f t="shared" ref="I6:I11" si="0">G6+H6</f>
        <v>8</v>
      </c>
      <c r="J6">
        <f t="shared" ref="J6:J11" si="1">G6/I6</f>
        <v>0.875</v>
      </c>
      <c r="K6">
        <f t="shared" ref="K6:K11" si="2">1/(1+EXP(-$R$7-MMULT(E6:F6,$R$8:$R$9)))</f>
        <v>0.80851951945918377</v>
      </c>
      <c r="L6" s="797">
        <f t="shared" ref="L6:L11" si="3">I6*K6</f>
        <v>6.4681561556734701</v>
      </c>
      <c r="M6" s="799">
        <f t="shared" ref="M6:M11" si="4">I6-L6</f>
        <v>1.5318438443265299</v>
      </c>
      <c r="N6">
        <f t="shared" ref="N6:N11" si="5">I6*(J6*LN(K6)+(1-J6)*LN(1-K6))</f>
        <v>-3.1408226069956022</v>
      </c>
      <c r="O6">
        <f t="shared" ref="O6:O11" si="6">100*IF(K6&gt;=$AD$12,G6/I6,H6/I6)</f>
        <v>87.5</v>
      </c>
      <c r="P6">
        <f t="shared" ref="P6:P11" si="7">(G6-L6)^2/L6+(H6-M6)^2/M6</f>
        <v>0.22838273474507748</v>
      </c>
      <c r="T6" t="s">
        <v>1315</v>
      </c>
      <c r="U6" s="757">
        <f>N12</f>
        <v>-29.835887798949997</v>
      </c>
      <c r="W6" s="797">
        <f t="array" ref="W6:Y8">MINVERSE(MMULT(TRANSPOSE([1]!DESIGN(E6:F11)),K6:K11*(1-K6:K11)*I6:I11*[1]!DESIGN(E6:F11)))</f>
        <v>20.369227281449071</v>
      </c>
      <c r="X6" s="798">
        <v>-0.90940834617075395</v>
      </c>
      <c r="Y6" s="799">
        <v>-0.61983381240657132</v>
      </c>
      <c r="AA6" s="802">
        <f t="array" ref="AA6:AA8">MMULT(W6:Y8,MMULT(TRANSPOSE([1]!DESIGN(E6:F11)),I6:I11*(J6:J11-K6:K11)))</f>
        <v>-1.5850505156016433E-14</v>
      </c>
      <c r="AC6" t="s">
        <v>1707</v>
      </c>
      <c r="AD6" s="797">
        <f>SUMIF(K6:K11,"&gt;="&amp;AD12,G6:G11)</f>
        <v>17</v>
      </c>
      <c r="AE6" s="799">
        <f>SUMIF(K6:K11,"&gt;="&amp;AD12,H6:H11)</f>
        <v>8</v>
      </c>
      <c r="AF6">
        <f>AD6+AE6</f>
        <v>25</v>
      </c>
      <c r="AK6">
        <v>0</v>
      </c>
      <c r="AL6">
        <v>0</v>
      </c>
      <c r="AM6">
        <f>1-AK6/AK$12</f>
        <v>1</v>
      </c>
      <c r="AN6">
        <f>1-AL6/AL$12</f>
        <v>1</v>
      </c>
      <c r="AO6">
        <f>(AM6-AM7)*AN6</f>
        <v>0.25</v>
      </c>
      <c r="AR6" s="664">
        <v>1</v>
      </c>
      <c r="AS6" s="673">
        <v>20</v>
      </c>
      <c r="AT6" s="698">
        <v>0</v>
      </c>
      <c r="AU6" s="664">
        <v>1</v>
      </c>
      <c r="AV6" s="7"/>
      <c r="AW6" s="663">
        <v>26</v>
      </c>
      <c r="AX6" s="673">
        <v>24</v>
      </c>
      <c r="AY6" s="698">
        <v>0</v>
      </c>
      <c r="AZ6" s="664">
        <v>0</v>
      </c>
    </row>
    <row r="7" spans="1:52" x14ac:dyDescent="0.25">
      <c r="A7" s="675">
        <v>24</v>
      </c>
      <c r="B7" s="697">
        <v>0</v>
      </c>
      <c r="C7" s="503">
        <v>0</v>
      </c>
      <c r="E7">
        <v>20</v>
      </c>
      <c r="F7">
        <v>1</v>
      </c>
      <c r="G7" s="501">
        <v>5</v>
      </c>
      <c r="H7" s="7">
        <v>4</v>
      </c>
      <c r="I7" s="57">
        <f t="shared" si="0"/>
        <v>9</v>
      </c>
      <c r="J7">
        <f t="shared" si="1"/>
        <v>0.55555555555555558</v>
      </c>
      <c r="K7">
        <f t="shared" si="2"/>
        <v>0.64088405822372052</v>
      </c>
      <c r="L7" s="501">
        <f t="shared" si="3"/>
        <v>5.7679565240134849</v>
      </c>
      <c r="M7" s="57">
        <f t="shared" si="4"/>
        <v>3.2320434759865151</v>
      </c>
      <c r="N7">
        <f t="shared" si="5"/>
        <v>-6.3209735142955177</v>
      </c>
      <c r="O7">
        <f t="shared" si="6"/>
        <v>55.555555555555557</v>
      </c>
      <c r="P7">
        <f t="shared" si="7"/>
        <v>0.28471910220021712</v>
      </c>
      <c r="R7" s="802">
        <f t="array" ref="R7:R9">[1]!LogitCoeff(E6:H11,,,,,20)</f>
        <v>11.208943785756052</v>
      </c>
      <c r="W7" s="501">
        <v>-0.90940834617075383</v>
      </c>
      <c r="X7" s="7">
        <v>4.1023444687496177E-2</v>
      </c>
      <c r="Y7" s="57">
        <v>1.8512464248927742E-2</v>
      </c>
      <c r="AA7" s="680">
        <v>7.4229004733245824E-16</v>
      </c>
      <c r="AC7" t="s">
        <v>1708</v>
      </c>
      <c r="AD7" s="759">
        <f>AD8-AD6</f>
        <v>8</v>
      </c>
      <c r="AE7" s="761">
        <f>AE8-AE6</f>
        <v>16</v>
      </c>
      <c r="AF7">
        <f>AD7+AE7</f>
        <v>24</v>
      </c>
      <c r="AH7">
        <f t="array" ref="AH7:AJ12">[1]!SelectCols(G6:K11,"5,2,1",1)</f>
        <v>0.20189350307547343</v>
      </c>
      <c r="AI7">
        <v>6</v>
      </c>
      <c r="AJ7">
        <v>2</v>
      </c>
      <c r="AK7">
        <f t="shared" ref="AK7:AL12" si="8">AK6+AI7</f>
        <v>6</v>
      </c>
      <c r="AL7">
        <f t="shared" si="8"/>
        <v>2</v>
      </c>
      <c r="AM7">
        <f t="shared" ref="AM7:AM12" si="9">1-AK7/AK$12</f>
        <v>0.75</v>
      </c>
      <c r="AN7">
        <f t="shared" ref="AN7:AN12" si="10">1-AL7/AL$12</f>
        <v>0.92</v>
      </c>
      <c r="AO7">
        <f t="shared" ref="AO7:AO12" si="11">(AM7-AM8)*AN7</f>
        <v>0.1916666666666666</v>
      </c>
      <c r="AR7" s="503">
        <f>AR6+1</f>
        <v>2</v>
      </c>
      <c r="AS7" s="675">
        <v>22</v>
      </c>
      <c r="AT7" s="696">
        <v>1</v>
      </c>
      <c r="AU7" s="503">
        <v>1</v>
      </c>
      <c r="AV7" s="7"/>
      <c r="AW7" s="532">
        <f>AW6+1</f>
        <v>27</v>
      </c>
      <c r="AX7" s="675">
        <v>22</v>
      </c>
      <c r="AY7" s="697">
        <v>0</v>
      </c>
      <c r="AZ7" s="503">
        <v>1</v>
      </c>
    </row>
    <row r="8" spans="1:52" x14ac:dyDescent="0.25">
      <c r="A8" s="675">
        <v>22</v>
      </c>
      <c r="B8" s="696">
        <v>0</v>
      </c>
      <c r="C8" s="503">
        <v>1</v>
      </c>
      <c r="E8">
        <v>22</v>
      </c>
      <c r="F8">
        <v>0</v>
      </c>
      <c r="G8" s="501">
        <v>5</v>
      </c>
      <c r="H8" s="7">
        <v>3</v>
      </c>
      <c r="I8" s="57">
        <f t="shared" si="0"/>
        <v>8</v>
      </c>
      <c r="J8">
        <f t="shared" si="1"/>
        <v>0.625</v>
      </c>
      <c r="K8">
        <f t="shared" si="2"/>
        <v>0.61385989865542112</v>
      </c>
      <c r="L8" s="501">
        <f t="shared" si="3"/>
        <v>4.910879189243369</v>
      </c>
      <c r="M8" s="57">
        <f t="shared" si="4"/>
        <v>3.089120810756631</v>
      </c>
      <c r="N8">
        <f t="shared" si="5"/>
        <v>-5.2946078303429491</v>
      </c>
      <c r="O8">
        <f t="shared" si="6"/>
        <v>62.5</v>
      </c>
      <c r="P8">
        <f t="shared" si="7"/>
        <v>4.1884573830485612E-3</v>
      </c>
      <c r="R8" s="680">
        <v>-0.48842624191792228</v>
      </c>
      <c r="T8" t="s">
        <v>1328</v>
      </c>
      <c r="U8" s="802">
        <f>2*(U6-U5)</f>
        <v>8.2362385168299852</v>
      </c>
      <c r="W8" s="759">
        <v>-0.61983381240657143</v>
      </c>
      <c r="X8" s="760">
        <v>1.8512464248927756E-2</v>
      </c>
      <c r="Y8" s="761">
        <v>0.39883895060847346</v>
      </c>
      <c r="AA8" s="757">
        <v>3.9364493715007523E-16</v>
      </c>
      <c r="AD8">
        <f>G12</f>
        <v>25</v>
      </c>
      <c r="AE8">
        <f>H12</f>
        <v>24</v>
      </c>
      <c r="AF8">
        <f>AD8+AE8</f>
        <v>49</v>
      </c>
      <c r="AH8">
        <v>0.37442352215473684</v>
      </c>
      <c r="AI8">
        <v>5</v>
      </c>
      <c r="AJ8">
        <v>2</v>
      </c>
      <c r="AK8">
        <f t="shared" si="8"/>
        <v>11</v>
      </c>
      <c r="AL8">
        <f t="shared" si="8"/>
        <v>4</v>
      </c>
      <c r="AM8">
        <f t="shared" si="9"/>
        <v>0.54166666666666674</v>
      </c>
      <c r="AN8">
        <f t="shared" si="10"/>
        <v>0.84</v>
      </c>
      <c r="AO8">
        <f t="shared" si="11"/>
        <v>0.17500000000000002</v>
      </c>
      <c r="AR8" s="503">
        <f t="shared" ref="AR8:AR30" si="12">AR7+1</f>
        <v>3</v>
      </c>
      <c r="AS8" s="675">
        <v>22</v>
      </c>
      <c r="AT8" s="696">
        <v>1</v>
      </c>
      <c r="AU8" s="503">
        <v>0</v>
      </c>
      <c r="AV8" s="7"/>
      <c r="AW8" s="532">
        <f t="shared" ref="AW8:AW29" si="13">AW7+1</f>
        <v>28</v>
      </c>
      <c r="AX8" s="675">
        <v>24</v>
      </c>
      <c r="AY8" s="696">
        <v>1</v>
      </c>
      <c r="AZ8" s="503">
        <v>1</v>
      </c>
    </row>
    <row r="9" spans="1:52" x14ac:dyDescent="0.25">
      <c r="A9" s="675">
        <v>22</v>
      </c>
      <c r="B9" s="696">
        <v>1</v>
      </c>
      <c r="C9" s="503">
        <v>0</v>
      </c>
      <c r="E9">
        <v>22</v>
      </c>
      <c r="F9">
        <v>1</v>
      </c>
      <c r="G9" s="501">
        <v>4</v>
      </c>
      <c r="H9" s="7">
        <v>5</v>
      </c>
      <c r="I9" s="57">
        <f t="shared" si="0"/>
        <v>9</v>
      </c>
      <c r="J9">
        <f t="shared" si="1"/>
        <v>0.44444444444444442</v>
      </c>
      <c r="K9">
        <f t="shared" si="2"/>
        <v>0.40187727237585824</v>
      </c>
      <c r="L9" s="501">
        <f t="shared" si="3"/>
        <v>3.6168954513827241</v>
      </c>
      <c r="M9" s="57">
        <f t="shared" si="4"/>
        <v>5.3831045486172755</v>
      </c>
      <c r="N9">
        <f t="shared" si="5"/>
        <v>-6.2162306980251438</v>
      </c>
      <c r="O9">
        <f t="shared" si="6"/>
        <v>55.555555555555557</v>
      </c>
      <c r="P9">
        <f t="shared" si="7"/>
        <v>6.7843517416095817E-2</v>
      </c>
      <c r="R9" s="757">
        <v>-0.86121567718589209</v>
      </c>
      <c r="T9" t="s">
        <v>60</v>
      </c>
      <c r="U9" s="680">
        <f>COUNT(E6:F6)</f>
        <v>2</v>
      </c>
      <c r="AH9">
        <v>0.40187727237585824</v>
      </c>
      <c r="AI9">
        <v>5</v>
      </c>
      <c r="AJ9">
        <v>4</v>
      </c>
      <c r="AK9">
        <f t="shared" si="8"/>
        <v>16</v>
      </c>
      <c r="AL9">
        <f t="shared" si="8"/>
        <v>8</v>
      </c>
      <c r="AM9">
        <f t="shared" si="9"/>
        <v>0.33333333333333337</v>
      </c>
      <c r="AN9">
        <f t="shared" si="10"/>
        <v>0.67999999999999994</v>
      </c>
      <c r="AO9">
        <f t="shared" si="11"/>
        <v>8.4999999999999992E-2</v>
      </c>
      <c r="AR9" s="503">
        <f t="shared" si="12"/>
        <v>4</v>
      </c>
      <c r="AS9" s="675">
        <v>24</v>
      </c>
      <c r="AT9" s="697">
        <v>0</v>
      </c>
      <c r="AU9" s="503">
        <v>0</v>
      </c>
      <c r="AV9" s="7"/>
      <c r="AW9" s="532">
        <f t="shared" si="13"/>
        <v>29</v>
      </c>
      <c r="AX9" s="675">
        <v>24</v>
      </c>
      <c r="AY9" s="697">
        <v>0</v>
      </c>
      <c r="AZ9" s="503">
        <v>1</v>
      </c>
    </row>
    <row r="10" spans="1:52" x14ac:dyDescent="0.25">
      <c r="A10" s="675">
        <v>20</v>
      </c>
      <c r="B10" s="696">
        <v>1</v>
      </c>
      <c r="C10" s="503">
        <v>0</v>
      </c>
      <c r="E10">
        <v>24</v>
      </c>
      <c r="F10">
        <v>0</v>
      </c>
      <c r="G10" s="501">
        <v>2</v>
      </c>
      <c r="H10" s="7">
        <v>5</v>
      </c>
      <c r="I10" s="57">
        <f t="shared" si="0"/>
        <v>7</v>
      </c>
      <c r="J10">
        <f t="shared" si="1"/>
        <v>0.2857142857142857</v>
      </c>
      <c r="K10">
        <f t="shared" si="2"/>
        <v>0.37442352215473684</v>
      </c>
      <c r="L10" s="501">
        <f t="shared" si="3"/>
        <v>2.6209646550831578</v>
      </c>
      <c r="M10" s="57">
        <f t="shared" si="4"/>
        <v>4.3790353449168418</v>
      </c>
      <c r="N10">
        <f t="shared" si="5"/>
        <v>-4.3101438692189378</v>
      </c>
      <c r="O10">
        <f t="shared" si="6"/>
        <v>71.428571428571431</v>
      </c>
      <c r="P10">
        <f t="shared" si="7"/>
        <v>0.2351755602735599</v>
      </c>
      <c r="T10" t="s">
        <v>67</v>
      </c>
      <c r="U10" s="680">
        <f>CHIDIST(U8,U9)</f>
        <v>1.6275094923766945E-2</v>
      </c>
      <c r="AC10" t="s">
        <v>1735</v>
      </c>
      <c r="AD10" s="803">
        <f>AD6/AD8</f>
        <v>0.68</v>
      </c>
      <c r="AE10" s="804">
        <f>AE7/AE8</f>
        <v>0.66666666666666663</v>
      </c>
      <c r="AF10">
        <f>(AD6+AE7)/AF8</f>
        <v>0.67346938775510201</v>
      </c>
      <c r="AH10">
        <v>0.61385989865542112</v>
      </c>
      <c r="AI10">
        <v>3</v>
      </c>
      <c r="AJ10">
        <v>5</v>
      </c>
      <c r="AK10">
        <f t="shared" si="8"/>
        <v>19</v>
      </c>
      <c r="AL10">
        <f t="shared" si="8"/>
        <v>13</v>
      </c>
      <c r="AM10">
        <f t="shared" si="9"/>
        <v>0.20833333333333337</v>
      </c>
      <c r="AN10">
        <f t="shared" si="10"/>
        <v>0.48</v>
      </c>
      <c r="AO10">
        <f t="shared" si="11"/>
        <v>8.0000000000000029E-2</v>
      </c>
      <c r="AR10" s="503">
        <f t="shared" si="12"/>
        <v>5</v>
      </c>
      <c r="AS10" s="675">
        <v>22</v>
      </c>
      <c r="AT10" s="696">
        <v>0</v>
      </c>
      <c r="AU10" s="503">
        <v>1</v>
      </c>
      <c r="AV10" s="7"/>
      <c r="AW10" s="532">
        <f t="shared" si="13"/>
        <v>30</v>
      </c>
      <c r="AX10" s="675">
        <v>22</v>
      </c>
      <c r="AY10" s="696">
        <v>1</v>
      </c>
      <c r="AZ10" s="503">
        <v>1</v>
      </c>
    </row>
    <row r="11" spans="1:52" x14ac:dyDescent="0.25">
      <c r="A11" s="675">
        <v>24</v>
      </c>
      <c r="B11" s="696">
        <v>1</v>
      </c>
      <c r="C11" s="503">
        <v>0</v>
      </c>
      <c r="E11">
        <v>24</v>
      </c>
      <c r="F11">
        <v>1</v>
      </c>
      <c r="G11" s="759">
        <v>2</v>
      </c>
      <c r="H11" s="760">
        <v>6</v>
      </c>
      <c r="I11" s="57">
        <f t="shared" si="0"/>
        <v>8</v>
      </c>
      <c r="J11">
        <f t="shared" si="1"/>
        <v>0.25</v>
      </c>
      <c r="K11">
        <f t="shared" si="2"/>
        <v>0.20189350307547343</v>
      </c>
      <c r="L11" s="501">
        <f t="shared" si="3"/>
        <v>1.6151480246037875</v>
      </c>
      <c r="M11" s="57">
        <f t="shared" si="4"/>
        <v>6.384851975396213</v>
      </c>
      <c r="N11">
        <f t="shared" si="5"/>
        <v>-4.5531092800718493</v>
      </c>
      <c r="O11">
        <f t="shared" si="6"/>
        <v>75</v>
      </c>
      <c r="P11">
        <f t="shared" si="7"/>
        <v>0.1148984747084582</v>
      </c>
      <c r="T11" t="s">
        <v>106</v>
      </c>
      <c r="U11" s="680">
        <v>0.05</v>
      </c>
      <c r="AH11">
        <v>0.64088405822372052</v>
      </c>
      <c r="AI11">
        <v>4</v>
      </c>
      <c r="AJ11">
        <v>5</v>
      </c>
      <c r="AK11">
        <f t="shared" si="8"/>
        <v>23</v>
      </c>
      <c r="AL11">
        <f t="shared" si="8"/>
        <v>18</v>
      </c>
      <c r="AM11">
        <f t="shared" si="9"/>
        <v>4.166666666666663E-2</v>
      </c>
      <c r="AN11">
        <f t="shared" si="10"/>
        <v>0.28000000000000003</v>
      </c>
      <c r="AO11">
        <f t="shared" si="11"/>
        <v>1.1666666666666657E-2</v>
      </c>
      <c r="AR11" s="503">
        <f t="shared" si="12"/>
        <v>6</v>
      </c>
      <c r="AS11" s="675">
        <v>22</v>
      </c>
      <c r="AT11" s="696">
        <v>1</v>
      </c>
      <c r="AU11" s="503">
        <v>0</v>
      </c>
      <c r="AV11" s="7"/>
      <c r="AW11" s="532">
        <f t="shared" si="13"/>
        <v>31</v>
      </c>
      <c r="AX11" s="675">
        <v>22</v>
      </c>
      <c r="AY11" s="697">
        <v>0</v>
      </c>
      <c r="AZ11" s="503">
        <v>0</v>
      </c>
    </row>
    <row r="12" spans="1:52" x14ac:dyDescent="0.25">
      <c r="A12" s="675">
        <v>24</v>
      </c>
      <c r="B12" s="697">
        <v>0</v>
      </c>
      <c r="C12" s="503">
        <v>0</v>
      </c>
      <c r="E12" s="4"/>
      <c r="F12" s="4"/>
      <c r="G12" s="4">
        <f>SUM(G6:G11)</f>
        <v>25</v>
      </c>
      <c r="H12" s="4">
        <f>SUM(H6:H11)</f>
        <v>24</v>
      </c>
      <c r="I12" s="801">
        <f>SUM(I6:I11)</f>
        <v>49</v>
      </c>
      <c r="J12" s="801"/>
      <c r="K12" s="801"/>
      <c r="L12" s="4">
        <f>SUM(L6:L11)</f>
        <v>24.999999999999989</v>
      </c>
      <c r="M12" s="4">
        <f>SUM(M6:M11)</f>
        <v>24.000000000000004</v>
      </c>
      <c r="N12" s="801">
        <f>SUM(N6:N11)</f>
        <v>-29.835887798949997</v>
      </c>
      <c r="O12" s="801">
        <f>SUMPRODUCT(O6:O11,I6:I11)/I12</f>
        <v>67.34693877551021</v>
      </c>
      <c r="P12" s="801">
        <f>SUM(P6:P11)</f>
        <v>0.93520784672645707</v>
      </c>
      <c r="T12" t="s">
        <v>527</v>
      </c>
      <c r="U12" s="758" t="str">
        <f>IF(U10&lt;U11,"yes","no")</f>
        <v>yes</v>
      </c>
      <c r="AC12" t="s">
        <v>1712</v>
      </c>
      <c r="AD12" s="805">
        <v>0.5</v>
      </c>
      <c r="AH12" s="762">
        <v>0.80851951945918377</v>
      </c>
      <c r="AI12" s="762">
        <v>1</v>
      </c>
      <c r="AJ12" s="762">
        <v>7</v>
      </c>
      <c r="AK12" s="762">
        <f t="shared" si="8"/>
        <v>24</v>
      </c>
      <c r="AL12" s="762">
        <f t="shared" si="8"/>
        <v>25</v>
      </c>
      <c r="AM12" s="762">
        <f t="shared" si="9"/>
        <v>0</v>
      </c>
      <c r="AN12" s="762">
        <f t="shared" si="10"/>
        <v>0</v>
      </c>
      <c r="AO12" s="762">
        <f t="shared" si="11"/>
        <v>0</v>
      </c>
      <c r="AR12" s="503">
        <f t="shared" si="12"/>
        <v>7</v>
      </c>
      <c r="AS12" s="675">
        <v>20</v>
      </c>
      <c r="AT12" s="696">
        <v>1</v>
      </c>
      <c r="AU12" s="503">
        <v>0</v>
      </c>
      <c r="AV12" s="7"/>
      <c r="AW12" s="532">
        <f t="shared" si="13"/>
        <v>32</v>
      </c>
      <c r="AX12" s="675">
        <v>22</v>
      </c>
      <c r="AY12" s="697">
        <v>0</v>
      </c>
      <c r="AZ12" s="503">
        <v>1</v>
      </c>
    </row>
    <row r="13" spans="1:52" ht="15.75" thickBot="1" x14ac:dyDescent="0.3">
      <c r="A13" s="675">
        <v>20</v>
      </c>
      <c r="B13" s="696">
        <v>0</v>
      </c>
      <c r="C13" s="503">
        <v>1</v>
      </c>
      <c r="AO13">
        <f>SUM(AO6:AO12)</f>
        <v>0.79333333333333322</v>
      </c>
      <c r="AR13" s="503">
        <f t="shared" si="12"/>
        <v>8</v>
      </c>
      <c r="AS13" s="675">
        <v>24</v>
      </c>
      <c r="AT13" s="696">
        <v>1</v>
      </c>
      <c r="AU13" s="503">
        <v>0</v>
      </c>
      <c r="AV13" s="7"/>
      <c r="AW13" s="532">
        <f t="shared" si="13"/>
        <v>33</v>
      </c>
      <c r="AX13" s="675">
        <v>20</v>
      </c>
      <c r="AY13" s="696">
        <v>1</v>
      </c>
      <c r="AZ13" s="503">
        <v>0</v>
      </c>
    </row>
    <row r="14" spans="1:52" ht="15.75" thickTop="1" x14ac:dyDescent="0.25">
      <c r="A14" s="675">
        <v>20</v>
      </c>
      <c r="B14" s="696">
        <v>0</v>
      </c>
      <c r="C14" s="503">
        <v>1</v>
      </c>
      <c r="E14" s="754"/>
      <c r="F14" s="754" t="s">
        <v>1529</v>
      </c>
      <c r="G14" s="754" t="s">
        <v>425</v>
      </c>
      <c r="H14" s="754" t="s">
        <v>1530</v>
      </c>
      <c r="I14" s="754" t="s">
        <v>67</v>
      </c>
      <c r="J14" s="754" t="s">
        <v>1531</v>
      </c>
      <c r="K14" s="754" t="s">
        <v>29</v>
      </c>
      <c r="L14" s="754" t="s">
        <v>30</v>
      </c>
      <c r="T14" t="s">
        <v>1325</v>
      </c>
      <c r="U14" s="802">
        <f>1-U6/U5</f>
        <v>0.12128522125407659</v>
      </c>
      <c r="AR14" s="503">
        <f t="shared" si="12"/>
        <v>9</v>
      </c>
      <c r="AS14" s="675">
        <v>24</v>
      </c>
      <c r="AT14" s="697">
        <v>0</v>
      </c>
      <c r="AU14" s="503">
        <v>0</v>
      </c>
      <c r="AV14" s="7"/>
      <c r="AW14" s="532">
        <f t="shared" si="13"/>
        <v>34</v>
      </c>
      <c r="AX14" s="675">
        <v>24</v>
      </c>
      <c r="AY14" s="696">
        <v>1</v>
      </c>
      <c r="AZ14" s="503">
        <v>0</v>
      </c>
    </row>
    <row r="15" spans="1:52" x14ac:dyDescent="0.25">
      <c r="A15" s="675">
        <v>22</v>
      </c>
      <c r="B15" s="696">
        <v>1</v>
      </c>
      <c r="C15" s="503">
        <v>0</v>
      </c>
      <c r="E15" t="s">
        <v>296</v>
      </c>
      <c r="F15">
        <f t="array" ref="F15:F17">R7:R9</f>
        <v>11.208943785756052</v>
      </c>
      <c r="G15">
        <f t="array" ref="G15:G17">SQRT([1]!DIAG(W6:Y8))</f>
        <v>4.5132280333979438</v>
      </c>
      <c r="H15">
        <f>(F15/G15)^2</f>
        <v>6.1681486026062506</v>
      </c>
      <c r="I15">
        <f>CHIDIST(H15,1)</f>
        <v>1.3007065999877656E-2</v>
      </c>
      <c r="J15">
        <f>EXP(F15)</f>
        <v>73787.438476532567</v>
      </c>
      <c r="T15" t="s">
        <v>1326</v>
      </c>
      <c r="U15" s="680">
        <f>1-EXP((-2/I12)*(U6-U5))</f>
        <v>0.15471928554988612</v>
      </c>
      <c r="AR15" s="503">
        <f t="shared" si="12"/>
        <v>10</v>
      </c>
      <c r="AS15" s="675">
        <v>20</v>
      </c>
      <c r="AT15" s="696">
        <v>0</v>
      </c>
      <c r="AU15" s="503">
        <v>1</v>
      </c>
      <c r="AV15" s="7"/>
      <c r="AW15" s="532">
        <f t="shared" si="13"/>
        <v>35</v>
      </c>
      <c r="AX15" s="675">
        <v>24</v>
      </c>
      <c r="AY15" s="697">
        <v>0</v>
      </c>
      <c r="AZ15" s="503">
        <v>0</v>
      </c>
    </row>
    <row r="16" spans="1:52" x14ac:dyDescent="0.25">
      <c r="A16" s="675">
        <v>20</v>
      </c>
      <c r="B16" s="696">
        <v>1</v>
      </c>
      <c r="C16" s="503">
        <v>1</v>
      </c>
      <c r="E16" t="str">
        <f t="array" ref="E16:E17">TRANSPOSE(E5:F5)</f>
        <v>Temp</v>
      </c>
      <c r="F16">
        <v>-0.48842624191792228</v>
      </c>
      <c r="G16">
        <v>0.20254245156879133</v>
      </c>
      <c r="H16">
        <f>(F16/G16)^2</f>
        <v>5.8152160456378539</v>
      </c>
      <c r="I16">
        <f>CHIDIST(H16,1)</f>
        <v>1.5888101579399239E-2</v>
      </c>
      <c r="J16">
        <f>EXP(F16)</f>
        <v>0.61359127897202903</v>
      </c>
      <c r="K16">
        <f>EXP(F16-G16*NORMSINV(1-$U$11/2))</f>
        <v>0.41254823268025609</v>
      </c>
      <c r="L16">
        <f>EXP(F16+G16*NORMSINV(1-$U$11/2))</f>
        <v>0.91260664282697501</v>
      </c>
      <c r="T16" t="s">
        <v>1327</v>
      </c>
      <c r="U16" s="757">
        <f>U15/(1-EXP(2*U5/I12))</f>
        <v>0.2063210324525068</v>
      </c>
      <c r="AR16" s="503">
        <f t="shared" si="12"/>
        <v>11</v>
      </c>
      <c r="AS16" s="675">
        <v>20</v>
      </c>
      <c r="AT16" s="696">
        <v>0</v>
      </c>
      <c r="AU16" s="503">
        <v>1</v>
      </c>
      <c r="AV16" s="7"/>
      <c r="AW16" s="532">
        <f t="shared" si="13"/>
        <v>36</v>
      </c>
      <c r="AX16" s="675">
        <v>22</v>
      </c>
      <c r="AY16" s="696">
        <v>1</v>
      </c>
      <c r="AZ16" s="503">
        <v>1</v>
      </c>
    </row>
    <row r="17" spans="1:52" x14ac:dyDescent="0.25">
      <c r="A17" s="675">
        <v>22</v>
      </c>
      <c r="B17" s="697">
        <v>0</v>
      </c>
      <c r="C17" s="503">
        <v>0</v>
      </c>
      <c r="E17" s="762" t="str">
        <v>Water</v>
      </c>
      <c r="F17" s="762">
        <v>-0.86121567718589209</v>
      </c>
      <c r="G17" s="762">
        <v>0.63153697485457927</v>
      </c>
      <c r="H17" s="762">
        <f>(F17/G17)^2</f>
        <v>1.8596289091103562</v>
      </c>
      <c r="I17" s="762">
        <f>CHIDIST(H17,1)</f>
        <v>0.17266763557878598</v>
      </c>
      <c r="J17" s="762">
        <f>EXP(F17)</f>
        <v>0.42264796639115837</v>
      </c>
      <c r="K17" s="762">
        <f>EXP(F17-G17*NORMSINV(1-$U$11/2))</f>
        <v>0.12257828366135803</v>
      </c>
      <c r="L17" s="762">
        <f>EXP(F17+G17*NORMSINV(1-$U$11/2))</f>
        <v>1.457283444986708</v>
      </c>
      <c r="AR17" s="503">
        <f t="shared" si="12"/>
        <v>12</v>
      </c>
      <c r="AS17" s="675">
        <v>22</v>
      </c>
      <c r="AT17" s="696">
        <v>1</v>
      </c>
      <c r="AU17" s="503">
        <v>0</v>
      </c>
      <c r="AV17" s="7"/>
      <c r="AW17" s="532">
        <f t="shared" si="13"/>
        <v>37</v>
      </c>
      <c r="AX17" s="675">
        <v>20</v>
      </c>
      <c r="AY17" s="697">
        <v>0</v>
      </c>
      <c r="AZ17" s="503">
        <v>1</v>
      </c>
    </row>
    <row r="18" spans="1:52" x14ac:dyDescent="0.25">
      <c r="A18" s="675">
        <v>22</v>
      </c>
      <c r="B18" s="696">
        <v>0</v>
      </c>
      <c r="C18" s="503">
        <v>1</v>
      </c>
      <c r="T18" t="s">
        <v>1653</v>
      </c>
      <c r="U18" s="802">
        <f>P12</f>
        <v>0.93520784672645707</v>
      </c>
      <c r="AR18" s="503">
        <f t="shared" si="12"/>
        <v>13</v>
      </c>
      <c r="AS18" s="675">
        <v>20</v>
      </c>
      <c r="AT18" s="696">
        <v>1</v>
      </c>
      <c r="AU18" s="503">
        <v>1</v>
      </c>
      <c r="AV18" s="7"/>
      <c r="AW18" s="532">
        <f t="shared" si="13"/>
        <v>38</v>
      </c>
      <c r="AX18" s="675">
        <v>22</v>
      </c>
      <c r="AY18" s="696">
        <v>0</v>
      </c>
      <c r="AZ18" s="503">
        <v>0</v>
      </c>
    </row>
    <row r="19" spans="1:52" x14ac:dyDescent="0.25">
      <c r="A19" s="675">
        <v>24</v>
      </c>
      <c r="B19" s="696">
        <v>1</v>
      </c>
      <c r="C19" s="503">
        <v>1</v>
      </c>
      <c r="T19" t="s">
        <v>60</v>
      </c>
      <c r="U19" s="680">
        <f>COUNT(I6:I11)-2</f>
        <v>4</v>
      </c>
      <c r="AR19" s="503">
        <f t="shared" si="12"/>
        <v>14</v>
      </c>
      <c r="AS19" s="675">
        <v>22</v>
      </c>
      <c r="AT19" s="697">
        <v>0</v>
      </c>
      <c r="AU19" s="503">
        <v>0</v>
      </c>
      <c r="AV19" s="7"/>
      <c r="AW19" s="532">
        <f t="shared" si="13"/>
        <v>39</v>
      </c>
      <c r="AX19" s="675">
        <v>22</v>
      </c>
      <c r="AY19" s="696">
        <v>1</v>
      </c>
      <c r="AZ19" s="503">
        <v>0</v>
      </c>
    </row>
    <row r="20" spans="1:52" x14ac:dyDescent="0.25">
      <c r="A20" s="675">
        <v>24</v>
      </c>
      <c r="B20" s="697">
        <v>0</v>
      </c>
      <c r="C20" s="503">
        <v>0</v>
      </c>
      <c r="E20" t="s">
        <v>229</v>
      </c>
      <c r="T20" t="s">
        <v>67</v>
      </c>
      <c r="U20" s="680">
        <f>CHIDIST(U18,U19)</f>
        <v>0.91945623136054155</v>
      </c>
      <c r="AR20" s="503">
        <f t="shared" si="12"/>
        <v>15</v>
      </c>
      <c r="AS20" s="675">
        <v>22</v>
      </c>
      <c r="AT20" s="696">
        <v>0</v>
      </c>
      <c r="AU20" s="503">
        <v>1</v>
      </c>
      <c r="AV20" s="7"/>
      <c r="AW20" s="532">
        <f t="shared" si="13"/>
        <v>40</v>
      </c>
      <c r="AX20" s="675">
        <v>20</v>
      </c>
      <c r="AY20" s="696">
        <v>1</v>
      </c>
      <c r="AZ20" s="503">
        <v>1</v>
      </c>
    </row>
    <row r="21" spans="1:52" ht="15.75" thickBot="1" x14ac:dyDescent="0.3">
      <c r="A21" s="675">
        <v>22</v>
      </c>
      <c r="B21" s="696">
        <v>1</v>
      </c>
      <c r="C21" s="503">
        <v>0</v>
      </c>
      <c r="T21" t="s">
        <v>106</v>
      </c>
      <c r="U21" s="680">
        <f>U11</f>
        <v>0.05</v>
      </c>
      <c r="AR21" s="503">
        <f t="shared" si="12"/>
        <v>16</v>
      </c>
      <c r="AS21" s="675">
        <v>24</v>
      </c>
      <c r="AT21" s="696">
        <v>1</v>
      </c>
      <c r="AU21" s="503">
        <v>1</v>
      </c>
      <c r="AV21" s="7"/>
      <c r="AW21" s="532">
        <f t="shared" si="13"/>
        <v>41</v>
      </c>
      <c r="AX21" s="675">
        <v>20</v>
      </c>
      <c r="AY21" s="696">
        <v>1</v>
      </c>
      <c r="AZ21" s="503">
        <v>0</v>
      </c>
    </row>
    <row r="22" spans="1:52" ht="15.75" thickTop="1" x14ac:dyDescent="0.25">
      <c r="A22" s="675">
        <v>24</v>
      </c>
      <c r="B22" s="696">
        <v>1</v>
      </c>
      <c r="C22" s="503">
        <v>0</v>
      </c>
      <c r="E22" s="693" t="s">
        <v>1320</v>
      </c>
      <c r="F22" s="693" t="s">
        <v>1321</v>
      </c>
      <c r="G22" s="693" t="s">
        <v>130</v>
      </c>
      <c r="H22" s="693" t="s">
        <v>108</v>
      </c>
      <c r="I22" s="691" t="s">
        <v>1</v>
      </c>
      <c r="J22" s="691" t="s">
        <v>1322</v>
      </c>
      <c r="K22" s="691" t="s">
        <v>1323</v>
      </c>
      <c r="T22" t="s">
        <v>527</v>
      </c>
      <c r="U22" s="758" t="str">
        <f>IF(U20&lt;U21,"yes","no")</f>
        <v>no</v>
      </c>
      <c r="AR22" s="503">
        <f t="shared" si="12"/>
        <v>17</v>
      </c>
      <c r="AS22" s="675">
        <v>24</v>
      </c>
      <c r="AT22" s="697">
        <v>0</v>
      </c>
      <c r="AU22" s="503">
        <v>0</v>
      </c>
      <c r="AV22" s="7"/>
      <c r="AW22" s="532">
        <f t="shared" si="13"/>
        <v>42</v>
      </c>
      <c r="AX22" s="675">
        <v>22</v>
      </c>
      <c r="AY22" s="696">
        <v>1</v>
      </c>
      <c r="AZ22" s="503">
        <v>1</v>
      </c>
    </row>
    <row r="23" spans="1:52" x14ac:dyDescent="0.25">
      <c r="A23" s="675">
        <v>20</v>
      </c>
      <c r="B23" s="697">
        <v>0</v>
      </c>
      <c r="C23" s="503">
        <v>0</v>
      </c>
      <c r="E23">
        <v>22</v>
      </c>
      <c r="F23">
        <v>0</v>
      </c>
      <c r="K23">
        <f>1/(1+EXP(-$R$7-MMULT(E23:F23,$R$8:$R$9)))</f>
        <v>0.61385989865542112</v>
      </c>
      <c r="AR23" s="503">
        <f t="shared" si="12"/>
        <v>18</v>
      </c>
      <c r="AS23" s="675">
        <v>22</v>
      </c>
      <c r="AT23" s="696">
        <v>1</v>
      </c>
      <c r="AU23" s="503">
        <v>0</v>
      </c>
      <c r="AV23" s="7"/>
      <c r="AW23" s="532">
        <f t="shared" si="13"/>
        <v>43</v>
      </c>
      <c r="AX23" s="675">
        <v>24</v>
      </c>
      <c r="AY23" s="697">
        <v>0</v>
      </c>
      <c r="AZ23" s="503">
        <v>1</v>
      </c>
    </row>
    <row r="24" spans="1:52" x14ac:dyDescent="0.25">
      <c r="A24" s="675">
        <v>20</v>
      </c>
      <c r="B24" s="696">
        <v>1</v>
      </c>
      <c r="C24" s="503">
        <v>0</v>
      </c>
      <c r="E24" s="410">
        <v>22</v>
      </c>
      <c r="F24" s="410">
        <v>1</v>
      </c>
      <c r="G24" s="410"/>
      <c r="H24" s="410"/>
      <c r="I24" s="410"/>
      <c r="J24" s="410"/>
      <c r="K24" s="410">
        <f>1/(1+EXP(-$R$7-MMULT(E24:F24,$R$8:$R$9)))</f>
        <v>0.40187727237585824</v>
      </c>
      <c r="AR24" s="503">
        <f t="shared" si="12"/>
        <v>19</v>
      </c>
      <c r="AS24" s="675">
        <v>24</v>
      </c>
      <c r="AT24" s="696">
        <v>1</v>
      </c>
      <c r="AU24" s="503">
        <v>0</v>
      </c>
      <c r="AV24" s="7"/>
      <c r="AW24" s="532">
        <f t="shared" si="13"/>
        <v>44</v>
      </c>
      <c r="AX24" s="675">
        <v>20</v>
      </c>
      <c r="AY24" s="696">
        <v>1</v>
      </c>
      <c r="AZ24" s="503">
        <v>1</v>
      </c>
    </row>
    <row r="25" spans="1:52" x14ac:dyDescent="0.25">
      <c r="A25" s="675">
        <v>20</v>
      </c>
      <c r="B25" s="696">
        <v>0</v>
      </c>
      <c r="C25" s="503">
        <v>1</v>
      </c>
      <c r="AR25" s="503">
        <f t="shared" si="12"/>
        <v>20</v>
      </c>
      <c r="AS25" s="675">
        <v>20</v>
      </c>
      <c r="AT25" s="697">
        <v>0</v>
      </c>
      <c r="AU25" s="503">
        <v>0</v>
      </c>
      <c r="AV25" s="7"/>
      <c r="AW25" s="532">
        <f t="shared" si="13"/>
        <v>45</v>
      </c>
      <c r="AX25" s="675">
        <v>20</v>
      </c>
      <c r="AY25" s="696">
        <v>0</v>
      </c>
      <c r="AZ25" s="503">
        <v>1</v>
      </c>
    </row>
    <row r="26" spans="1:52" x14ac:dyDescent="0.25">
      <c r="A26" s="675">
        <v>20</v>
      </c>
      <c r="B26" s="696">
        <v>1</v>
      </c>
      <c r="C26" s="503">
        <v>1</v>
      </c>
      <c r="E26" t="s">
        <v>229</v>
      </c>
      <c r="AR26" s="503">
        <f t="shared" si="12"/>
        <v>21</v>
      </c>
      <c r="AS26" s="675">
        <v>20</v>
      </c>
      <c r="AT26" s="696">
        <v>1</v>
      </c>
      <c r="AU26" s="503">
        <v>0</v>
      </c>
      <c r="AV26" s="7"/>
      <c r="AW26" s="532">
        <f t="shared" si="13"/>
        <v>46</v>
      </c>
      <c r="AX26" s="675">
        <v>24</v>
      </c>
      <c r="AY26" s="696">
        <v>1</v>
      </c>
      <c r="AZ26" s="503">
        <v>0</v>
      </c>
    </row>
    <row r="27" spans="1:52" ht="15.75" thickBot="1" x14ac:dyDescent="0.3">
      <c r="A27" s="675">
        <v>20</v>
      </c>
      <c r="B27" s="696">
        <v>1</v>
      </c>
      <c r="C27" s="503">
        <v>1</v>
      </c>
      <c r="AR27" s="503">
        <f t="shared" si="12"/>
        <v>22</v>
      </c>
      <c r="AS27" s="675">
        <v>20</v>
      </c>
      <c r="AT27" s="696">
        <v>0</v>
      </c>
      <c r="AU27" s="503">
        <v>1</v>
      </c>
      <c r="AV27" s="7"/>
      <c r="AW27" s="532">
        <f t="shared" si="13"/>
        <v>47</v>
      </c>
      <c r="AX27" s="675">
        <v>24</v>
      </c>
      <c r="AY27" s="696">
        <v>1</v>
      </c>
      <c r="AZ27" s="503">
        <v>0</v>
      </c>
    </row>
    <row r="28" spans="1:52" ht="15.75" thickTop="1" x14ac:dyDescent="0.25">
      <c r="A28" s="675">
        <v>20</v>
      </c>
      <c r="B28" s="697">
        <v>0</v>
      </c>
      <c r="C28" s="503">
        <v>1</v>
      </c>
      <c r="E28" s="693" t="s">
        <v>1320</v>
      </c>
      <c r="F28" s="693" t="s">
        <v>1321</v>
      </c>
      <c r="G28" s="693" t="s">
        <v>1323</v>
      </c>
      <c r="AR28" s="503">
        <f t="shared" si="12"/>
        <v>23</v>
      </c>
      <c r="AS28" s="675">
        <v>20</v>
      </c>
      <c r="AT28" s="696">
        <v>1</v>
      </c>
      <c r="AU28" s="503">
        <v>1</v>
      </c>
      <c r="AV28" s="7"/>
      <c r="AW28" s="532">
        <f t="shared" si="13"/>
        <v>48</v>
      </c>
      <c r="AX28" s="675">
        <v>22</v>
      </c>
      <c r="AY28" s="696">
        <v>0</v>
      </c>
      <c r="AZ28" s="503">
        <v>1</v>
      </c>
    </row>
    <row r="29" spans="1:52" x14ac:dyDescent="0.25">
      <c r="A29" s="675">
        <v>24</v>
      </c>
      <c r="B29" s="697">
        <v>0</v>
      </c>
      <c r="C29" s="503">
        <v>0</v>
      </c>
      <c r="E29">
        <v>23</v>
      </c>
      <c r="F29">
        <v>0</v>
      </c>
      <c r="G29">
        <f>1/(1+EXP(-$P$7-MMULT(A29:B29,$P$8:$P$9)))</f>
        <v>0.59513680399420898</v>
      </c>
      <c r="AR29" s="503">
        <f t="shared" si="12"/>
        <v>24</v>
      </c>
      <c r="AS29" s="675">
        <v>20</v>
      </c>
      <c r="AT29" s="696">
        <v>1</v>
      </c>
      <c r="AU29" s="503">
        <v>1</v>
      </c>
      <c r="AV29" s="7"/>
      <c r="AW29" s="409">
        <f t="shared" si="13"/>
        <v>49</v>
      </c>
      <c r="AX29" s="678">
        <v>24</v>
      </c>
      <c r="AY29" s="699">
        <v>1</v>
      </c>
      <c r="AZ29" s="420">
        <v>0</v>
      </c>
    </row>
    <row r="30" spans="1:52" x14ac:dyDescent="0.25">
      <c r="A30" s="675">
        <v>22</v>
      </c>
      <c r="B30" s="697">
        <v>0</v>
      </c>
      <c r="C30" s="503">
        <v>1</v>
      </c>
      <c r="E30" s="410">
        <v>23</v>
      </c>
      <c r="F30" s="410">
        <v>1</v>
      </c>
      <c r="G30" s="410">
        <f>1/(1+EXP(-$P$7-MMULT(E30:F30,$P$8:$P$9)))</f>
        <v>0.61037698699362242</v>
      </c>
      <c r="AR30" s="420">
        <f t="shared" si="12"/>
        <v>25</v>
      </c>
      <c r="AS30" s="678">
        <v>20</v>
      </c>
      <c r="AT30" s="700">
        <v>0</v>
      </c>
      <c r="AU30" s="420">
        <v>1</v>
      </c>
      <c r="AV30" s="7"/>
    </row>
    <row r="31" spans="1:52" x14ac:dyDescent="0.25">
      <c r="A31" s="675">
        <v>24</v>
      </c>
      <c r="B31" s="696">
        <v>1</v>
      </c>
      <c r="C31" s="503">
        <v>1</v>
      </c>
    </row>
    <row r="32" spans="1:52" x14ac:dyDescent="0.25">
      <c r="A32" s="675">
        <v>24</v>
      </c>
      <c r="B32" s="697">
        <v>0</v>
      </c>
      <c r="C32" s="503">
        <v>1</v>
      </c>
      <c r="E32" t="s">
        <v>2327</v>
      </c>
    </row>
    <row r="33" spans="1:16" x14ac:dyDescent="0.25">
      <c r="A33" s="675">
        <v>22</v>
      </c>
      <c r="B33" s="696">
        <v>1</v>
      </c>
      <c r="C33" s="503">
        <v>1</v>
      </c>
    </row>
    <row r="34" spans="1:16" x14ac:dyDescent="0.25">
      <c r="A34" s="675">
        <v>22</v>
      </c>
      <c r="B34" s="697">
        <v>0</v>
      </c>
      <c r="C34" s="503">
        <v>0</v>
      </c>
      <c r="E34" s="16" t="s">
        <v>1823</v>
      </c>
      <c r="N34" s="16" t="s">
        <v>1769</v>
      </c>
    </row>
    <row r="35" spans="1:16" x14ac:dyDescent="0.25">
      <c r="A35" s="675">
        <v>22</v>
      </c>
      <c r="B35" s="697">
        <v>0</v>
      </c>
      <c r="C35" s="503">
        <v>1</v>
      </c>
    </row>
    <row r="36" spans="1:16" x14ac:dyDescent="0.25">
      <c r="A36" s="675">
        <v>20</v>
      </c>
      <c r="B36" s="696">
        <v>1</v>
      </c>
      <c r="C36" s="503">
        <v>0</v>
      </c>
      <c r="E36" t="str">
        <f t="array" ref="E36:L39">[1]!LogitCoeff(A3:C52,TRUE,TRUE,TRUE)</f>
        <v/>
      </c>
      <c r="F36" t="str">
        <v>coeff</v>
      </c>
      <c r="G36" t="str">
        <v>s.e.</v>
      </c>
      <c r="H36" t="str">
        <v>Wald</v>
      </c>
      <c r="I36" t="str">
        <v>p-value</v>
      </c>
      <c r="J36" t="str">
        <v>exp(b)</v>
      </c>
      <c r="K36" t="str">
        <v>lower</v>
      </c>
      <c r="L36" t="str">
        <v>upper</v>
      </c>
      <c r="N36" t="s">
        <v>1320</v>
      </c>
      <c r="O36" t="s">
        <v>1321</v>
      </c>
      <c r="P36" t="s">
        <v>1323</v>
      </c>
    </row>
    <row r="37" spans="1:16" x14ac:dyDescent="0.25">
      <c r="A37" s="675">
        <v>24</v>
      </c>
      <c r="B37" s="696">
        <v>1</v>
      </c>
      <c r="C37" s="503">
        <v>0</v>
      </c>
      <c r="E37" t="str">
        <v>intercept</v>
      </c>
      <c r="F37" s="751">
        <v>11.208943785756052</v>
      </c>
      <c r="G37" s="752">
        <v>4.5132280333978256</v>
      </c>
      <c r="H37" s="752">
        <v>6.1681486026065739</v>
      </c>
      <c r="I37" s="752">
        <v>1.3007065999875275E-2</v>
      </c>
      <c r="J37" s="752">
        <v>73787.438476532567</v>
      </c>
      <c r="K37" s="752" t="str">
        <v/>
      </c>
      <c r="L37" s="755" t="str">
        <v/>
      </c>
      <c r="N37" s="751">
        <v>22</v>
      </c>
      <c r="O37" s="752">
        <v>0</v>
      </c>
      <c r="P37" s="755">
        <f>[1]!LogitPred(N37:O37,$A$4:$C$52,TRUE)</f>
        <v>0.61385989865542112</v>
      </c>
    </row>
    <row r="38" spans="1:16" x14ac:dyDescent="0.25">
      <c r="A38" s="675">
        <v>24</v>
      </c>
      <c r="B38" s="697">
        <v>0</v>
      </c>
      <c r="C38" s="503">
        <v>0</v>
      </c>
      <c r="E38" t="str">
        <v>Temp</v>
      </c>
      <c r="F38" s="532">
        <v>-0.48842624191792228</v>
      </c>
      <c r="G38" s="7">
        <v>0.20254245156878606</v>
      </c>
      <c r="H38" s="7">
        <v>5.8152160456381559</v>
      </c>
      <c r="I38" s="7">
        <v>1.5888101579396519E-2</v>
      </c>
      <c r="J38" s="7">
        <v>0.61359127897202903</v>
      </c>
      <c r="K38" s="7">
        <v>0.41254823268026042</v>
      </c>
      <c r="L38" s="533">
        <v>0.91260664282696558</v>
      </c>
      <c r="N38" s="409">
        <v>23</v>
      </c>
      <c r="O38" s="762">
        <v>1</v>
      </c>
      <c r="P38" s="417">
        <f>[1]!LogitPred(N38:O38,$A$4:$C$52,TRUE)</f>
        <v>0.29192037909093199</v>
      </c>
    </row>
    <row r="39" spans="1:16" x14ac:dyDescent="0.25">
      <c r="A39" s="675">
        <v>22</v>
      </c>
      <c r="B39" s="696">
        <v>1</v>
      </c>
      <c r="C39" s="503">
        <v>1</v>
      </c>
      <c r="E39" t="str">
        <v>Water</v>
      </c>
      <c r="F39" s="409">
        <v>-0.86121567718589209</v>
      </c>
      <c r="G39" s="762">
        <v>0.63153697485457849</v>
      </c>
      <c r="H39" s="762">
        <v>1.8596289091103608</v>
      </c>
      <c r="I39" s="762">
        <v>0.17266763557878545</v>
      </c>
      <c r="J39" s="762">
        <v>0.42264796639115837</v>
      </c>
      <c r="K39" s="762">
        <v>0.12257828366135819</v>
      </c>
      <c r="L39" s="417">
        <v>1.4572834449867063</v>
      </c>
    </row>
    <row r="40" spans="1:16" x14ac:dyDescent="0.25">
      <c r="A40" s="675">
        <v>20</v>
      </c>
      <c r="B40" s="697">
        <v>0</v>
      </c>
      <c r="C40" s="503">
        <v>1</v>
      </c>
      <c r="N40" s="16" t="s">
        <v>1770</v>
      </c>
    </row>
    <row r="41" spans="1:16" x14ac:dyDescent="0.25">
      <c r="A41" s="675">
        <v>22</v>
      </c>
      <c r="B41" s="696">
        <v>0</v>
      </c>
      <c r="C41" s="503">
        <v>0</v>
      </c>
      <c r="E41" s="16" t="s">
        <v>1772</v>
      </c>
      <c r="I41" s="16" t="s">
        <v>1773</v>
      </c>
    </row>
    <row r="42" spans="1:16" x14ac:dyDescent="0.25">
      <c r="A42" s="675">
        <v>22</v>
      </c>
      <c r="B42" s="696">
        <v>1</v>
      </c>
      <c r="C42" s="503">
        <v>0</v>
      </c>
      <c r="N42" t="s">
        <v>1320</v>
      </c>
      <c r="O42" t="s">
        <v>1321</v>
      </c>
      <c r="P42" t="s">
        <v>1323</v>
      </c>
    </row>
    <row r="43" spans="1:16" x14ac:dyDescent="0.25">
      <c r="A43" s="675">
        <v>20</v>
      </c>
      <c r="B43" s="696">
        <v>1</v>
      </c>
      <c r="C43" s="503">
        <v>1</v>
      </c>
      <c r="E43" t="str">
        <f t="array" ref="E43:F47">[1]!LogitTest(A4:C52,TRUE,TRUE)</f>
        <v>LL</v>
      </c>
      <c r="F43" s="831">
        <v>-29.835887798950004</v>
      </c>
      <c r="I43" s="13" t="s">
        <v>1320</v>
      </c>
      <c r="J43" s="13" t="s">
        <v>1321</v>
      </c>
      <c r="K43" s="13" t="s">
        <v>130</v>
      </c>
      <c r="L43" s="13" t="s">
        <v>108</v>
      </c>
      <c r="N43" s="751">
        <v>22</v>
      </c>
      <c r="O43" s="752">
        <v>0</v>
      </c>
      <c r="P43" s="755">
        <f>[1]!LogitPredC(N43:O43,$F$37:$F$39)</f>
        <v>0.61385989865542112</v>
      </c>
    </row>
    <row r="44" spans="1:16" x14ac:dyDescent="0.25">
      <c r="A44" s="675">
        <v>20</v>
      </c>
      <c r="B44" s="696">
        <v>1</v>
      </c>
      <c r="C44" s="503">
        <v>0</v>
      </c>
      <c r="E44" t="str">
        <v>LL0</v>
      </c>
      <c r="F44" s="503">
        <v>-33.95400705736499</v>
      </c>
      <c r="I44" s="751">
        <f t="array" ref="I44:L49">[1]!LogitSummary(A4:C52)</f>
        <v>20</v>
      </c>
      <c r="J44" s="752">
        <v>0</v>
      </c>
      <c r="K44" s="752">
        <v>7</v>
      </c>
      <c r="L44" s="755">
        <v>1</v>
      </c>
      <c r="N44" s="409">
        <v>23</v>
      </c>
      <c r="O44" s="762">
        <v>1</v>
      </c>
      <c r="P44" s="417">
        <f>[1]!LogitPredC(N44:O44,$F$37:$F$39)</f>
        <v>0.29192037909093199</v>
      </c>
    </row>
    <row r="45" spans="1:16" x14ac:dyDescent="0.25">
      <c r="A45" s="675">
        <v>22</v>
      </c>
      <c r="B45" s="696">
        <v>1</v>
      </c>
      <c r="C45" s="503">
        <v>1</v>
      </c>
      <c r="E45" t="str">
        <v>Chi-square</v>
      </c>
      <c r="F45" s="503">
        <v>8.236238516829971</v>
      </c>
      <c r="I45" s="532">
        <v>20</v>
      </c>
      <c r="J45" s="7">
        <v>1</v>
      </c>
      <c r="K45" s="7">
        <v>5</v>
      </c>
      <c r="L45" s="533">
        <v>4</v>
      </c>
    </row>
    <row r="46" spans="1:16" x14ac:dyDescent="0.25">
      <c r="A46" s="675">
        <v>24</v>
      </c>
      <c r="B46" s="697">
        <v>0</v>
      </c>
      <c r="C46" s="503">
        <v>1</v>
      </c>
      <c r="E46" t="str">
        <v>df</v>
      </c>
      <c r="F46" s="503">
        <v>2</v>
      </c>
      <c r="I46" s="532">
        <v>22</v>
      </c>
      <c r="J46" s="7">
        <v>0</v>
      </c>
      <c r="K46" s="7">
        <v>5</v>
      </c>
      <c r="L46" s="533">
        <v>3</v>
      </c>
      <c r="N46" s="16" t="s">
        <v>1771</v>
      </c>
    </row>
    <row r="47" spans="1:16" x14ac:dyDescent="0.25">
      <c r="A47" s="675">
        <v>20</v>
      </c>
      <c r="B47" s="696">
        <v>1</v>
      </c>
      <c r="C47" s="503">
        <v>1</v>
      </c>
      <c r="E47" t="str">
        <v>p-value</v>
      </c>
      <c r="F47" s="420">
        <v>1.627509492376706E-2</v>
      </c>
      <c r="I47" s="532">
        <v>22</v>
      </c>
      <c r="J47" s="7">
        <v>1</v>
      </c>
      <c r="K47" s="7">
        <v>4</v>
      </c>
      <c r="L47" s="533">
        <v>5</v>
      </c>
    </row>
    <row r="48" spans="1:16" x14ac:dyDescent="0.25">
      <c r="A48" s="675">
        <v>20</v>
      </c>
      <c r="B48" s="696">
        <v>0</v>
      </c>
      <c r="C48" s="503">
        <v>1</v>
      </c>
      <c r="I48" s="532">
        <v>24</v>
      </c>
      <c r="J48" s="7">
        <v>0</v>
      </c>
      <c r="K48" s="7">
        <v>2</v>
      </c>
      <c r="L48" s="533">
        <v>5</v>
      </c>
      <c r="N48" t="s">
        <v>1320</v>
      </c>
      <c r="O48" t="s">
        <v>1321</v>
      </c>
      <c r="P48" t="s">
        <v>1323</v>
      </c>
    </row>
    <row r="49" spans="1:16" x14ac:dyDescent="0.25">
      <c r="A49" s="675">
        <v>24</v>
      </c>
      <c r="B49" s="696">
        <v>1</v>
      </c>
      <c r="C49" s="503">
        <v>0</v>
      </c>
      <c r="I49" s="409">
        <v>24</v>
      </c>
      <c r="J49" s="762">
        <v>1</v>
      </c>
      <c r="K49" s="762">
        <v>2</v>
      </c>
      <c r="L49" s="417">
        <v>6</v>
      </c>
      <c r="N49" s="751">
        <v>22</v>
      </c>
      <c r="O49" s="752">
        <v>0</v>
      </c>
      <c r="P49" s="755">
        <f>[1]!LogitPred(N49:O49,$E$6:$H$11)</f>
        <v>0.61385989865542112</v>
      </c>
    </row>
    <row r="50" spans="1:16" x14ac:dyDescent="0.25">
      <c r="A50" s="675">
        <v>24</v>
      </c>
      <c r="B50" s="696">
        <v>1</v>
      </c>
      <c r="C50" s="503">
        <v>0</v>
      </c>
      <c r="N50" s="409">
        <v>23</v>
      </c>
      <c r="O50" s="762">
        <v>1</v>
      </c>
      <c r="P50" s="417">
        <f>[1]!LogitPred(N50:O50,$E$6:$H$11)</f>
        <v>0.29192037909093199</v>
      </c>
    </row>
    <row r="51" spans="1:16" x14ac:dyDescent="0.25">
      <c r="A51" s="675">
        <v>22</v>
      </c>
      <c r="B51" s="696">
        <v>0</v>
      </c>
      <c r="C51" s="503">
        <v>1</v>
      </c>
    </row>
    <row r="52" spans="1:16" x14ac:dyDescent="0.25">
      <c r="A52" s="678">
        <v>24</v>
      </c>
      <c r="B52" s="699">
        <v>1</v>
      </c>
      <c r="C52" s="420">
        <v>0</v>
      </c>
      <c r="I52" s="16" t="s">
        <v>1822</v>
      </c>
    </row>
    <row r="54" spans="1:16" x14ac:dyDescent="0.25">
      <c r="I54" t="str">
        <f t="array" ref="I54:L60">[1]!LogitSummary(A3:C52,TRUE)</f>
        <v>Temp</v>
      </c>
      <c r="J54" t="str">
        <v>Water</v>
      </c>
      <c r="K54" t="str">
        <v>Success</v>
      </c>
      <c r="L54" t="str">
        <v>Failure</v>
      </c>
    </row>
    <row r="55" spans="1:16" x14ac:dyDescent="0.25">
      <c r="I55" s="3">
        <v>20</v>
      </c>
      <c r="J55" s="827">
        <v>0</v>
      </c>
      <c r="K55" s="827">
        <v>7</v>
      </c>
      <c r="L55" s="5">
        <v>1</v>
      </c>
    </row>
    <row r="56" spans="1:16" x14ac:dyDescent="0.25">
      <c r="I56" s="532">
        <v>20</v>
      </c>
      <c r="J56" s="7">
        <v>1</v>
      </c>
      <c r="K56" s="7">
        <v>5</v>
      </c>
      <c r="L56" s="533">
        <v>4</v>
      </c>
    </row>
    <row r="57" spans="1:16" x14ac:dyDescent="0.25">
      <c r="I57" s="532">
        <v>22</v>
      </c>
      <c r="J57" s="7">
        <v>0</v>
      </c>
      <c r="K57" s="7">
        <v>5</v>
      </c>
      <c r="L57" s="533">
        <v>3</v>
      </c>
    </row>
    <row r="58" spans="1:16" x14ac:dyDescent="0.25">
      <c r="I58" s="532">
        <v>22</v>
      </c>
      <c r="J58" s="7">
        <v>1</v>
      </c>
      <c r="K58" s="7">
        <v>4</v>
      </c>
      <c r="L58" s="533">
        <v>5</v>
      </c>
    </row>
    <row r="59" spans="1:16" x14ac:dyDescent="0.25">
      <c r="I59" s="532">
        <v>24</v>
      </c>
      <c r="J59" s="7">
        <v>0</v>
      </c>
      <c r="K59" s="7">
        <v>2</v>
      </c>
      <c r="L59" s="533">
        <v>5</v>
      </c>
    </row>
    <row r="60" spans="1:16" x14ac:dyDescent="0.25">
      <c r="I60" s="409">
        <v>24</v>
      </c>
      <c r="J60" s="762">
        <v>1</v>
      </c>
      <c r="K60" s="762">
        <v>2</v>
      </c>
      <c r="L60" s="417">
        <v>6</v>
      </c>
    </row>
    <row r="62" spans="1:16" x14ac:dyDescent="0.25">
      <c r="E62" s="16" t="s">
        <v>1768</v>
      </c>
    </row>
    <row r="64" spans="1:16" x14ac:dyDescent="0.25">
      <c r="E64" t="str">
        <f t="array" ref="E64:L67">[1]!LogitCoeff(A4:C52,TRUE,TRUE)</f>
        <v/>
      </c>
      <c r="F64" t="str">
        <v>coeff</v>
      </c>
      <c r="G64" t="str">
        <v>s.e.</v>
      </c>
      <c r="H64" t="str">
        <v>Wald</v>
      </c>
      <c r="I64" t="str">
        <v>p-value</v>
      </c>
      <c r="J64" t="str">
        <v>exp(b)</v>
      </c>
      <c r="K64" t="str">
        <v>lower</v>
      </c>
      <c r="L64" t="str">
        <v>upper</v>
      </c>
    </row>
    <row r="65" spans="5:12" x14ac:dyDescent="0.25">
      <c r="E65" t="str">
        <v>intercept</v>
      </c>
      <c r="F65" s="751">
        <v>11.208943785756052</v>
      </c>
      <c r="G65" s="752">
        <v>4.5132280333978256</v>
      </c>
      <c r="H65" s="752">
        <v>6.1681486026065739</v>
      </c>
      <c r="I65" s="752">
        <v>1.3007065999875275E-2</v>
      </c>
      <c r="J65" s="752">
        <v>73787.438476532567</v>
      </c>
      <c r="K65" s="752" t="str">
        <v/>
      </c>
      <c r="L65" s="755" t="str">
        <v/>
      </c>
    </row>
    <row r="66" spans="5:12" x14ac:dyDescent="0.25">
      <c r="E66" t="str">
        <v>var 1</v>
      </c>
      <c r="F66" s="532">
        <v>-0.48842624191792228</v>
      </c>
      <c r="G66" s="7">
        <v>0.20254245156878606</v>
      </c>
      <c r="H66" s="7">
        <v>5.8152160456381559</v>
      </c>
      <c r="I66" s="7">
        <v>1.5888101579396519E-2</v>
      </c>
      <c r="J66" s="7">
        <v>0.61359127897202903</v>
      </c>
      <c r="K66" s="7">
        <v>0.41254823268026042</v>
      </c>
      <c r="L66" s="533">
        <v>0.91260664282696558</v>
      </c>
    </row>
    <row r="67" spans="5:12" x14ac:dyDescent="0.25">
      <c r="E67" t="str">
        <v>var 2</v>
      </c>
      <c r="F67" s="409">
        <v>-0.86121567718589209</v>
      </c>
      <c r="G67" s="762">
        <v>0.63153697485457849</v>
      </c>
      <c r="H67" s="762">
        <v>1.8596289091103608</v>
      </c>
      <c r="I67" s="762">
        <v>0.17266763557878545</v>
      </c>
      <c r="J67" s="762">
        <v>0.42264796639115837</v>
      </c>
      <c r="K67" s="762">
        <v>0.12257828366135819</v>
      </c>
      <c r="L67" s="417">
        <v>1.4572834449867063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H52"/>
  <sheetViews>
    <sheetView workbookViewId="0"/>
  </sheetViews>
  <sheetFormatPr defaultRowHeight="15" x14ac:dyDescent="0.25"/>
  <sheetData>
    <row r="1" spans="1:8" x14ac:dyDescent="0.25">
      <c r="A1" s="1" t="s">
        <v>2076</v>
      </c>
    </row>
    <row r="3" spans="1:8" x14ac:dyDescent="0.25">
      <c r="A3" s="649" t="s">
        <v>1320</v>
      </c>
      <c r="B3" s="649" t="s">
        <v>1321</v>
      </c>
      <c r="C3" s="13" t="s">
        <v>130</v>
      </c>
      <c r="E3" s="649" t="s">
        <v>1320</v>
      </c>
      <c r="F3" s="649" t="s">
        <v>1321</v>
      </c>
      <c r="G3" s="649" t="s">
        <v>1654</v>
      </c>
      <c r="H3" s="649" t="s">
        <v>1655</v>
      </c>
    </row>
    <row r="4" spans="1:8" x14ac:dyDescent="0.25">
      <c r="A4" s="673">
        <v>20</v>
      </c>
      <c r="B4" s="698">
        <v>0</v>
      </c>
      <c r="C4" s="664">
        <v>1</v>
      </c>
      <c r="E4" s="956">
        <v>20</v>
      </c>
      <c r="F4" s="957">
        <v>0</v>
      </c>
      <c r="G4" s="869">
        <f t="array" ref="G4:H9">[1]!LogitMatches(A4:C52,E4:F9)</f>
        <v>7</v>
      </c>
      <c r="H4" s="870">
        <v>1</v>
      </c>
    </row>
    <row r="5" spans="1:8" x14ac:dyDescent="0.25">
      <c r="A5" s="675">
        <v>22</v>
      </c>
      <c r="B5" s="696">
        <v>1</v>
      </c>
      <c r="C5" s="503">
        <v>1</v>
      </c>
      <c r="E5" s="675">
        <v>22</v>
      </c>
      <c r="F5" s="676">
        <v>1</v>
      </c>
      <c r="G5" s="532">
        <v>4</v>
      </c>
      <c r="H5" s="533">
        <v>5</v>
      </c>
    </row>
    <row r="6" spans="1:8" x14ac:dyDescent="0.25">
      <c r="A6" s="675">
        <v>22</v>
      </c>
      <c r="B6" s="696">
        <v>1</v>
      </c>
      <c r="C6" s="503">
        <v>0</v>
      </c>
      <c r="E6" s="675">
        <v>24</v>
      </c>
      <c r="F6" s="677">
        <v>0</v>
      </c>
      <c r="G6" s="532">
        <v>2</v>
      </c>
      <c r="H6" s="533">
        <v>5</v>
      </c>
    </row>
    <row r="7" spans="1:8" x14ac:dyDescent="0.25">
      <c r="A7" s="675">
        <v>24</v>
      </c>
      <c r="B7" s="697">
        <v>0</v>
      </c>
      <c r="C7" s="503">
        <v>0</v>
      </c>
      <c r="E7" s="675">
        <v>22</v>
      </c>
      <c r="F7" s="676">
        <v>0</v>
      </c>
      <c r="G7" s="532">
        <v>5</v>
      </c>
      <c r="H7" s="533">
        <v>3</v>
      </c>
    </row>
    <row r="8" spans="1:8" x14ac:dyDescent="0.25">
      <c r="A8" s="675">
        <v>22</v>
      </c>
      <c r="B8" s="696">
        <v>0</v>
      </c>
      <c r="C8" s="503">
        <v>1</v>
      </c>
      <c r="E8" s="675">
        <v>20</v>
      </c>
      <c r="F8" s="676">
        <v>1</v>
      </c>
      <c r="G8" s="532">
        <v>5</v>
      </c>
      <c r="H8" s="533">
        <v>4</v>
      </c>
    </row>
    <row r="9" spans="1:8" x14ac:dyDescent="0.25">
      <c r="A9" s="675">
        <v>22</v>
      </c>
      <c r="B9" s="696">
        <v>1</v>
      </c>
      <c r="C9" s="503">
        <v>0</v>
      </c>
      <c r="E9" s="678">
        <v>24</v>
      </c>
      <c r="F9" s="958">
        <v>1</v>
      </c>
      <c r="G9" s="409">
        <v>2</v>
      </c>
      <c r="H9" s="417">
        <v>6</v>
      </c>
    </row>
    <row r="10" spans="1:8" x14ac:dyDescent="0.25">
      <c r="A10" s="675">
        <v>20</v>
      </c>
      <c r="B10" s="696">
        <v>1</v>
      </c>
      <c r="C10" s="503">
        <v>0</v>
      </c>
    </row>
    <row r="11" spans="1:8" x14ac:dyDescent="0.25">
      <c r="A11" s="675">
        <v>24</v>
      </c>
      <c r="B11" s="696">
        <v>1</v>
      </c>
      <c r="C11" s="503">
        <v>0</v>
      </c>
    </row>
    <row r="12" spans="1:8" x14ac:dyDescent="0.25">
      <c r="A12" s="675">
        <v>24</v>
      </c>
      <c r="B12" s="697">
        <v>0</v>
      </c>
      <c r="C12" s="503">
        <v>0</v>
      </c>
    </row>
    <row r="13" spans="1:8" x14ac:dyDescent="0.25">
      <c r="A13" s="675">
        <v>20</v>
      </c>
      <c r="B13" s="696">
        <v>0</v>
      </c>
      <c r="C13" s="503">
        <v>1</v>
      </c>
    </row>
    <row r="14" spans="1:8" x14ac:dyDescent="0.25">
      <c r="A14" s="675">
        <v>20</v>
      </c>
      <c r="B14" s="696">
        <v>0</v>
      </c>
      <c r="C14" s="503">
        <v>1</v>
      </c>
    </row>
    <row r="15" spans="1:8" x14ac:dyDescent="0.25">
      <c r="A15" s="675">
        <v>22</v>
      </c>
      <c r="B15" s="696">
        <v>1</v>
      </c>
      <c r="C15" s="503">
        <v>0</v>
      </c>
    </row>
    <row r="16" spans="1:8" x14ac:dyDescent="0.25">
      <c r="A16" s="675">
        <v>20</v>
      </c>
      <c r="B16" s="696">
        <v>1</v>
      </c>
      <c r="C16" s="503">
        <v>1</v>
      </c>
    </row>
    <row r="17" spans="1:3" x14ac:dyDescent="0.25">
      <c r="A17" s="675">
        <v>22</v>
      </c>
      <c r="B17" s="697">
        <v>0</v>
      </c>
      <c r="C17" s="503">
        <v>0</v>
      </c>
    </row>
    <row r="18" spans="1:3" x14ac:dyDescent="0.25">
      <c r="A18" s="675">
        <v>22</v>
      </c>
      <c r="B18" s="696">
        <v>0</v>
      </c>
      <c r="C18" s="503">
        <v>1</v>
      </c>
    </row>
    <row r="19" spans="1:3" x14ac:dyDescent="0.25">
      <c r="A19" s="675">
        <v>24</v>
      </c>
      <c r="B19" s="696">
        <v>1</v>
      </c>
      <c r="C19" s="503">
        <v>1</v>
      </c>
    </row>
    <row r="20" spans="1:3" x14ac:dyDescent="0.25">
      <c r="A20" s="675">
        <v>24</v>
      </c>
      <c r="B20" s="697">
        <v>0</v>
      </c>
      <c r="C20" s="503">
        <v>0</v>
      </c>
    </row>
    <row r="21" spans="1:3" x14ac:dyDescent="0.25">
      <c r="A21" s="675">
        <v>22</v>
      </c>
      <c r="B21" s="696">
        <v>1</v>
      </c>
      <c r="C21" s="503">
        <v>0</v>
      </c>
    </row>
    <row r="22" spans="1:3" x14ac:dyDescent="0.25">
      <c r="A22" s="675">
        <v>24</v>
      </c>
      <c r="B22" s="696">
        <v>1</v>
      </c>
      <c r="C22" s="503">
        <v>0</v>
      </c>
    </row>
    <row r="23" spans="1:3" x14ac:dyDescent="0.25">
      <c r="A23" s="675">
        <v>20</v>
      </c>
      <c r="B23" s="697">
        <v>0</v>
      </c>
      <c r="C23" s="503">
        <v>0</v>
      </c>
    </row>
    <row r="24" spans="1:3" x14ac:dyDescent="0.25">
      <c r="A24" s="675">
        <v>20</v>
      </c>
      <c r="B24" s="696">
        <v>1</v>
      </c>
      <c r="C24" s="503">
        <v>0</v>
      </c>
    </row>
    <row r="25" spans="1:3" x14ac:dyDescent="0.25">
      <c r="A25" s="675">
        <v>20</v>
      </c>
      <c r="B25" s="696">
        <v>0</v>
      </c>
      <c r="C25" s="503">
        <v>1</v>
      </c>
    </row>
    <row r="26" spans="1:3" x14ac:dyDescent="0.25">
      <c r="A26" s="675">
        <v>20</v>
      </c>
      <c r="B26" s="696">
        <v>1</v>
      </c>
      <c r="C26" s="503">
        <v>1</v>
      </c>
    </row>
    <row r="27" spans="1:3" x14ac:dyDescent="0.25">
      <c r="A27" s="675">
        <v>20</v>
      </c>
      <c r="B27" s="696">
        <v>1</v>
      </c>
      <c r="C27" s="503">
        <v>1</v>
      </c>
    </row>
    <row r="28" spans="1:3" x14ac:dyDescent="0.25">
      <c r="A28" s="675">
        <v>20</v>
      </c>
      <c r="B28" s="697">
        <v>0</v>
      </c>
      <c r="C28" s="503">
        <v>1</v>
      </c>
    </row>
    <row r="29" spans="1:3" x14ac:dyDescent="0.25">
      <c r="A29" s="675">
        <v>24</v>
      </c>
      <c r="B29" s="697">
        <v>0</v>
      </c>
      <c r="C29" s="503">
        <v>0</v>
      </c>
    </row>
    <row r="30" spans="1:3" x14ac:dyDescent="0.25">
      <c r="A30" s="675">
        <v>22</v>
      </c>
      <c r="B30" s="697">
        <v>0</v>
      </c>
      <c r="C30" s="503">
        <v>1</v>
      </c>
    </row>
    <row r="31" spans="1:3" x14ac:dyDescent="0.25">
      <c r="A31" s="675">
        <v>24</v>
      </c>
      <c r="B31" s="696">
        <v>1</v>
      </c>
      <c r="C31" s="503">
        <v>1</v>
      </c>
    </row>
    <row r="32" spans="1:3" x14ac:dyDescent="0.25">
      <c r="A32" s="675">
        <v>24</v>
      </c>
      <c r="B32" s="697">
        <v>0</v>
      </c>
      <c r="C32" s="503">
        <v>1</v>
      </c>
    </row>
    <row r="33" spans="1:3" x14ac:dyDescent="0.25">
      <c r="A33" s="675">
        <v>22</v>
      </c>
      <c r="B33" s="696">
        <v>1</v>
      </c>
      <c r="C33" s="503">
        <v>1</v>
      </c>
    </row>
    <row r="34" spans="1:3" x14ac:dyDescent="0.25">
      <c r="A34" s="675">
        <v>22</v>
      </c>
      <c r="B34" s="697">
        <v>0</v>
      </c>
      <c r="C34" s="503">
        <v>0</v>
      </c>
    </row>
    <row r="35" spans="1:3" x14ac:dyDescent="0.25">
      <c r="A35" s="675">
        <v>22</v>
      </c>
      <c r="B35" s="697">
        <v>0</v>
      </c>
      <c r="C35" s="503">
        <v>1</v>
      </c>
    </row>
    <row r="36" spans="1:3" x14ac:dyDescent="0.25">
      <c r="A36" s="675">
        <v>20</v>
      </c>
      <c r="B36" s="696">
        <v>1</v>
      </c>
      <c r="C36" s="503">
        <v>0</v>
      </c>
    </row>
    <row r="37" spans="1:3" x14ac:dyDescent="0.25">
      <c r="A37" s="675">
        <v>24</v>
      </c>
      <c r="B37" s="696">
        <v>1</v>
      </c>
      <c r="C37" s="503">
        <v>0</v>
      </c>
    </row>
    <row r="38" spans="1:3" x14ac:dyDescent="0.25">
      <c r="A38" s="675">
        <v>24</v>
      </c>
      <c r="B38" s="697">
        <v>0</v>
      </c>
      <c r="C38" s="503">
        <v>0</v>
      </c>
    </row>
    <row r="39" spans="1:3" x14ac:dyDescent="0.25">
      <c r="A39" s="675">
        <v>22</v>
      </c>
      <c r="B39" s="696">
        <v>1</v>
      </c>
      <c r="C39" s="503">
        <v>1</v>
      </c>
    </row>
    <row r="40" spans="1:3" x14ac:dyDescent="0.25">
      <c r="A40" s="675">
        <v>20</v>
      </c>
      <c r="B40" s="697">
        <v>0</v>
      </c>
      <c r="C40" s="503">
        <v>1</v>
      </c>
    </row>
    <row r="41" spans="1:3" x14ac:dyDescent="0.25">
      <c r="A41" s="675">
        <v>22</v>
      </c>
      <c r="B41" s="696">
        <v>0</v>
      </c>
      <c r="C41" s="503">
        <v>0</v>
      </c>
    </row>
    <row r="42" spans="1:3" x14ac:dyDescent="0.25">
      <c r="A42" s="675">
        <v>22</v>
      </c>
      <c r="B42" s="696">
        <v>1</v>
      </c>
      <c r="C42" s="503">
        <v>0</v>
      </c>
    </row>
    <row r="43" spans="1:3" x14ac:dyDescent="0.25">
      <c r="A43" s="675">
        <v>20</v>
      </c>
      <c r="B43" s="696">
        <v>1</v>
      </c>
      <c r="C43" s="503">
        <v>1</v>
      </c>
    </row>
    <row r="44" spans="1:3" x14ac:dyDescent="0.25">
      <c r="A44" s="675">
        <v>20</v>
      </c>
      <c r="B44" s="696">
        <v>1</v>
      </c>
      <c r="C44" s="503">
        <v>0</v>
      </c>
    </row>
    <row r="45" spans="1:3" x14ac:dyDescent="0.25">
      <c r="A45" s="675">
        <v>22</v>
      </c>
      <c r="B45" s="696">
        <v>1</v>
      </c>
      <c r="C45" s="503">
        <v>1</v>
      </c>
    </row>
    <row r="46" spans="1:3" x14ac:dyDescent="0.25">
      <c r="A46" s="675">
        <v>24</v>
      </c>
      <c r="B46" s="697">
        <v>0</v>
      </c>
      <c r="C46" s="503">
        <v>1</v>
      </c>
    </row>
    <row r="47" spans="1:3" x14ac:dyDescent="0.25">
      <c r="A47" s="675">
        <v>20</v>
      </c>
      <c r="B47" s="696">
        <v>1</v>
      </c>
      <c r="C47" s="503">
        <v>1</v>
      </c>
    </row>
    <row r="48" spans="1:3" x14ac:dyDescent="0.25">
      <c r="A48" s="675">
        <v>20</v>
      </c>
      <c r="B48" s="696">
        <v>0</v>
      </c>
      <c r="C48" s="503">
        <v>1</v>
      </c>
    </row>
    <row r="49" spans="1:3" x14ac:dyDescent="0.25">
      <c r="A49" s="675">
        <v>24</v>
      </c>
      <c r="B49" s="696">
        <v>1</v>
      </c>
      <c r="C49" s="503">
        <v>0</v>
      </c>
    </row>
    <row r="50" spans="1:3" x14ac:dyDescent="0.25">
      <c r="A50" s="675">
        <v>24</v>
      </c>
      <c r="B50" s="696">
        <v>1</v>
      </c>
      <c r="C50" s="503">
        <v>0</v>
      </c>
    </row>
    <row r="51" spans="1:3" x14ac:dyDescent="0.25">
      <c r="A51" s="675">
        <v>22</v>
      </c>
      <c r="B51" s="696">
        <v>0</v>
      </c>
      <c r="C51" s="503">
        <v>1</v>
      </c>
    </row>
    <row r="52" spans="1:3" x14ac:dyDescent="0.25">
      <c r="A52" s="678">
        <v>24</v>
      </c>
      <c r="B52" s="699">
        <v>1</v>
      </c>
      <c r="C52" s="42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AT118"/>
  <sheetViews>
    <sheetView workbookViewId="0"/>
  </sheetViews>
  <sheetFormatPr defaultRowHeight="15" x14ac:dyDescent="0.25"/>
  <cols>
    <col min="4" max="5" width="9.140625" customWidth="1"/>
    <col min="6" max="6" width="8.7109375" customWidth="1"/>
    <col min="7" max="9" width="9.140625" customWidth="1"/>
    <col min="10" max="12" width="9.28515625" bestFit="1" customWidth="1"/>
    <col min="13" max="13" width="9.28515625" customWidth="1"/>
    <col min="14" max="15" width="9.28515625" bestFit="1" customWidth="1"/>
    <col min="17" max="29" width="9.140625" customWidth="1"/>
    <col min="33" max="34" width="9.140625" customWidth="1"/>
  </cols>
  <sheetData>
    <row r="1" spans="1:42" x14ac:dyDescent="0.25">
      <c r="A1" s="1" t="s">
        <v>1546</v>
      </c>
      <c r="B1" s="1"/>
      <c r="C1" s="17"/>
      <c r="D1" s="17"/>
    </row>
    <row r="2" spans="1:42" x14ac:dyDescent="0.25">
      <c r="A2" s="17"/>
      <c r="B2" s="17"/>
      <c r="C2" s="17"/>
      <c r="D2" s="17"/>
    </row>
    <row r="3" spans="1:42" x14ac:dyDescent="0.25">
      <c r="A3" s="649" t="s">
        <v>1320</v>
      </c>
      <c r="B3" s="649" t="s">
        <v>1321</v>
      </c>
      <c r="C3" s="649" t="s">
        <v>130</v>
      </c>
      <c r="D3" s="649" t="s">
        <v>108</v>
      </c>
      <c r="F3" t="s">
        <v>1243</v>
      </c>
      <c r="AD3" t="s">
        <v>1709</v>
      </c>
      <c r="AI3" t="s">
        <v>1713</v>
      </c>
    </row>
    <row r="4" spans="1:42" ht="15.75" thickBot="1" x14ac:dyDescent="0.3">
      <c r="A4" s="673">
        <v>20</v>
      </c>
      <c r="B4" s="674">
        <v>0</v>
      </c>
      <c r="C4" s="671">
        <v>21</v>
      </c>
      <c r="D4" s="672">
        <v>0</v>
      </c>
    </row>
    <row r="5" spans="1:42" ht="15.75" thickTop="1" x14ac:dyDescent="0.25">
      <c r="A5" s="675">
        <v>21</v>
      </c>
      <c r="B5" s="676">
        <v>0</v>
      </c>
      <c r="C5" s="576">
        <v>90</v>
      </c>
      <c r="D5" s="495">
        <v>6</v>
      </c>
      <c r="F5" s="800" t="str">
        <f>A3</f>
        <v>Temp</v>
      </c>
      <c r="G5" s="800" t="str">
        <f>B3</f>
        <v>Water</v>
      </c>
      <c r="H5" s="800" t="str">
        <f>C3</f>
        <v>Male</v>
      </c>
      <c r="I5" s="800" t="str">
        <f>D3</f>
        <v>Female</v>
      </c>
      <c r="J5" s="800" t="s">
        <v>1</v>
      </c>
      <c r="K5" s="800" t="s">
        <v>1322</v>
      </c>
      <c r="L5" s="800" t="s">
        <v>1323</v>
      </c>
      <c r="M5" s="800" t="s">
        <v>1707</v>
      </c>
      <c r="N5" s="800" t="s">
        <v>1708</v>
      </c>
      <c r="O5" s="800" t="s">
        <v>1253</v>
      </c>
      <c r="P5" s="800" t="s">
        <v>1527</v>
      </c>
      <c r="Q5" s="800" t="s">
        <v>1648</v>
      </c>
      <c r="S5" t="s">
        <v>1324</v>
      </c>
      <c r="U5" t="s">
        <v>1252</v>
      </c>
      <c r="V5" s="802">
        <f>H18*LN(H18/J18)+I18*LN(I18/J18)</f>
        <v>-576.26986120489823</v>
      </c>
      <c r="X5" t="s">
        <v>1528</v>
      </c>
      <c r="AB5" t="s">
        <v>1719</v>
      </c>
      <c r="AE5" s="792" t="s">
        <v>1710</v>
      </c>
      <c r="AF5" s="792" t="s">
        <v>1711</v>
      </c>
      <c r="AI5" s="754" t="s">
        <v>1323</v>
      </c>
      <c r="AJ5" s="754" t="s">
        <v>1655</v>
      </c>
      <c r="AK5" s="754" t="s">
        <v>1654</v>
      </c>
      <c r="AL5" s="754" t="s">
        <v>1714</v>
      </c>
      <c r="AM5" s="754" t="s">
        <v>1715</v>
      </c>
      <c r="AN5" s="754" t="s">
        <v>1716</v>
      </c>
      <c r="AO5" s="754" t="s">
        <v>1717</v>
      </c>
      <c r="AP5" s="754" t="s">
        <v>1718</v>
      </c>
    </row>
    <row r="6" spans="1:42" x14ac:dyDescent="0.25">
      <c r="A6" s="675">
        <v>22</v>
      </c>
      <c r="B6" s="676">
        <v>0</v>
      </c>
      <c r="C6" s="576">
        <v>91</v>
      </c>
      <c r="D6" s="495">
        <v>23</v>
      </c>
      <c r="F6">
        <f t="shared" ref="F6:F17" si="0">A4</f>
        <v>20</v>
      </c>
      <c r="G6">
        <f t="shared" ref="G6:G17" si="1">B4</f>
        <v>0</v>
      </c>
      <c r="H6" s="501">
        <f t="shared" ref="H6:H17" si="2">C4</f>
        <v>21</v>
      </c>
      <c r="I6" s="7">
        <f t="shared" ref="I6:I17" si="3">D4</f>
        <v>0</v>
      </c>
      <c r="J6" s="57">
        <f>H6+I6</f>
        <v>21</v>
      </c>
      <c r="K6">
        <f>H6/J6</f>
        <v>1</v>
      </c>
      <c r="L6">
        <f>1/(1+EXP(-$S$7-MMULT(F6:G6,$S$8:$S$9)))</f>
        <v>0.96266616488847268</v>
      </c>
      <c r="M6" s="797">
        <f>J6*L6</f>
        <v>20.215989462657927</v>
      </c>
      <c r="N6" s="799">
        <f>J6-M6</f>
        <v>0.78401053734207338</v>
      </c>
      <c r="O6">
        <f>J6*(K6*LN(L6)+(1-K6)*LN(1-L6))</f>
        <v>-0.79902036638343943</v>
      </c>
      <c r="P6">
        <f>100*IF(L6&gt;=$AE$12,H6/J6,I6/J6)</f>
        <v>100</v>
      </c>
      <c r="Q6">
        <f>(H6-M6)^2/M6+(I6-N6)^2/N6</f>
        <v>0.81441580262967173</v>
      </c>
      <c r="U6" t="s">
        <v>1315</v>
      </c>
      <c r="V6" s="757">
        <f>O18</f>
        <v>-446.56786869171009</v>
      </c>
      <c r="X6" s="797">
        <f t="array" ref="X6:Z8">MINVERSE(MMULT(TRANSPOSE([1]!DESIGN(F6:G17)),L6:L17*(1-L6:L17)*J6:J17*[1]!DESIGN(F6:G17)))</f>
        <v>3.3902164957737875</v>
      </c>
      <c r="Y6" s="798">
        <v>-0.14889809067058188</v>
      </c>
      <c r="Z6" s="799">
        <v>-2.3933709576118936E-3</v>
      </c>
      <c r="AB6" s="802">
        <f t="array" ref="AB6:AB8">MMULT(X6:Z8,MMULT(TRANSPOSE([1]!DESIGN(F6:G17)),J6:J17*(K6:K17-L6:L17)))</f>
        <v>-4.3309428343157156E-15</v>
      </c>
      <c r="AD6" t="s">
        <v>1707</v>
      </c>
      <c r="AE6" s="797">
        <f>SUMIF(L6:L17,"&gt;="&amp;AE12,H6:H17)</f>
        <v>483</v>
      </c>
      <c r="AF6" s="799">
        <f>SUMIF(L6:L17,"&gt;="&amp;AE12,I6:I17)</f>
        <v>201</v>
      </c>
      <c r="AG6">
        <f>AE6+AF6</f>
        <v>684</v>
      </c>
      <c r="AL6">
        <v>0</v>
      </c>
      <c r="AM6">
        <v>0</v>
      </c>
      <c r="AN6">
        <f>1-AL6/AL$18</f>
        <v>1</v>
      </c>
      <c r="AO6">
        <f>1-AM6/AM$18</f>
        <v>1</v>
      </c>
      <c r="AP6">
        <f>(AN6-AN7)*AO6</f>
        <v>6.5088757396449703E-2</v>
      </c>
    </row>
    <row r="7" spans="1:42" x14ac:dyDescent="0.25">
      <c r="A7" s="675">
        <v>23</v>
      </c>
      <c r="B7" s="677">
        <v>0</v>
      </c>
      <c r="C7" s="576">
        <v>61</v>
      </c>
      <c r="D7" s="495">
        <v>73</v>
      </c>
      <c r="F7">
        <f t="shared" si="0"/>
        <v>21</v>
      </c>
      <c r="G7">
        <f t="shared" si="1"/>
        <v>0</v>
      </c>
      <c r="H7" s="501">
        <f t="shared" si="2"/>
        <v>90</v>
      </c>
      <c r="I7" s="7">
        <f t="shared" si="3"/>
        <v>6</v>
      </c>
      <c r="J7" s="57">
        <f t="shared" ref="J7:J17" si="4">H7+I7</f>
        <v>96</v>
      </c>
      <c r="K7">
        <f t="shared" ref="K7:K17" si="5">H7/J7</f>
        <v>0.9375</v>
      </c>
      <c r="L7">
        <f t="shared" ref="L7:L17" si="6">1/(1+EXP(-$S$7-MMULT(F7:G7,$S$8:$S$9)))</f>
        <v>0.89855085781689825</v>
      </c>
      <c r="M7" s="501">
        <f t="shared" ref="M7:M17" si="7">J7*L7</f>
        <v>86.260882350422236</v>
      </c>
      <c r="N7" s="57">
        <f t="shared" ref="N7:N17" si="8">J7-M7</f>
        <v>9.7391176495777643</v>
      </c>
      <c r="O7">
        <f t="shared" ref="O7:O17" si="9">J7*(K7*LN(L7)+(1-K7)*LN(1-L7))</f>
        <v>-23.356663430150121</v>
      </c>
      <c r="P7">
        <f>100*IF(L7&gt;=$AE$12,H7/J7,I7/J7)</f>
        <v>93.75</v>
      </c>
      <c r="Q7">
        <f t="shared" ref="Q7:Q17" si="10">(H7-M7)^2/M7+(I7-N7)^2/N7</f>
        <v>1.5976291837819236</v>
      </c>
      <c r="S7" s="802">
        <f t="array" ref="S7:S9">[1]!LogitCoeff(F6:I17,,,,,20)</f>
        <v>24.621426069281821</v>
      </c>
      <c r="X7" s="501">
        <v>-0.14889809067058185</v>
      </c>
      <c r="Y7" s="7">
        <v>6.5645960511182709E-3</v>
      </c>
      <c r="Z7" s="57">
        <v>-4.63732620073475E-4</v>
      </c>
      <c r="AB7" s="680">
        <v>1.4139347059116478E-16</v>
      </c>
      <c r="AD7" t="s">
        <v>1708</v>
      </c>
      <c r="AE7" s="759">
        <f>AE8-AE6</f>
        <v>39</v>
      </c>
      <c r="AF7" s="761">
        <f>AF8-AF6</f>
        <v>137</v>
      </c>
      <c r="AG7">
        <f>AE7+AF7</f>
        <v>176</v>
      </c>
      <c r="AI7">
        <f t="array" ref="AI7:AK18">[1]!SelectCols(H6:L17,"5,2,1",1)</f>
        <v>0.10594614214775683</v>
      </c>
      <c r="AJ7">
        <v>22</v>
      </c>
      <c r="AK7">
        <v>7</v>
      </c>
      <c r="AL7">
        <f>AL6+AJ7</f>
        <v>22</v>
      </c>
      <c r="AM7">
        <f>AM6+AK7</f>
        <v>7</v>
      </c>
      <c r="AN7">
        <f t="shared" ref="AN7:AN18" si="11">1-AL7/AL$18</f>
        <v>0.9349112426035503</v>
      </c>
      <c r="AO7">
        <f t="shared" ref="AO7:AO18" si="12">1-AM7/AM$18</f>
        <v>0.98659003831417624</v>
      </c>
      <c r="AP7">
        <f t="shared" ref="AP7:AP18" si="13">(AN7-AN8)*AO7</f>
        <v>8.1729352286381438E-2</v>
      </c>
    </row>
    <row r="8" spans="1:42" x14ac:dyDescent="0.25">
      <c r="A8" s="675">
        <v>24</v>
      </c>
      <c r="B8" s="677">
        <v>0</v>
      </c>
      <c r="C8" s="576">
        <v>11</v>
      </c>
      <c r="D8" s="495">
        <v>41</v>
      </c>
      <c r="F8">
        <f t="shared" si="0"/>
        <v>22</v>
      </c>
      <c r="G8">
        <f t="shared" si="1"/>
        <v>0</v>
      </c>
      <c r="H8" s="501">
        <f t="shared" si="2"/>
        <v>91</v>
      </c>
      <c r="I8" s="7">
        <f t="shared" si="3"/>
        <v>23</v>
      </c>
      <c r="J8" s="57">
        <f t="shared" si="4"/>
        <v>114</v>
      </c>
      <c r="K8">
        <f t="shared" si="5"/>
        <v>0.79824561403508776</v>
      </c>
      <c r="L8">
        <f t="shared" si="6"/>
        <v>0.75262184143260014</v>
      </c>
      <c r="M8" s="501">
        <f t="shared" si="7"/>
        <v>85.798889923316409</v>
      </c>
      <c r="N8" s="57">
        <f t="shared" si="8"/>
        <v>28.201110076683591</v>
      </c>
      <c r="O8">
        <f>J8*(K8*LN(L8)+(1-K8)*LN(1-L8))</f>
        <v>-57.98876003111436</v>
      </c>
      <c r="P8">
        <f t="shared" ref="P8:P17" si="14">100*IF(L8&gt;=$AE$12,H8/J8,I8/J8)</f>
        <v>79.824561403508781</v>
      </c>
      <c r="Q8">
        <f t="shared" si="10"/>
        <v>1.2745270855742936</v>
      </c>
      <c r="S8" s="680">
        <v>-1.0685809701099545</v>
      </c>
      <c r="U8" t="s">
        <v>1328</v>
      </c>
      <c r="V8" s="802">
        <f>2*(V6-V5)</f>
        <v>259.40398502637629</v>
      </c>
      <c r="X8" s="759">
        <v>-2.3933709576119387E-3</v>
      </c>
      <c r="Y8" s="760">
        <v>-4.6373262007347299E-4</v>
      </c>
      <c r="Z8" s="761">
        <v>2.695300121508552E-2</v>
      </c>
      <c r="AB8" s="757">
        <v>3.3002092057542534E-16</v>
      </c>
      <c r="AE8">
        <f>H18</f>
        <v>522</v>
      </c>
      <c r="AF8">
        <f>I18</f>
        <v>338</v>
      </c>
      <c r="AG8">
        <f>AE8+AF8</f>
        <v>860</v>
      </c>
      <c r="AI8">
        <v>0.10976945326838558</v>
      </c>
      <c r="AJ8">
        <v>28</v>
      </c>
      <c r="AK8">
        <v>4</v>
      </c>
      <c r="AL8">
        <f>AL7+AJ8</f>
        <v>50</v>
      </c>
      <c r="AM8">
        <f t="shared" ref="AM8:AM18" si="15">AM7+AK8</f>
        <v>11</v>
      </c>
      <c r="AN8">
        <f>1-AL8/AL$18</f>
        <v>0.85207100591715978</v>
      </c>
      <c r="AO8">
        <f>1-AM8/AM$18</f>
        <v>0.97892720306513414</v>
      </c>
      <c r="AP8">
        <f>(AN8-AN9)*AO8</f>
        <v>0.13322677911537331</v>
      </c>
    </row>
    <row r="9" spans="1:42" x14ac:dyDescent="0.25">
      <c r="A9" s="675">
        <v>25</v>
      </c>
      <c r="B9" s="677">
        <v>0</v>
      </c>
      <c r="C9" s="532">
        <v>4</v>
      </c>
      <c r="D9" s="533">
        <v>28</v>
      </c>
      <c r="F9">
        <f t="shared" si="0"/>
        <v>23</v>
      </c>
      <c r="G9">
        <f t="shared" si="1"/>
        <v>0</v>
      </c>
      <c r="H9" s="501">
        <f t="shared" si="2"/>
        <v>61</v>
      </c>
      <c r="I9" s="7">
        <f t="shared" si="3"/>
        <v>73</v>
      </c>
      <c r="J9" s="57">
        <f t="shared" si="4"/>
        <v>134</v>
      </c>
      <c r="K9">
        <f t="shared" si="5"/>
        <v>0.45522388059701491</v>
      </c>
      <c r="L9">
        <f t="shared" si="6"/>
        <v>0.51101415714180365</v>
      </c>
      <c r="M9" s="501">
        <f t="shared" si="7"/>
        <v>68.475897057001688</v>
      </c>
      <c r="N9" s="57">
        <f t="shared" si="8"/>
        <v>65.524102942998312</v>
      </c>
      <c r="O9">
        <f t="shared" si="9"/>
        <v>-93.178624150378255</v>
      </c>
      <c r="P9">
        <f t="shared" si="14"/>
        <v>45.522388059701491</v>
      </c>
      <c r="Q9">
        <f t="shared" si="10"/>
        <v>1.66913940119171</v>
      </c>
      <c r="S9" s="757">
        <v>-3.9736961531074963E-2</v>
      </c>
      <c r="U9" t="s">
        <v>60</v>
      </c>
      <c r="V9" s="680">
        <f>COUNT(F6:G6)</f>
        <v>2</v>
      </c>
      <c r="AI9">
        <v>0.2564973160648405</v>
      </c>
      <c r="AJ9">
        <v>46</v>
      </c>
      <c r="AK9">
        <v>17</v>
      </c>
      <c r="AL9">
        <f t="shared" ref="AL9:AL18" si="16">AL8+AJ9</f>
        <v>96</v>
      </c>
      <c r="AM9">
        <f>AM8+AK9</f>
        <v>28</v>
      </c>
      <c r="AN9">
        <f t="shared" si="11"/>
        <v>0.71597633136094674</v>
      </c>
      <c r="AO9">
        <f t="shared" si="12"/>
        <v>0.94636015325670497</v>
      </c>
      <c r="AP9">
        <f t="shared" si="13"/>
        <v>0.11479516651930441</v>
      </c>
    </row>
    <row r="10" spans="1:42" x14ac:dyDescent="0.25">
      <c r="A10" s="675">
        <v>20</v>
      </c>
      <c r="B10" s="677">
        <v>1</v>
      </c>
      <c r="C10" s="576">
        <v>18</v>
      </c>
      <c r="D10" s="495">
        <v>4</v>
      </c>
      <c r="F10">
        <f t="shared" si="0"/>
        <v>24</v>
      </c>
      <c r="G10">
        <f t="shared" si="1"/>
        <v>0</v>
      </c>
      <c r="H10" s="501">
        <f t="shared" si="2"/>
        <v>11</v>
      </c>
      <c r="I10" s="7">
        <f t="shared" si="3"/>
        <v>41</v>
      </c>
      <c r="J10" s="57">
        <f t="shared" si="4"/>
        <v>52</v>
      </c>
      <c r="K10">
        <f t="shared" si="5"/>
        <v>0.21153846153846154</v>
      </c>
      <c r="L10">
        <f t="shared" si="6"/>
        <v>0.26414843657718245</v>
      </c>
      <c r="M10" s="501">
        <f t="shared" si="7"/>
        <v>13.735718702013488</v>
      </c>
      <c r="N10" s="57">
        <f t="shared" si="8"/>
        <v>38.264281297986514</v>
      </c>
      <c r="O10">
        <f t="shared" si="9"/>
        <v>-27.219486104652638</v>
      </c>
      <c r="P10">
        <f t="shared" si="14"/>
        <v>78.84615384615384</v>
      </c>
      <c r="Q10">
        <f t="shared" si="10"/>
        <v>0.74045943894013777</v>
      </c>
      <c r="U10" t="s">
        <v>67</v>
      </c>
      <c r="V10" s="680">
        <f>CHIDIST(V8,V9)</f>
        <v>4.6896492246352136E-57</v>
      </c>
      <c r="AD10" t="s">
        <v>1735</v>
      </c>
      <c r="AE10" s="803">
        <f>AE6/AE8</f>
        <v>0.92528735632183912</v>
      </c>
      <c r="AF10" s="804">
        <f>AF7/AF8</f>
        <v>0.40532544378698226</v>
      </c>
      <c r="AG10">
        <f>(AE6+AF7)/AG8</f>
        <v>0.72093023255813948</v>
      </c>
      <c r="AI10">
        <v>0.26414843657718245</v>
      </c>
      <c r="AJ10">
        <v>41</v>
      </c>
      <c r="AK10">
        <v>11</v>
      </c>
      <c r="AL10">
        <f t="shared" si="16"/>
        <v>137</v>
      </c>
      <c r="AM10">
        <f t="shared" si="15"/>
        <v>39</v>
      </c>
      <c r="AN10">
        <f t="shared" si="11"/>
        <v>0.59467455621301779</v>
      </c>
      <c r="AO10">
        <f t="shared" si="12"/>
        <v>0.92528735632183912</v>
      </c>
      <c r="AP10">
        <f t="shared" si="13"/>
        <v>0.17793987621573837</v>
      </c>
    </row>
    <row r="11" spans="1:42" x14ac:dyDescent="0.25">
      <c r="A11" s="675">
        <v>21</v>
      </c>
      <c r="B11" s="677">
        <v>1</v>
      </c>
      <c r="C11" s="576">
        <v>75</v>
      </c>
      <c r="D11" s="495">
        <v>9</v>
      </c>
      <c r="F11">
        <f t="shared" si="0"/>
        <v>25</v>
      </c>
      <c r="G11">
        <f t="shared" si="1"/>
        <v>0</v>
      </c>
      <c r="H11" s="501">
        <f t="shared" si="2"/>
        <v>4</v>
      </c>
      <c r="I11" s="7">
        <f t="shared" si="3"/>
        <v>28</v>
      </c>
      <c r="J11" s="57">
        <f t="shared" si="4"/>
        <v>32</v>
      </c>
      <c r="K11">
        <f t="shared" si="5"/>
        <v>0.125</v>
      </c>
      <c r="L11">
        <f t="shared" si="6"/>
        <v>0.10976945326838558</v>
      </c>
      <c r="M11" s="501">
        <f t="shared" si="7"/>
        <v>3.5126225045883386</v>
      </c>
      <c r="N11" s="57">
        <f t="shared" si="8"/>
        <v>28.487377495411661</v>
      </c>
      <c r="O11">
        <f t="shared" si="9"/>
        <v>-12.093186606824066</v>
      </c>
      <c r="P11">
        <f t="shared" si="14"/>
        <v>87.5</v>
      </c>
      <c r="Q11">
        <f t="shared" si="10"/>
        <v>7.5962101659372921E-2</v>
      </c>
      <c r="U11" t="s">
        <v>106</v>
      </c>
      <c r="V11" s="680">
        <v>0.05</v>
      </c>
      <c r="AI11">
        <v>0.50108169711789707</v>
      </c>
      <c r="AJ11">
        <v>65</v>
      </c>
      <c r="AK11">
        <v>59</v>
      </c>
      <c r="AL11">
        <f t="shared" si="16"/>
        <v>202</v>
      </c>
      <c r="AM11">
        <f t="shared" si="15"/>
        <v>98</v>
      </c>
      <c r="AN11">
        <f t="shared" si="11"/>
        <v>0.40236686390532539</v>
      </c>
      <c r="AO11">
        <f t="shared" si="12"/>
        <v>0.8122605363984674</v>
      </c>
      <c r="AP11">
        <f t="shared" si="13"/>
        <v>0.17542905076061574</v>
      </c>
    </row>
    <row r="12" spans="1:42" x14ac:dyDescent="0.25">
      <c r="A12" s="675">
        <v>22</v>
      </c>
      <c r="B12" s="677">
        <v>1</v>
      </c>
      <c r="C12" s="576">
        <v>68</v>
      </c>
      <c r="D12" s="495">
        <v>21</v>
      </c>
      <c r="F12">
        <f t="shared" si="0"/>
        <v>20</v>
      </c>
      <c r="G12">
        <f t="shared" si="1"/>
        <v>1</v>
      </c>
      <c r="H12" s="501">
        <f t="shared" si="2"/>
        <v>18</v>
      </c>
      <c r="I12" s="7">
        <f t="shared" si="3"/>
        <v>4</v>
      </c>
      <c r="J12" s="57">
        <f t="shared" si="4"/>
        <v>22</v>
      </c>
      <c r="K12">
        <f t="shared" si="5"/>
        <v>0.81818181818181823</v>
      </c>
      <c r="L12">
        <f t="shared" si="6"/>
        <v>0.96121146452405948</v>
      </c>
      <c r="M12" s="501">
        <f t="shared" si="7"/>
        <v>21.146652219529308</v>
      </c>
      <c r="N12" s="57">
        <f t="shared" si="8"/>
        <v>0.85334778047069193</v>
      </c>
      <c r="O12">
        <f t="shared" si="9"/>
        <v>-13.710617475732073</v>
      </c>
      <c r="P12">
        <f t="shared" si="14"/>
        <v>81.818181818181827</v>
      </c>
      <c r="Q12">
        <f t="shared" si="10"/>
        <v>12.071256713117954</v>
      </c>
      <c r="U12" t="s">
        <v>527</v>
      </c>
      <c r="V12" s="758" t="str">
        <f>IF(V10&lt;V11,"yes","no")</f>
        <v>yes</v>
      </c>
      <c r="AD12" t="s">
        <v>1712</v>
      </c>
      <c r="AE12" s="805">
        <v>0.5</v>
      </c>
      <c r="AI12">
        <v>0.51101415714180365</v>
      </c>
      <c r="AJ12">
        <v>73</v>
      </c>
      <c r="AK12">
        <v>61</v>
      </c>
      <c r="AL12">
        <f t="shared" si="16"/>
        <v>275</v>
      </c>
      <c r="AM12">
        <f t="shared" si="15"/>
        <v>159</v>
      </c>
      <c r="AN12">
        <f t="shared" si="11"/>
        <v>0.18639053254437865</v>
      </c>
      <c r="AO12">
        <f t="shared" si="12"/>
        <v>0.6954022988505747</v>
      </c>
      <c r="AP12">
        <f t="shared" si="13"/>
        <v>4.3205468271781254E-2</v>
      </c>
    </row>
    <row r="13" spans="1:42" x14ac:dyDescent="0.25">
      <c r="A13" s="675">
        <v>23</v>
      </c>
      <c r="B13" s="677">
        <v>1</v>
      </c>
      <c r="C13" s="576">
        <v>59</v>
      </c>
      <c r="D13" s="495">
        <v>65</v>
      </c>
      <c r="F13">
        <f t="shared" si="0"/>
        <v>21</v>
      </c>
      <c r="G13">
        <f t="shared" si="1"/>
        <v>1</v>
      </c>
      <c r="H13" s="501">
        <f t="shared" si="2"/>
        <v>75</v>
      </c>
      <c r="I13" s="7">
        <f t="shared" si="3"/>
        <v>9</v>
      </c>
      <c r="J13" s="57">
        <f t="shared" si="4"/>
        <v>84</v>
      </c>
      <c r="K13">
        <f t="shared" si="5"/>
        <v>0.8928571428571429</v>
      </c>
      <c r="L13">
        <f t="shared" si="6"/>
        <v>0.89487074873382011</v>
      </c>
      <c r="M13" s="501">
        <f t="shared" si="7"/>
        <v>75.169142893640895</v>
      </c>
      <c r="N13" s="57">
        <f t="shared" si="8"/>
        <v>8.8308571063591046</v>
      </c>
      <c r="O13">
        <f t="shared" si="9"/>
        <v>-28.60378143950221</v>
      </c>
      <c r="P13">
        <f t="shared" si="14"/>
        <v>89.285714285714292</v>
      </c>
      <c r="Q13">
        <f t="shared" si="10"/>
        <v>3.6202981845769246E-3</v>
      </c>
      <c r="AI13">
        <v>0.74514949898697447</v>
      </c>
      <c r="AJ13">
        <v>21</v>
      </c>
      <c r="AK13">
        <v>68</v>
      </c>
      <c r="AL13">
        <f t="shared" si="16"/>
        <v>296</v>
      </c>
      <c r="AM13">
        <f t="shared" si="15"/>
        <v>227</v>
      </c>
      <c r="AN13">
        <f t="shared" si="11"/>
        <v>0.12426035502958577</v>
      </c>
      <c r="AO13">
        <f t="shared" si="12"/>
        <v>0.56513409961685823</v>
      </c>
      <c r="AP13">
        <f t="shared" si="13"/>
        <v>3.8455870683987405E-2</v>
      </c>
    </row>
    <row r="14" spans="1:42" x14ac:dyDescent="0.25">
      <c r="A14" s="675">
        <v>24</v>
      </c>
      <c r="B14" s="677">
        <v>1</v>
      </c>
      <c r="C14" s="576">
        <v>17</v>
      </c>
      <c r="D14" s="495">
        <v>46</v>
      </c>
      <c r="F14">
        <f t="shared" si="0"/>
        <v>22</v>
      </c>
      <c r="G14">
        <f t="shared" si="1"/>
        <v>1</v>
      </c>
      <c r="H14" s="501">
        <f t="shared" si="2"/>
        <v>68</v>
      </c>
      <c r="I14" s="7">
        <f t="shared" si="3"/>
        <v>21</v>
      </c>
      <c r="J14" s="57">
        <f t="shared" si="4"/>
        <v>89</v>
      </c>
      <c r="K14">
        <f t="shared" si="5"/>
        <v>0.7640449438202247</v>
      </c>
      <c r="L14">
        <f t="shared" si="6"/>
        <v>0.74514949898697447</v>
      </c>
      <c r="M14" s="501">
        <f t="shared" si="7"/>
        <v>66.318305409840733</v>
      </c>
      <c r="N14" s="57">
        <f t="shared" si="8"/>
        <v>22.681694590159267</v>
      </c>
      <c r="O14">
        <f t="shared" si="9"/>
        <v>-48.712229646773956</v>
      </c>
      <c r="P14">
        <f t="shared" si="14"/>
        <v>76.404494382022463</v>
      </c>
      <c r="Q14">
        <f t="shared" si="10"/>
        <v>0.1673305898874157</v>
      </c>
      <c r="U14" t="s">
        <v>1325</v>
      </c>
      <c r="V14" s="802">
        <f>1-V6/V5</f>
        <v>0.22507162224656296</v>
      </c>
      <c r="AI14">
        <v>0.75262184143260014</v>
      </c>
      <c r="AJ14">
        <v>23</v>
      </c>
      <c r="AK14">
        <v>91</v>
      </c>
      <c r="AL14">
        <f t="shared" si="16"/>
        <v>319</v>
      </c>
      <c r="AM14">
        <f t="shared" si="15"/>
        <v>318</v>
      </c>
      <c r="AN14">
        <f t="shared" si="11"/>
        <v>5.6213017751479244E-2</v>
      </c>
      <c r="AO14">
        <f t="shared" si="12"/>
        <v>0.39080459770114939</v>
      </c>
      <c r="AP14">
        <f t="shared" si="13"/>
        <v>1.0406039583758383E-2</v>
      </c>
    </row>
    <row r="15" spans="1:42" x14ac:dyDescent="0.25">
      <c r="A15" s="678">
        <v>25</v>
      </c>
      <c r="B15" s="679">
        <v>1</v>
      </c>
      <c r="C15" s="409">
        <v>7</v>
      </c>
      <c r="D15" s="417">
        <v>22</v>
      </c>
      <c r="F15">
        <f t="shared" si="0"/>
        <v>23</v>
      </c>
      <c r="G15">
        <f t="shared" si="1"/>
        <v>1</v>
      </c>
      <c r="H15" s="501">
        <f t="shared" si="2"/>
        <v>59</v>
      </c>
      <c r="I15" s="7">
        <f t="shared" si="3"/>
        <v>65</v>
      </c>
      <c r="J15" s="57">
        <f t="shared" si="4"/>
        <v>124</v>
      </c>
      <c r="K15">
        <f t="shared" si="5"/>
        <v>0.47580645161290325</v>
      </c>
      <c r="L15">
        <f t="shared" si="6"/>
        <v>0.50108169711789707</v>
      </c>
      <c r="M15" s="501">
        <f t="shared" si="7"/>
        <v>62.134130442619238</v>
      </c>
      <c r="N15" s="57">
        <f t="shared" si="8"/>
        <v>61.865869557380762</v>
      </c>
      <c r="O15">
        <f t="shared" si="9"/>
        <v>-85.96352095280406</v>
      </c>
      <c r="P15">
        <f t="shared" si="14"/>
        <v>47.580645161290327</v>
      </c>
      <c r="Q15">
        <f t="shared" si="10"/>
        <v>0.31686514854341774</v>
      </c>
      <c r="U15" t="s">
        <v>1326</v>
      </c>
      <c r="V15" s="680">
        <f>1-EXP((-2/J18)*(V6-V5))</f>
        <v>0.26039020856247452</v>
      </c>
      <c r="AI15">
        <v>0.89487074873382011</v>
      </c>
      <c r="AJ15">
        <v>9</v>
      </c>
      <c r="AK15">
        <v>75</v>
      </c>
      <c r="AL15">
        <f t="shared" si="16"/>
        <v>328</v>
      </c>
      <c r="AM15">
        <f t="shared" si="15"/>
        <v>393</v>
      </c>
      <c r="AN15">
        <f t="shared" si="11"/>
        <v>2.9585798816568087E-2</v>
      </c>
      <c r="AO15">
        <f t="shared" si="12"/>
        <v>0.24712643678160917</v>
      </c>
      <c r="AP15">
        <f t="shared" si="13"/>
        <v>4.3868598245256291E-3</v>
      </c>
    </row>
    <row r="16" spans="1:42" x14ac:dyDescent="0.25">
      <c r="C16">
        <f>SUM(C4:C15)</f>
        <v>522</v>
      </c>
      <c r="D16">
        <f>SUM(D4:D15)</f>
        <v>338</v>
      </c>
      <c r="F16">
        <f t="shared" si="0"/>
        <v>24</v>
      </c>
      <c r="G16">
        <f t="shared" si="1"/>
        <v>1</v>
      </c>
      <c r="H16" s="501">
        <f t="shared" si="2"/>
        <v>17</v>
      </c>
      <c r="I16" s="7">
        <f t="shared" si="3"/>
        <v>46</v>
      </c>
      <c r="J16" s="57">
        <f t="shared" si="4"/>
        <v>63</v>
      </c>
      <c r="K16">
        <f t="shared" si="5"/>
        <v>0.26984126984126983</v>
      </c>
      <c r="L16">
        <f t="shared" si="6"/>
        <v>0.2564973160648405</v>
      </c>
      <c r="M16" s="501">
        <f t="shared" si="7"/>
        <v>16.15933091208495</v>
      </c>
      <c r="N16" s="57">
        <f t="shared" si="8"/>
        <v>46.840669087915046</v>
      </c>
      <c r="O16">
        <f t="shared" si="9"/>
        <v>-36.764443876130585</v>
      </c>
      <c r="P16">
        <f t="shared" si="14"/>
        <v>73.015873015873012</v>
      </c>
      <c r="Q16">
        <f t="shared" si="10"/>
        <v>5.8822603362858258E-2</v>
      </c>
      <c r="U16" t="s">
        <v>1327</v>
      </c>
      <c r="V16" s="757">
        <f>V15/(1-EXP(2*V5/J18))</f>
        <v>0.35273816420302867</v>
      </c>
      <c r="AI16">
        <v>0.89855085781689825</v>
      </c>
      <c r="AJ16">
        <v>6</v>
      </c>
      <c r="AK16">
        <v>90</v>
      </c>
      <c r="AL16">
        <f t="shared" si="16"/>
        <v>334</v>
      </c>
      <c r="AM16">
        <f t="shared" si="15"/>
        <v>483</v>
      </c>
      <c r="AN16">
        <f t="shared" si="11"/>
        <v>1.1834319526627168E-2</v>
      </c>
      <c r="AO16">
        <f t="shared" si="12"/>
        <v>7.4712643678160884E-2</v>
      </c>
      <c r="AP16">
        <f t="shared" si="13"/>
        <v>8.8417329796639725E-4</v>
      </c>
    </row>
    <row r="17" spans="2:42" x14ac:dyDescent="0.25">
      <c r="F17">
        <f t="shared" si="0"/>
        <v>25</v>
      </c>
      <c r="G17">
        <f t="shared" si="1"/>
        <v>1</v>
      </c>
      <c r="H17" s="759">
        <f t="shared" si="2"/>
        <v>7</v>
      </c>
      <c r="I17" s="760">
        <f t="shared" si="3"/>
        <v>22</v>
      </c>
      <c r="J17" s="57">
        <f t="shared" si="4"/>
        <v>29</v>
      </c>
      <c r="K17">
        <f t="shared" si="5"/>
        <v>0.2413793103448276</v>
      </c>
      <c r="L17">
        <f t="shared" si="6"/>
        <v>0.10594614214775683</v>
      </c>
      <c r="M17" s="501">
        <f t="shared" si="7"/>
        <v>3.0724381222849479</v>
      </c>
      <c r="N17" s="57">
        <f t="shared" si="8"/>
        <v>25.927561877715053</v>
      </c>
      <c r="O17">
        <f t="shared" si="9"/>
        <v>-18.177534611264289</v>
      </c>
      <c r="P17">
        <f t="shared" si="14"/>
        <v>75.862068965517238</v>
      </c>
      <c r="Q17">
        <f t="shared" si="10"/>
        <v>5.615639824853794</v>
      </c>
      <c r="AI17">
        <v>0.96121146452405948</v>
      </c>
      <c r="AJ17">
        <v>4</v>
      </c>
      <c r="AK17">
        <v>18</v>
      </c>
      <c r="AL17">
        <f t="shared" si="16"/>
        <v>338</v>
      </c>
      <c r="AM17">
        <f t="shared" si="15"/>
        <v>501</v>
      </c>
      <c r="AN17">
        <f t="shared" si="11"/>
        <v>0</v>
      </c>
      <c r="AO17">
        <f t="shared" si="12"/>
        <v>4.0229885057471271E-2</v>
      </c>
      <c r="AP17">
        <f t="shared" si="13"/>
        <v>0</v>
      </c>
    </row>
    <row r="18" spans="2:42" x14ac:dyDescent="0.25">
      <c r="F18" s="4"/>
      <c r="G18" s="4"/>
      <c r="H18" s="4">
        <f>SUM(H6:H17)</f>
        <v>522</v>
      </c>
      <c r="I18" s="4">
        <f>SUM(I6:I17)</f>
        <v>338</v>
      </c>
      <c r="J18" s="801">
        <f>SUM(J6:J17)</f>
        <v>860</v>
      </c>
      <c r="K18" s="801"/>
      <c r="L18" s="801"/>
      <c r="M18" s="801">
        <f>SUM(M6:M17)</f>
        <v>522.00000000000011</v>
      </c>
      <c r="N18" s="801">
        <f>SUM(N6:N17)</f>
        <v>337.99999999999989</v>
      </c>
      <c r="O18" s="801">
        <f>SUM(O6:O17)</f>
        <v>-446.56786869171009</v>
      </c>
      <c r="P18" s="801">
        <f>SUMPRODUCT(P6:P17,J6:J17)/J18</f>
        <v>72.093023255813947</v>
      </c>
      <c r="Q18" s="801">
        <f>SUM(Q6:Q17)</f>
        <v>24.405668191727127</v>
      </c>
      <c r="U18" t="s">
        <v>1653</v>
      </c>
      <c r="V18" s="802">
        <f>Q18</f>
        <v>24.405668191727127</v>
      </c>
      <c r="AI18" s="762">
        <v>0.96266616488847268</v>
      </c>
      <c r="AJ18" s="762">
        <v>0</v>
      </c>
      <c r="AK18" s="762">
        <v>21</v>
      </c>
      <c r="AL18" s="762">
        <f t="shared" si="16"/>
        <v>338</v>
      </c>
      <c r="AM18" s="762">
        <f t="shared" si="15"/>
        <v>522</v>
      </c>
      <c r="AN18" s="762">
        <f t="shared" si="11"/>
        <v>0</v>
      </c>
      <c r="AO18" s="762">
        <f t="shared" si="12"/>
        <v>0</v>
      </c>
      <c r="AP18" s="762">
        <f t="shared" si="13"/>
        <v>0</v>
      </c>
    </row>
    <row r="19" spans="2:42" ht="15.75" thickBot="1" x14ac:dyDescent="0.3">
      <c r="U19" t="s">
        <v>60</v>
      </c>
      <c r="V19" s="680">
        <f>COUNT(J6:J17)-2</f>
        <v>10</v>
      </c>
      <c r="AP19">
        <f>SUM(AP6:AP18)</f>
        <v>0.84554739395588208</v>
      </c>
    </row>
    <row r="20" spans="2:42" ht="15.75" thickTop="1" x14ac:dyDescent="0.25">
      <c r="F20" s="754"/>
      <c r="G20" s="754" t="s">
        <v>1529</v>
      </c>
      <c r="H20" s="754" t="s">
        <v>425</v>
      </c>
      <c r="I20" s="754" t="s">
        <v>1530</v>
      </c>
      <c r="J20" s="754" t="s">
        <v>67</v>
      </c>
      <c r="K20" s="754" t="s">
        <v>1531</v>
      </c>
      <c r="L20" s="754" t="s">
        <v>29</v>
      </c>
      <c r="M20" s="754" t="s">
        <v>30</v>
      </c>
      <c r="U20" t="s">
        <v>67</v>
      </c>
      <c r="V20" s="680">
        <f>CHIDIST(V18,V19)</f>
        <v>6.5934375855657068E-3</v>
      </c>
    </row>
    <row r="21" spans="2:42" x14ac:dyDescent="0.25">
      <c r="F21" t="s">
        <v>296</v>
      </c>
      <c r="G21">
        <f t="array" ref="G21:G23">S7:S9</f>
        <v>24.621426069281821</v>
      </c>
      <c r="H21">
        <f t="array" ref="H21:H23">SQRT([1]!DIAG(X6:Z8))</f>
        <v>1.8412540551954766</v>
      </c>
      <c r="I21">
        <f>(G21/H21)^2</f>
        <v>178.81295263615525</v>
      </c>
      <c r="J21">
        <f>CHIDIST(I21,1)</f>
        <v>8.8024902836253135E-41</v>
      </c>
      <c r="K21">
        <f>EXP(G21)</f>
        <v>49311643633.212898</v>
      </c>
      <c r="U21" t="s">
        <v>106</v>
      </c>
      <c r="V21" s="680">
        <f>V11</f>
        <v>0.05</v>
      </c>
    </row>
    <row r="22" spans="2:42" x14ac:dyDescent="0.25">
      <c r="F22" t="str">
        <f t="array" ref="F22:F23">TRANSPOSE(F5:G5)</f>
        <v>Temp</v>
      </c>
      <c r="G22">
        <v>-1.0685809701099545</v>
      </c>
      <c r="H22">
        <v>8.1022194805610334E-2</v>
      </c>
      <c r="I22">
        <f>(G22/H22)^2</f>
        <v>173.94296325157984</v>
      </c>
      <c r="J22">
        <f>CHIDIST(I22,1)</f>
        <v>1.0186857226785819E-39</v>
      </c>
      <c r="K22">
        <f>EXP(G22)</f>
        <v>0.3434956022697106</v>
      </c>
      <c r="L22">
        <f>EXP(G22-H22*NORMSINV(1-$V$11/2))</f>
        <v>0.2930589329396876</v>
      </c>
      <c r="M22">
        <f>EXP(G22+H22*NORMSINV(1-$V$11/2))</f>
        <v>0.40261263355829441</v>
      </c>
      <c r="U22" t="s">
        <v>527</v>
      </c>
      <c r="V22" s="758" t="str">
        <f>IF(V20&lt;V21,"yes","no")</f>
        <v>yes</v>
      </c>
    </row>
    <row r="23" spans="2:42" x14ac:dyDescent="0.25">
      <c r="F23" s="762" t="str">
        <v>Water</v>
      </c>
      <c r="G23" s="762">
        <v>-3.9736961531074963E-2</v>
      </c>
      <c r="H23" s="762">
        <v>0.16417369221372077</v>
      </c>
      <c r="I23" s="762">
        <f>(G23/H23)^2</f>
        <v>5.8584426243351147E-2</v>
      </c>
      <c r="J23" s="762">
        <f>CHIDIST(I23,1)</f>
        <v>0.80874746485921756</v>
      </c>
      <c r="K23" s="762">
        <f>EXP(G23)</f>
        <v>0.96104219697641535</v>
      </c>
      <c r="L23" s="762">
        <f>EXP(G23-H23*NORMSINV(1-$V$11/2))</f>
        <v>0.69662259498540946</v>
      </c>
      <c r="M23" s="762">
        <f>EXP(G23+H23*NORMSINV(1-$V$11/2))</f>
        <v>1.3258285203749378</v>
      </c>
    </row>
    <row r="26" spans="2:42" x14ac:dyDescent="0.25">
      <c r="B26" s="1" t="s">
        <v>1548</v>
      </c>
      <c r="F26" t="s">
        <v>1243</v>
      </c>
      <c r="AB26" t="s">
        <v>1709</v>
      </c>
      <c r="AG26" t="s">
        <v>1713</v>
      </c>
    </row>
    <row r="27" spans="2:42" ht="15.75" thickBot="1" x14ac:dyDescent="0.3"/>
    <row r="28" spans="2:42" ht="15.75" thickTop="1" x14ac:dyDescent="0.25">
      <c r="B28" s="649" t="s">
        <v>1320</v>
      </c>
      <c r="C28" s="649" t="s">
        <v>130</v>
      </c>
      <c r="D28" s="649" t="s">
        <v>108</v>
      </c>
      <c r="F28" s="800" t="str">
        <f t="array" ref="F28:H34">[1]!LogitReduce(A3:D15,"Water")</f>
        <v>Temp</v>
      </c>
      <c r="G28" s="800" t="str">
        <v>Male</v>
      </c>
      <c r="H28" s="800" t="str">
        <v>Female</v>
      </c>
      <c r="I28" s="800" t="s">
        <v>1</v>
      </c>
      <c r="J28" s="800" t="s">
        <v>1322</v>
      </c>
      <c r="K28" s="800" t="s">
        <v>1323</v>
      </c>
      <c r="L28" s="800" t="s">
        <v>1707</v>
      </c>
      <c r="M28" s="800" t="s">
        <v>1708</v>
      </c>
      <c r="N28" s="800" t="s">
        <v>1253</v>
      </c>
      <c r="O28" s="800" t="s">
        <v>1527</v>
      </c>
      <c r="P28" s="800" t="s">
        <v>1648</v>
      </c>
      <c r="R28" t="s">
        <v>1324</v>
      </c>
      <c r="T28" t="s">
        <v>1252</v>
      </c>
      <c r="U28" s="802">
        <f>G35*LN(G35/I35)+H35*LN(H35/I35)</f>
        <v>-576.26986120489823</v>
      </c>
      <c r="W28" t="s">
        <v>1528</v>
      </c>
      <c r="Z28" t="s">
        <v>1719</v>
      </c>
      <c r="AC28" s="792" t="s">
        <v>1710</v>
      </c>
      <c r="AD28" s="792" t="s">
        <v>1711</v>
      </c>
      <c r="AG28" s="754" t="s">
        <v>1323</v>
      </c>
      <c r="AH28" s="754" t="s">
        <v>1655</v>
      </c>
      <c r="AI28" s="754" t="s">
        <v>1654</v>
      </c>
      <c r="AJ28" s="754" t="s">
        <v>1714</v>
      </c>
      <c r="AK28" s="754" t="s">
        <v>1715</v>
      </c>
      <c r="AL28" s="754" t="s">
        <v>1716</v>
      </c>
      <c r="AM28" s="754" t="s">
        <v>1717</v>
      </c>
      <c r="AN28" s="754" t="s">
        <v>1718</v>
      </c>
    </row>
    <row r="29" spans="2:42" x14ac:dyDescent="0.25">
      <c r="B29" s="810">
        <v>20</v>
      </c>
      <c r="C29" s="807">
        <f t="shared" ref="C29:D34" si="17">SUMIF($A$4:$A$15,$B29,C$4:C$15)</f>
        <v>39</v>
      </c>
      <c r="D29" s="808">
        <f t="shared" si="17"/>
        <v>4</v>
      </c>
      <c r="F29">
        <v>20</v>
      </c>
      <c r="G29" s="501">
        <v>39</v>
      </c>
      <c r="H29" s="7">
        <v>4</v>
      </c>
      <c r="I29" s="57">
        <f t="shared" ref="I29:I34" si="18">G29+H29</f>
        <v>43</v>
      </c>
      <c r="J29">
        <f t="shared" ref="J29:J34" si="19">G29/I29</f>
        <v>0.90697674418604646</v>
      </c>
      <c r="K29">
        <f t="shared" ref="K29:K34" si="20">1/(1+EXP(-$R$30-$R$31*F29))</f>
        <v>0.96205212356487524</v>
      </c>
      <c r="L29" s="797">
        <f t="shared" ref="L29:L34" si="21">I29*K29</f>
        <v>41.368241313289637</v>
      </c>
      <c r="M29" s="799">
        <f t="shared" ref="M29:M34" si="22">I29-L29</f>
        <v>1.6317586867103628</v>
      </c>
      <c r="N29">
        <f t="shared" ref="N29:N34" si="23">I29*(J29*LN(K29)+(1-J29)*LN(1-K29))</f>
        <v>-14.594946178570195</v>
      </c>
      <c r="O29">
        <f t="shared" ref="O29:O34" si="24">100*IF(K29&gt;=$AC$35,G29/I29,H29/I29)</f>
        <v>90.697674418604649</v>
      </c>
      <c r="P29">
        <f t="shared" ref="P29:P34" si="25">(G29-L29)^2/L29+(H29-M29)^2/M29</f>
        <v>3.5727067463721522</v>
      </c>
      <c r="T29" t="s">
        <v>1315</v>
      </c>
      <c r="U29" s="757">
        <f>N35</f>
        <v>-446.5971544472427</v>
      </c>
      <c r="W29" s="797">
        <f t="array" ref="W29:X30">MINVERSE(MMULT(TRANSPOSE([1]!DESIGN(F29:F34)),K29:K34*(1-K29:K34)*I29:I34*[1]!DESIGN(F29:F34)))</f>
        <v>3.3918144523040441</v>
      </c>
      <c r="X29" s="799">
        <v>-0.14901788229213553</v>
      </c>
      <c r="Z29" s="802">
        <f t="array" ref="Z29:Z30">MMULT(W29:X30,MMULT(TRANSPOSE([1]!DESIGN(F29:F34)),I29:I34*(J29:J34-K29:K34)))</f>
        <v>-1.7913009571819399E-15</v>
      </c>
      <c r="AB29" t="s">
        <v>1707</v>
      </c>
      <c r="AC29" s="797">
        <f>SUMIF(K29:K34,"&gt;="&amp;AC35,G29:G34)</f>
        <v>483</v>
      </c>
      <c r="AD29" s="799">
        <f>SUMIF(K29:K34,"&gt;="&amp;AC35,H29:H34)</f>
        <v>201</v>
      </c>
      <c r="AE29">
        <f>AC29+AD29</f>
        <v>684</v>
      </c>
      <c r="AJ29">
        <v>0</v>
      </c>
      <c r="AK29">
        <v>0</v>
      </c>
      <c r="AL29">
        <f>1-AJ29/AJ$35</f>
        <v>1</v>
      </c>
      <c r="AM29">
        <f>1-AK29/AK$35</f>
        <v>1</v>
      </c>
      <c r="AN29">
        <f>(AL29-AL30)*AM29</f>
        <v>0.14792899408284022</v>
      </c>
    </row>
    <row r="30" spans="2:42" x14ac:dyDescent="0.25">
      <c r="B30" s="701">
        <v>21</v>
      </c>
      <c r="C30" s="88">
        <f t="shared" si="17"/>
        <v>165</v>
      </c>
      <c r="D30" s="495">
        <f t="shared" si="17"/>
        <v>15</v>
      </c>
      <c r="F30">
        <v>21</v>
      </c>
      <c r="G30" s="501">
        <v>165</v>
      </c>
      <c r="H30" s="7">
        <v>15</v>
      </c>
      <c r="I30" s="57">
        <f t="shared" si="18"/>
        <v>180</v>
      </c>
      <c r="J30">
        <f t="shared" si="19"/>
        <v>0.91666666666666663</v>
      </c>
      <c r="K30">
        <f t="shared" si="20"/>
        <v>0.89692426521421253</v>
      </c>
      <c r="L30" s="501">
        <f t="shared" si="21"/>
        <v>161.44636773855825</v>
      </c>
      <c r="M30" s="57">
        <f t="shared" si="22"/>
        <v>18.553632261441749</v>
      </c>
      <c r="N30">
        <f t="shared" si="23"/>
        <v>-52.033704604824727</v>
      </c>
      <c r="O30">
        <f t="shared" si="24"/>
        <v>91.666666666666657</v>
      </c>
      <c r="P30">
        <f t="shared" si="25"/>
        <v>0.75885753345762308</v>
      </c>
      <c r="R30" s="802">
        <f t="array" ref="R30:R31">[1]!LogitCoeff(F29:H34,,,,,20)</f>
        <v>24.619808411533302</v>
      </c>
      <c r="W30" s="759">
        <v>-0.14901788229213553</v>
      </c>
      <c r="X30" s="761">
        <v>6.5600284720059776E-3</v>
      </c>
      <c r="Z30" s="757">
        <v>1.7840716407516254E-16</v>
      </c>
      <c r="AB30" t="s">
        <v>1708</v>
      </c>
      <c r="AC30" s="759">
        <f>AC31-AC29</f>
        <v>39</v>
      </c>
      <c r="AD30" s="761">
        <f>AD31-AD29</f>
        <v>137</v>
      </c>
      <c r="AE30">
        <f>AC30+AD30</f>
        <v>176</v>
      </c>
      <c r="AG30">
        <f t="array" ref="AG30:AI35">[1]!SelectCols(G29:K34,"5,2,1",1)</f>
        <v>0.10775474829183111</v>
      </c>
      <c r="AH30">
        <v>50</v>
      </c>
      <c r="AI30">
        <v>11</v>
      </c>
      <c r="AJ30">
        <f t="shared" ref="AJ30:AK35" si="26">AJ29+AH30</f>
        <v>50</v>
      </c>
      <c r="AK30">
        <f t="shared" si="26"/>
        <v>11</v>
      </c>
      <c r="AL30">
        <f t="shared" ref="AL30:AL35" si="27">1-AJ30/AJ$35</f>
        <v>0.85207100591715978</v>
      </c>
      <c r="AM30">
        <f t="shared" ref="AM30:AM35" si="28">1-AK30/AK$35</f>
        <v>0.97892720306513414</v>
      </c>
      <c r="AN30">
        <f t="shared" ref="AN30:AN35" si="29">(AL30-AL31)*AM30</f>
        <v>0.25197238658777121</v>
      </c>
    </row>
    <row r="31" spans="2:42" x14ac:dyDescent="0.25">
      <c r="B31" s="701">
        <v>22</v>
      </c>
      <c r="C31" s="88">
        <f t="shared" si="17"/>
        <v>159</v>
      </c>
      <c r="D31" s="495">
        <f t="shared" si="17"/>
        <v>44</v>
      </c>
      <c r="F31">
        <v>22</v>
      </c>
      <c r="G31" s="501">
        <v>159</v>
      </c>
      <c r="H31" s="7">
        <v>44</v>
      </c>
      <c r="I31" s="57">
        <f t="shared" si="18"/>
        <v>203</v>
      </c>
      <c r="J31">
        <f t="shared" si="19"/>
        <v>0.78325123152709364</v>
      </c>
      <c r="K31">
        <f t="shared" si="20"/>
        <v>0.74916422076190547</v>
      </c>
      <c r="L31" s="501">
        <f t="shared" si="21"/>
        <v>152.08033681466682</v>
      </c>
      <c r="M31" s="57">
        <f t="shared" si="22"/>
        <v>50.919663185333178</v>
      </c>
      <c r="N31">
        <f t="shared" si="23"/>
        <v>-106.76883359506999</v>
      </c>
      <c r="O31">
        <f t="shared" si="24"/>
        <v>78.325123152709367</v>
      </c>
      <c r="P31">
        <f t="shared" si="25"/>
        <v>1.2551839037137884</v>
      </c>
      <c r="R31" s="757">
        <v>-1.0693476662598915</v>
      </c>
      <c r="T31" t="s">
        <v>1328</v>
      </c>
      <c r="U31" s="802">
        <f>2*(U29-U28)</f>
        <v>259.34541351531107</v>
      </c>
      <c r="AC31">
        <f>G35</f>
        <v>522</v>
      </c>
      <c r="AD31">
        <f>H35</f>
        <v>338</v>
      </c>
      <c r="AE31">
        <f>AC31+AD31</f>
        <v>860</v>
      </c>
      <c r="AG31">
        <v>0.26027579947868645</v>
      </c>
      <c r="AH31">
        <v>87</v>
      </c>
      <c r="AI31">
        <v>28</v>
      </c>
      <c r="AJ31">
        <f t="shared" si="26"/>
        <v>137</v>
      </c>
      <c r="AK31">
        <f t="shared" si="26"/>
        <v>39</v>
      </c>
      <c r="AL31">
        <f t="shared" si="27"/>
        <v>0.59467455621301779</v>
      </c>
      <c r="AM31">
        <f t="shared" si="28"/>
        <v>0.92528735632183912</v>
      </c>
      <c r="AN31">
        <f t="shared" si="29"/>
        <v>0.37778004488879829</v>
      </c>
    </row>
    <row r="32" spans="2:42" x14ac:dyDescent="0.25">
      <c r="B32" s="701">
        <v>23</v>
      </c>
      <c r="C32" s="88">
        <f t="shared" si="17"/>
        <v>120</v>
      </c>
      <c r="D32" s="495">
        <f t="shared" si="17"/>
        <v>138</v>
      </c>
      <c r="F32">
        <v>23</v>
      </c>
      <c r="G32" s="501">
        <v>120</v>
      </c>
      <c r="H32" s="7">
        <v>138</v>
      </c>
      <c r="I32" s="57">
        <f t="shared" si="18"/>
        <v>258</v>
      </c>
      <c r="J32">
        <f t="shared" si="19"/>
        <v>0.46511627906976744</v>
      </c>
      <c r="K32">
        <f t="shared" si="20"/>
        <v>0.50620270367300124</v>
      </c>
      <c r="L32" s="501">
        <f t="shared" si="21"/>
        <v>130.60029754763431</v>
      </c>
      <c r="M32" s="57">
        <f t="shared" si="22"/>
        <v>127.39970245236569</v>
      </c>
      <c r="N32">
        <f t="shared" si="23"/>
        <v>-179.07513524315755</v>
      </c>
      <c r="O32">
        <f t="shared" si="24"/>
        <v>46.511627906976742</v>
      </c>
      <c r="P32">
        <f t="shared" si="25"/>
        <v>1.742381446130139</v>
      </c>
      <c r="T32" t="s">
        <v>60</v>
      </c>
      <c r="U32" s="680">
        <f>COUNT(F29)</f>
        <v>1</v>
      </c>
      <c r="AG32">
        <v>0.50620270367300124</v>
      </c>
      <c r="AH32">
        <v>138</v>
      </c>
      <c r="AI32">
        <v>120</v>
      </c>
      <c r="AJ32">
        <f t="shared" si="26"/>
        <v>275</v>
      </c>
      <c r="AK32">
        <f t="shared" si="26"/>
        <v>159</v>
      </c>
      <c r="AL32">
        <f t="shared" si="27"/>
        <v>0.18639053254437865</v>
      </c>
      <c r="AM32">
        <f t="shared" si="28"/>
        <v>0.6954022988505747</v>
      </c>
      <c r="AN32">
        <f t="shared" si="29"/>
        <v>9.0525743045636944E-2</v>
      </c>
    </row>
    <row r="33" spans="2:40" x14ac:dyDescent="0.25">
      <c r="B33" s="701">
        <v>24</v>
      </c>
      <c r="C33" s="88">
        <f t="shared" si="17"/>
        <v>28</v>
      </c>
      <c r="D33" s="495">
        <f t="shared" si="17"/>
        <v>87</v>
      </c>
      <c r="F33">
        <v>24</v>
      </c>
      <c r="G33" s="501">
        <v>28</v>
      </c>
      <c r="H33" s="7">
        <v>87</v>
      </c>
      <c r="I33" s="57">
        <f t="shared" si="18"/>
        <v>115</v>
      </c>
      <c r="J33">
        <f t="shared" si="19"/>
        <v>0.24347826086956523</v>
      </c>
      <c r="K33">
        <f t="shared" si="20"/>
        <v>0.26027579947868645</v>
      </c>
      <c r="L33" s="501">
        <f t="shared" si="21"/>
        <v>29.931716940048943</v>
      </c>
      <c r="M33" s="57">
        <f t="shared" si="22"/>
        <v>85.068283059951057</v>
      </c>
      <c r="N33">
        <f t="shared" si="23"/>
        <v>-63.916950592786463</v>
      </c>
      <c r="O33">
        <f t="shared" si="24"/>
        <v>75.65217391304347</v>
      </c>
      <c r="P33">
        <f t="shared" si="25"/>
        <v>0.1685332205935634</v>
      </c>
      <c r="T33" t="s">
        <v>67</v>
      </c>
      <c r="U33" s="680">
        <f>CHIDIST(U31,U32)</f>
        <v>2.3834225353410165E-58</v>
      </c>
      <c r="AB33" t="s">
        <v>1735</v>
      </c>
      <c r="AC33" s="803">
        <f>AC29/AC31</f>
        <v>0.92528735632183912</v>
      </c>
      <c r="AD33" s="804">
        <f>AD30/AD31</f>
        <v>0.40532544378698226</v>
      </c>
      <c r="AE33">
        <f>(AC29+AD30)/AE31</f>
        <v>0.72093023255813948</v>
      </c>
      <c r="AG33">
        <v>0.74916422076190547</v>
      </c>
      <c r="AH33">
        <v>44</v>
      </c>
      <c r="AI33">
        <v>159</v>
      </c>
      <c r="AJ33">
        <f t="shared" si="26"/>
        <v>319</v>
      </c>
      <c r="AK33">
        <f t="shared" si="26"/>
        <v>318</v>
      </c>
      <c r="AL33">
        <f t="shared" si="27"/>
        <v>5.6213017751479244E-2</v>
      </c>
      <c r="AM33">
        <f t="shared" si="28"/>
        <v>0.39080459770114939</v>
      </c>
      <c r="AN33">
        <f t="shared" si="29"/>
        <v>1.7343399306264027E-2</v>
      </c>
    </row>
    <row r="34" spans="2:40" x14ac:dyDescent="0.25">
      <c r="B34" s="665">
        <v>25</v>
      </c>
      <c r="C34" s="809">
        <f t="shared" si="17"/>
        <v>11</v>
      </c>
      <c r="D34" s="497">
        <f t="shared" si="17"/>
        <v>50</v>
      </c>
      <c r="F34">
        <v>25</v>
      </c>
      <c r="G34" s="759">
        <v>11</v>
      </c>
      <c r="H34" s="760">
        <v>50</v>
      </c>
      <c r="I34" s="57">
        <f t="shared" si="18"/>
        <v>61</v>
      </c>
      <c r="J34">
        <f t="shared" si="19"/>
        <v>0.18032786885245902</v>
      </c>
      <c r="K34">
        <f t="shared" si="20"/>
        <v>0.10775474829183111</v>
      </c>
      <c r="L34" s="501">
        <f t="shared" si="21"/>
        <v>6.573039645801698</v>
      </c>
      <c r="M34" s="57">
        <f t="shared" si="22"/>
        <v>54.4269603541983</v>
      </c>
      <c r="N34">
        <f t="shared" si="23"/>
        <v>-30.207584232833788</v>
      </c>
      <c r="O34">
        <f t="shared" si="24"/>
        <v>81.967213114754102</v>
      </c>
      <c r="P34">
        <f t="shared" si="25"/>
        <v>3.3416485195884111</v>
      </c>
      <c r="T34" t="s">
        <v>106</v>
      </c>
      <c r="U34" s="680">
        <v>0.05</v>
      </c>
      <c r="AG34">
        <v>0.89692426521421253</v>
      </c>
      <c r="AH34">
        <v>15</v>
      </c>
      <c r="AI34">
        <v>165</v>
      </c>
      <c r="AJ34">
        <f t="shared" si="26"/>
        <v>334</v>
      </c>
      <c r="AK34">
        <f t="shared" si="26"/>
        <v>483</v>
      </c>
      <c r="AL34">
        <f t="shared" si="27"/>
        <v>1.1834319526627168E-2</v>
      </c>
      <c r="AM34">
        <f t="shared" si="28"/>
        <v>7.4712643678160884E-2</v>
      </c>
      <c r="AN34">
        <f t="shared" si="29"/>
        <v>8.8417329796639725E-4</v>
      </c>
    </row>
    <row r="35" spans="2:40" x14ac:dyDescent="0.25">
      <c r="B35" s="7"/>
      <c r="C35" s="87">
        <f>SUM(C29:C34)</f>
        <v>522</v>
      </c>
      <c r="D35" s="87">
        <f>SUM(D29:D34)</f>
        <v>338</v>
      </c>
      <c r="F35" s="4"/>
      <c r="G35" s="4">
        <f>SUM(G29:G34)</f>
        <v>522</v>
      </c>
      <c r="H35" s="4">
        <f>SUM(H29:H34)</f>
        <v>338</v>
      </c>
      <c r="I35" s="801">
        <f>SUM(I29:I34)</f>
        <v>860</v>
      </c>
      <c r="J35" s="801"/>
      <c r="K35" s="801"/>
      <c r="L35" s="4">
        <f>SUM(L29:L34)</f>
        <v>521.99999999999966</v>
      </c>
      <c r="M35" s="4">
        <f>SUM(M29:M34)</f>
        <v>338.00000000000034</v>
      </c>
      <c r="N35" s="801">
        <f>SUM(N29:N34)</f>
        <v>-446.5971544472427</v>
      </c>
      <c r="O35" s="801">
        <f>SUMPRODUCT(O29:O34,I29:I34)/I35</f>
        <v>72.093023255813947</v>
      </c>
      <c r="P35" s="801">
        <f>SUM(P29:P34)</f>
        <v>10.839311369855677</v>
      </c>
      <c r="T35" t="s">
        <v>527</v>
      </c>
      <c r="U35" s="758" t="str">
        <f>IF(U33&lt;U34,"yes","no")</f>
        <v>yes</v>
      </c>
      <c r="W35" t="s">
        <v>1721</v>
      </c>
      <c r="AB35" t="s">
        <v>1712</v>
      </c>
      <c r="AC35" s="805">
        <v>0.5</v>
      </c>
      <c r="AG35" s="762">
        <v>0.96205212356487524</v>
      </c>
      <c r="AH35" s="762">
        <v>4</v>
      </c>
      <c r="AI35" s="762">
        <v>39</v>
      </c>
      <c r="AJ35" s="762">
        <f t="shared" si="26"/>
        <v>338</v>
      </c>
      <c r="AK35" s="762">
        <f t="shared" si="26"/>
        <v>522</v>
      </c>
      <c r="AL35" s="762">
        <f t="shared" si="27"/>
        <v>0</v>
      </c>
      <c r="AM35" s="762">
        <f t="shared" si="28"/>
        <v>0</v>
      </c>
      <c r="AN35" s="762">
        <f t="shared" si="29"/>
        <v>0</v>
      </c>
    </row>
    <row r="36" spans="2:40" ht="15.75" thickBot="1" x14ac:dyDescent="0.3">
      <c r="AN36">
        <f>SUM(AN29:AN35)</f>
        <v>0.88643474120927723</v>
      </c>
    </row>
    <row r="37" spans="2:40" ht="15.75" thickTop="1" x14ac:dyDescent="0.25">
      <c r="F37" s="754"/>
      <c r="G37" s="754" t="s">
        <v>1529</v>
      </c>
      <c r="H37" s="754" t="s">
        <v>425</v>
      </c>
      <c r="I37" s="754" t="s">
        <v>1530</v>
      </c>
      <c r="J37" s="754" t="s">
        <v>67</v>
      </c>
      <c r="K37" s="754" t="s">
        <v>1531</v>
      </c>
      <c r="L37" s="754" t="s">
        <v>29</v>
      </c>
      <c r="M37" s="754" t="s">
        <v>30</v>
      </c>
      <c r="T37" t="s">
        <v>1325</v>
      </c>
      <c r="U37" s="802">
        <f>1-U29/U28</f>
        <v>0.22502080273038805</v>
      </c>
      <c r="W37" t="s">
        <v>1252</v>
      </c>
      <c r="X37" s="802">
        <f>U29</f>
        <v>-446.5971544472427</v>
      </c>
    </row>
    <row r="38" spans="2:40" x14ac:dyDescent="0.25">
      <c r="F38" t="s">
        <v>296</v>
      </c>
      <c r="G38">
        <f t="array" ref="G38:G39">R30:R31</f>
        <v>24.619808411533302</v>
      </c>
      <c r="H38">
        <f t="array" ref="H38:H39">SQRT([1]!DIAG(W29:X30))</f>
        <v>1.8416879356460052</v>
      </c>
      <c r="I38">
        <f>(G38/H38)^2</f>
        <v>178.70522540195594</v>
      </c>
      <c r="J38">
        <f>CHIDIST(I38,1)</f>
        <v>9.2923950055311356E-41</v>
      </c>
      <c r="K38">
        <f>EXP(G38)</f>
        <v>49231938755.784828</v>
      </c>
      <c r="T38" t="s">
        <v>1326</v>
      </c>
      <c r="U38" s="680">
        <f>1-EXP((-2/I35)*(U29-U28))</f>
        <v>0.26033983468072619</v>
      </c>
      <c r="W38" t="s">
        <v>1315</v>
      </c>
      <c r="X38" s="757">
        <f>V6</f>
        <v>-446.56786869171009</v>
      </c>
    </row>
    <row r="39" spans="2:40" x14ac:dyDescent="0.25">
      <c r="F39" s="762" t="str">
        <f t="array" ref="F39">TRANSPOSE(F28)</f>
        <v>Temp</v>
      </c>
      <c r="G39" s="762">
        <v>-1.0693476662598915</v>
      </c>
      <c r="H39" s="762">
        <v>8.099400269159425E-2</v>
      </c>
      <c r="I39" s="762">
        <f>(G39/H39)^2</f>
        <v>174.31394333351221</v>
      </c>
      <c r="J39" s="762">
        <f>CHIDIST(I39,1)</f>
        <v>8.4532838792900048E-40</v>
      </c>
      <c r="K39" s="762">
        <f>EXP(G39)</f>
        <v>0.34323234644543921</v>
      </c>
      <c r="L39" s="762">
        <f>EXP(G39-H39*NORMSINV(1-$U$34/2))</f>
        <v>0.29285051305818377</v>
      </c>
      <c r="M39" s="762">
        <f>EXP(G39+H39*NORMSINV(1-$U$34/2))</f>
        <v>0.40228184139474504</v>
      </c>
      <c r="T39" t="s">
        <v>1327</v>
      </c>
      <c r="U39" s="757">
        <f>U38/(1-EXP(2*U28/I35))</f>
        <v>0.35266992511420203</v>
      </c>
    </row>
    <row r="40" spans="2:40" x14ac:dyDescent="0.25">
      <c r="W40" t="s">
        <v>1328</v>
      </c>
      <c r="X40" s="802">
        <f>2*(X38-X37)</f>
        <v>5.8571511065224513E-2</v>
      </c>
    </row>
    <row r="41" spans="2:40" x14ac:dyDescent="0.25">
      <c r="T41" t="s">
        <v>1653</v>
      </c>
      <c r="U41" s="802">
        <f>P35</f>
        <v>10.839311369855677</v>
      </c>
      <c r="W41" t="s">
        <v>60</v>
      </c>
      <c r="X41" s="680">
        <f>V9-U32</f>
        <v>1</v>
      </c>
    </row>
    <row r="42" spans="2:40" x14ac:dyDescent="0.25">
      <c r="T42" t="s">
        <v>60</v>
      </c>
      <c r="U42" s="680">
        <f>COUNT(I29:I34)-2</f>
        <v>4</v>
      </c>
      <c r="W42" t="s">
        <v>67</v>
      </c>
      <c r="X42" s="680">
        <f>CHIDIST(X40,X41)</f>
        <v>0.8087681388000465</v>
      </c>
    </row>
    <row r="43" spans="2:40" x14ac:dyDescent="0.25">
      <c r="T43" t="s">
        <v>67</v>
      </c>
      <c r="U43" s="680">
        <f>CHIDIST(U41,U42)</f>
        <v>2.8430544525682829E-2</v>
      </c>
      <c r="W43" t="s">
        <v>106</v>
      </c>
      <c r="X43" s="680">
        <v>0.05</v>
      </c>
    </row>
    <row r="44" spans="2:40" x14ac:dyDescent="0.25">
      <c r="T44" t="s">
        <v>106</v>
      </c>
      <c r="U44" s="680">
        <f>U34</f>
        <v>0.05</v>
      </c>
      <c r="W44" t="s">
        <v>527</v>
      </c>
      <c r="X44" s="758" t="str">
        <f>IF(X42&lt;X43,"yes","no")</f>
        <v>no</v>
      </c>
    </row>
    <row r="45" spans="2:40" x14ac:dyDescent="0.25">
      <c r="T45" t="s">
        <v>527</v>
      </c>
      <c r="U45" s="758" t="str">
        <f>IF(U43&lt;U44,"yes","no")</f>
        <v>yes</v>
      </c>
    </row>
    <row r="47" spans="2:40" x14ac:dyDescent="0.25">
      <c r="B47" s="1" t="s">
        <v>1549</v>
      </c>
      <c r="F47" t="s">
        <v>1243</v>
      </c>
      <c r="AB47" t="s">
        <v>1709</v>
      </c>
      <c r="AG47" t="s">
        <v>1713</v>
      </c>
    </row>
    <row r="48" spans="2:40" ht="15.75" thickBot="1" x14ac:dyDescent="0.3"/>
    <row r="49" spans="2:40" ht="15.75" thickTop="1" x14ac:dyDescent="0.25">
      <c r="B49" t="s">
        <v>1321</v>
      </c>
      <c r="C49" t="s">
        <v>130</v>
      </c>
      <c r="D49" t="s">
        <v>108</v>
      </c>
      <c r="F49" s="800" t="str">
        <f t="array" ref="F49:H51">[1]!LogitReduce(A3:D15,"Temp")</f>
        <v>Water</v>
      </c>
      <c r="G49" s="800" t="str">
        <v>Male</v>
      </c>
      <c r="H49" s="800" t="str">
        <v>Female</v>
      </c>
      <c r="I49" s="800" t="s">
        <v>1</v>
      </c>
      <c r="J49" s="800" t="s">
        <v>1322</v>
      </c>
      <c r="K49" s="800" t="s">
        <v>1323</v>
      </c>
      <c r="L49" s="800" t="s">
        <v>1707</v>
      </c>
      <c r="M49" s="800" t="s">
        <v>1708</v>
      </c>
      <c r="N49" s="800" t="s">
        <v>1253</v>
      </c>
      <c r="O49" s="800" t="s">
        <v>1527</v>
      </c>
      <c r="P49" s="800" t="s">
        <v>1648</v>
      </c>
      <c r="R49" t="s">
        <v>1324</v>
      </c>
      <c r="T49" t="s">
        <v>1252</v>
      </c>
      <c r="U49" s="802">
        <f>G52*LN(G52/I52)+H52*LN(H52/I52)</f>
        <v>-576.26986120489823</v>
      </c>
      <c r="W49" t="s">
        <v>1528</v>
      </c>
      <c r="Z49" t="s">
        <v>1719</v>
      </c>
      <c r="AC49" s="792" t="s">
        <v>1710</v>
      </c>
      <c r="AD49" s="792" t="s">
        <v>1711</v>
      </c>
      <c r="AG49" s="754" t="s">
        <v>1323</v>
      </c>
      <c r="AH49" s="754" t="s">
        <v>1655</v>
      </c>
      <c r="AI49" s="754" t="s">
        <v>1654</v>
      </c>
      <c r="AJ49" s="754" t="s">
        <v>1714</v>
      </c>
      <c r="AK49" s="754" t="s">
        <v>1715</v>
      </c>
      <c r="AL49" s="754" t="s">
        <v>1716</v>
      </c>
      <c r="AM49" s="754" t="s">
        <v>1717</v>
      </c>
      <c r="AN49" s="754" t="s">
        <v>1718</v>
      </c>
    </row>
    <row r="50" spans="2:40" x14ac:dyDescent="0.25">
      <c r="B50" s="756">
        <v>0</v>
      </c>
      <c r="C50" s="807">
        <f>SUMIF($B$4:$B$15,$B50,C$4:C$15)</f>
        <v>278</v>
      </c>
      <c r="D50" s="808">
        <f>SUMIF($B$4:$B$15,$B50,D$4:D$15)</f>
        <v>171</v>
      </c>
      <c r="F50">
        <v>0</v>
      </c>
      <c r="G50" s="501">
        <v>278</v>
      </c>
      <c r="H50" s="7">
        <v>171</v>
      </c>
      <c r="I50" s="57">
        <f>G50+H50</f>
        <v>449</v>
      </c>
      <c r="J50">
        <f>G50/I50</f>
        <v>0.61915367483296213</v>
      </c>
      <c r="K50">
        <f>1/(1+EXP(-$R$51-$R$52*F50))</f>
        <v>0.61915367483296224</v>
      </c>
      <c r="L50" s="797">
        <f>I50*K50</f>
        <v>278.00000000000006</v>
      </c>
      <c r="M50" s="799">
        <f>I50-L50</f>
        <v>170.99999999999994</v>
      </c>
      <c r="N50">
        <f>I50*(J50*LN(K50)+(1-J50)*LN(1-K50))</f>
        <v>-298.35013882832021</v>
      </c>
      <c r="O50">
        <f>100*IF(K50&gt;=$AC$56,G50/I50,H50/I50)</f>
        <v>61.915367483296215</v>
      </c>
      <c r="P50">
        <f>(G50-L50)^2/L50+(H50-M50)^2/M50</f>
        <v>3.0518684972770919E-29</v>
      </c>
      <c r="T50" t="s">
        <v>1315</v>
      </c>
      <c r="U50" s="757">
        <f>N52</f>
        <v>-575.97793634113327</v>
      </c>
      <c r="W50" s="797">
        <f t="array" ref="W50:X51">MINVERSE(MMULT(TRANSPOSE([1]!DESIGN(F50:F51)),K50:K51*(1-K50:K51)*I50:I51*[1]!DESIGN(F50:F51)))</f>
        <v>9.4450755185325422E-3</v>
      </c>
      <c r="X50" s="799">
        <v>-9.4450755185325422E-3</v>
      </c>
      <c r="Z50" s="802">
        <f t="array" ref="Z50:Z51">MMULT(W50:X51,MMULT(TRANSPOSE([1]!DESIGN(F50:F51)),I50:I51*(J50:J51-K50:K51)))</f>
        <v>-4.7082769991892001E-16</v>
      </c>
      <c r="AB50" t="s">
        <v>1707</v>
      </c>
      <c r="AC50" s="797">
        <f>SUMIF(K50:K51,"&gt;="&amp;AC56,G50:G51)</f>
        <v>522</v>
      </c>
      <c r="AD50" s="799">
        <f>SUMIF(K50:K51,"&gt;="&amp;AC56,H50:H51)</f>
        <v>338</v>
      </c>
      <c r="AE50">
        <f>AC50+AD50</f>
        <v>860</v>
      </c>
      <c r="AJ50">
        <v>0</v>
      </c>
      <c r="AK50">
        <v>0</v>
      </c>
      <c r="AL50">
        <f t="shared" ref="AL50:AM52" si="30">1-AJ50/AJ$52</f>
        <v>1</v>
      </c>
      <c r="AM50">
        <f t="shared" si="30"/>
        <v>1</v>
      </c>
      <c r="AN50">
        <f>(AL50-AL51)*AM50</f>
        <v>0.49408284023668636</v>
      </c>
    </row>
    <row r="51" spans="2:40" x14ac:dyDescent="0.25">
      <c r="B51" s="420">
        <v>1</v>
      </c>
      <c r="C51" s="809">
        <f>SUMIF($B$4:$B$15,$B51,C$4:C$15)</f>
        <v>244</v>
      </c>
      <c r="D51" s="497">
        <f>SUMIF($B$4:$B$15,$B51,D$4:D$15)</f>
        <v>167</v>
      </c>
      <c r="F51">
        <v>1</v>
      </c>
      <c r="G51" s="759">
        <v>244</v>
      </c>
      <c r="H51" s="760">
        <v>167</v>
      </c>
      <c r="I51" s="57">
        <f>G51+H51</f>
        <v>411</v>
      </c>
      <c r="J51">
        <f>G51/I51</f>
        <v>0.59367396593673971</v>
      </c>
      <c r="K51">
        <f>1/(1+EXP(-$R$51-$R$52*F51))</f>
        <v>0.59367396593673971</v>
      </c>
      <c r="L51" s="501">
        <f>I51*K51</f>
        <v>244.00000000000003</v>
      </c>
      <c r="M51" s="57">
        <f>I51-L51</f>
        <v>166.99999999999997</v>
      </c>
      <c r="N51">
        <f>I51*(J51*LN(K51)+(1-J51)*LN(1-K51))</f>
        <v>-277.62779751281306</v>
      </c>
      <c r="O51">
        <f>100*IF(K51&gt;=$AC$56,G51/I51,H51/I51)</f>
        <v>59.367396593673973</v>
      </c>
      <c r="P51">
        <f>(G51-L51)^2/L51+(H51-M51)^2/M51</f>
        <v>8.147716599954253E-30</v>
      </c>
      <c r="R51" s="802">
        <f t="array" ref="R51:R52">[1]!LogitCoeff(F50:H51,,,,,20)</f>
        <v>0.4859575571879774</v>
      </c>
      <c r="W51" s="759">
        <v>-9.4450755185325422E-3</v>
      </c>
      <c r="X51" s="761">
        <v>1.9531460126366057E-2</v>
      </c>
      <c r="Z51" s="757">
        <v>4.7082769991892001E-16</v>
      </c>
      <c r="AB51" t="s">
        <v>1708</v>
      </c>
      <c r="AC51" s="759">
        <f>AC52-AC50</f>
        <v>0</v>
      </c>
      <c r="AD51" s="761">
        <f>AD52-AD50</f>
        <v>0</v>
      </c>
      <c r="AE51">
        <f>AC51+AD51</f>
        <v>0</v>
      </c>
      <c r="AG51">
        <f t="array" ref="AG51:AI52">[1]!SelectCols(G50:K51,"5,2,1",1)</f>
        <v>0.59367396593673971</v>
      </c>
      <c r="AH51">
        <v>167</v>
      </c>
      <c r="AI51">
        <v>244</v>
      </c>
      <c r="AJ51">
        <f>AJ50+AH51</f>
        <v>167</v>
      </c>
      <c r="AK51">
        <f>AK50+AI51</f>
        <v>244</v>
      </c>
      <c r="AL51">
        <f t="shared" si="30"/>
        <v>0.50591715976331364</v>
      </c>
      <c r="AM51">
        <f t="shared" si="30"/>
        <v>0.53256704980842917</v>
      </c>
      <c r="AN51">
        <f>(AL51-AL52)*AM51</f>
        <v>0.26943480922260765</v>
      </c>
    </row>
    <row r="52" spans="2:40" x14ac:dyDescent="0.25">
      <c r="C52">
        <f>SUM(C50:C51)</f>
        <v>522</v>
      </c>
      <c r="D52">
        <f>SUM(D50:D51)</f>
        <v>338</v>
      </c>
      <c r="F52" s="4"/>
      <c r="G52" s="4">
        <f>SUM(G50:G51)</f>
        <v>522</v>
      </c>
      <c r="H52" s="4">
        <f>SUM(H50:H51)</f>
        <v>338</v>
      </c>
      <c r="I52" s="801">
        <f>SUM(I50:I51)</f>
        <v>860</v>
      </c>
      <c r="J52" s="801"/>
      <c r="K52" s="801"/>
      <c r="L52" s="4">
        <f>SUM(L50:L51)</f>
        <v>522.00000000000011</v>
      </c>
      <c r="M52" s="4">
        <f>SUM(M50:M51)</f>
        <v>337.99999999999989</v>
      </c>
      <c r="N52" s="801">
        <f>SUM(N50:N51)</f>
        <v>-575.97793634113327</v>
      </c>
      <c r="O52" s="801">
        <f>SUMPRODUCT(O50:O51,I50:I51)/I52</f>
        <v>60.697674418604649</v>
      </c>
      <c r="P52" s="801">
        <f>SUM(P50:P51)</f>
        <v>3.8666401572725169E-29</v>
      </c>
      <c r="R52" s="757">
        <v>-0.10678314431153052</v>
      </c>
      <c r="T52" t="s">
        <v>1328</v>
      </c>
      <c r="U52" s="802">
        <f>2*(U50-U49)</f>
        <v>0.58384972752992326</v>
      </c>
      <c r="AC52">
        <f>G52</f>
        <v>522</v>
      </c>
      <c r="AD52">
        <f>H52</f>
        <v>338</v>
      </c>
      <c r="AE52">
        <f>AC52+AD52</f>
        <v>860</v>
      </c>
      <c r="AG52" s="762">
        <v>0.61915367483296224</v>
      </c>
      <c r="AH52" s="762">
        <v>171</v>
      </c>
      <c r="AI52" s="762">
        <v>278</v>
      </c>
      <c r="AJ52" s="762">
        <f>AJ51+AH52</f>
        <v>338</v>
      </c>
      <c r="AK52" s="762">
        <f>AK51+AI52</f>
        <v>522</v>
      </c>
      <c r="AL52" s="762">
        <f t="shared" si="30"/>
        <v>0</v>
      </c>
      <c r="AM52" s="762">
        <f t="shared" si="30"/>
        <v>0</v>
      </c>
      <c r="AN52" s="762">
        <f>(AL52-AL53)*AM52</f>
        <v>0</v>
      </c>
    </row>
    <row r="53" spans="2:40" ht="15.75" thickBot="1" x14ac:dyDescent="0.3">
      <c r="T53" t="s">
        <v>60</v>
      </c>
      <c r="U53" s="680">
        <f>COUNT(F50)</f>
        <v>1</v>
      </c>
      <c r="AN53">
        <f>SUM(AN50:AN52)</f>
        <v>0.76351764945929401</v>
      </c>
    </row>
    <row r="54" spans="2:40" ht="15.75" thickTop="1" x14ac:dyDescent="0.25">
      <c r="F54" s="754"/>
      <c r="G54" s="754" t="s">
        <v>1529</v>
      </c>
      <c r="H54" s="754" t="s">
        <v>425</v>
      </c>
      <c r="I54" s="754" t="s">
        <v>1530</v>
      </c>
      <c r="J54" s="754" t="s">
        <v>67</v>
      </c>
      <c r="K54" s="754" t="s">
        <v>1531</v>
      </c>
      <c r="L54" s="754" t="s">
        <v>29</v>
      </c>
      <c r="M54" s="754" t="s">
        <v>30</v>
      </c>
      <c r="T54" t="s">
        <v>67</v>
      </c>
      <c r="U54" s="680">
        <f>CHIDIST(U52,U53)</f>
        <v>0.44480729454379014</v>
      </c>
      <c r="AB54" t="s">
        <v>1735</v>
      </c>
      <c r="AC54" s="803">
        <f>AC50/AC52</f>
        <v>1</v>
      </c>
      <c r="AD54" s="804">
        <f>AD51/AD52</f>
        <v>0</v>
      </c>
      <c r="AE54">
        <f>(AC50+AD51)/AE52</f>
        <v>0.60697674418604652</v>
      </c>
    </row>
    <row r="55" spans="2:40" x14ac:dyDescent="0.25">
      <c r="F55" t="s">
        <v>296</v>
      </c>
      <c r="G55">
        <f t="array" ref="G55:G56">R51:R52</f>
        <v>0.4859575571879774</v>
      </c>
      <c r="H55">
        <f t="array" ref="H55:H56">SQRT([1]!DIAG(W50:X51))</f>
        <v>9.7185778375915383E-2</v>
      </c>
      <c r="I55">
        <f>(G55/H55)^2</f>
        <v>25.0029496243559</v>
      </c>
      <c r="J55">
        <f>CHIDIST(I55,1)</f>
        <v>5.7242676320925918E-7</v>
      </c>
      <c r="K55">
        <f>EXP(G55)</f>
        <v>1.625730994152047</v>
      </c>
      <c r="T55" t="s">
        <v>106</v>
      </c>
      <c r="U55" s="680">
        <v>0.05</v>
      </c>
    </row>
    <row r="56" spans="2:40" x14ac:dyDescent="0.25">
      <c r="F56" s="762" t="str">
        <f t="array" ref="F56">TRANSPOSE(F49)</f>
        <v>Water</v>
      </c>
      <c r="G56" s="762">
        <v>-0.10678314431153052</v>
      </c>
      <c r="H56" s="762">
        <v>0.13975500036265628</v>
      </c>
      <c r="I56" s="762">
        <f>(G56/H56)^2</f>
        <v>0.58380888245341245</v>
      </c>
      <c r="J56" s="762">
        <f>CHIDIST(I56,1)</f>
        <v>0.44482322139459735</v>
      </c>
      <c r="K56" s="762">
        <f>EXP(G56)</f>
        <v>0.89872054452246586</v>
      </c>
      <c r="L56" s="762">
        <f>EXP(G56-H56*NORMSINV(1-$U$55/2))</f>
        <v>0.68338430085530355</v>
      </c>
      <c r="M56" s="762">
        <f>EXP(G56+H56*NORMSINV(1-$U$55/2))</f>
        <v>1.18190982165652</v>
      </c>
      <c r="T56" t="s">
        <v>527</v>
      </c>
      <c r="U56" s="758" t="str">
        <f>IF(U54&lt;U55,"yes","no")</f>
        <v>no</v>
      </c>
      <c r="W56" t="s">
        <v>1721</v>
      </c>
      <c r="AB56" t="s">
        <v>1712</v>
      </c>
      <c r="AC56" s="805">
        <v>0.5</v>
      </c>
    </row>
    <row r="58" spans="2:40" x14ac:dyDescent="0.25">
      <c r="T58" t="s">
        <v>1325</v>
      </c>
      <c r="U58" s="802">
        <f>1-U50/U49</f>
        <v>5.0657666384734679E-4</v>
      </c>
      <c r="W58" t="s">
        <v>1252</v>
      </c>
      <c r="X58" s="802">
        <f>U50</f>
        <v>-575.97793634113327</v>
      </c>
    </row>
    <row r="59" spans="2:40" x14ac:dyDescent="0.25">
      <c r="T59" t="s">
        <v>1326</v>
      </c>
      <c r="U59" s="680">
        <f>1-EXP((-2/I52)*(U50-U49))</f>
        <v>6.786646349207226E-4</v>
      </c>
      <c r="W59" t="s">
        <v>1315</v>
      </c>
      <c r="X59" s="757">
        <f>V6</f>
        <v>-446.56786869171009</v>
      </c>
    </row>
    <row r="60" spans="2:40" x14ac:dyDescent="0.25">
      <c r="T60" t="s">
        <v>1327</v>
      </c>
      <c r="U60" s="757">
        <f>U59/(1-EXP(2*U49/I52))</f>
        <v>9.193545285479432E-4</v>
      </c>
    </row>
    <row r="61" spans="2:40" x14ac:dyDescent="0.25">
      <c r="W61" t="s">
        <v>1328</v>
      </c>
      <c r="X61" s="802">
        <f>2*(X59-X58)</f>
        <v>258.82013529884637</v>
      </c>
    </row>
    <row r="62" spans="2:40" x14ac:dyDescent="0.25">
      <c r="W62" t="s">
        <v>60</v>
      </c>
      <c r="X62" s="680">
        <f>V9-U53</f>
        <v>1</v>
      </c>
    </row>
    <row r="63" spans="2:40" x14ac:dyDescent="0.25">
      <c r="W63" t="s">
        <v>67</v>
      </c>
      <c r="X63" s="680">
        <f>CHIDIST(X61,X62)</f>
        <v>3.1024206180244122E-58</v>
      </c>
    </row>
    <row r="64" spans="2:40" x14ac:dyDescent="0.25">
      <c r="W64" t="s">
        <v>106</v>
      </c>
      <c r="X64" s="680">
        <v>0.05</v>
      </c>
    </row>
    <row r="65" spans="2:46" x14ac:dyDescent="0.25">
      <c r="W65" t="s">
        <v>527</v>
      </c>
      <c r="X65" s="758" t="str">
        <f>IF(X63&lt;X64,"yes","no")</f>
        <v>yes</v>
      </c>
    </row>
    <row r="68" spans="2:46" x14ac:dyDescent="0.25">
      <c r="B68" s="1" t="s">
        <v>436</v>
      </c>
      <c r="H68" t="s">
        <v>1243</v>
      </c>
      <c r="AH68" t="s">
        <v>1709</v>
      </c>
      <c r="AM68" t="s">
        <v>1713</v>
      </c>
    </row>
    <row r="69" spans="2:46" ht="15.75" thickBot="1" x14ac:dyDescent="0.3"/>
    <row r="70" spans="2:46" ht="15.75" thickTop="1" x14ac:dyDescent="0.25">
      <c r="B70" s="649" t="s">
        <v>1320</v>
      </c>
      <c r="C70" s="649" t="s">
        <v>1321</v>
      </c>
      <c r="D70" s="13" t="s">
        <v>1550</v>
      </c>
      <c r="E70" s="649" t="s">
        <v>130</v>
      </c>
      <c r="F70" s="649" t="s">
        <v>108</v>
      </c>
      <c r="H70" s="800" t="str">
        <f>B70</f>
        <v>Temp</v>
      </c>
      <c r="I70" s="800" t="str">
        <f>C70</f>
        <v>Water</v>
      </c>
      <c r="J70" s="800" t="str">
        <f>D70</f>
        <v>T x W</v>
      </c>
      <c r="K70" s="800" t="str">
        <f>E70</f>
        <v>Male</v>
      </c>
      <c r="L70" s="800" t="str">
        <f>F70</f>
        <v>Female</v>
      </c>
      <c r="M70" s="800" t="s">
        <v>1</v>
      </c>
      <c r="N70" s="800" t="s">
        <v>1322</v>
      </c>
      <c r="O70" s="800" t="s">
        <v>1323</v>
      </c>
      <c r="P70" s="800" t="s">
        <v>1707</v>
      </c>
      <c r="Q70" s="800" t="s">
        <v>1708</v>
      </c>
      <c r="R70" s="800" t="s">
        <v>1253</v>
      </c>
      <c r="S70" s="800" t="s">
        <v>1527</v>
      </c>
      <c r="T70" s="800" t="s">
        <v>1648</v>
      </c>
      <c r="V70" t="s">
        <v>1324</v>
      </c>
      <c r="X70" t="s">
        <v>1252</v>
      </c>
      <c r="Y70" s="802">
        <f>K83*LN(K83/M83)+L83*LN(L83/M83)</f>
        <v>-576.26986120489823</v>
      </c>
      <c r="AA70" t="s">
        <v>1528</v>
      </c>
      <c r="AF70" t="s">
        <v>1719</v>
      </c>
      <c r="AI70" s="792" t="s">
        <v>1710</v>
      </c>
      <c r="AJ70" s="792" t="s">
        <v>1711</v>
      </c>
      <c r="AM70" s="754" t="s">
        <v>1323</v>
      </c>
      <c r="AN70" s="754" t="s">
        <v>1655</v>
      </c>
      <c r="AO70" s="754" t="s">
        <v>1654</v>
      </c>
      <c r="AP70" s="754" t="s">
        <v>1714</v>
      </c>
      <c r="AQ70" s="754" t="s">
        <v>1715</v>
      </c>
      <c r="AR70" s="754" t="s">
        <v>1716</v>
      </c>
      <c r="AS70" s="754" t="s">
        <v>1717</v>
      </c>
      <c r="AT70" s="754" t="s">
        <v>1718</v>
      </c>
    </row>
    <row r="71" spans="2:46" x14ac:dyDescent="0.25">
      <c r="B71" s="806">
        <f t="shared" ref="B71:C82" si="31">A4</f>
        <v>20</v>
      </c>
      <c r="C71" s="811">
        <f t="shared" si="31"/>
        <v>0</v>
      </c>
      <c r="D71" s="4">
        <f>B71*C71</f>
        <v>0</v>
      </c>
      <c r="E71" s="813">
        <f t="shared" ref="E71:E82" si="32">C4</f>
        <v>21</v>
      </c>
      <c r="F71" s="808">
        <f t="shared" ref="F71:F82" si="33">D4</f>
        <v>0</v>
      </c>
      <c r="H71">
        <f t="shared" ref="H71:H82" si="34">B71</f>
        <v>20</v>
      </c>
      <c r="I71">
        <f t="shared" ref="I71:I82" si="35">C71</f>
        <v>0</v>
      </c>
      <c r="J71">
        <f t="shared" ref="J71:J82" si="36">D71</f>
        <v>0</v>
      </c>
      <c r="K71" s="501">
        <f t="shared" ref="K71:K82" si="37">E71</f>
        <v>21</v>
      </c>
      <c r="L71" s="7">
        <f t="shared" ref="L71:L82" si="38">F71</f>
        <v>0</v>
      </c>
      <c r="M71" s="57">
        <f>K71+L71</f>
        <v>21</v>
      </c>
      <c r="N71">
        <f>K71/M71</f>
        <v>1</v>
      </c>
      <c r="O71">
        <f>1/(1+EXP(-$V$72-MMULT(H71:J71,$V$73:$V$75)))</f>
        <v>0.98057504357793557</v>
      </c>
      <c r="P71" s="797">
        <f>M71*O71</f>
        <v>20.592075915136647</v>
      </c>
      <c r="Q71" s="799">
        <f>M71-P71</f>
        <v>0.40792408486335319</v>
      </c>
      <c r="R71">
        <f>M71*(N71*LN(O71)+(1-N71)*LN(1-O71))</f>
        <v>-0.41193810512269191</v>
      </c>
      <c r="S71">
        <f>100*IF(O71&gt;=$AI$77,K71/M71,L71/M71)</f>
        <v>100</v>
      </c>
      <c r="T71">
        <f>(K71-P71)^2/P71+(L71-Q71)^2/Q71</f>
        <v>0.41600496314378371</v>
      </c>
      <c r="X71" t="s">
        <v>1315</v>
      </c>
      <c r="Y71" s="757">
        <f>R83</f>
        <v>-442.83459902436653</v>
      </c>
      <c r="AA71" s="797">
        <f t="array" ref="AA71:AD74">MINVERSE(MMULT(TRANSPOSE([1]!DESIGN(H71:J82)),O71:O82*(1-O71:O82)*M71:M82*[1]!DESIGN(H71:J82)))</f>
        <v>8.9278957886081827</v>
      </c>
      <c r="AB71" s="798">
        <v>-0.39255021917469052</v>
      </c>
      <c r="AC71" s="798">
        <v>-8.9278957886089323</v>
      </c>
      <c r="AD71" s="799">
        <v>0.39255021917473737</v>
      </c>
      <c r="AF71" s="802">
        <f t="array" ref="AF71:AF74">MMULT(AA71:AD74,MMULT(TRANSPOSE([1]!DESIGN(H71:J82)),M71:M82*(N71:N82-O71:O82)))</f>
        <v>-5.7501600877855242E-15</v>
      </c>
      <c r="AH71" t="s">
        <v>1707</v>
      </c>
      <c r="AI71" s="797">
        <f>SUMIF(O71:O82,"&gt;="&amp;AI77,K71:K82)</f>
        <v>422</v>
      </c>
      <c r="AJ71" s="799">
        <f>SUMIF(O71:O82,"&gt;="&amp;AI77,L71:L82)</f>
        <v>128</v>
      </c>
      <c r="AK71">
        <f>AI71+AJ71</f>
        <v>550</v>
      </c>
      <c r="AP71">
        <v>0</v>
      </c>
      <c r="AQ71">
        <v>0</v>
      </c>
      <c r="AR71">
        <f>1-AP71/AP$83</f>
        <v>1</v>
      </c>
      <c r="AS71">
        <f>1-AQ71/AQ$83</f>
        <v>1</v>
      </c>
      <c r="AT71">
        <f>(AR71-AR72)*AS71</f>
        <v>8.2840236686390512E-2</v>
      </c>
    </row>
    <row r="72" spans="2:46" x14ac:dyDescent="0.25">
      <c r="B72" s="675">
        <f t="shared" si="31"/>
        <v>21</v>
      </c>
      <c r="C72" s="696">
        <f t="shared" si="31"/>
        <v>0</v>
      </c>
      <c r="D72" s="7">
        <f t="shared" ref="D72:D82" si="39">B72*C72</f>
        <v>0</v>
      </c>
      <c r="E72" s="576">
        <f t="shared" si="32"/>
        <v>90</v>
      </c>
      <c r="F72" s="495">
        <f t="shared" si="33"/>
        <v>6</v>
      </c>
      <c r="H72">
        <f t="shared" si="34"/>
        <v>21</v>
      </c>
      <c r="I72">
        <f t="shared" si="35"/>
        <v>0</v>
      </c>
      <c r="J72">
        <f t="shared" si="36"/>
        <v>0</v>
      </c>
      <c r="K72" s="501">
        <f t="shared" si="37"/>
        <v>90</v>
      </c>
      <c r="L72" s="7">
        <f t="shared" si="38"/>
        <v>6</v>
      </c>
      <c r="M72" s="57">
        <f t="shared" ref="M72:M82" si="40">K72+L72</f>
        <v>96</v>
      </c>
      <c r="N72">
        <f t="shared" ref="N72:N82" si="41">K72/M72</f>
        <v>0.9375</v>
      </c>
      <c r="O72">
        <f t="shared" ref="O72:O82" si="42">1/(1+EXP(-$V$72-MMULT(H72:J72,$V$73:$V$75)))</f>
        <v>0.93109993693016424</v>
      </c>
      <c r="P72" s="501">
        <f t="shared" ref="P72:P82" si="43">M72*O72</f>
        <v>89.385593945295767</v>
      </c>
      <c r="Q72" s="57">
        <f t="shared" ref="Q72:Q82" si="44">M72-P72</f>
        <v>6.6144060547042329</v>
      </c>
      <c r="R72">
        <f t="shared" ref="R72:R82" si="45">M72*(N72*LN(O72)+(1-N72)*LN(1-O72))</f>
        <v>-22.475568857695031</v>
      </c>
      <c r="S72">
        <f t="shared" ref="S72:S82" si="46">100*IF(O72&gt;=$AI$77,K72/M72,L72/M72)</f>
        <v>93.75</v>
      </c>
      <c r="T72">
        <f t="shared" ref="T72:T82" si="47">(K72-P72)^2/P72+(L72-Q72)^2/Q72</f>
        <v>6.1294827044254721E-2</v>
      </c>
      <c r="V72" s="802">
        <f t="array" ref="V72:V75">[1]!LogitCoeff(H71:L82,,,,,20)</f>
        <v>30.279000608385747</v>
      </c>
      <c r="AA72" s="501">
        <v>-0.39255021917470223</v>
      </c>
      <c r="AB72" s="7">
        <v>1.7287749374955915E-2</v>
      </c>
      <c r="AC72" s="7">
        <v>0.39255021917473509</v>
      </c>
      <c r="AD72" s="57">
        <v>-1.7287749374957972E-2</v>
      </c>
      <c r="AF72" s="680">
        <v>2.1066679720997856E-16</v>
      </c>
      <c r="AH72" t="s">
        <v>1708</v>
      </c>
      <c r="AI72" s="759">
        <f>AI73-AI71</f>
        <v>100</v>
      </c>
      <c r="AJ72" s="761">
        <f>AJ73-AJ71</f>
        <v>210</v>
      </c>
      <c r="AK72">
        <f>AI72+AJ72</f>
        <v>310</v>
      </c>
      <c r="AM72">
        <f t="array" ref="AM72:AO83">[1]!SelectCols(K71:O82,"5,2,1",1)</f>
        <v>6.490190301845436E-2</v>
      </c>
      <c r="AN72">
        <v>28</v>
      </c>
      <c r="AO72">
        <v>4</v>
      </c>
      <c r="AP72">
        <f>AP71+AN72</f>
        <v>28</v>
      </c>
      <c r="AQ72">
        <f>AQ71+AO72</f>
        <v>4</v>
      </c>
      <c r="AR72">
        <f t="shared" ref="AR72:AR83" si="48">1-AP72/AP$83</f>
        <v>0.91715976331360949</v>
      </c>
      <c r="AS72">
        <f t="shared" ref="AS72:AS83" si="49">1-AQ72/AQ$83</f>
        <v>0.9923371647509579</v>
      </c>
      <c r="AT72">
        <f t="shared" ref="AT72:AT83" si="50">(AR72-AR73)*AS72</f>
        <v>6.4589992971955834E-2</v>
      </c>
    </row>
    <row r="73" spans="2:46" x14ac:dyDescent="0.25">
      <c r="B73" s="675">
        <f t="shared" si="31"/>
        <v>22</v>
      </c>
      <c r="C73" s="696">
        <f t="shared" si="31"/>
        <v>0</v>
      </c>
      <c r="D73" s="7">
        <f t="shared" si="39"/>
        <v>0</v>
      </c>
      <c r="E73" s="576">
        <f t="shared" si="32"/>
        <v>91</v>
      </c>
      <c r="F73" s="495">
        <f t="shared" si="33"/>
        <v>23</v>
      </c>
      <c r="H73">
        <f t="shared" si="34"/>
        <v>22</v>
      </c>
      <c r="I73">
        <f t="shared" si="35"/>
        <v>0</v>
      </c>
      <c r="J73">
        <f t="shared" si="36"/>
        <v>0</v>
      </c>
      <c r="K73" s="501">
        <f t="shared" si="37"/>
        <v>91</v>
      </c>
      <c r="L73" s="7">
        <f t="shared" si="38"/>
        <v>23</v>
      </c>
      <c r="M73" s="57">
        <f t="shared" si="40"/>
        <v>114</v>
      </c>
      <c r="N73">
        <f t="shared" si="41"/>
        <v>0.79824561403508776</v>
      </c>
      <c r="O73">
        <f t="shared" si="42"/>
        <v>0.78344198224082906</v>
      </c>
      <c r="P73" s="501">
        <f t="shared" si="43"/>
        <v>89.312385975454518</v>
      </c>
      <c r="Q73" s="57">
        <f t="shared" si="44"/>
        <v>24.687614024545482</v>
      </c>
      <c r="R73">
        <f t="shared" si="45"/>
        <v>-57.396928616783718</v>
      </c>
      <c r="S73">
        <f t="shared" si="46"/>
        <v>79.824561403508781</v>
      </c>
      <c r="T73">
        <f t="shared" si="47"/>
        <v>0.14725169156570173</v>
      </c>
      <c r="V73" s="680">
        <v>-1.3178710041252191</v>
      </c>
      <c r="X73" t="s">
        <v>1328</v>
      </c>
      <c r="Y73" s="802">
        <f>2*(Y71-Y70)</f>
        <v>266.87052436106342</v>
      </c>
      <c r="AA73" s="501">
        <v>-8.9278957886092378</v>
      </c>
      <c r="AB73" s="7">
        <v>0.39255021917474864</v>
      </c>
      <c r="AC73" s="7">
        <v>14.43136649303745</v>
      </c>
      <c r="AD73" s="57">
        <v>-0.6341807365314841</v>
      </c>
      <c r="AF73" s="680">
        <v>-1.1366214681765824E-15</v>
      </c>
      <c r="AI73">
        <f>K83</f>
        <v>522</v>
      </c>
      <c r="AJ73">
        <f>L83</f>
        <v>338</v>
      </c>
      <c r="AK73">
        <f>AI73+AJ73</f>
        <v>860</v>
      </c>
      <c r="AM73">
        <v>0.15700072973526055</v>
      </c>
      <c r="AN73">
        <v>22</v>
      </c>
      <c r="AO73">
        <v>7</v>
      </c>
      <c r="AP73">
        <f t="shared" ref="AP73:AP83" si="51">AP72+AN73</f>
        <v>50</v>
      </c>
      <c r="AQ73">
        <f t="shared" ref="AQ73:AQ83" si="52">AQ72+AO73</f>
        <v>11</v>
      </c>
      <c r="AR73">
        <f t="shared" si="48"/>
        <v>0.85207100591715978</v>
      </c>
      <c r="AS73">
        <f t="shared" si="49"/>
        <v>0.97892720306513414</v>
      </c>
      <c r="AT73">
        <f t="shared" si="50"/>
        <v>0.11874560747239789</v>
      </c>
    </row>
    <row r="74" spans="2:46" x14ac:dyDescent="0.25">
      <c r="B74" s="675">
        <f t="shared" si="31"/>
        <v>23</v>
      </c>
      <c r="C74" s="696">
        <f t="shared" si="31"/>
        <v>0</v>
      </c>
      <c r="D74" s="7">
        <f t="shared" si="39"/>
        <v>0</v>
      </c>
      <c r="E74" s="576">
        <f t="shared" si="32"/>
        <v>61</v>
      </c>
      <c r="F74" s="495">
        <f t="shared" si="33"/>
        <v>73</v>
      </c>
      <c r="H74">
        <f t="shared" si="34"/>
        <v>23</v>
      </c>
      <c r="I74">
        <f t="shared" si="35"/>
        <v>0</v>
      </c>
      <c r="J74">
        <f t="shared" si="36"/>
        <v>0</v>
      </c>
      <c r="K74" s="501">
        <f t="shared" si="37"/>
        <v>61</v>
      </c>
      <c r="L74" s="7">
        <f t="shared" si="38"/>
        <v>73</v>
      </c>
      <c r="M74" s="57">
        <f t="shared" si="40"/>
        <v>134</v>
      </c>
      <c r="N74">
        <f t="shared" si="41"/>
        <v>0.45522388059701491</v>
      </c>
      <c r="O74">
        <f t="shared" si="42"/>
        <v>0.49199256305408762</v>
      </c>
      <c r="P74" s="501">
        <f t="shared" si="43"/>
        <v>65.927003449247735</v>
      </c>
      <c r="Q74" s="57">
        <f t="shared" si="44"/>
        <v>68.072996550752265</v>
      </c>
      <c r="R74">
        <f t="shared" si="45"/>
        <v>-92.706713384521578</v>
      </c>
      <c r="S74">
        <f t="shared" si="46"/>
        <v>54.477611940298509</v>
      </c>
      <c r="T74">
        <f t="shared" si="47"/>
        <v>0.72482360115374733</v>
      </c>
      <c r="V74" s="680">
        <v>-10.242986773302798</v>
      </c>
      <c r="X74" t="s">
        <v>60</v>
      </c>
      <c r="Y74" s="680">
        <f>COUNT(H71:J71)</f>
        <v>3</v>
      </c>
      <c r="AA74" s="759">
        <v>0.39255021917474847</v>
      </c>
      <c r="AB74" s="760">
        <v>-1.7287749374958469E-2</v>
      </c>
      <c r="AC74" s="760">
        <v>-0.63418073653148377</v>
      </c>
      <c r="AD74" s="761">
        <v>2.7921358290229775E-2</v>
      </c>
      <c r="AF74" s="757">
        <v>6.4568619191420367E-17</v>
      </c>
      <c r="AM74">
        <v>0.20588615035143967</v>
      </c>
      <c r="AN74">
        <v>41</v>
      </c>
      <c r="AO74">
        <v>11</v>
      </c>
      <c r="AP74">
        <f t="shared" si="51"/>
        <v>91</v>
      </c>
      <c r="AQ74">
        <f t="shared" si="52"/>
        <v>22</v>
      </c>
      <c r="AR74">
        <f t="shared" si="48"/>
        <v>0.73076923076923084</v>
      </c>
      <c r="AS74">
        <f t="shared" si="49"/>
        <v>0.95785440613026818</v>
      </c>
      <c r="AT74">
        <f t="shared" si="50"/>
        <v>0.13035888367453358</v>
      </c>
    </row>
    <row r="75" spans="2:46" x14ac:dyDescent="0.25">
      <c r="B75" s="675">
        <f t="shared" si="31"/>
        <v>24</v>
      </c>
      <c r="C75" s="696">
        <f t="shared" si="31"/>
        <v>0</v>
      </c>
      <c r="D75" s="7">
        <f t="shared" si="39"/>
        <v>0</v>
      </c>
      <c r="E75" s="576">
        <f t="shared" si="32"/>
        <v>11</v>
      </c>
      <c r="F75" s="495">
        <f t="shared" si="33"/>
        <v>41</v>
      </c>
      <c r="H75">
        <f t="shared" si="34"/>
        <v>24</v>
      </c>
      <c r="I75">
        <f t="shared" si="35"/>
        <v>0</v>
      </c>
      <c r="J75">
        <f t="shared" si="36"/>
        <v>0</v>
      </c>
      <c r="K75" s="501">
        <f t="shared" si="37"/>
        <v>11</v>
      </c>
      <c r="L75" s="7">
        <f t="shared" si="38"/>
        <v>41</v>
      </c>
      <c r="M75" s="57">
        <f t="shared" si="40"/>
        <v>52</v>
      </c>
      <c r="N75">
        <f t="shared" si="41"/>
        <v>0.21153846153846154</v>
      </c>
      <c r="O75">
        <f t="shared" si="42"/>
        <v>0.20588615035143967</v>
      </c>
      <c r="P75" s="501">
        <f t="shared" si="43"/>
        <v>10.706079818274864</v>
      </c>
      <c r="Q75" s="57">
        <f t="shared" si="44"/>
        <v>41.293920181725134</v>
      </c>
      <c r="R75">
        <f t="shared" si="45"/>
        <v>-26.83641730527426</v>
      </c>
      <c r="S75">
        <f t="shared" si="46"/>
        <v>78.84615384615384</v>
      </c>
      <c r="T75">
        <f t="shared" si="47"/>
        <v>1.0161213293231938E-2</v>
      </c>
      <c r="V75" s="757">
        <v>0.44920182516078888</v>
      </c>
      <c r="X75" t="s">
        <v>67</v>
      </c>
      <c r="Y75" s="680">
        <f>CHIDIST(Y73,Y74)</f>
        <v>1.4672719674975103E-57</v>
      </c>
      <c r="AH75" t="s">
        <v>1735</v>
      </c>
      <c r="AI75" s="803">
        <f>AI71/AI73</f>
        <v>0.80842911877394641</v>
      </c>
      <c r="AJ75" s="804">
        <f>AJ72/AJ73</f>
        <v>0.62130177514792895</v>
      </c>
      <c r="AK75">
        <f>(AI71+AJ72)/AK73</f>
        <v>0.73488372093023258</v>
      </c>
      <c r="AM75">
        <v>0.30745457899397483</v>
      </c>
      <c r="AN75">
        <v>46</v>
      </c>
      <c r="AO75">
        <v>17</v>
      </c>
      <c r="AP75">
        <f t="shared" si="51"/>
        <v>137</v>
      </c>
      <c r="AQ75">
        <f t="shared" si="52"/>
        <v>39</v>
      </c>
      <c r="AR75">
        <f t="shared" si="48"/>
        <v>0.59467455621301779</v>
      </c>
      <c r="AS75">
        <f t="shared" si="49"/>
        <v>0.92528735632183912</v>
      </c>
      <c r="AT75">
        <f t="shared" si="50"/>
        <v>0.19984016867305993</v>
      </c>
    </row>
    <row r="76" spans="2:46" x14ac:dyDescent="0.25">
      <c r="B76" s="675">
        <f t="shared" si="31"/>
        <v>25</v>
      </c>
      <c r="C76" s="696">
        <f t="shared" si="31"/>
        <v>0</v>
      </c>
      <c r="D76" s="7">
        <f t="shared" si="39"/>
        <v>0</v>
      </c>
      <c r="E76" s="576">
        <f t="shared" si="32"/>
        <v>4</v>
      </c>
      <c r="F76" s="495">
        <f t="shared" si="33"/>
        <v>28</v>
      </c>
      <c r="H76">
        <f t="shared" si="34"/>
        <v>25</v>
      </c>
      <c r="I76">
        <f t="shared" si="35"/>
        <v>0</v>
      </c>
      <c r="J76">
        <f t="shared" si="36"/>
        <v>0</v>
      </c>
      <c r="K76" s="501">
        <f t="shared" si="37"/>
        <v>4</v>
      </c>
      <c r="L76" s="7">
        <f t="shared" si="38"/>
        <v>28</v>
      </c>
      <c r="M76" s="57">
        <f t="shared" si="40"/>
        <v>32</v>
      </c>
      <c r="N76">
        <f t="shared" si="41"/>
        <v>0.125</v>
      </c>
      <c r="O76">
        <f t="shared" si="42"/>
        <v>6.490190301845436E-2</v>
      </c>
      <c r="P76" s="501">
        <f t="shared" si="43"/>
        <v>2.0768608965905395</v>
      </c>
      <c r="Q76" s="57">
        <f t="shared" si="44"/>
        <v>29.923139103409461</v>
      </c>
      <c r="R76">
        <f t="shared" si="45"/>
        <v>-12.818420815427059</v>
      </c>
      <c r="S76">
        <f t="shared" si="46"/>
        <v>87.5</v>
      </c>
      <c r="T76">
        <f t="shared" si="47"/>
        <v>1.9043940434241433</v>
      </c>
      <c r="X76" t="s">
        <v>106</v>
      </c>
      <c r="Y76" s="680">
        <v>0.05</v>
      </c>
      <c r="AM76">
        <v>0.49199256305408762</v>
      </c>
      <c r="AN76">
        <v>73</v>
      </c>
      <c r="AO76">
        <v>61</v>
      </c>
      <c r="AP76">
        <f t="shared" si="51"/>
        <v>210</v>
      </c>
      <c r="AQ76">
        <f t="shared" si="52"/>
        <v>100</v>
      </c>
      <c r="AR76">
        <f t="shared" si="48"/>
        <v>0.37869822485207105</v>
      </c>
      <c r="AS76">
        <f t="shared" si="49"/>
        <v>0.8084291187739463</v>
      </c>
      <c r="AT76">
        <f t="shared" si="50"/>
        <v>0.15546713822575897</v>
      </c>
    </row>
    <row r="77" spans="2:46" x14ac:dyDescent="0.25">
      <c r="B77" s="675">
        <f t="shared" si="31"/>
        <v>20</v>
      </c>
      <c r="C77" s="696">
        <f t="shared" si="31"/>
        <v>1</v>
      </c>
      <c r="D77" s="7">
        <f t="shared" si="39"/>
        <v>20</v>
      </c>
      <c r="E77" s="576">
        <f t="shared" si="32"/>
        <v>18</v>
      </c>
      <c r="F77" s="495">
        <f t="shared" si="33"/>
        <v>4</v>
      </c>
      <c r="H77">
        <f t="shared" si="34"/>
        <v>20</v>
      </c>
      <c r="I77">
        <f t="shared" si="35"/>
        <v>1</v>
      </c>
      <c r="J77">
        <f t="shared" si="36"/>
        <v>20</v>
      </c>
      <c r="K77" s="501">
        <f t="shared" si="37"/>
        <v>18</v>
      </c>
      <c r="L77" s="7">
        <f t="shared" si="38"/>
        <v>4</v>
      </c>
      <c r="M77" s="57">
        <f t="shared" si="40"/>
        <v>22</v>
      </c>
      <c r="N77">
        <f t="shared" si="41"/>
        <v>0.81818181818181823</v>
      </c>
      <c r="O77">
        <f t="shared" si="42"/>
        <v>0.93478519527893211</v>
      </c>
      <c r="P77" s="501">
        <f t="shared" si="43"/>
        <v>20.565274296136508</v>
      </c>
      <c r="Q77" s="57">
        <f t="shared" si="44"/>
        <v>1.4347257038634922</v>
      </c>
      <c r="R77">
        <f t="shared" si="45"/>
        <v>-12.134168325826586</v>
      </c>
      <c r="S77">
        <f t="shared" si="46"/>
        <v>81.818181818181827</v>
      </c>
      <c r="T77">
        <f t="shared" si="47"/>
        <v>4.9066707257443394</v>
      </c>
      <c r="X77" t="s">
        <v>527</v>
      </c>
      <c r="Y77" s="758" t="str">
        <f>IF(Y75&lt;Y76,"yes","no")</f>
        <v>yes</v>
      </c>
      <c r="AA77" t="s">
        <v>1721</v>
      </c>
      <c r="AD77" t="s">
        <v>1722</v>
      </c>
      <c r="AH77" t="s">
        <v>1712</v>
      </c>
      <c r="AI77" s="805">
        <v>0.5</v>
      </c>
      <c r="AM77">
        <v>0.51415189885562851</v>
      </c>
      <c r="AN77">
        <v>65</v>
      </c>
      <c r="AO77">
        <v>59</v>
      </c>
      <c r="AP77">
        <f t="shared" si="51"/>
        <v>275</v>
      </c>
      <c r="AQ77">
        <f t="shared" si="52"/>
        <v>159</v>
      </c>
      <c r="AR77">
        <f t="shared" si="48"/>
        <v>0.18639053254437865</v>
      </c>
      <c r="AS77">
        <f t="shared" si="49"/>
        <v>0.6954022988505747</v>
      </c>
      <c r="AT77">
        <f t="shared" si="50"/>
        <v>4.3205468271781254E-2</v>
      </c>
    </row>
    <row r="78" spans="2:46" x14ac:dyDescent="0.25">
      <c r="B78" s="675">
        <f t="shared" si="31"/>
        <v>21</v>
      </c>
      <c r="C78" s="696">
        <f t="shared" si="31"/>
        <v>1</v>
      </c>
      <c r="D78" s="7">
        <f t="shared" si="39"/>
        <v>21</v>
      </c>
      <c r="E78" s="576">
        <f t="shared" si="32"/>
        <v>75</v>
      </c>
      <c r="F78" s="495">
        <f t="shared" si="33"/>
        <v>9</v>
      </c>
      <c r="H78">
        <f t="shared" si="34"/>
        <v>21</v>
      </c>
      <c r="I78">
        <f t="shared" si="35"/>
        <v>1</v>
      </c>
      <c r="J78">
        <f t="shared" si="36"/>
        <v>21</v>
      </c>
      <c r="K78" s="501">
        <f t="shared" si="37"/>
        <v>75</v>
      </c>
      <c r="L78" s="7">
        <f t="shared" si="38"/>
        <v>9</v>
      </c>
      <c r="M78" s="57">
        <f t="shared" si="40"/>
        <v>84</v>
      </c>
      <c r="N78">
        <f t="shared" si="41"/>
        <v>0.8928571428571429</v>
      </c>
      <c r="O78">
        <f t="shared" si="42"/>
        <v>0.85741222983373122</v>
      </c>
      <c r="P78" s="501">
        <f t="shared" si="43"/>
        <v>72.022627306033428</v>
      </c>
      <c r="Q78" s="57">
        <f t="shared" si="44"/>
        <v>11.977372693966572</v>
      </c>
      <c r="R78">
        <f t="shared" si="45"/>
        <v>-29.06791242049189</v>
      </c>
      <c r="S78">
        <f t="shared" si="46"/>
        <v>89.285714285714292</v>
      </c>
      <c r="T78">
        <f t="shared" si="47"/>
        <v>0.86320741991068872</v>
      </c>
      <c r="AM78">
        <v>0.71611913821111484</v>
      </c>
      <c r="AN78">
        <v>21</v>
      </c>
      <c r="AO78">
        <v>68</v>
      </c>
      <c r="AP78">
        <f t="shared" si="51"/>
        <v>296</v>
      </c>
      <c r="AQ78">
        <f t="shared" si="52"/>
        <v>227</v>
      </c>
      <c r="AR78">
        <f t="shared" si="48"/>
        <v>0.12426035502958577</v>
      </c>
      <c r="AS78">
        <f t="shared" si="49"/>
        <v>0.56513409961685823</v>
      </c>
      <c r="AT78">
        <f t="shared" si="50"/>
        <v>3.8455870683987405E-2</v>
      </c>
    </row>
    <row r="79" spans="2:46" x14ac:dyDescent="0.25">
      <c r="B79" s="675">
        <f t="shared" si="31"/>
        <v>22</v>
      </c>
      <c r="C79" s="696">
        <f t="shared" si="31"/>
        <v>1</v>
      </c>
      <c r="D79" s="7">
        <f t="shared" si="39"/>
        <v>22</v>
      </c>
      <c r="E79" s="576">
        <f t="shared" si="32"/>
        <v>68</v>
      </c>
      <c r="F79" s="495">
        <f t="shared" si="33"/>
        <v>21</v>
      </c>
      <c r="H79">
        <f t="shared" si="34"/>
        <v>22</v>
      </c>
      <c r="I79">
        <f t="shared" si="35"/>
        <v>1</v>
      </c>
      <c r="J79">
        <f t="shared" si="36"/>
        <v>22</v>
      </c>
      <c r="K79" s="501">
        <f t="shared" si="37"/>
        <v>68</v>
      </c>
      <c r="L79" s="7">
        <f t="shared" si="38"/>
        <v>21</v>
      </c>
      <c r="M79" s="57">
        <f t="shared" si="40"/>
        <v>89</v>
      </c>
      <c r="N79">
        <f t="shared" si="41"/>
        <v>0.7640449438202247</v>
      </c>
      <c r="O79">
        <f t="shared" si="42"/>
        <v>0.71611913821111484</v>
      </c>
      <c r="P79" s="501">
        <f t="shared" si="43"/>
        <v>63.734603300789217</v>
      </c>
      <c r="Q79" s="57">
        <f t="shared" si="44"/>
        <v>25.265396699210783</v>
      </c>
      <c r="R79">
        <f t="shared" si="45"/>
        <v>-49.149006977708787</v>
      </c>
      <c r="S79">
        <f t="shared" si="46"/>
        <v>76.404494382022463</v>
      </c>
      <c r="T79">
        <f t="shared" si="47"/>
        <v>1.005558763125165</v>
      </c>
      <c r="X79" t="s">
        <v>1325</v>
      </c>
      <c r="Y79" s="802">
        <f>1-Y71/Y70</f>
        <v>0.23154995803795386</v>
      </c>
      <c r="AA79" t="s">
        <v>1252</v>
      </c>
      <c r="AB79" s="802">
        <f>V6</f>
        <v>-446.56786869171009</v>
      </c>
      <c r="AD79" t="s">
        <v>1252</v>
      </c>
      <c r="AE79" s="802">
        <f>U29</f>
        <v>-446.5971544472427</v>
      </c>
      <c r="AM79">
        <v>0.78344198224082906</v>
      </c>
      <c r="AN79">
        <v>23</v>
      </c>
      <c r="AO79">
        <v>91</v>
      </c>
      <c r="AP79">
        <f t="shared" si="51"/>
        <v>319</v>
      </c>
      <c r="AQ79">
        <f t="shared" si="52"/>
        <v>318</v>
      </c>
      <c r="AR79">
        <f t="shared" si="48"/>
        <v>5.6213017751479244E-2</v>
      </c>
      <c r="AS79">
        <f t="shared" si="49"/>
        <v>0.39080459770114939</v>
      </c>
      <c r="AT79">
        <f t="shared" si="50"/>
        <v>1.0406039583758383E-2</v>
      </c>
    </row>
    <row r="80" spans="2:46" x14ac:dyDescent="0.25">
      <c r="B80" s="675">
        <f t="shared" si="31"/>
        <v>23</v>
      </c>
      <c r="C80" s="696">
        <f t="shared" si="31"/>
        <v>1</v>
      </c>
      <c r="D80" s="7">
        <f t="shared" si="39"/>
        <v>23</v>
      </c>
      <c r="E80" s="576">
        <f t="shared" si="32"/>
        <v>59</v>
      </c>
      <c r="F80" s="495">
        <f t="shared" si="33"/>
        <v>65</v>
      </c>
      <c r="H80">
        <f t="shared" si="34"/>
        <v>23</v>
      </c>
      <c r="I80">
        <f t="shared" si="35"/>
        <v>1</v>
      </c>
      <c r="J80">
        <f t="shared" si="36"/>
        <v>23</v>
      </c>
      <c r="K80" s="501">
        <f t="shared" si="37"/>
        <v>59</v>
      </c>
      <c r="L80" s="7">
        <f t="shared" si="38"/>
        <v>65</v>
      </c>
      <c r="M80" s="57">
        <f t="shared" si="40"/>
        <v>124</v>
      </c>
      <c r="N80">
        <f t="shared" si="41"/>
        <v>0.47580645161290325</v>
      </c>
      <c r="O80">
        <f t="shared" si="42"/>
        <v>0.51415189885562851</v>
      </c>
      <c r="P80" s="501">
        <f t="shared" si="43"/>
        <v>63.754835458097936</v>
      </c>
      <c r="Q80" s="57">
        <f t="shared" si="44"/>
        <v>60.245164541902064</v>
      </c>
      <c r="R80">
        <f t="shared" si="45"/>
        <v>-86.169806959434666</v>
      </c>
      <c r="S80">
        <f t="shared" si="46"/>
        <v>47.580645161290327</v>
      </c>
      <c r="T80">
        <f t="shared" si="47"/>
        <v>0.72988988723781767</v>
      </c>
      <c r="X80" t="s">
        <v>1326</v>
      </c>
      <c r="Y80" s="680">
        <f>1-EXP((-2/M83)*(Y71-Y70))</f>
        <v>0.26678372292153207</v>
      </c>
      <c r="AA80" t="s">
        <v>1315</v>
      </c>
      <c r="AB80" s="757">
        <f>Y71</f>
        <v>-442.83459902436653</v>
      </c>
      <c r="AD80" t="s">
        <v>1315</v>
      </c>
      <c r="AE80" s="757">
        <f>Y71</f>
        <v>-442.83459902436653</v>
      </c>
      <c r="AM80">
        <v>0.85741222983373122</v>
      </c>
      <c r="AN80">
        <v>9</v>
      </c>
      <c r="AO80">
        <v>75</v>
      </c>
      <c r="AP80">
        <f t="shared" si="51"/>
        <v>328</v>
      </c>
      <c r="AQ80">
        <f t="shared" si="52"/>
        <v>393</v>
      </c>
      <c r="AR80">
        <f t="shared" si="48"/>
        <v>2.9585798816568087E-2</v>
      </c>
      <c r="AS80">
        <f t="shared" si="49"/>
        <v>0.24712643678160917</v>
      </c>
      <c r="AT80">
        <f t="shared" si="50"/>
        <v>4.3868598245256291E-3</v>
      </c>
    </row>
    <row r="81" spans="2:46" x14ac:dyDescent="0.25">
      <c r="B81" s="675">
        <f t="shared" si="31"/>
        <v>24</v>
      </c>
      <c r="C81" s="696">
        <f t="shared" si="31"/>
        <v>1</v>
      </c>
      <c r="D81" s="7">
        <f t="shared" si="39"/>
        <v>24</v>
      </c>
      <c r="E81" s="576">
        <f t="shared" si="32"/>
        <v>17</v>
      </c>
      <c r="F81" s="495">
        <f t="shared" si="33"/>
        <v>46</v>
      </c>
      <c r="H81">
        <f t="shared" si="34"/>
        <v>24</v>
      </c>
      <c r="I81">
        <f t="shared" si="35"/>
        <v>1</v>
      </c>
      <c r="J81">
        <f t="shared" si="36"/>
        <v>24</v>
      </c>
      <c r="K81" s="501">
        <f t="shared" si="37"/>
        <v>17</v>
      </c>
      <c r="L81" s="7">
        <f t="shared" si="38"/>
        <v>46</v>
      </c>
      <c r="M81" s="57">
        <f t="shared" si="40"/>
        <v>63</v>
      </c>
      <c r="N81">
        <f t="shared" si="41"/>
        <v>0.26984126984126983</v>
      </c>
      <c r="O81">
        <f t="shared" si="42"/>
        <v>0.30745457899397483</v>
      </c>
      <c r="P81" s="501">
        <f t="shared" si="43"/>
        <v>19.369638476620413</v>
      </c>
      <c r="Q81" s="57">
        <f t="shared" si="44"/>
        <v>43.630361523379591</v>
      </c>
      <c r="R81">
        <f t="shared" si="45"/>
        <v>-36.949821370861109</v>
      </c>
      <c r="S81">
        <f t="shared" si="46"/>
        <v>73.015873015873012</v>
      </c>
      <c r="T81">
        <f t="shared" si="47"/>
        <v>0.41859535900186506</v>
      </c>
      <c r="X81" t="s">
        <v>1327</v>
      </c>
      <c r="Y81" s="757">
        <f>Y80/(1-EXP(2*Y70/M83))</f>
        <v>0.36139915238023418</v>
      </c>
      <c r="AM81">
        <v>0.93109993693016424</v>
      </c>
      <c r="AN81">
        <v>6</v>
      </c>
      <c r="AO81">
        <v>90</v>
      </c>
      <c r="AP81">
        <f t="shared" si="51"/>
        <v>334</v>
      </c>
      <c r="AQ81">
        <f t="shared" si="52"/>
        <v>483</v>
      </c>
      <c r="AR81">
        <f t="shared" si="48"/>
        <v>1.1834319526627168E-2</v>
      </c>
      <c r="AS81">
        <f t="shared" si="49"/>
        <v>7.4712643678160884E-2</v>
      </c>
      <c r="AT81">
        <f t="shared" si="50"/>
        <v>8.8417329796639725E-4</v>
      </c>
    </row>
    <row r="82" spans="2:46" x14ac:dyDescent="0.25">
      <c r="B82" s="678">
        <f t="shared" si="31"/>
        <v>25</v>
      </c>
      <c r="C82" s="812">
        <f t="shared" si="31"/>
        <v>1</v>
      </c>
      <c r="D82" s="762">
        <f t="shared" si="39"/>
        <v>25</v>
      </c>
      <c r="E82" s="496">
        <f t="shared" si="32"/>
        <v>7</v>
      </c>
      <c r="F82" s="497">
        <f t="shared" si="33"/>
        <v>22</v>
      </c>
      <c r="H82">
        <f t="shared" si="34"/>
        <v>25</v>
      </c>
      <c r="I82">
        <f t="shared" si="35"/>
        <v>1</v>
      </c>
      <c r="J82">
        <f t="shared" si="36"/>
        <v>25</v>
      </c>
      <c r="K82" s="759">
        <f t="shared" si="37"/>
        <v>7</v>
      </c>
      <c r="L82" s="760">
        <f t="shared" si="38"/>
        <v>22</v>
      </c>
      <c r="M82" s="57">
        <f t="shared" si="40"/>
        <v>29</v>
      </c>
      <c r="N82">
        <f t="shared" si="41"/>
        <v>0.2413793103448276</v>
      </c>
      <c r="O82">
        <f t="shared" si="42"/>
        <v>0.15700072973526055</v>
      </c>
      <c r="P82" s="501">
        <f t="shared" si="43"/>
        <v>4.5530211623225556</v>
      </c>
      <c r="Q82" s="57">
        <f t="shared" si="44"/>
        <v>24.446978837677445</v>
      </c>
      <c r="R82">
        <f t="shared" si="45"/>
        <v>-16.71789588521915</v>
      </c>
      <c r="S82">
        <f t="shared" si="46"/>
        <v>75.862068965517238</v>
      </c>
      <c r="T82">
        <f t="shared" si="47"/>
        <v>1.5600321883181982</v>
      </c>
      <c r="AA82" t="s">
        <v>1328</v>
      </c>
      <c r="AB82" s="802">
        <f>2*(AB80-AB79)</f>
        <v>7.4665393346871269</v>
      </c>
      <c r="AD82" t="s">
        <v>1328</v>
      </c>
      <c r="AE82" s="802">
        <f>2*(AE80-AE79)</f>
        <v>7.5251108457523515</v>
      </c>
      <c r="AM82">
        <v>0.93478519527893211</v>
      </c>
      <c r="AN82">
        <v>4</v>
      </c>
      <c r="AO82">
        <v>18</v>
      </c>
      <c r="AP82">
        <f t="shared" si="51"/>
        <v>338</v>
      </c>
      <c r="AQ82">
        <f t="shared" si="52"/>
        <v>501</v>
      </c>
      <c r="AR82">
        <f t="shared" si="48"/>
        <v>0</v>
      </c>
      <c r="AS82">
        <f t="shared" si="49"/>
        <v>4.0229885057471271E-2</v>
      </c>
      <c r="AT82">
        <f t="shared" si="50"/>
        <v>0</v>
      </c>
    </row>
    <row r="83" spans="2:46" x14ac:dyDescent="0.25">
      <c r="E83" s="87">
        <f>SUM(E71:E82)</f>
        <v>522</v>
      </c>
      <c r="F83" s="87">
        <f>SUM(F71:F82)</f>
        <v>338</v>
      </c>
      <c r="H83" s="4"/>
      <c r="I83" s="4"/>
      <c r="J83" s="4"/>
      <c r="K83" s="4">
        <f>SUM(K71:K82)</f>
        <v>522</v>
      </c>
      <c r="L83" s="4">
        <f>SUM(L71:L82)</f>
        <v>338</v>
      </c>
      <c r="M83" s="801">
        <f>SUM(M71:M82)</f>
        <v>860</v>
      </c>
      <c r="N83" s="801"/>
      <c r="O83" s="801"/>
      <c r="P83" s="4">
        <f>SUM(P71:P82)</f>
        <v>522.00000000000011</v>
      </c>
      <c r="Q83" s="4">
        <f>SUM(Q71:Q82)</f>
        <v>337.99999999999983</v>
      </c>
      <c r="R83" s="801">
        <f>SUM(R71:R82)</f>
        <v>-442.83459902436653</v>
      </c>
      <c r="S83" s="801">
        <f>SUMPRODUCT(S71:S82,M71:M82)/M83</f>
        <v>73.488372093023258</v>
      </c>
      <c r="T83" s="801">
        <f>SUM(T71:T82)</f>
        <v>12.747884682962935</v>
      </c>
      <c r="X83" t="s">
        <v>1653</v>
      </c>
      <c r="Y83" s="802">
        <f>T83</f>
        <v>12.747884682962935</v>
      </c>
      <c r="AA83" t="s">
        <v>60</v>
      </c>
      <c r="AB83" s="680">
        <f>Y74-V9</f>
        <v>1</v>
      </c>
      <c r="AD83" t="s">
        <v>60</v>
      </c>
      <c r="AE83" s="680">
        <f>Y74-X41</f>
        <v>2</v>
      </c>
      <c r="AM83" s="762">
        <v>0.98057504357793557</v>
      </c>
      <c r="AN83" s="762">
        <v>0</v>
      </c>
      <c r="AO83" s="762">
        <v>21</v>
      </c>
      <c r="AP83" s="762">
        <f t="shared" si="51"/>
        <v>338</v>
      </c>
      <c r="AQ83" s="762">
        <f t="shared" si="52"/>
        <v>522</v>
      </c>
      <c r="AR83" s="762">
        <f t="shared" si="48"/>
        <v>0</v>
      </c>
      <c r="AS83" s="762">
        <f t="shared" si="49"/>
        <v>0</v>
      </c>
      <c r="AT83" s="762">
        <f t="shared" si="50"/>
        <v>0</v>
      </c>
    </row>
    <row r="84" spans="2:46" ht="15.75" thickBot="1" x14ac:dyDescent="0.3">
      <c r="X84" t="s">
        <v>60</v>
      </c>
      <c r="Y84" s="680">
        <f>COUNT(M71:M82)-2</f>
        <v>10</v>
      </c>
      <c r="AA84" t="s">
        <v>67</v>
      </c>
      <c r="AB84" s="680">
        <f>CHIDIST(AB82,AB83)</f>
        <v>6.2856262068667094E-3</v>
      </c>
      <c r="AD84" t="s">
        <v>67</v>
      </c>
      <c r="AE84" s="680">
        <f>CHIDIST(AE82,AE83)</f>
        <v>2.322431653096254E-2</v>
      </c>
      <c r="AT84">
        <f>SUM(AT71:AT83)</f>
        <v>0.84918043936611576</v>
      </c>
    </row>
    <row r="85" spans="2:46" ht="15.75" thickTop="1" x14ac:dyDescent="0.25">
      <c r="H85" s="754"/>
      <c r="I85" s="754" t="s">
        <v>1529</v>
      </c>
      <c r="J85" s="754" t="s">
        <v>425</v>
      </c>
      <c r="K85" s="754" t="s">
        <v>1530</v>
      </c>
      <c r="L85" s="754" t="s">
        <v>67</v>
      </c>
      <c r="M85" s="754" t="s">
        <v>1531</v>
      </c>
      <c r="N85" s="754" t="s">
        <v>29</v>
      </c>
      <c r="O85" s="754" t="s">
        <v>30</v>
      </c>
      <c r="X85" t="s">
        <v>67</v>
      </c>
      <c r="Y85" s="680">
        <f>CHIDIST(Y83,Y84)</f>
        <v>0.23811146594233135</v>
      </c>
      <c r="AA85" t="s">
        <v>106</v>
      </c>
      <c r="AB85" s="680">
        <v>0.05</v>
      </c>
      <c r="AD85" t="s">
        <v>106</v>
      </c>
      <c r="AE85" s="680">
        <v>0.05</v>
      </c>
    </row>
    <row r="86" spans="2:46" x14ac:dyDescent="0.25">
      <c r="H86" t="s">
        <v>296</v>
      </c>
      <c r="I86">
        <f t="array" ref="I86:I89">V72:V75</f>
        <v>30.279000608385747</v>
      </c>
      <c r="J86">
        <f t="array" ref="J86:J89">SQRT([1]!DIAG(AA71:AD74))</f>
        <v>2.9879584650072002</v>
      </c>
      <c r="K86">
        <f>(I86/J86)^2</f>
        <v>102.69137314667871</v>
      </c>
      <c r="L86">
        <f>CHIDIST(K86,1)</f>
        <v>3.9164621786945583E-24</v>
      </c>
      <c r="M86">
        <f>EXP(I86)</f>
        <v>14125469175665.697</v>
      </c>
      <c r="X86" t="s">
        <v>106</v>
      </c>
      <c r="Y86" s="680">
        <f>Y76</f>
        <v>0.05</v>
      </c>
      <c r="AA86" t="s">
        <v>527</v>
      </c>
      <c r="AB86" s="758" t="str">
        <f>IF(AB84&lt;AB85,"yes","no")</f>
        <v>yes</v>
      </c>
      <c r="AD86" t="s">
        <v>527</v>
      </c>
      <c r="AE86" s="758" t="str">
        <f>IF(AE84&lt;AE85,"yes","no")</f>
        <v>yes</v>
      </c>
    </row>
    <row r="87" spans="2:46" x14ac:dyDescent="0.25">
      <c r="H87" t="str">
        <f t="array" ref="H87:H89">TRANSPOSE(H70:J70)</f>
        <v>Temp</v>
      </c>
      <c r="I87">
        <v>-1.3178710041252191</v>
      </c>
      <c r="J87">
        <v>0.13148288624363216</v>
      </c>
      <c r="K87">
        <f>(I87/J87)^2</f>
        <v>100.46327869780576</v>
      </c>
      <c r="L87">
        <f>CHIDIST(K87,1)</f>
        <v>1.206125004195558E-23</v>
      </c>
      <c r="M87">
        <f>EXP(I87)</f>
        <v>0.26770463776347758</v>
      </c>
      <c r="N87">
        <f>EXP(I87-J87*NORMSINV(1-$Y$76/2))</f>
        <v>0.20688902807037976</v>
      </c>
      <c r="O87">
        <f>EXP(I87+J87*NORMSINV(1-$Y$76/2))</f>
        <v>0.34639716638668427</v>
      </c>
      <c r="X87" t="s">
        <v>527</v>
      </c>
      <c r="Y87" s="758" t="str">
        <f>IF(Y85&lt;Y86,"yes","no")</f>
        <v>no</v>
      </c>
    </row>
    <row r="88" spans="2:46" x14ac:dyDescent="0.25">
      <c r="H88" t="str">
        <v>Water</v>
      </c>
      <c r="I88">
        <v>-10.242986773302798</v>
      </c>
      <c r="J88">
        <v>3.7988638423925449</v>
      </c>
      <c r="K88">
        <f>(I88/J88)^2</f>
        <v>7.2701901160001121</v>
      </c>
      <c r="L88">
        <f>CHIDIST(K88,1)</f>
        <v>7.0108382116115635E-3</v>
      </c>
      <c r="M88">
        <f>EXP(I88)</f>
        <v>3.5606342591143691E-5</v>
      </c>
      <c r="N88">
        <f>EXP(I88-J88*NORMSINV(1-$Y$76/2))</f>
        <v>2.0793548085311467E-8</v>
      </c>
      <c r="O88">
        <f>EXP(I88+J88*NORMSINV(1-$Y$76/2))</f>
        <v>6.0971394949834036E-2</v>
      </c>
    </row>
    <row r="89" spans="2:46" x14ac:dyDescent="0.25">
      <c r="H89" s="762" t="str">
        <v>T x W</v>
      </c>
      <c r="I89" s="762">
        <v>0.44920182516078888</v>
      </c>
      <c r="J89" s="762">
        <v>0.16709685302311883</v>
      </c>
      <c r="K89" s="762">
        <f>(I89/J89)^2</f>
        <v>7.2268074364559647</v>
      </c>
      <c r="L89" s="762">
        <f>CHIDIST(K89,1)</f>
        <v>7.1822821927441357E-3</v>
      </c>
      <c r="M89" s="762">
        <f>EXP(I89)</f>
        <v>1.5670608976033675</v>
      </c>
      <c r="N89" s="762">
        <f>EXP(I89-J89*NORMSINV(1-$Y$76/2))</f>
        <v>1.1294129803240125</v>
      </c>
      <c r="O89" s="762">
        <f>EXP(I89+J89*NORMSINV(1-$Y$76/2))</f>
        <v>2.1742975329475782</v>
      </c>
    </row>
    <row r="92" spans="2:46" x14ac:dyDescent="0.25">
      <c r="B92" t="s">
        <v>2328</v>
      </c>
    </row>
    <row r="94" spans="2:46" x14ac:dyDescent="0.25">
      <c r="B94" t="s">
        <v>1738</v>
      </c>
      <c r="H94" t="s">
        <v>1741</v>
      </c>
      <c r="Q94" t="s">
        <v>769</v>
      </c>
      <c r="T94" t="s">
        <v>1742</v>
      </c>
    </row>
    <row r="96" spans="2:46" x14ac:dyDescent="0.25">
      <c r="B96" s="649" t="s">
        <v>1320</v>
      </c>
      <c r="C96" s="649" t="s">
        <v>1321</v>
      </c>
      <c r="D96" s="13" t="s">
        <v>1550</v>
      </c>
      <c r="E96" s="13" t="s">
        <v>1323</v>
      </c>
      <c r="H96" t="str">
        <f t="array" ref="H96:O100">[1]!LogitCoeff(B71:F82,TRUE)</f>
        <v/>
      </c>
      <c r="I96" t="str">
        <v>coeff</v>
      </c>
      <c r="J96" t="str">
        <v>s.e.</v>
      </c>
      <c r="K96" t="str">
        <v>Wald</v>
      </c>
      <c r="L96" t="str">
        <v>p-value</v>
      </c>
      <c r="M96" t="str">
        <v>exp(b)</v>
      </c>
      <c r="N96" t="str">
        <v>lower</v>
      </c>
      <c r="O96" t="str">
        <v>upper</v>
      </c>
      <c r="Q96" t="str">
        <f t="array" ref="Q96:R102">[1]!LogitRSquare(B71:F82,TRUE)</f>
        <v>LL</v>
      </c>
      <c r="R96" s="831">
        <v>-442.83459902436658</v>
      </c>
      <c r="T96" t="str">
        <f t="array" ref="T96:U100">[1]!LogitTest(B71:F82,TRUE)</f>
        <v>LL</v>
      </c>
      <c r="U96" s="831">
        <v>-442.83459902436658</v>
      </c>
    </row>
    <row r="97" spans="2:21" x14ac:dyDescent="0.25">
      <c r="B97" s="751">
        <v>24</v>
      </c>
      <c r="C97" s="752">
        <v>0</v>
      </c>
      <c r="D97" s="752">
        <f>B97*C97</f>
        <v>0</v>
      </c>
      <c r="E97" s="755">
        <f>[1]!LogitPred(B97:D97,$B$71:$F$82)</f>
        <v>0.20588615035143965</v>
      </c>
      <c r="H97" t="str">
        <v>intercept</v>
      </c>
      <c r="I97" s="751">
        <v>30.279000608385747</v>
      </c>
      <c r="J97" s="752">
        <v>2.9879584650060917</v>
      </c>
      <c r="K97" s="752">
        <v>102.6913731467549</v>
      </c>
      <c r="L97" s="752">
        <v>3.9164621785439194E-24</v>
      </c>
      <c r="M97" s="752">
        <v>14125469175665.697</v>
      </c>
      <c r="N97" s="752" t="str">
        <v/>
      </c>
      <c r="O97" s="755" t="str">
        <v/>
      </c>
      <c r="Q97" t="str">
        <v>LL0</v>
      </c>
      <c r="R97" s="503">
        <v>-576.26986120489823</v>
      </c>
      <c r="T97" t="str">
        <v>LL0</v>
      </c>
      <c r="U97" s="503">
        <v>-576.26986120489823</v>
      </c>
    </row>
    <row r="98" spans="2:21" x14ac:dyDescent="0.25">
      <c r="B98" s="532">
        <v>24</v>
      </c>
      <c r="C98" s="7">
        <v>1</v>
      </c>
      <c r="D98" s="7">
        <f>B98*C98</f>
        <v>24</v>
      </c>
      <c r="E98" s="533">
        <f>[1]!LogitPred(B98:D98,$B$71:$F$82)</f>
        <v>0.30745457899397483</v>
      </c>
      <c r="H98" t="str">
        <v>var 1</v>
      </c>
      <c r="I98" s="532">
        <v>-1.3178710041252191</v>
      </c>
      <c r="J98" s="7">
        <v>0.13148288624358695</v>
      </c>
      <c r="K98" s="7">
        <v>100.46327869787484</v>
      </c>
      <c r="L98" s="7">
        <v>1.2061250041534922E-23</v>
      </c>
      <c r="M98" s="7">
        <v>0.26770463776347758</v>
      </c>
      <c r="N98" s="7">
        <v>0.20688902807039811</v>
      </c>
      <c r="O98" s="533">
        <v>0.34639716638665358</v>
      </c>
      <c r="Q98" t="str">
        <v>R-sq (L)</v>
      </c>
      <c r="R98" s="503">
        <v>0.23154995803795386</v>
      </c>
      <c r="T98" t="str">
        <v>Chi-square</v>
      </c>
      <c r="U98" s="503">
        <v>266.8705243610633</v>
      </c>
    </row>
    <row r="99" spans="2:21" x14ac:dyDescent="0.25">
      <c r="B99" s="532">
        <v>24.5</v>
      </c>
      <c r="C99" s="7">
        <v>0</v>
      </c>
      <c r="D99" s="7">
        <f>B99*C99</f>
        <v>0</v>
      </c>
      <c r="E99" s="533">
        <f>[1]!LogitPred(B99:D99,$B$71:$F$82)</f>
        <v>0.11827800365899102</v>
      </c>
      <c r="H99" t="str">
        <v>var 2</v>
      </c>
      <c r="I99" s="532">
        <v>-10.242986773302798</v>
      </c>
      <c r="J99" s="7">
        <v>3.7988638423909018</v>
      </c>
      <c r="K99" s="7">
        <v>7.2701901160064004</v>
      </c>
      <c r="L99" s="7">
        <v>7.0108382115870241E-3</v>
      </c>
      <c r="M99" s="7">
        <v>3.5606342591143691E-5</v>
      </c>
      <c r="N99" s="7">
        <v>2.0793548085378472E-8</v>
      </c>
      <c r="O99" s="533">
        <v>6.0971394949637672E-2</v>
      </c>
      <c r="Q99" t="str">
        <v>R-sq (CS)</v>
      </c>
      <c r="R99" s="503">
        <v>0.26678372292153196</v>
      </c>
      <c r="T99" t="str">
        <v>df</v>
      </c>
      <c r="U99" s="503">
        <v>3</v>
      </c>
    </row>
    <row r="100" spans="2:21" x14ac:dyDescent="0.25">
      <c r="B100" s="409">
        <v>24.5</v>
      </c>
      <c r="C100" s="762">
        <v>1</v>
      </c>
      <c r="D100" s="762">
        <f>B100*C100</f>
        <v>24.5</v>
      </c>
      <c r="E100" s="417">
        <f>[1]!LogitPred(B100:D100,$B$71:$F$82)</f>
        <v>0.22332722509113082</v>
      </c>
      <c r="H100" t="str">
        <v>var 3</v>
      </c>
      <c r="I100" s="409">
        <v>0.44920182516078888</v>
      </c>
      <c r="J100" s="762">
        <v>0.16709685302304661</v>
      </c>
      <c r="K100" s="762">
        <v>7.2268074364622112</v>
      </c>
      <c r="L100" s="762">
        <v>7.1822821927191383E-3</v>
      </c>
      <c r="M100" s="762">
        <v>1.5670608976033675</v>
      </c>
      <c r="N100" s="762">
        <v>1.1294129803241724</v>
      </c>
      <c r="O100" s="417">
        <v>2.1742975329472705</v>
      </c>
      <c r="Q100" t="str">
        <v>R-sq (N)</v>
      </c>
      <c r="R100" s="503">
        <v>0.36139915238023401</v>
      </c>
      <c r="T100" t="str">
        <v>p-value</v>
      </c>
      <c r="U100" s="420">
        <v>1.4672719674975943E-57</v>
      </c>
    </row>
    <row r="101" spans="2:21" x14ac:dyDescent="0.25">
      <c r="Q101" t="str">
        <v>AIC</v>
      </c>
      <c r="R101" s="503">
        <v>893.66919804873316</v>
      </c>
    </row>
    <row r="102" spans="2:21" x14ac:dyDescent="0.25">
      <c r="Q102" t="str">
        <v>BIC</v>
      </c>
      <c r="R102" s="420">
        <v>912.69692760572343</v>
      </c>
    </row>
    <row r="103" spans="2:21" x14ac:dyDescent="0.25">
      <c r="B103" t="s">
        <v>1840</v>
      </c>
    </row>
    <row r="105" spans="2:21" x14ac:dyDescent="0.25">
      <c r="B105" s="649" t="str">
        <f t="array" ref="B105:F117">[1]!LogitSelect(A3:D15,"1,2,1*2",TRUE)</f>
        <v>Temp</v>
      </c>
      <c r="C105" s="649" t="str">
        <v>Water</v>
      </c>
      <c r="D105" s="13" t="str">
        <v>Temp*Water</v>
      </c>
      <c r="E105" s="649" t="str">
        <v>Male</v>
      </c>
      <c r="F105" s="649" t="str">
        <v>Female</v>
      </c>
    </row>
    <row r="106" spans="2:21" x14ac:dyDescent="0.25">
      <c r="B106" s="806">
        <v>20</v>
      </c>
      <c r="C106" s="811">
        <v>0</v>
      </c>
      <c r="D106" s="4">
        <v>0</v>
      </c>
      <c r="E106" s="813">
        <v>21</v>
      </c>
      <c r="F106" s="808">
        <v>0</v>
      </c>
    </row>
    <row r="107" spans="2:21" x14ac:dyDescent="0.25">
      <c r="B107" s="675">
        <v>20</v>
      </c>
      <c r="C107" s="696">
        <v>1</v>
      </c>
      <c r="D107" s="7">
        <v>20</v>
      </c>
      <c r="E107" s="576">
        <v>18</v>
      </c>
      <c r="F107" s="495">
        <v>4</v>
      </c>
    </row>
    <row r="108" spans="2:21" x14ac:dyDescent="0.25">
      <c r="B108" s="675">
        <v>21</v>
      </c>
      <c r="C108" s="696">
        <v>0</v>
      </c>
      <c r="D108" s="7">
        <v>0</v>
      </c>
      <c r="E108" s="576">
        <v>90</v>
      </c>
      <c r="F108" s="495">
        <v>6</v>
      </c>
    </row>
    <row r="109" spans="2:21" x14ac:dyDescent="0.25">
      <c r="B109" s="675">
        <v>21</v>
      </c>
      <c r="C109" s="696">
        <v>1</v>
      </c>
      <c r="D109" s="7">
        <v>21</v>
      </c>
      <c r="E109" s="576">
        <v>75</v>
      </c>
      <c r="F109" s="495">
        <v>9</v>
      </c>
    </row>
    <row r="110" spans="2:21" x14ac:dyDescent="0.25">
      <c r="B110" s="675">
        <v>22</v>
      </c>
      <c r="C110" s="696">
        <v>0</v>
      </c>
      <c r="D110" s="7">
        <v>0</v>
      </c>
      <c r="E110" s="576">
        <v>91</v>
      </c>
      <c r="F110" s="495">
        <v>23</v>
      </c>
    </row>
    <row r="111" spans="2:21" x14ac:dyDescent="0.25">
      <c r="B111" s="675">
        <v>22</v>
      </c>
      <c r="C111" s="696">
        <v>1</v>
      </c>
      <c r="D111" s="7">
        <v>22</v>
      </c>
      <c r="E111" s="576">
        <v>68</v>
      </c>
      <c r="F111" s="495">
        <v>21</v>
      </c>
    </row>
    <row r="112" spans="2:21" x14ac:dyDescent="0.25">
      <c r="B112" s="675">
        <v>23</v>
      </c>
      <c r="C112" s="696">
        <v>0</v>
      </c>
      <c r="D112" s="7">
        <v>0</v>
      </c>
      <c r="E112" s="576">
        <v>61</v>
      </c>
      <c r="F112" s="495">
        <v>73</v>
      </c>
    </row>
    <row r="113" spans="2:6" x14ac:dyDescent="0.25">
      <c r="B113" s="675">
        <v>23</v>
      </c>
      <c r="C113" s="696">
        <v>1</v>
      </c>
      <c r="D113" s="7">
        <v>23</v>
      </c>
      <c r="E113" s="576">
        <v>59</v>
      </c>
      <c r="F113" s="495">
        <v>65</v>
      </c>
    </row>
    <row r="114" spans="2:6" x14ac:dyDescent="0.25">
      <c r="B114" s="675">
        <v>24</v>
      </c>
      <c r="C114" s="696">
        <v>0</v>
      </c>
      <c r="D114" s="7">
        <v>0</v>
      </c>
      <c r="E114" s="576">
        <v>11</v>
      </c>
      <c r="F114" s="495">
        <v>41</v>
      </c>
    </row>
    <row r="115" spans="2:6" x14ac:dyDescent="0.25">
      <c r="B115" s="675">
        <v>24</v>
      </c>
      <c r="C115" s="696">
        <v>1</v>
      </c>
      <c r="D115" s="7">
        <v>24</v>
      </c>
      <c r="E115" s="576">
        <v>17</v>
      </c>
      <c r="F115" s="495">
        <v>46</v>
      </c>
    </row>
    <row r="116" spans="2:6" x14ac:dyDescent="0.25">
      <c r="B116" s="675">
        <v>25</v>
      </c>
      <c r="C116" s="696">
        <v>0</v>
      </c>
      <c r="D116" s="7">
        <v>0</v>
      </c>
      <c r="E116" s="576">
        <v>4</v>
      </c>
      <c r="F116" s="495">
        <v>28</v>
      </c>
    </row>
    <row r="117" spans="2:6" x14ac:dyDescent="0.25">
      <c r="B117" s="678">
        <v>25</v>
      </c>
      <c r="C117" s="812">
        <v>1</v>
      </c>
      <c r="D117" s="762">
        <v>25</v>
      </c>
      <c r="E117" s="496">
        <v>7</v>
      </c>
      <c r="F117" s="497">
        <v>22</v>
      </c>
    </row>
    <row r="118" spans="2:6" x14ac:dyDescent="0.25">
      <c r="E118" s="87">
        <f>SUM(E106:E117)</f>
        <v>522</v>
      </c>
      <c r="F118" s="87">
        <f>SUM(F106:F117)</f>
        <v>338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Y26"/>
  <sheetViews>
    <sheetView workbookViewId="0"/>
  </sheetViews>
  <sheetFormatPr defaultRowHeight="15" x14ac:dyDescent="0.25"/>
  <cols>
    <col min="1" max="1" width="7" customWidth="1"/>
    <col min="2" max="4" width="7.7109375" customWidth="1"/>
    <col min="5" max="5" width="6" customWidth="1"/>
    <col min="7" max="13" width="9.140625" customWidth="1"/>
    <col min="14" max="14" width="3.85546875" customWidth="1"/>
    <col min="15" max="15" width="10.28515625" customWidth="1"/>
    <col min="19" max="21" width="9.28515625" bestFit="1" customWidth="1"/>
    <col min="22" max="25" width="9.28515625" customWidth="1"/>
  </cols>
  <sheetData>
    <row r="1" spans="1:25" x14ac:dyDescent="0.25">
      <c r="A1" s="1" t="s">
        <v>2329</v>
      </c>
      <c r="B1" s="1"/>
      <c r="C1" s="17"/>
      <c r="D1" s="17"/>
    </row>
    <row r="2" spans="1:25" x14ac:dyDescent="0.25">
      <c r="A2" s="17"/>
      <c r="B2" s="17"/>
      <c r="C2" s="17"/>
      <c r="D2" s="17"/>
    </row>
    <row r="3" spans="1:25" x14ac:dyDescent="0.25">
      <c r="A3" s="649" t="s">
        <v>1320</v>
      </c>
      <c r="B3" s="649" t="s">
        <v>1321</v>
      </c>
      <c r="C3" s="649" t="s">
        <v>130</v>
      </c>
      <c r="D3" s="649" t="s">
        <v>108</v>
      </c>
      <c r="F3" s="834" t="s">
        <v>1824</v>
      </c>
      <c r="O3" s="16" t="s">
        <v>1763</v>
      </c>
      <c r="R3" s="834" t="s">
        <v>1761</v>
      </c>
    </row>
    <row r="4" spans="1:25" x14ac:dyDescent="0.25">
      <c r="A4" s="673">
        <v>20</v>
      </c>
      <c r="B4" s="674">
        <v>0</v>
      </c>
      <c r="C4" s="671">
        <v>21</v>
      </c>
      <c r="D4" s="672">
        <v>0</v>
      </c>
    </row>
    <row r="5" spans="1:25" x14ac:dyDescent="0.25">
      <c r="A5" s="675">
        <v>21</v>
      </c>
      <c r="B5" s="676">
        <v>0</v>
      </c>
      <c r="C5" s="576">
        <v>90</v>
      </c>
      <c r="D5" s="495">
        <v>6</v>
      </c>
      <c r="F5" s="7" t="str">
        <f t="array" ref="F5:M8">[1]!LogitCoeff(A3:D15,TRUE,,TRUE)</f>
        <v/>
      </c>
      <c r="G5" s="7" t="str">
        <v>coeff</v>
      </c>
      <c r="H5" s="7" t="str">
        <v>s.e.</v>
      </c>
      <c r="I5" s="7" t="str">
        <v>Wald</v>
      </c>
      <c r="J5" s="7" t="str">
        <v>p-value</v>
      </c>
      <c r="K5" s="7" t="str">
        <v>exp(b)</v>
      </c>
      <c r="L5" s="7" t="str">
        <v>lower</v>
      </c>
      <c r="M5" s="7" t="str">
        <v>upper</v>
      </c>
      <c r="O5" t="str">
        <f t="array" ref="O5:P9">[1]!LogitTest(A4:D15,1)</f>
        <v>LL</v>
      </c>
      <c r="P5" s="831">
        <v>-446.56786869171009</v>
      </c>
      <c r="R5" s="7" t="str">
        <f t="array" ref="R5:Y8">[1]!LogitCoeff(A4:D15,TRUE)</f>
        <v/>
      </c>
      <c r="S5" s="7" t="str">
        <v>coeff</v>
      </c>
      <c r="T5" s="7" t="str">
        <v>s.e.</v>
      </c>
      <c r="U5" s="7" t="str">
        <v>Wald</v>
      </c>
      <c r="V5" s="7" t="str">
        <v>p-value</v>
      </c>
      <c r="W5" s="7" t="str">
        <v>exp(b)</v>
      </c>
      <c r="X5" s="7" t="str">
        <v>lower</v>
      </c>
      <c r="Y5" s="7" t="str">
        <v>upper</v>
      </c>
    </row>
    <row r="6" spans="1:25" x14ac:dyDescent="0.25">
      <c r="A6" s="675">
        <v>22</v>
      </c>
      <c r="B6" s="676">
        <v>0</v>
      </c>
      <c r="C6" s="576">
        <v>91</v>
      </c>
      <c r="D6" s="495">
        <v>23</v>
      </c>
      <c r="F6" s="7" t="str">
        <v>intercept</v>
      </c>
      <c r="G6" s="751">
        <v>24.621426069281821</v>
      </c>
      <c r="H6" s="752">
        <v>1.8412540551952898</v>
      </c>
      <c r="I6" s="752">
        <v>178.81295263619154</v>
      </c>
      <c r="J6" s="752">
        <v>8.8024902834648145E-41</v>
      </c>
      <c r="K6" s="752">
        <v>49311643633.212898</v>
      </c>
      <c r="L6" s="752" t="str">
        <v/>
      </c>
      <c r="M6" s="755" t="str">
        <v/>
      </c>
      <c r="O6" t="str">
        <v>LL0</v>
      </c>
      <c r="P6" s="503">
        <v>-576.26986120489823</v>
      </c>
      <c r="R6" s="7" t="str">
        <v>intercept</v>
      </c>
      <c r="S6" s="751">
        <v>24.621426069281821</v>
      </c>
      <c r="T6" s="752">
        <v>1.8412540551952898</v>
      </c>
      <c r="U6" s="752">
        <v>178.81295263619154</v>
      </c>
      <c r="V6" s="752">
        <v>8.8024902834648145E-41</v>
      </c>
      <c r="W6" s="752">
        <v>49311643633.212898</v>
      </c>
      <c r="X6" s="752" t="str">
        <v/>
      </c>
      <c r="Y6" s="755" t="str">
        <v/>
      </c>
    </row>
    <row r="7" spans="1:25" x14ac:dyDescent="0.25">
      <c r="A7" s="675">
        <v>23</v>
      </c>
      <c r="B7" s="677">
        <v>0</v>
      </c>
      <c r="C7" s="576">
        <v>61</v>
      </c>
      <c r="D7" s="495">
        <v>73</v>
      </c>
      <c r="F7" s="7" t="str">
        <v>Temp</v>
      </c>
      <c r="G7" s="532">
        <v>-1.0685809701099545</v>
      </c>
      <c r="H7" s="7">
        <v>8.1022194805602105E-2</v>
      </c>
      <c r="I7" s="7">
        <v>173.94296325161514</v>
      </c>
      <c r="J7" s="7">
        <v>1.0186857226605292E-39</v>
      </c>
      <c r="K7" s="7">
        <v>0.3434956022697106</v>
      </c>
      <c r="L7" s="7">
        <v>0.29305893293969237</v>
      </c>
      <c r="M7" s="533">
        <v>0.40261263355828786</v>
      </c>
      <c r="O7" t="str">
        <v>Chi-square</v>
      </c>
      <c r="P7" s="503">
        <v>259.40398502637629</v>
      </c>
      <c r="R7" s="7" t="str">
        <v>var 1</v>
      </c>
      <c r="S7" s="532">
        <v>-1.0685809701099545</v>
      </c>
      <c r="T7" s="7">
        <v>8.1022194805602105E-2</v>
      </c>
      <c r="U7" s="7">
        <v>173.94296325161514</v>
      </c>
      <c r="V7" s="7">
        <v>1.0186857226605292E-39</v>
      </c>
      <c r="W7" s="7">
        <v>0.3434956022697106</v>
      </c>
      <c r="X7" s="7">
        <v>0.29305893293969237</v>
      </c>
      <c r="Y7" s="533">
        <v>0.40261263355828786</v>
      </c>
    </row>
    <row r="8" spans="1:25" x14ac:dyDescent="0.25">
      <c r="A8" s="675">
        <v>24</v>
      </c>
      <c r="B8" s="677">
        <v>0</v>
      </c>
      <c r="C8" s="576">
        <v>11</v>
      </c>
      <c r="D8" s="495">
        <v>41</v>
      </c>
      <c r="F8" s="7" t="str">
        <v>Water</v>
      </c>
      <c r="G8" s="409">
        <v>-3.9736961531074963E-2</v>
      </c>
      <c r="H8" s="762">
        <v>0.16417369221372075</v>
      </c>
      <c r="I8" s="762">
        <v>5.8584426243351154E-2</v>
      </c>
      <c r="J8" s="762">
        <v>0.80874746485921756</v>
      </c>
      <c r="K8" s="762">
        <v>0.96104219697641535</v>
      </c>
      <c r="L8" s="762">
        <v>0.69662259498540957</v>
      </c>
      <c r="M8" s="417">
        <v>1.3258285203749378</v>
      </c>
      <c r="O8" t="str">
        <v>df</v>
      </c>
      <c r="P8" s="503">
        <v>2</v>
      </c>
      <c r="R8" s="7" t="str">
        <v>var 2</v>
      </c>
      <c r="S8" s="409">
        <v>-3.9736961531074963E-2</v>
      </c>
      <c r="T8" s="762">
        <v>0.16417369221372075</v>
      </c>
      <c r="U8" s="762">
        <v>5.8584426243351154E-2</v>
      </c>
      <c r="V8" s="762">
        <v>0.80874746485921756</v>
      </c>
      <c r="W8" s="762">
        <v>0.96104219697641535</v>
      </c>
      <c r="X8" s="762">
        <v>0.69662259498540957</v>
      </c>
      <c r="Y8" s="417">
        <v>1.3258285203749378</v>
      </c>
    </row>
    <row r="9" spans="1:25" x14ac:dyDescent="0.25">
      <c r="A9" s="675">
        <v>25</v>
      </c>
      <c r="B9" s="677">
        <v>0</v>
      </c>
      <c r="C9" s="532">
        <v>4</v>
      </c>
      <c r="D9" s="533">
        <v>28</v>
      </c>
      <c r="O9" t="str">
        <v>p-value</v>
      </c>
      <c r="P9" s="420">
        <v>4.6896492246352136E-57</v>
      </c>
    </row>
    <row r="10" spans="1:25" x14ac:dyDescent="0.25">
      <c r="A10" s="675">
        <v>20</v>
      </c>
      <c r="B10" s="677">
        <v>1</v>
      </c>
      <c r="C10" s="576">
        <v>18</v>
      </c>
      <c r="D10" s="495">
        <v>4</v>
      </c>
      <c r="F10" s="16" t="s">
        <v>1762</v>
      </c>
    </row>
    <row r="11" spans="1:25" x14ac:dyDescent="0.25">
      <c r="A11" s="675">
        <v>21</v>
      </c>
      <c r="B11" s="677">
        <v>1</v>
      </c>
      <c r="C11" s="576">
        <v>75</v>
      </c>
      <c r="D11" s="495">
        <v>9</v>
      </c>
      <c r="O11" s="16" t="s">
        <v>1764</v>
      </c>
    </row>
    <row r="12" spans="1:25" x14ac:dyDescent="0.25">
      <c r="A12" s="675">
        <v>22</v>
      </c>
      <c r="B12" s="677">
        <v>1</v>
      </c>
      <c r="C12" s="576">
        <v>68</v>
      </c>
      <c r="D12" s="495">
        <v>21</v>
      </c>
      <c r="G12" s="751">
        <f t="array" ref="G12:M14">[1]!LogitCoeff(A4:D15)</f>
        <v>24.621426069281821</v>
      </c>
      <c r="H12" s="752">
        <v>1.8412540551952898</v>
      </c>
      <c r="I12" s="752">
        <v>178.81295263619154</v>
      </c>
      <c r="J12" s="752">
        <v>8.8024902834648145E-41</v>
      </c>
      <c r="K12" s="752">
        <v>49311643633.212898</v>
      </c>
      <c r="L12" s="752" t="str">
        <v/>
      </c>
      <c r="M12" s="755" t="str">
        <v/>
      </c>
    </row>
    <row r="13" spans="1:25" x14ac:dyDescent="0.25">
      <c r="A13" s="675">
        <v>23</v>
      </c>
      <c r="B13" s="677">
        <v>1</v>
      </c>
      <c r="C13" s="576">
        <v>59</v>
      </c>
      <c r="D13" s="495">
        <v>65</v>
      </c>
      <c r="G13" s="532">
        <v>-1.0685809701099545</v>
      </c>
      <c r="H13" s="7">
        <v>8.1022194805602105E-2</v>
      </c>
      <c r="I13" s="7">
        <v>173.94296325161514</v>
      </c>
      <c r="J13" s="7">
        <v>1.0186857226605292E-39</v>
      </c>
      <c r="K13" s="7">
        <v>0.3434956022697106</v>
      </c>
      <c r="L13" s="7">
        <v>0.29305893293969237</v>
      </c>
      <c r="M13" s="533">
        <v>0.40261263355828786</v>
      </c>
      <c r="O13" t="str">
        <f t="array" ref="O13:P19">[1]!LogitRSquare(A4:D15,TRUE)</f>
        <v>LL</v>
      </c>
      <c r="P13" s="831">
        <v>-446.56786869171009</v>
      </c>
    </row>
    <row r="14" spans="1:25" x14ac:dyDescent="0.25">
      <c r="A14" s="675">
        <v>24</v>
      </c>
      <c r="B14" s="677">
        <v>1</v>
      </c>
      <c r="C14" s="576">
        <v>17</v>
      </c>
      <c r="D14" s="495">
        <v>46</v>
      </c>
      <c r="G14" s="409">
        <v>-3.9736961531074963E-2</v>
      </c>
      <c r="H14" s="762">
        <v>0.16417369221372075</v>
      </c>
      <c r="I14" s="762">
        <v>5.8584426243351154E-2</v>
      </c>
      <c r="J14" s="762">
        <v>0.80874746485921756</v>
      </c>
      <c r="K14" s="762">
        <v>0.96104219697641535</v>
      </c>
      <c r="L14" s="762">
        <v>0.69662259498540957</v>
      </c>
      <c r="M14" s="417">
        <v>1.3258285203749378</v>
      </c>
      <c r="O14" t="str">
        <v>LL0</v>
      </c>
      <c r="P14" s="503">
        <v>-576.26986120489823</v>
      </c>
    </row>
    <row r="15" spans="1:25" x14ac:dyDescent="0.25">
      <c r="A15" s="678">
        <v>25</v>
      </c>
      <c r="B15" s="679">
        <v>1</v>
      </c>
      <c r="C15" s="409">
        <v>7</v>
      </c>
      <c r="D15" s="417">
        <v>22</v>
      </c>
      <c r="O15" t="str">
        <v>R-sq (L)</v>
      </c>
      <c r="P15" s="503">
        <v>0.22507162224656296</v>
      </c>
    </row>
    <row r="16" spans="1:25" x14ac:dyDescent="0.25">
      <c r="C16">
        <f>SUM(C4:C15)</f>
        <v>522</v>
      </c>
      <c r="D16">
        <f>SUM(D4:D15)</f>
        <v>338</v>
      </c>
      <c r="F16" s="16" t="s">
        <v>1762</v>
      </c>
      <c r="I16" s="16" t="s">
        <v>1766</v>
      </c>
      <c r="O16" t="str">
        <v>R-sq (CS)</v>
      </c>
      <c r="P16" s="503">
        <v>0.26039020856247452</v>
      </c>
    </row>
    <row r="17" spans="7:16" x14ac:dyDescent="0.25">
      <c r="O17" t="str">
        <v>R-sq (N)</v>
      </c>
      <c r="P17" s="503">
        <v>0.35273816420302867</v>
      </c>
    </row>
    <row r="18" spans="7:16" x14ac:dyDescent="0.25">
      <c r="G18" s="831">
        <f t="array" ref="G18:G20">[1]!LogitCoeff(A4:D15)</f>
        <v>24.621426069281821</v>
      </c>
      <c r="I18" t="s">
        <v>1320</v>
      </c>
      <c r="J18" t="s">
        <v>1321</v>
      </c>
      <c r="K18" t="s">
        <v>1765</v>
      </c>
      <c r="O18" t="str">
        <v>AIC</v>
      </c>
      <c r="P18" s="503">
        <v>899.13573738342018</v>
      </c>
    </row>
    <row r="19" spans="7:16" x14ac:dyDescent="0.25">
      <c r="G19" s="503">
        <v>-1.0685809701099545</v>
      </c>
      <c r="I19" s="751">
        <v>21</v>
      </c>
      <c r="J19" s="752">
        <v>0</v>
      </c>
      <c r="K19" s="755">
        <f>[1]!LogitPred(I19:J19,$A$4:$D$15)</f>
        <v>0.89855085781689825</v>
      </c>
      <c r="O19" t="str">
        <v>BIC</v>
      </c>
      <c r="P19" s="420">
        <v>913.40653455116285</v>
      </c>
    </row>
    <row r="20" spans="7:16" x14ac:dyDescent="0.25">
      <c r="G20" s="420">
        <v>-3.9736961531074963E-2</v>
      </c>
      <c r="I20" s="409">
        <v>21.5</v>
      </c>
      <c r="J20" s="762">
        <v>0</v>
      </c>
      <c r="K20" s="417">
        <f>[1]!LogitPred(I20:J20,$A$4:$D$15)</f>
        <v>0.83847640522317213</v>
      </c>
    </row>
    <row r="22" spans="7:16" x14ac:dyDescent="0.25">
      <c r="I22" s="16" t="s">
        <v>1767</v>
      </c>
    </row>
    <row r="24" spans="7:16" x14ac:dyDescent="0.25">
      <c r="I24" t="s">
        <v>1320</v>
      </c>
      <c r="J24" t="s">
        <v>1321</v>
      </c>
      <c r="K24" t="s">
        <v>1765</v>
      </c>
    </row>
    <row r="25" spans="7:16" x14ac:dyDescent="0.25">
      <c r="I25" s="751">
        <v>21</v>
      </c>
      <c r="J25" s="752">
        <v>0</v>
      </c>
      <c r="K25" s="755">
        <f>[1]!LogitPredC(I25:J25,$G$18:$G$20)</f>
        <v>0.89855085781689825</v>
      </c>
    </row>
    <row r="26" spans="7:16" x14ac:dyDescent="0.25">
      <c r="I26" s="409">
        <v>21.5</v>
      </c>
      <c r="J26" s="762">
        <v>0</v>
      </c>
      <c r="K26" s="417">
        <f>[1]!LogitPredC(I26:J26,$G$18:$G$20)</f>
        <v>0.83847640522317213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/>
  <dimension ref="A1:D19"/>
  <sheetViews>
    <sheetView workbookViewId="0"/>
  </sheetViews>
  <sheetFormatPr defaultRowHeight="15" x14ac:dyDescent="0.25"/>
  <cols>
    <col min="4" max="4" width="9.140625" style="13"/>
  </cols>
  <sheetData>
    <row r="1" spans="1:4" x14ac:dyDescent="0.25">
      <c r="A1" s="1" t="s">
        <v>2377</v>
      </c>
    </row>
    <row r="2" spans="1:4" x14ac:dyDescent="0.25">
      <c r="A2" s="1"/>
    </row>
    <row r="3" spans="1:4" x14ac:dyDescent="0.25">
      <c r="A3" s="13" t="s">
        <v>2</v>
      </c>
      <c r="B3" s="13" t="s">
        <v>2368</v>
      </c>
      <c r="C3" s="13" t="s">
        <v>620</v>
      </c>
      <c r="D3" s="13" t="s">
        <v>2375</v>
      </c>
    </row>
    <row r="4" spans="1:4" x14ac:dyDescent="0.25">
      <c r="A4" s="869">
        <v>20</v>
      </c>
      <c r="B4" s="881" t="s">
        <v>2369</v>
      </c>
      <c r="C4" s="881" t="s">
        <v>130</v>
      </c>
      <c r="D4" s="876" t="s">
        <v>2376</v>
      </c>
    </row>
    <row r="5" spans="1:4" x14ac:dyDescent="0.25">
      <c r="A5" s="532">
        <v>25</v>
      </c>
      <c r="B5" s="25" t="s">
        <v>2370</v>
      </c>
      <c r="C5" s="25" t="s">
        <v>130</v>
      </c>
      <c r="D5" s="602" t="s">
        <v>2376</v>
      </c>
    </row>
    <row r="6" spans="1:4" x14ac:dyDescent="0.25">
      <c r="A6" s="532">
        <v>45</v>
      </c>
      <c r="B6" s="25" t="s">
        <v>2371</v>
      </c>
      <c r="C6" s="25" t="s">
        <v>130</v>
      </c>
      <c r="D6" s="602" t="s">
        <v>797</v>
      </c>
    </row>
    <row r="7" spans="1:4" x14ac:dyDescent="0.25">
      <c r="A7" s="532">
        <v>35</v>
      </c>
      <c r="B7" s="25" t="s">
        <v>2369</v>
      </c>
      <c r="C7" s="25" t="s">
        <v>108</v>
      </c>
      <c r="D7" s="602" t="s">
        <v>2376</v>
      </c>
    </row>
    <row r="8" spans="1:4" x14ac:dyDescent="0.25">
      <c r="A8" s="532">
        <v>50</v>
      </c>
      <c r="B8" s="25" t="s">
        <v>2370</v>
      </c>
      <c r="C8" s="25" t="s">
        <v>108</v>
      </c>
      <c r="D8" s="602" t="s">
        <v>2376</v>
      </c>
    </row>
    <row r="9" spans="1:4" x14ac:dyDescent="0.25">
      <c r="A9" s="532">
        <v>55</v>
      </c>
      <c r="B9" s="25" t="s">
        <v>2371</v>
      </c>
      <c r="C9" s="25" t="s">
        <v>108</v>
      </c>
      <c r="D9" s="602" t="s">
        <v>2376</v>
      </c>
    </row>
    <row r="10" spans="1:4" x14ac:dyDescent="0.25">
      <c r="A10" s="532">
        <v>39</v>
      </c>
      <c r="B10" s="25" t="s">
        <v>2369</v>
      </c>
      <c r="C10" s="25" t="s">
        <v>130</v>
      </c>
      <c r="D10" s="602" t="s">
        <v>797</v>
      </c>
    </row>
    <row r="11" spans="1:4" x14ac:dyDescent="0.25">
      <c r="A11" s="532">
        <v>48</v>
      </c>
      <c r="B11" s="25" t="s">
        <v>2370</v>
      </c>
      <c r="C11" s="25" t="s">
        <v>130</v>
      </c>
      <c r="D11" s="602" t="s">
        <v>797</v>
      </c>
    </row>
    <row r="12" spans="1:4" x14ac:dyDescent="0.25">
      <c r="A12" s="532">
        <v>30</v>
      </c>
      <c r="B12" s="25" t="s">
        <v>2371</v>
      </c>
      <c r="C12" s="25" t="s">
        <v>130</v>
      </c>
      <c r="D12" s="602" t="s">
        <v>2376</v>
      </c>
    </row>
    <row r="13" spans="1:4" x14ac:dyDescent="0.25">
      <c r="A13" s="532">
        <v>27</v>
      </c>
      <c r="B13" s="25" t="s">
        <v>2369</v>
      </c>
      <c r="C13" s="25" t="s">
        <v>108</v>
      </c>
      <c r="D13" s="602" t="s">
        <v>2376</v>
      </c>
    </row>
    <row r="14" spans="1:4" x14ac:dyDescent="0.25">
      <c r="A14" s="532">
        <v>47</v>
      </c>
      <c r="B14" s="25" t="s">
        <v>2370</v>
      </c>
      <c r="C14" s="25" t="s">
        <v>108</v>
      </c>
      <c r="D14" s="602" t="s">
        <v>797</v>
      </c>
    </row>
    <row r="15" spans="1:4" x14ac:dyDescent="0.25">
      <c r="A15" s="532">
        <v>21</v>
      </c>
      <c r="B15" s="25" t="s">
        <v>2371</v>
      </c>
      <c r="C15" s="25" t="s">
        <v>108</v>
      </c>
      <c r="D15" s="602" t="s">
        <v>797</v>
      </c>
    </row>
    <row r="16" spans="1:4" x14ac:dyDescent="0.25">
      <c r="A16" s="532">
        <v>48</v>
      </c>
      <c r="B16" s="25" t="s">
        <v>2369</v>
      </c>
      <c r="C16" s="25" t="s">
        <v>130</v>
      </c>
      <c r="D16" s="602" t="s">
        <v>2376</v>
      </c>
    </row>
    <row r="17" spans="1:4" x14ac:dyDescent="0.25">
      <c r="A17" s="532">
        <v>24</v>
      </c>
      <c r="B17" s="25" t="s">
        <v>2371</v>
      </c>
      <c r="C17" s="25" t="s">
        <v>130</v>
      </c>
      <c r="D17" s="602" t="s">
        <v>797</v>
      </c>
    </row>
    <row r="18" spans="1:4" x14ac:dyDescent="0.25">
      <c r="A18" s="532">
        <v>28</v>
      </c>
      <c r="B18" s="25" t="s">
        <v>2371</v>
      </c>
      <c r="C18" s="25" t="s">
        <v>108</v>
      </c>
      <c r="D18" s="602" t="s">
        <v>797</v>
      </c>
    </row>
    <row r="19" spans="1:4" x14ac:dyDescent="0.25">
      <c r="A19" s="409">
        <v>40</v>
      </c>
      <c r="B19" s="880" t="s">
        <v>2370</v>
      </c>
      <c r="C19" s="880" t="s">
        <v>108</v>
      </c>
      <c r="D19" s="878" t="s">
        <v>2376</v>
      </c>
    </row>
  </sheetData>
  <pageMargins left="0.7" right="0.7" top="0.75" bottom="0.75" header="0.3" footer="0.3"/>
  <pageSetup paperSize="9"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2"/>
  <dimension ref="A1:D19"/>
  <sheetViews>
    <sheetView workbookViewId="0"/>
  </sheetViews>
  <sheetFormatPr defaultRowHeight="15" x14ac:dyDescent="0.25"/>
  <cols>
    <col min="4" max="4" width="9.140625" style="13"/>
  </cols>
  <sheetData>
    <row r="1" spans="1:4" x14ac:dyDescent="0.25">
      <c r="A1" s="1" t="s">
        <v>2378</v>
      </c>
    </row>
    <row r="2" spans="1:4" x14ac:dyDescent="0.25">
      <c r="A2" s="1"/>
    </row>
    <row r="3" spans="1:4" x14ac:dyDescent="0.25">
      <c r="A3" s="13" t="s">
        <v>2</v>
      </c>
      <c r="B3" s="13" t="s">
        <v>2368</v>
      </c>
      <c r="C3" s="13" t="s">
        <v>620</v>
      </c>
      <c r="D3" s="13" t="s">
        <v>2375</v>
      </c>
    </row>
    <row r="4" spans="1:4" x14ac:dyDescent="0.25">
      <c r="A4" s="869">
        <v>20</v>
      </c>
      <c r="B4" s="881">
        <v>0</v>
      </c>
      <c r="C4" s="881">
        <v>0</v>
      </c>
      <c r="D4" s="876">
        <v>0</v>
      </c>
    </row>
    <row r="5" spans="1:4" x14ac:dyDescent="0.25">
      <c r="A5" s="532">
        <v>25</v>
      </c>
      <c r="B5" s="25">
        <v>1</v>
      </c>
      <c r="C5" s="25">
        <v>0</v>
      </c>
      <c r="D5" s="602">
        <v>0</v>
      </c>
    </row>
    <row r="6" spans="1:4" x14ac:dyDescent="0.25">
      <c r="A6" s="532">
        <v>45</v>
      </c>
      <c r="B6" s="25">
        <v>2</v>
      </c>
      <c r="C6" s="25">
        <v>0</v>
      </c>
      <c r="D6" s="602">
        <v>1</v>
      </c>
    </row>
    <row r="7" spans="1:4" x14ac:dyDescent="0.25">
      <c r="A7" s="532">
        <v>35</v>
      </c>
      <c r="B7" s="25">
        <v>0</v>
      </c>
      <c r="C7" s="25">
        <v>1</v>
      </c>
      <c r="D7" s="602">
        <v>0</v>
      </c>
    </row>
    <row r="8" spans="1:4" x14ac:dyDescent="0.25">
      <c r="A8" s="532">
        <v>50</v>
      </c>
      <c r="B8" s="25">
        <v>1</v>
      </c>
      <c r="C8" s="25">
        <v>1</v>
      </c>
      <c r="D8" s="602">
        <v>0</v>
      </c>
    </row>
    <row r="9" spans="1:4" x14ac:dyDescent="0.25">
      <c r="A9" s="532">
        <v>55</v>
      </c>
      <c r="B9" s="25">
        <v>2</v>
      </c>
      <c r="C9" s="25">
        <v>1</v>
      </c>
      <c r="D9" s="602">
        <v>0</v>
      </c>
    </row>
    <row r="10" spans="1:4" x14ac:dyDescent="0.25">
      <c r="A10" s="532">
        <v>39</v>
      </c>
      <c r="B10" s="25">
        <v>0</v>
      </c>
      <c r="C10" s="25">
        <v>0</v>
      </c>
      <c r="D10" s="602">
        <v>1</v>
      </c>
    </row>
    <row r="11" spans="1:4" x14ac:dyDescent="0.25">
      <c r="A11" s="532">
        <v>48</v>
      </c>
      <c r="B11" s="25">
        <v>1</v>
      </c>
      <c r="C11" s="25">
        <v>0</v>
      </c>
      <c r="D11" s="602">
        <v>1</v>
      </c>
    </row>
    <row r="12" spans="1:4" x14ac:dyDescent="0.25">
      <c r="A12" s="532">
        <v>30</v>
      </c>
      <c r="B12" s="25">
        <v>2</v>
      </c>
      <c r="C12" s="25">
        <v>0</v>
      </c>
      <c r="D12" s="602">
        <v>0</v>
      </c>
    </row>
    <row r="13" spans="1:4" x14ac:dyDescent="0.25">
      <c r="A13" s="532">
        <v>27</v>
      </c>
      <c r="B13" s="25">
        <v>0</v>
      </c>
      <c r="C13" s="25">
        <v>1</v>
      </c>
      <c r="D13" s="602">
        <v>0</v>
      </c>
    </row>
    <row r="14" spans="1:4" x14ac:dyDescent="0.25">
      <c r="A14" s="532">
        <v>47</v>
      </c>
      <c r="B14" s="25">
        <v>1</v>
      </c>
      <c r="C14" s="25">
        <v>1</v>
      </c>
      <c r="D14" s="602">
        <v>1</v>
      </c>
    </row>
    <row r="15" spans="1:4" x14ac:dyDescent="0.25">
      <c r="A15" s="532">
        <v>21</v>
      </c>
      <c r="B15" s="25">
        <v>2</v>
      </c>
      <c r="C15" s="25">
        <v>1</v>
      </c>
      <c r="D15" s="602">
        <v>1</v>
      </c>
    </row>
    <row r="16" spans="1:4" x14ac:dyDescent="0.25">
      <c r="A16" s="532">
        <v>48</v>
      </c>
      <c r="B16" s="25">
        <v>0</v>
      </c>
      <c r="C16" s="25">
        <v>0</v>
      </c>
      <c r="D16" s="602">
        <v>0</v>
      </c>
    </row>
    <row r="17" spans="1:4" x14ac:dyDescent="0.25">
      <c r="A17" s="532">
        <v>24</v>
      </c>
      <c r="B17" s="25">
        <v>2</v>
      </c>
      <c r="C17" s="25">
        <v>0</v>
      </c>
      <c r="D17" s="602">
        <v>1</v>
      </c>
    </row>
    <row r="18" spans="1:4" x14ac:dyDescent="0.25">
      <c r="A18" s="532">
        <v>28</v>
      </c>
      <c r="B18" s="25">
        <v>2</v>
      </c>
      <c r="C18" s="25">
        <v>1</v>
      </c>
      <c r="D18" s="602">
        <v>1</v>
      </c>
    </row>
    <row r="19" spans="1:4" x14ac:dyDescent="0.25">
      <c r="A19" s="409">
        <v>40</v>
      </c>
      <c r="B19" s="880">
        <v>1</v>
      </c>
      <c r="C19" s="880">
        <v>1</v>
      </c>
      <c r="D19" s="878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Q53"/>
  <sheetViews>
    <sheetView workbookViewId="0"/>
  </sheetViews>
  <sheetFormatPr defaultRowHeight="15" x14ac:dyDescent="0.25"/>
  <cols>
    <col min="8" max="8" width="9.140625" customWidth="1"/>
  </cols>
  <sheetData>
    <row r="1" spans="1:17" x14ac:dyDescent="0.25">
      <c r="A1" s="1" t="s">
        <v>1639</v>
      </c>
      <c r="F1" t="s">
        <v>1243</v>
      </c>
    </row>
    <row r="2" spans="1:17" ht="15.75" thickBot="1" x14ac:dyDescent="0.3"/>
    <row r="3" spans="1:17" ht="15.75" thickTop="1" x14ac:dyDescent="0.25">
      <c r="A3" s="649" t="s">
        <v>1320</v>
      </c>
      <c r="B3" s="649" t="s">
        <v>1321</v>
      </c>
      <c r="C3" s="649" t="s">
        <v>130</v>
      </c>
      <c r="D3" s="649" t="s">
        <v>108</v>
      </c>
      <c r="F3" s="754" t="str">
        <f t="shared" ref="F3:F15" si="0">A3</f>
        <v>Temp</v>
      </c>
      <c r="G3" s="754" t="str">
        <f t="shared" ref="G3:G15" si="1">B3</f>
        <v>Water</v>
      </c>
      <c r="H3" s="754" t="str">
        <f t="shared" ref="H3:H15" si="2">C3</f>
        <v>Male</v>
      </c>
      <c r="I3" s="754" t="str">
        <f t="shared" ref="I3:I15" si="3">D3</f>
        <v>Female</v>
      </c>
      <c r="J3" s="693" t="s">
        <v>1</v>
      </c>
      <c r="K3" s="693" t="s">
        <v>1323</v>
      </c>
      <c r="L3" s="693" t="s">
        <v>1645</v>
      </c>
      <c r="M3" s="693" t="s">
        <v>1646</v>
      </c>
      <c r="N3" s="693" t="s">
        <v>1648</v>
      </c>
      <c r="P3" s="294" t="s">
        <v>1650</v>
      </c>
    </row>
    <row r="4" spans="1:17" x14ac:dyDescent="0.25">
      <c r="A4" s="673">
        <v>20</v>
      </c>
      <c r="B4" s="674">
        <v>0</v>
      </c>
      <c r="C4" s="671">
        <v>21</v>
      </c>
      <c r="D4" s="672">
        <v>0</v>
      </c>
      <c r="F4">
        <f t="shared" si="0"/>
        <v>20</v>
      </c>
      <c r="G4">
        <f t="shared" si="1"/>
        <v>0</v>
      </c>
      <c r="H4" s="501">
        <f t="shared" si="2"/>
        <v>21</v>
      </c>
      <c r="I4" s="57">
        <f t="shared" si="3"/>
        <v>0</v>
      </c>
      <c r="J4">
        <f>H4+I4</f>
        <v>21</v>
      </c>
      <c r="K4">
        <f t="shared" ref="K4:K15" si="4">1/(1+EXP(-$Q$5-MMULT(F4:G4,$Q$6:$Q$7)))</f>
        <v>0.96266616488847268</v>
      </c>
      <c r="L4">
        <f>J4*K4</f>
        <v>20.215989462657927</v>
      </c>
      <c r="M4">
        <f>J4*(1-K4)</f>
        <v>0.78401053734207382</v>
      </c>
      <c r="N4">
        <f>(H4-L4)^2/L4+(I4-M4)^2/M4</f>
        <v>0.81441580262967217</v>
      </c>
    </row>
    <row r="5" spans="1:17" x14ac:dyDescent="0.25">
      <c r="A5" s="675">
        <v>21</v>
      </c>
      <c r="B5" s="676">
        <v>0</v>
      </c>
      <c r="C5" s="576">
        <v>90</v>
      </c>
      <c r="D5" s="495">
        <v>6</v>
      </c>
      <c r="F5">
        <f t="shared" si="0"/>
        <v>21</v>
      </c>
      <c r="G5">
        <f t="shared" si="1"/>
        <v>0</v>
      </c>
      <c r="H5" s="501">
        <f t="shared" si="2"/>
        <v>90</v>
      </c>
      <c r="I5" s="57">
        <f t="shared" si="3"/>
        <v>6</v>
      </c>
      <c r="J5">
        <f t="shared" ref="J5:J15" si="5">H5+I5</f>
        <v>96</v>
      </c>
      <c r="K5">
        <f t="shared" si="4"/>
        <v>0.89855085781689825</v>
      </c>
      <c r="L5">
        <f t="shared" ref="L5:L15" si="6">J5*K5</f>
        <v>86.260882350422236</v>
      </c>
      <c r="M5">
        <f t="shared" ref="M5:M15" si="7">J5*(1-K5)</f>
        <v>9.7391176495777678</v>
      </c>
      <c r="N5">
        <f t="shared" ref="N5:N15" si="8">(H5-L5)^2/L5+(I5-M5)^2/M5</f>
        <v>1.5976291837819259</v>
      </c>
      <c r="Q5" s="744">
        <f t="array" ref="Q5:Q7">[1]!LogitCoeff(F4:I15,,,,,20)</f>
        <v>24.621426069281821</v>
      </c>
    </row>
    <row r="6" spans="1:17" x14ac:dyDescent="0.25">
      <c r="A6" s="675">
        <v>22</v>
      </c>
      <c r="B6" s="676">
        <v>0</v>
      </c>
      <c r="C6" s="576">
        <v>91</v>
      </c>
      <c r="D6" s="495">
        <v>23</v>
      </c>
      <c r="F6">
        <f t="shared" si="0"/>
        <v>22</v>
      </c>
      <c r="G6">
        <f t="shared" si="1"/>
        <v>0</v>
      </c>
      <c r="H6" s="501">
        <f t="shared" si="2"/>
        <v>91</v>
      </c>
      <c r="I6" s="57">
        <f t="shared" si="3"/>
        <v>23</v>
      </c>
      <c r="J6">
        <f t="shared" si="5"/>
        <v>114</v>
      </c>
      <c r="K6">
        <f t="shared" si="4"/>
        <v>0.75262184143260014</v>
      </c>
      <c r="L6">
        <f t="shared" si="6"/>
        <v>85.798889923316409</v>
      </c>
      <c r="M6">
        <f t="shared" si="7"/>
        <v>28.201110076683584</v>
      </c>
      <c r="N6">
        <f t="shared" si="8"/>
        <v>1.2745270855742912</v>
      </c>
      <c r="Q6" s="680">
        <v>-1.0685809701099545</v>
      </c>
    </row>
    <row r="7" spans="1:17" x14ac:dyDescent="0.25">
      <c r="A7" s="675">
        <v>23</v>
      </c>
      <c r="B7" s="677">
        <v>0</v>
      </c>
      <c r="C7" s="576">
        <v>61</v>
      </c>
      <c r="D7" s="495">
        <v>73</v>
      </c>
      <c r="F7">
        <f t="shared" si="0"/>
        <v>23</v>
      </c>
      <c r="G7">
        <f t="shared" si="1"/>
        <v>0</v>
      </c>
      <c r="H7" s="501">
        <f t="shared" si="2"/>
        <v>61</v>
      </c>
      <c r="I7" s="57">
        <f t="shared" si="3"/>
        <v>73</v>
      </c>
      <c r="J7">
        <f t="shared" si="5"/>
        <v>134</v>
      </c>
      <c r="K7">
        <f t="shared" si="4"/>
        <v>0.51101415714180365</v>
      </c>
      <c r="L7">
        <f t="shared" si="6"/>
        <v>68.475897057001688</v>
      </c>
      <c r="M7">
        <f t="shared" si="7"/>
        <v>65.524102942998312</v>
      </c>
      <c r="N7">
        <f t="shared" si="8"/>
        <v>1.66913940119171</v>
      </c>
      <c r="Q7" s="681">
        <v>-3.9736961531074963E-2</v>
      </c>
    </row>
    <row r="8" spans="1:17" x14ac:dyDescent="0.25">
      <c r="A8" s="675">
        <v>24</v>
      </c>
      <c r="B8" s="677">
        <v>0</v>
      </c>
      <c r="C8" s="576">
        <v>11</v>
      </c>
      <c r="D8" s="495">
        <v>41</v>
      </c>
      <c r="F8">
        <f t="shared" si="0"/>
        <v>24</v>
      </c>
      <c r="G8">
        <f t="shared" si="1"/>
        <v>0</v>
      </c>
      <c r="H8" s="501">
        <f t="shared" si="2"/>
        <v>11</v>
      </c>
      <c r="I8" s="57">
        <f t="shared" si="3"/>
        <v>41</v>
      </c>
      <c r="J8">
        <f t="shared" si="5"/>
        <v>52</v>
      </c>
      <c r="K8">
        <f t="shared" si="4"/>
        <v>0.26414843657718245</v>
      </c>
      <c r="L8">
        <f t="shared" si="6"/>
        <v>13.735718702013488</v>
      </c>
      <c r="M8">
        <f t="shared" si="7"/>
        <v>38.264281297986514</v>
      </c>
      <c r="N8">
        <f t="shared" si="8"/>
        <v>0.74045943894013777</v>
      </c>
    </row>
    <row r="9" spans="1:17" x14ac:dyDescent="0.25">
      <c r="A9" s="675">
        <v>25</v>
      </c>
      <c r="B9" s="677">
        <v>0</v>
      </c>
      <c r="C9" s="532">
        <v>4</v>
      </c>
      <c r="D9" s="533">
        <v>28</v>
      </c>
      <c r="F9">
        <f t="shared" si="0"/>
        <v>25</v>
      </c>
      <c r="G9">
        <f t="shared" si="1"/>
        <v>0</v>
      </c>
      <c r="H9" s="501">
        <f t="shared" si="2"/>
        <v>4</v>
      </c>
      <c r="I9" s="57">
        <f t="shared" si="3"/>
        <v>28</v>
      </c>
      <c r="J9">
        <f t="shared" si="5"/>
        <v>32</v>
      </c>
      <c r="K9">
        <f t="shared" si="4"/>
        <v>0.10976945326838558</v>
      </c>
      <c r="L9">
        <f t="shared" si="6"/>
        <v>3.5126225045883386</v>
      </c>
      <c r="M9">
        <f t="shared" si="7"/>
        <v>28.487377495411661</v>
      </c>
      <c r="N9">
        <f t="shared" si="8"/>
        <v>7.5962101659372921E-2</v>
      </c>
    </row>
    <row r="10" spans="1:17" x14ac:dyDescent="0.25">
      <c r="A10" s="675">
        <v>20</v>
      </c>
      <c r="B10" s="677">
        <v>1</v>
      </c>
      <c r="C10" s="576">
        <v>18</v>
      </c>
      <c r="D10" s="495">
        <v>4</v>
      </c>
      <c r="F10">
        <f t="shared" si="0"/>
        <v>20</v>
      </c>
      <c r="G10">
        <f t="shared" si="1"/>
        <v>1</v>
      </c>
      <c r="H10" s="501">
        <f t="shared" si="2"/>
        <v>18</v>
      </c>
      <c r="I10" s="57">
        <f t="shared" si="3"/>
        <v>4</v>
      </c>
      <c r="J10">
        <f t="shared" si="5"/>
        <v>22</v>
      </c>
      <c r="K10">
        <f t="shared" si="4"/>
        <v>0.96121146452405948</v>
      </c>
      <c r="L10">
        <f t="shared" si="6"/>
        <v>21.146652219529308</v>
      </c>
      <c r="M10">
        <f t="shared" si="7"/>
        <v>0.85334778047069149</v>
      </c>
      <c r="N10">
        <f t="shared" si="8"/>
        <v>12.071256713117963</v>
      </c>
      <c r="P10" s="189" t="s">
        <v>1647</v>
      </c>
    </row>
    <row r="11" spans="1:17" x14ac:dyDescent="0.25">
      <c r="A11" s="675">
        <v>21</v>
      </c>
      <c r="B11" s="677">
        <v>1</v>
      </c>
      <c r="C11" s="576">
        <v>75</v>
      </c>
      <c r="D11" s="495">
        <v>9</v>
      </c>
      <c r="F11">
        <f t="shared" si="0"/>
        <v>21</v>
      </c>
      <c r="G11">
        <f t="shared" si="1"/>
        <v>1</v>
      </c>
      <c r="H11" s="501">
        <f t="shared" si="2"/>
        <v>75</v>
      </c>
      <c r="I11" s="57">
        <f t="shared" si="3"/>
        <v>9</v>
      </c>
      <c r="J11">
        <f t="shared" si="5"/>
        <v>84</v>
      </c>
      <c r="K11">
        <f t="shared" si="4"/>
        <v>0.89487074873382011</v>
      </c>
      <c r="L11">
        <f t="shared" si="6"/>
        <v>75.169142893640895</v>
      </c>
      <c r="M11">
        <f t="shared" si="7"/>
        <v>8.8308571063591117</v>
      </c>
      <c r="N11">
        <f t="shared" si="8"/>
        <v>3.6202981845766501E-3</v>
      </c>
    </row>
    <row r="12" spans="1:17" x14ac:dyDescent="0.25">
      <c r="A12" s="675">
        <v>22</v>
      </c>
      <c r="B12" s="677">
        <v>1</v>
      </c>
      <c r="C12" s="576">
        <v>68</v>
      </c>
      <c r="D12" s="495">
        <v>21</v>
      </c>
      <c r="F12">
        <f t="shared" si="0"/>
        <v>22</v>
      </c>
      <c r="G12">
        <f t="shared" si="1"/>
        <v>1</v>
      </c>
      <c r="H12" s="501">
        <f t="shared" si="2"/>
        <v>68</v>
      </c>
      <c r="I12" s="57">
        <f t="shared" si="3"/>
        <v>21</v>
      </c>
      <c r="J12">
        <f t="shared" si="5"/>
        <v>89</v>
      </c>
      <c r="K12">
        <f t="shared" si="4"/>
        <v>0.74514949898697447</v>
      </c>
      <c r="L12">
        <f t="shared" si="6"/>
        <v>66.318305409840733</v>
      </c>
      <c r="M12">
        <f t="shared" si="7"/>
        <v>22.681694590159271</v>
      </c>
      <c r="N12">
        <f t="shared" si="8"/>
        <v>0.16733058988741623</v>
      </c>
      <c r="P12" t="s">
        <v>1649</v>
      </c>
      <c r="Q12" s="756">
        <f>N16</f>
        <v>24.405668191727138</v>
      </c>
    </row>
    <row r="13" spans="1:17" x14ac:dyDescent="0.25">
      <c r="A13" s="675">
        <v>23</v>
      </c>
      <c r="B13" s="677">
        <v>1</v>
      </c>
      <c r="C13" s="576">
        <v>59</v>
      </c>
      <c r="D13" s="495">
        <v>65</v>
      </c>
      <c r="F13">
        <f t="shared" si="0"/>
        <v>23</v>
      </c>
      <c r="G13">
        <f t="shared" si="1"/>
        <v>1</v>
      </c>
      <c r="H13" s="501">
        <f t="shared" si="2"/>
        <v>59</v>
      </c>
      <c r="I13" s="57">
        <f t="shared" si="3"/>
        <v>65</v>
      </c>
      <c r="J13">
        <f t="shared" si="5"/>
        <v>124</v>
      </c>
      <c r="K13">
        <f t="shared" si="4"/>
        <v>0.50108169711789707</v>
      </c>
      <c r="L13">
        <f t="shared" si="6"/>
        <v>62.134130442619238</v>
      </c>
      <c r="M13">
        <f t="shared" si="7"/>
        <v>61.865869557380762</v>
      </c>
      <c r="N13">
        <f t="shared" si="8"/>
        <v>0.31686514854341774</v>
      </c>
      <c r="P13" t="s">
        <v>60</v>
      </c>
      <c r="Q13" s="503">
        <f>COUNTA(F4:F15)-2</f>
        <v>10</v>
      </c>
    </row>
    <row r="14" spans="1:17" x14ac:dyDescent="0.25">
      <c r="A14" s="675">
        <v>24</v>
      </c>
      <c r="B14" s="677">
        <v>1</v>
      </c>
      <c r="C14" s="576">
        <v>17</v>
      </c>
      <c r="D14" s="495">
        <v>46</v>
      </c>
      <c r="F14">
        <f t="shared" si="0"/>
        <v>24</v>
      </c>
      <c r="G14">
        <f t="shared" si="1"/>
        <v>1</v>
      </c>
      <c r="H14" s="501">
        <f t="shared" si="2"/>
        <v>17</v>
      </c>
      <c r="I14" s="57">
        <f t="shared" si="3"/>
        <v>46</v>
      </c>
      <c r="J14">
        <f t="shared" si="5"/>
        <v>63</v>
      </c>
      <c r="K14">
        <f t="shared" si="4"/>
        <v>0.2564973160648405</v>
      </c>
      <c r="L14">
        <f t="shared" si="6"/>
        <v>16.15933091208495</v>
      </c>
      <c r="M14">
        <f t="shared" si="7"/>
        <v>46.840669087915046</v>
      </c>
      <c r="N14">
        <f t="shared" si="8"/>
        <v>5.8822603362858258E-2</v>
      </c>
      <c r="P14" t="s">
        <v>67</v>
      </c>
      <c r="Q14" s="503">
        <f>CHIDIST(Q12,Q13)</f>
        <v>6.5934375855656816E-3</v>
      </c>
    </row>
    <row r="15" spans="1:17" x14ac:dyDescent="0.25">
      <c r="A15" s="678">
        <v>25</v>
      </c>
      <c r="B15" s="679">
        <v>1</v>
      </c>
      <c r="C15" s="409">
        <v>7</v>
      </c>
      <c r="D15" s="417">
        <v>22</v>
      </c>
      <c r="F15">
        <f t="shared" si="0"/>
        <v>25</v>
      </c>
      <c r="G15">
        <f t="shared" si="1"/>
        <v>1</v>
      </c>
      <c r="H15" s="373">
        <f t="shared" si="2"/>
        <v>7</v>
      </c>
      <c r="I15" s="374">
        <f t="shared" si="3"/>
        <v>22</v>
      </c>
      <c r="J15">
        <f t="shared" si="5"/>
        <v>29</v>
      </c>
      <c r="K15">
        <f t="shared" si="4"/>
        <v>0.10594614214775683</v>
      </c>
      <c r="L15">
        <f t="shared" si="6"/>
        <v>3.0724381222849479</v>
      </c>
      <c r="M15">
        <f t="shared" si="7"/>
        <v>25.927561877715053</v>
      </c>
      <c r="N15">
        <f t="shared" si="8"/>
        <v>5.615639824853794</v>
      </c>
      <c r="P15" t="s">
        <v>106</v>
      </c>
      <c r="Q15" s="503">
        <v>0.05</v>
      </c>
    </row>
    <row r="16" spans="1:17" x14ac:dyDescent="0.25">
      <c r="C16">
        <f>SUM(C4:C15)</f>
        <v>522</v>
      </c>
      <c r="D16">
        <f>SUM(D4:D15)</f>
        <v>338</v>
      </c>
      <c r="F16" s="752"/>
      <c r="G16" s="752"/>
      <c r="H16">
        <f>SUM(H4:H15)</f>
        <v>522</v>
      </c>
      <c r="I16">
        <f>SUM(I4:I15)</f>
        <v>338</v>
      </c>
      <c r="J16" s="752">
        <f>SUM(J4:J15)</f>
        <v>860</v>
      </c>
      <c r="K16" s="752"/>
      <c r="L16" s="752">
        <f>SUM(L4:L15)</f>
        <v>522.00000000000011</v>
      </c>
      <c r="M16" s="752">
        <f>SUM(M4:M15)</f>
        <v>337.99999999999989</v>
      </c>
      <c r="N16" s="752">
        <f>SUM(N4:N15)</f>
        <v>24.405668191727138</v>
      </c>
      <c r="P16" t="s">
        <v>527</v>
      </c>
      <c r="Q16" s="414" t="str">
        <f>IF(Q14&lt;Q15,"yes","no")</f>
        <v>yes</v>
      </c>
    </row>
    <row r="20" spans="1:17" x14ac:dyDescent="0.25">
      <c r="A20" t="s">
        <v>1652</v>
      </c>
      <c r="F20" t="s">
        <v>1243</v>
      </c>
    </row>
    <row r="21" spans="1:17" ht="15.75" thickBot="1" x14ac:dyDescent="0.3"/>
    <row r="22" spans="1:17" ht="15.75" thickTop="1" x14ac:dyDescent="0.25">
      <c r="A22" s="649" t="s">
        <v>1320</v>
      </c>
      <c r="B22" s="649" t="s">
        <v>1321</v>
      </c>
      <c r="C22" s="649" t="s">
        <v>130</v>
      </c>
      <c r="D22" s="649" t="s">
        <v>108</v>
      </c>
      <c r="F22" s="754" t="str">
        <f>A22</f>
        <v>Temp</v>
      </c>
      <c r="G22" s="754" t="str">
        <f>B22</f>
        <v>Water</v>
      </c>
      <c r="H22" s="754" t="str">
        <f>C22</f>
        <v>Male</v>
      </c>
      <c r="I22" s="754" t="str">
        <f>D22</f>
        <v>Female</v>
      </c>
      <c r="J22" s="693" t="s">
        <v>1</v>
      </c>
      <c r="K22" s="693" t="s">
        <v>1323</v>
      </c>
      <c r="L22" s="693" t="s">
        <v>1645</v>
      </c>
      <c r="M22" s="693" t="s">
        <v>1646</v>
      </c>
      <c r="N22" s="693" t="s">
        <v>1648</v>
      </c>
    </row>
    <row r="23" spans="1:17" x14ac:dyDescent="0.25">
      <c r="A23" s="673">
        <v>20</v>
      </c>
      <c r="B23" s="674">
        <v>0</v>
      </c>
      <c r="C23" s="671">
        <v>21</v>
      </c>
      <c r="D23" s="672">
        <v>0</v>
      </c>
      <c r="F23" s="13" t="s">
        <v>1651</v>
      </c>
      <c r="G23">
        <f>B23</f>
        <v>0</v>
      </c>
      <c r="H23" s="501">
        <f>H4+H5</f>
        <v>111</v>
      </c>
      <c r="I23" s="57">
        <f>I4+I5</f>
        <v>6</v>
      </c>
      <c r="J23">
        <f t="shared" ref="J23:J32" si="9">H23+I23</f>
        <v>117</v>
      </c>
      <c r="K23">
        <f>(J4*K4+J5*K5)/(J4+J5)</f>
        <v>0.91005873344512966</v>
      </c>
      <c r="L23">
        <f t="shared" ref="L23:L32" si="10">J23*K23</f>
        <v>106.47687181308017</v>
      </c>
      <c r="M23">
        <f t="shared" ref="M23:M32" si="11">J23*(1-K23)</f>
        <v>10.523128186919829</v>
      </c>
      <c r="N23">
        <f t="shared" ref="N23:N32" si="12">(H23-L23)^2/L23+(I23-M23)^2/M23</f>
        <v>2.1363062418435419</v>
      </c>
    </row>
    <row r="24" spans="1:17" x14ac:dyDescent="0.25">
      <c r="A24" s="675">
        <v>21</v>
      </c>
      <c r="B24" s="676">
        <v>0</v>
      </c>
      <c r="C24" s="576">
        <v>90</v>
      </c>
      <c r="D24" s="495">
        <v>6</v>
      </c>
      <c r="F24">
        <f t="shared" ref="F24:I27" si="13">A25</f>
        <v>22</v>
      </c>
      <c r="G24">
        <f t="shared" si="13"/>
        <v>0</v>
      </c>
      <c r="H24" s="501">
        <f t="shared" si="13"/>
        <v>91</v>
      </c>
      <c r="I24" s="57">
        <f t="shared" si="13"/>
        <v>23</v>
      </c>
      <c r="J24">
        <f t="shared" si="9"/>
        <v>114</v>
      </c>
      <c r="K24">
        <f>1/(1+EXP(-$Q$5-MMULT(F24:G24,$Q$6:$Q$7)))</f>
        <v>0.75262184143260014</v>
      </c>
      <c r="L24">
        <f t="shared" si="10"/>
        <v>85.798889923316409</v>
      </c>
      <c r="M24">
        <f t="shared" si="11"/>
        <v>28.201110076683584</v>
      </c>
      <c r="N24">
        <f t="shared" si="12"/>
        <v>1.2745270855742912</v>
      </c>
    </row>
    <row r="25" spans="1:17" x14ac:dyDescent="0.25">
      <c r="A25" s="675">
        <v>22</v>
      </c>
      <c r="B25" s="676">
        <v>0</v>
      </c>
      <c r="C25" s="576">
        <v>91</v>
      </c>
      <c r="D25" s="495">
        <v>23</v>
      </c>
      <c r="F25">
        <f t="shared" si="13"/>
        <v>23</v>
      </c>
      <c r="G25">
        <f t="shared" si="13"/>
        <v>0</v>
      </c>
      <c r="H25" s="501">
        <f t="shared" si="13"/>
        <v>61</v>
      </c>
      <c r="I25" s="57">
        <f t="shared" si="13"/>
        <v>73</v>
      </c>
      <c r="J25">
        <f t="shared" si="9"/>
        <v>134</v>
      </c>
      <c r="K25">
        <f>1/(1+EXP(-$Q$5-MMULT(F25:G25,$Q$6:$Q$7)))</f>
        <v>0.51101415714180365</v>
      </c>
      <c r="L25">
        <f t="shared" si="10"/>
        <v>68.475897057001688</v>
      </c>
      <c r="M25">
        <f t="shared" si="11"/>
        <v>65.524102942998312</v>
      </c>
      <c r="N25">
        <f t="shared" si="12"/>
        <v>1.66913940119171</v>
      </c>
    </row>
    <row r="26" spans="1:17" x14ac:dyDescent="0.25">
      <c r="A26" s="675">
        <v>23</v>
      </c>
      <c r="B26" s="677">
        <v>0</v>
      </c>
      <c r="C26" s="576">
        <v>61</v>
      </c>
      <c r="D26" s="495">
        <v>73</v>
      </c>
      <c r="F26">
        <f t="shared" si="13"/>
        <v>24</v>
      </c>
      <c r="G26">
        <f t="shared" si="13"/>
        <v>0</v>
      </c>
      <c r="H26" s="501">
        <f t="shared" si="13"/>
        <v>11</v>
      </c>
      <c r="I26" s="57">
        <f t="shared" si="13"/>
        <v>41</v>
      </c>
      <c r="J26">
        <f t="shared" si="9"/>
        <v>52</v>
      </c>
      <c r="K26">
        <f>1/(1+EXP(-$Q$5-MMULT(F26:G26,$Q$6:$Q$7)))</f>
        <v>0.26414843657718245</v>
      </c>
      <c r="L26">
        <f t="shared" si="10"/>
        <v>13.735718702013488</v>
      </c>
      <c r="M26">
        <f t="shared" si="11"/>
        <v>38.264281297986514</v>
      </c>
      <c r="N26">
        <f t="shared" si="12"/>
        <v>0.74045943894013777</v>
      </c>
    </row>
    <row r="27" spans="1:17" x14ac:dyDescent="0.25">
      <c r="A27" s="675">
        <v>24</v>
      </c>
      <c r="B27" s="677">
        <v>0</v>
      </c>
      <c r="C27" s="576">
        <v>11</v>
      </c>
      <c r="D27" s="495">
        <v>41</v>
      </c>
      <c r="F27">
        <f t="shared" si="13"/>
        <v>25</v>
      </c>
      <c r="G27">
        <f t="shared" si="13"/>
        <v>0</v>
      </c>
      <c r="H27" s="501">
        <f t="shared" si="13"/>
        <v>4</v>
      </c>
      <c r="I27" s="57">
        <f t="shared" si="13"/>
        <v>28</v>
      </c>
      <c r="J27">
        <f t="shared" si="9"/>
        <v>32</v>
      </c>
      <c r="K27">
        <f>1/(1+EXP(-$Q$5-MMULT(F27:G27,$Q$6:$Q$7)))</f>
        <v>0.10976945326838558</v>
      </c>
      <c r="L27">
        <f t="shared" si="10"/>
        <v>3.5126225045883386</v>
      </c>
      <c r="M27">
        <f t="shared" si="11"/>
        <v>28.487377495411661</v>
      </c>
      <c r="N27">
        <f t="shared" si="12"/>
        <v>7.5962101659372921E-2</v>
      </c>
      <c r="P27" s="189" t="s">
        <v>1647</v>
      </c>
    </row>
    <row r="28" spans="1:17" x14ac:dyDescent="0.25">
      <c r="A28" s="675">
        <v>25</v>
      </c>
      <c r="B28" s="677">
        <v>0</v>
      </c>
      <c r="C28" s="532">
        <v>4</v>
      </c>
      <c r="D28" s="533">
        <v>28</v>
      </c>
      <c r="F28" s="13" t="s">
        <v>1651</v>
      </c>
      <c r="G28">
        <f>B29</f>
        <v>1</v>
      </c>
      <c r="H28" s="501">
        <f>H10+H11</f>
        <v>93</v>
      </c>
      <c r="I28" s="501">
        <f>I10+I11</f>
        <v>13</v>
      </c>
      <c r="J28">
        <f t="shared" si="9"/>
        <v>106</v>
      </c>
      <c r="K28">
        <f>(J10*K10+J11*K11)/(J10+J11)</f>
        <v>0.90863957653934146</v>
      </c>
      <c r="L28">
        <f t="shared" si="10"/>
        <v>96.315795113170196</v>
      </c>
      <c r="M28">
        <f t="shared" si="11"/>
        <v>9.6842048868298054</v>
      </c>
      <c r="N28">
        <f t="shared" si="12"/>
        <v>1.2494525168234714</v>
      </c>
    </row>
    <row r="29" spans="1:17" x14ac:dyDescent="0.25">
      <c r="A29" s="675">
        <v>20</v>
      </c>
      <c r="B29" s="677">
        <v>1</v>
      </c>
      <c r="C29" s="576">
        <v>18</v>
      </c>
      <c r="D29" s="495">
        <v>4</v>
      </c>
      <c r="F29">
        <f t="shared" ref="F29:I32" si="14">A31</f>
        <v>22</v>
      </c>
      <c r="G29">
        <f t="shared" si="14"/>
        <v>1</v>
      </c>
      <c r="H29" s="501">
        <f t="shared" si="14"/>
        <v>68</v>
      </c>
      <c r="I29" s="57">
        <f t="shared" si="14"/>
        <v>21</v>
      </c>
      <c r="J29">
        <f t="shared" si="9"/>
        <v>89</v>
      </c>
      <c r="K29">
        <f>1/(1+EXP(-$Q$5-MMULT(F29:G29,$Q$6:$Q$7)))</f>
        <v>0.74514949898697447</v>
      </c>
      <c r="L29">
        <f t="shared" si="10"/>
        <v>66.318305409840733</v>
      </c>
      <c r="M29">
        <f t="shared" si="11"/>
        <v>22.681694590159271</v>
      </c>
      <c r="N29">
        <f t="shared" si="12"/>
        <v>0.16733058988741623</v>
      </c>
      <c r="P29" t="s">
        <v>1649</v>
      </c>
      <c r="Q29" s="756">
        <f>N33</f>
        <v>13.304504952680011</v>
      </c>
    </row>
    <row r="30" spans="1:17" x14ac:dyDescent="0.25">
      <c r="A30" s="675">
        <v>21</v>
      </c>
      <c r="B30" s="677">
        <v>1</v>
      </c>
      <c r="C30" s="576">
        <v>75</v>
      </c>
      <c r="D30" s="495">
        <v>9</v>
      </c>
      <c r="F30">
        <f t="shared" si="14"/>
        <v>23</v>
      </c>
      <c r="G30">
        <f t="shared" si="14"/>
        <v>1</v>
      </c>
      <c r="H30" s="501">
        <f t="shared" si="14"/>
        <v>59</v>
      </c>
      <c r="I30" s="57">
        <f t="shared" si="14"/>
        <v>65</v>
      </c>
      <c r="J30">
        <f t="shared" si="9"/>
        <v>124</v>
      </c>
      <c r="K30">
        <f>1/(1+EXP(-$Q$5-MMULT(F30:G30,$Q$6:$Q$7)))</f>
        <v>0.50108169711789707</v>
      </c>
      <c r="L30">
        <f t="shared" si="10"/>
        <v>62.134130442619238</v>
      </c>
      <c r="M30">
        <f t="shared" si="11"/>
        <v>61.865869557380762</v>
      </c>
      <c r="N30">
        <f t="shared" si="12"/>
        <v>0.31686514854341774</v>
      </c>
      <c r="P30" t="s">
        <v>60</v>
      </c>
      <c r="Q30" s="503">
        <f>COUNTA(F23:F32)-2</f>
        <v>8</v>
      </c>
    </row>
    <row r="31" spans="1:17" x14ac:dyDescent="0.25">
      <c r="A31" s="675">
        <v>22</v>
      </c>
      <c r="B31" s="677">
        <v>1</v>
      </c>
      <c r="C31" s="576">
        <v>68</v>
      </c>
      <c r="D31" s="495">
        <v>21</v>
      </c>
      <c r="F31">
        <f t="shared" si="14"/>
        <v>24</v>
      </c>
      <c r="G31">
        <f t="shared" si="14"/>
        <v>1</v>
      </c>
      <c r="H31" s="501">
        <f t="shared" si="14"/>
        <v>17</v>
      </c>
      <c r="I31" s="57">
        <f t="shared" si="14"/>
        <v>46</v>
      </c>
      <c r="J31">
        <f t="shared" si="9"/>
        <v>63</v>
      </c>
      <c r="K31">
        <f>1/(1+EXP(-$Q$5-MMULT(F31:G31,$Q$6:$Q$7)))</f>
        <v>0.2564973160648405</v>
      </c>
      <c r="L31">
        <f t="shared" si="10"/>
        <v>16.15933091208495</v>
      </c>
      <c r="M31">
        <f t="shared" si="11"/>
        <v>46.840669087915046</v>
      </c>
      <c r="N31">
        <f t="shared" si="12"/>
        <v>5.8822603362858258E-2</v>
      </c>
      <c r="P31" t="s">
        <v>67</v>
      </c>
      <c r="Q31" s="503">
        <f>CHIDIST(Q29,Q30)</f>
        <v>0.10179319795323902</v>
      </c>
    </row>
    <row r="32" spans="1:17" x14ac:dyDescent="0.25">
      <c r="A32" s="675">
        <v>23</v>
      </c>
      <c r="B32" s="677">
        <v>1</v>
      </c>
      <c r="C32" s="576">
        <v>59</v>
      </c>
      <c r="D32" s="495">
        <v>65</v>
      </c>
      <c r="F32">
        <f t="shared" si="14"/>
        <v>25</v>
      </c>
      <c r="G32">
        <f t="shared" si="14"/>
        <v>1</v>
      </c>
      <c r="H32" s="373">
        <f t="shared" si="14"/>
        <v>7</v>
      </c>
      <c r="I32" s="374">
        <f t="shared" si="14"/>
        <v>22</v>
      </c>
      <c r="J32">
        <f t="shared" si="9"/>
        <v>29</v>
      </c>
      <c r="K32">
        <f>1/(1+EXP(-$Q$5-MMULT(F32:G32,$Q$6:$Q$7)))</f>
        <v>0.10594614214775683</v>
      </c>
      <c r="L32">
        <f t="shared" si="10"/>
        <v>3.0724381222849479</v>
      </c>
      <c r="M32">
        <f t="shared" si="11"/>
        <v>25.927561877715053</v>
      </c>
      <c r="N32">
        <f t="shared" si="12"/>
        <v>5.615639824853794</v>
      </c>
      <c r="P32" t="s">
        <v>106</v>
      </c>
      <c r="Q32" s="503">
        <v>0.05</v>
      </c>
    </row>
    <row r="33" spans="1:17" x14ac:dyDescent="0.25">
      <c r="A33" s="675">
        <v>24</v>
      </c>
      <c r="B33" s="677">
        <v>1</v>
      </c>
      <c r="C33" s="576">
        <v>17</v>
      </c>
      <c r="D33" s="495">
        <v>46</v>
      </c>
      <c r="F33" s="752"/>
      <c r="G33" s="752"/>
      <c r="H33">
        <f>SUM(H23:H32)</f>
        <v>522</v>
      </c>
      <c r="I33">
        <f>SUM(I23:I32)</f>
        <v>338</v>
      </c>
      <c r="J33" s="752">
        <f>SUM(J23:J32)</f>
        <v>860</v>
      </c>
      <c r="K33" s="752"/>
      <c r="L33" s="752">
        <f>SUM(L23:L32)</f>
        <v>522.00000000000011</v>
      </c>
      <c r="M33" s="752">
        <f>SUM(M23:M32)</f>
        <v>337.99999999999989</v>
      </c>
      <c r="N33" s="752">
        <f>SUM(N23:N32)</f>
        <v>13.304504952680011</v>
      </c>
      <c r="P33" t="s">
        <v>527</v>
      </c>
      <c r="Q33" s="414" t="str">
        <f>IF(Q31&lt;Q32,"yes","no")</f>
        <v>no</v>
      </c>
    </row>
    <row r="34" spans="1:17" x14ac:dyDescent="0.25">
      <c r="A34" s="678">
        <v>25</v>
      </c>
      <c r="B34" s="679">
        <v>1</v>
      </c>
      <c r="C34" s="409">
        <v>7</v>
      </c>
      <c r="D34" s="417">
        <v>22</v>
      </c>
    </row>
    <row r="35" spans="1:17" x14ac:dyDescent="0.25">
      <c r="C35">
        <f>SUM(C23:C34)</f>
        <v>522</v>
      </c>
      <c r="D35">
        <f>SUM(D23:D34)</f>
        <v>338</v>
      </c>
    </row>
    <row r="38" spans="1:17" x14ac:dyDescent="0.25">
      <c r="A38" t="s">
        <v>1839</v>
      </c>
    </row>
    <row r="40" spans="1:17" x14ac:dyDescent="0.25">
      <c r="A40" s="649" t="s">
        <v>1320</v>
      </c>
      <c r="B40" s="649" t="s">
        <v>1321</v>
      </c>
      <c r="C40" s="649" t="s">
        <v>130</v>
      </c>
      <c r="D40" s="649" t="s">
        <v>108</v>
      </c>
      <c r="F40" s="13" t="str">
        <f t="array" ref="F40:K50">[1]!HOSMER(A41:D52,TRUE)</f>
        <v>Obs</v>
      </c>
      <c r="G40" s="13" t="str">
        <v>Tot</v>
      </c>
      <c r="H40" s="13" t="str">
        <v>Suc-Obs</v>
      </c>
      <c r="I40" s="13" t="str">
        <v>Suc-Exp</v>
      </c>
      <c r="J40" s="13" t="str">
        <v>Fail-Obs</v>
      </c>
      <c r="K40" s="13" t="str">
        <v>Fail-Exp</v>
      </c>
      <c r="L40" s="13" t="s">
        <v>1836</v>
      </c>
      <c r="M40" s="13" t="s">
        <v>1837</v>
      </c>
      <c r="O40" t="str">
        <f t="array" ref="O40:P42">[1]!HLTEST(A41:D52,TRUE)</f>
        <v>HL stat</v>
      </c>
      <c r="P40" s="831">
        <v>5.9316829029821196</v>
      </c>
    </row>
    <row r="41" spans="1:17" x14ac:dyDescent="0.25">
      <c r="A41" s="673">
        <v>20</v>
      </c>
      <c r="B41" s="674">
        <v>0</v>
      </c>
      <c r="C41" s="671">
        <v>21</v>
      </c>
      <c r="D41" s="672">
        <v>0</v>
      </c>
      <c r="F41">
        <v>1</v>
      </c>
      <c r="G41" s="751">
        <v>86</v>
      </c>
      <c r="H41" s="751">
        <v>17.746031746031747</v>
      </c>
      <c r="I41" s="755">
        <v>12.99749352849431</v>
      </c>
      <c r="J41" s="827">
        <v>68.253968253968253</v>
      </c>
      <c r="K41" s="755">
        <v>73.002506471505683</v>
      </c>
      <c r="L41" s="751">
        <f>(H41-I41)^2/I41</f>
        <v>1.7348433491411597</v>
      </c>
      <c r="M41" s="755">
        <f>(K41-J41)^2/K41</f>
        <v>0.30887453449580832</v>
      </c>
      <c r="O41" t="str">
        <v>df</v>
      </c>
      <c r="P41" s="503">
        <v>8</v>
      </c>
    </row>
    <row r="42" spans="1:17" x14ac:dyDescent="0.25">
      <c r="A42" s="675">
        <v>21</v>
      </c>
      <c r="B42" s="676">
        <v>0</v>
      </c>
      <c r="C42" s="576">
        <v>90</v>
      </c>
      <c r="D42" s="495">
        <v>6</v>
      </c>
      <c r="F42">
        <v>2</v>
      </c>
      <c r="G42" s="532">
        <v>86</v>
      </c>
      <c r="H42" s="532">
        <v>20.407814407814406</v>
      </c>
      <c r="I42" s="533">
        <v>22.426022966168709</v>
      </c>
      <c r="J42" s="7">
        <v>65.592185592185587</v>
      </c>
      <c r="K42" s="533">
        <v>63.573977033831291</v>
      </c>
      <c r="L42" s="532">
        <f t="shared" ref="L42:L50" si="15">(H42-I42)^2/I42</f>
        <v>0.18162675527262329</v>
      </c>
      <c r="M42" s="533">
        <f t="shared" ref="M42:M50" si="16">(K42-J42)^2/K42</f>
        <v>6.4069702338221887E-2</v>
      </c>
      <c r="O42" t="str">
        <v>p-value</v>
      </c>
      <c r="P42" s="420">
        <v>0.65488433283917247</v>
      </c>
    </row>
    <row r="43" spans="1:17" x14ac:dyDescent="0.25">
      <c r="A43" s="675">
        <v>22</v>
      </c>
      <c r="B43" s="676">
        <v>0</v>
      </c>
      <c r="C43" s="576">
        <v>91</v>
      </c>
      <c r="D43" s="495">
        <v>23</v>
      </c>
      <c r="F43">
        <v>3</v>
      </c>
      <c r="G43" s="532">
        <v>86</v>
      </c>
      <c r="H43" s="532">
        <v>39.862282878411911</v>
      </c>
      <c r="I43" s="533">
        <v>42.145292909976313</v>
      </c>
      <c r="J43" s="7">
        <v>46.137717121588089</v>
      </c>
      <c r="K43" s="533">
        <v>43.854707090023687</v>
      </c>
      <c r="L43" s="532">
        <f t="shared" si="15"/>
        <v>0.1236706271174097</v>
      </c>
      <c r="M43" s="533">
        <f t="shared" si="16"/>
        <v>0.11885006536526102</v>
      </c>
    </row>
    <row r="44" spans="1:17" x14ac:dyDescent="0.25">
      <c r="A44" s="675">
        <v>23</v>
      </c>
      <c r="B44" s="677">
        <v>0</v>
      </c>
      <c r="C44" s="576">
        <v>61</v>
      </c>
      <c r="D44" s="495">
        <v>73</v>
      </c>
      <c r="F44">
        <v>4</v>
      </c>
      <c r="G44" s="532">
        <v>86</v>
      </c>
      <c r="H44" s="532">
        <v>40.013721714010593</v>
      </c>
      <c r="I44" s="533">
        <v>43.530054193191049</v>
      </c>
      <c r="J44" s="7">
        <v>45.986278285989407</v>
      </c>
      <c r="K44" s="533">
        <v>42.469945806808951</v>
      </c>
      <c r="L44" s="532">
        <f t="shared" si="15"/>
        <v>0.28404729406639317</v>
      </c>
      <c r="M44" s="533">
        <f t="shared" si="16"/>
        <v>0.29113750604685323</v>
      </c>
    </row>
    <row r="45" spans="1:17" x14ac:dyDescent="0.25">
      <c r="A45" s="675">
        <v>24</v>
      </c>
      <c r="B45" s="677">
        <v>0</v>
      </c>
      <c r="C45" s="576">
        <v>11</v>
      </c>
      <c r="D45" s="495">
        <v>41</v>
      </c>
      <c r="F45">
        <v>5</v>
      </c>
      <c r="G45" s="532">
        <v>86</v>
      </c>
      <c r="H45" s="532">
        <v>39.149253731343279</v>
      </c>
      <c r="I45" s="533">
        <v>43.947217514195117</v>
      </c>
      <c r="J45" s="7">
        <v>46.850746268656721</v>
      </c>
      <c r="K45" s="533">
        <v>42.052782485804883</v>
      </c>
      <c r="L45" s="532">
        <f t="shared" si="15"/>
        <v>0.52382056848359559</v>
      </c>
      <c r="M45" s="533">
        <f t="shared" si="16"/>
        <v>0.54741815168422159</v>
      </c>
    </row>
    <row r="46" spans="1:17" x14ac:dyDescent="0.25">
      <c r="A46" s="675">
        <v>25</v>
      </c>
      <c r="B46" s="677">
        <v>0</v>
      </c>
      <c r="C46" s="532">
        <v>4</v>
      </c>
      <c r="D46" s="533">
        <v>28</v>
      </c>
      <c r="F46">
        <v>6</v>
      </c>
      <c r="G46" s="532">
        <v>86</v>
      </c>
      <c r="H46" s="532">
        <v>64.472580915646489</v>
      </c>
      <c r="I46" s="533">
        <v>63.146315545499142</v>
      </c>
      <c r="J46" s="7">
        <v>21.527419084353511</v>
      </c>
      <c r="K46" s="533">
        <v>22.853684454500858</v>
      </c>
      <c r="L46" s="532">
        <f t="shared" si="15"/>
        <v>2.785562097894171E-2</v>
      </c>
      <c r="M46" s="533">
        <f t="shared" si="16"/>
        <v>7.6967013155100308E-2</v>
      </c>
    </row>
    <row r="47" spans="1:17" x14ac:dyDescent="0.25">
      <c r="A47" s="675">
        <v>20</v>
      </c>
      <c r="B47" s="677">
        <v>1</v>
      </c>
      <c r="C47" s="576">
        <v>18</v>
      </c>
      <c r="D47" s="495">
        <v>4</v>
      </c>
      <c r="F47">
        <v>7</v>
      </c>
      <c r="G47" s="532">
        <v>86</v>
      </c>
      <c r="H47" s="532">
        <v>68.409718115513499</v>
      </c>
      <c r="I47" s="533">
        <v>64.673171966084226</v>
      </c>
      <c r="J47" s="7">
        <v>17.590281884486501</v>
      </c>
      <c r="K47" s="533">
        <v>21.326828033915774</v>
      </c>
      <c r="L47" s="532">
        <f t="shared" si="15"/>
        <v>0.21588205282611675</v>
      </c>
      <c r="M47" s="533">
        <f t="shared" si="16"/>
        <v>0.6546579315316603</v>
      </c>
    </row>
    <row r="48" spans="1:17" x14ac:dyDescent="0.25">
      <c r="A48" s="675">
        <v>21</v>
      </c>
      <c r="B48" s="677">
        <v>1</v>
      </c>
      <c r="C48" s="576">
        <v>75</v>
      </c>
      <c r="D48" s="495">
        <v>9</v>
      </c>
      <c r="F48">
        <v>8</v>
      </c>
      <c r="G48" s="532">
        <v>86</v>
      </c>
      <c r="H48" s="532">
        <v>73.47431077694236</v>
      </c>
      <c r="I48" s="533">
        <v>71.980172635565822</v>
      </c>
      <c r="J48" s="7">
        <v>12.52568922305764</v>
      </c>
      <c r="K48" s="533">
        <v>14.019827364434178</v>
      </c>
      <c r="L48" s="532">
        <f t="shared" si="15"/>
        <v>3.1014773982537949E-2</v>
      </c>
      <c r="M48" s="533">
        <f t="shared" si="16"/>
        <v>0.159235112350917</v>
      </c>
    </row>
    <row r="49" spans="1:13" x14ac:dyDescent="0.25">
      <c r="A49" s="675">
        <v>22</v>
      </c>
      <c r="B49" s="677">
        <v>1</v>
      </c>
      <c r="C49" s="576">
        <v>68</v>
      </c>
      <c r="D49" s="495">
        <v>21</v>
      </c>
      <c r="F49">
        <v>9</v>
      </c>
      <c r="G49" s="532">
        <v>86</v>
      </c>
      <c r="H49" s="532">
        <v>79.151785714285722</v>
      </c>
      <c r="I49" s="533">
        <v>77.153930172511679</v>
      </c>
      <c r="J49" s="7">
        <v>6.8482142857142776</v>
      </c>
      <c r="K49" s="533">
        <v>8.8460698274883214</v>
      </c>
      <c r="L49" s="532">
        <f t="shared" si="15"/>
        <v>5.1733291575330784E-2</v>
      </c>
      <c r="M49" s="533">
        <f t="shared" si="16"/>
        <v>0.45120905030551295</v>
      </c>
    </row>
    <row r="50" spans="1:13" x14ac:dyDescent="0.25">
      <c r="A50" s="675">
        <v>23</v>
      </c>
      <c r="B50" s="677">
        <v>1</v>
      </c>
      <c r="C50" s="576">
        <v>59</v>
      </c>
      <c r="D50" s="495">
        <v>65</v>
      </c>
      <c r="F50">
        <v>10</v>
      </c>
      <c r="G50" s="409">
        <v>86</v>
      </c>
      <c r="H50" s="409">
        <v>79.3125</v>
      </c>
      <c r="I50" s="417">
        <v>80.000328568313861</v>
      </c>
      <c r="J50" s="762">
        <v>6.6875</v>
      </c>
      <c r="K50" s="417">
        <v>5.9996714316861386</v>
      </c>
      <c r="L50" s="409">
        <f t="shared" si="15"/>
        <v>5.9138274536547674E-3</v>
      </c>
      <c r="M50" s="417">
        <f t="shared" si="16"/>
        <v>7.8855674810801218E-2</v>
      </c>
    </row>
    <row r="51" spans="1:13" x14ac:dyDescent="0.25">
      <c r="A51" s="675">
        <v>24</v>
      </c>
      <c r="B51" s="677">
        <v>1</v>
      </c>
      <c r="C51" s="576">
        <v>17</v>
      </c>
      <c r="D51" s="495">
        <v>46</v>
      </c>
      <c r="G51">
        <f t="shared" ref="G51:M51" si="17">SUM(G41:G50)</f>
        <v>860</v>
      </c>
      <c r="H51">
        <f>SUM(H41:H50)</f>
        <v>522</v>
      </c>
      <c r="I51">
        <f t="shared" si="17"/>
        <v>522.00000000000023</v>
      </c>
      <c r="J51">
        <f t="shared" si="17"/>
        <v>338.00000000000006</v>
      </c>
      <c r="K51">
        <f t="shared" si="17"/>
        <v>337.99999999999977</v>
      </c>
      <c r="L51">
        <f t="shared" si="17"/>
        <v>3.1804081608977635</v>
      </c>
      <c r="M51">
        <f t="shared" si="17"/>
        <v>2.751274742084358</v>
      </c>
    </row>
    <row r="52" spans="1:13" x14ac:dyDescent="0.25">
      <c r="A52" s="678">
        <v>25</v>
      </c>
      <c r="B52" s="679">
        <v>1</v>
      </c>
      <c r="C52" s="409">
        <v>7</v>
      </c>
      <c r="D52" s="417">
        <v>22</v>
      </c>
    </row>
    <row r="53" spans="1:13" x14ac:dyDescent="0.25">
      <c r="C53">
        <f>SUM(C41:C52)</f>
        <v>522</v>
      </c>
      <c r="D53">
        <f>SUM(D41:D52)</f>
        <v>338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AL31"/>
  <sheetViews>
    <sheetView workbookViewId="0"/>
  </sheetViews>
  <sheetFormatPr defaultRowHeight="15" x14ac:dyDescent="0.25"/>
  <cols>
    <col min="1" max="5" width="9.28515625" customWidth="1"/>
    <col min="6" max="6" width="5.140625" customWidth="1"/>
    <col min="7" max="12" width="9.28515625" customWidth="1"/>
    <col min="13" max="14" width="9.28515625" bestFit="1" customWidth="1"/>
    <col min="23" max="23" width="3.42578125" customWidth="1"/>
    <col min="26" max="26" width="3.28515625" customWidth="1"/>
    <col min="29" max="29" width="4.140625" customWidth="1"/>
    <col min="30" max="30" width="42" customWidth="1"/>
  </cols>
  <sheetData>
    <row r="1" spans="1:38" x14ac:dyDescent="0.25">
      <c r="A1" s="1" t="s">
        <v>1737</v>
      </c>
    </row>
    <row r="2" spans="1:38" x14ac:dyDescent="0.25">
      <c r="A2" t="s">
        <v>1747</v>
      </c>
    </row>
    <row r="3" spans="1:38" ht="15.75" thickBot="1" x14ac:dyDescent="0.3">
      <c r="G3" s="1323" t="s">
        <v>1775</v>
      </c>
      <c r="H3" s="1323"/>
      <c r="I3" s="1323" t="s">
        <v>113</v>
      </c>
      <c r="J3" s="1323"/>
      <c r="K3" s="1323"/>
      <c r="L3" s="1323"/>
      <c r="M3" s="1323" t="s">
        <v>129</v>
      </c>
      <c r="N3" s="1323"/>
      <c r="O3" s="1323" t="s">
        <v>1777</v>
      </c>
      <c r="P3" s="1323"/>
      <c r="Q3" s="1323"/>
      <c r="R3" s="1323" t="s">
        <v>1776</v>
      </c>
      <c r="S3" s="1323"/>
      <c r="T3" s="1323"/>
      <c r="U3" s="1323" t="s">
        <v>1774</v>
      </c>
      <c r="V3" s="1323"/>
    </row>
    <row r="4" spans="1:38" ht="15.75" thickTop="1" x14ac:dyDescent="0.25">
      <c r="A4" s="649" t="s">
        <v>1744</v>
      </c>
      <c r="B4" s="649" t="s">
        <v>620</v>
      </c>
      <c r="C4" s="649" t="s">
        <v>1746</v>
      </c>
      <c r="D4" s="649" t="s">
        <v>117</v>
      </c>
      <c r="E4" s="649" t="s">
        <v>1745</v>
      </c>
      <c r="G4" s="826" t="str">
        <f>A4</f>
        <v>Dosage</v>
      </c>
      <c r="H4" s="826" t="str">
        <f t="shared" ref="H4:K5" si="0">B4</f>
        <v>Gender</v>
      </c>
      <c r="I4" s="826" t="str">
        <f t="shared" si="0"/>
        <v>Dead</v>
      </c>
      <c r="J4" s="826" t="str">
        <f t="shared" si="0"/>
        <v>Cured</v>
      </c>
      <c r="K4" s="826" t="str">
        <f t="shared" si="0"/>
        <v>Sick</v>
      </c>
      <c r="L4" s="826" t="s">
        <v>1</v>
      </c>
      <c r="M4" s="826" t="str">
        <f>J4</f>
        <v>Cured</v>
      </c>
      <c r="N4" s="826" t="str">
        <f>K4</f>
        <v>Sick</v>
      </c>
      <c r="O4" s="826" t="str">
        <f>I4</f>
        <v>Dead</v>
      </c>
      <c r="P4" s="826" t="str">
        <f>J4</f>
        <v>Cured</v>
      </c>
      <c r="Q4" s="826" t="str">
        <f>K4</f>
        <v>Sick</v>
      </c>
      <c r="R4" s="826" t="str">
        <f>O4</f>
        <v>Dead</v>
      </c>
      <c r="S4" s="826" t="str">
        <f>P4</f>
        <v>Cured</v>
      </c>
      <c r="T4" s="826" t="str">
        <f>Q4</f>
        <v>Sick</v>
      </c>
      <c r="U4" s="826" t="s">
        <v>1253</v>
      </c>
      <c r="V4" s="826" t="s">
        <v>1743</v>
      </c>
      <c r="X4" s="1309" t="s">
        <v>298</v>
      </c>
      <c r="Y4" s="1309"/>
      <c r="AA4" t="s">
        <v>1252</v>
      </c>
      <c r="AB4" s="820">
        <f>SUMPRODUCT(I17:K17,LN(I17:K17/L17))+V17</f>
        <v>-170.26899101461777</v>
      </c>
      <c r="AC4" s="7"/>
      <c r="AD4" s="835" t="s">
        <v>1790</v>
      </c>
      <c r="AF4" t="s">
        <v>1738</v>
      </c>
    </row>
    <row r="5" spans="1:38" x14ac:dyDescent="0.25">
      <c r="A5" s="806">
        <v>20</v>
      </c>
      <c r="B5" s="821">
        <v>0</v>
      </c>
      <c r="C5" s="813">
        <v>13</v>
      </c>
      <c r="D5" s="822">
        <v>0</v>
      </c>
      <c r="E5" s="823">
        <v>8</v>
      </c>
      <c r="G5">
        <f>A5</f>
        <v>20</v>
      </c>
      <c r="H5">
        <f t="shared" si="0"/>
        <v>0</v>
      </c>
      <c r="I5" s="751">
        <f t="shared" si="0"/>
        <v>13</v>
      </c>
      <c r="J5" s="752">
        <f t="shared" si="0"/>
        <v>0</v>
      </c>
      <c r="K5" s="752">
        <f t="shared" si="0"/>
        <v>8</v>
      </c>
      <c r="L5" s="755">
        <f>SUM(I5:K5)</f>
        <v>21</v>
      </c>
      <c r="M5" s="751">
        <f>EXP(X$6+MMULT($G5:$H5,X$7:X$8))</f>
        <v>4.910109696345899E-2</v>
      </c>
      <c r="N5" s="755">
        <f>EXP(Y$6+MMULT($G5:$H5,Y$7:Y$8))</f>
        <v>0.29616211852436697</v>
      </c>
      <c r="O5" s="751">
        <f>1/(1+$M5+$N5)</f>
        <v>0.74334895096152254</v>
      </c>
      <c r="P5" s="752">
        <f>M5*O5</f>
        <v>3.6499248918847239E-2</v>
      </c>
      <c r="Q5" s="755">
        <f>N5*O5</f>
        <v>0.22015180011963029</v>
      </c>
      <c r="R5" s="751">
        <f>O5*$L5</f>
        <v>15.610327970191973</v>
      </c>
      <c r="S5" s="752">
        <f>P5*$L5</f>
        <v>0.76648422729579202</v>
      </c>
      <c r="T5" s="755">
        <f>Q5*$L5</f>
        <v>4.6231878025122359</v>
      </c>
      <c r="U5" s="7">
        <f>I5*LN(O5)+J5*LN(P5)+K5*LN(Q5)</f>
        <v>-15.96316977122598</v>
      </c>
      <c r="V5" s="7">
        <f>GAMMALN(L5+1)-GAMMALN(I5+1)-GAMMALN(J5+1)-GAMMALN(K5+1)</f>
        <v>12.223372142608234</v>
      </c>
      <c r="AA5" t="s">
        <v>1315</v>
      </c>
      <c r="AB5" s="757">
        <f>U17+V17</f>
        <v>-110.02527313862481</v>
      </c>
      <c r="AC5" s="7"/>
      <c r="AD5" s="835" t="s">
        <v>1782</v>
      </c>
      <c r="AF5" s="1"/>
    </row>
    <row r="6" spans="1:38" x14ac:dyDescent="0.25">
      <c r="A6" s="675">
        <v>21</v>
      </c>
      <c r="B6" s="676">
        <v>0</v>
      </c>
      <c r="C6" s="576">
        <v>60</v>
      </c>
      <c r="D6" s="88">
        <v>6</v>
      </c>
      <c r="E6" s="824">
        <v>30</v>
      </c>
      <c r="G6">
        <f t="shared" ref="G6:G16" si="1">A6</f>
        <v>21</v>
      </c>
      <c r="H6">
        <f t="shared" ref="H6:H16" si="2">B6</f>
        <v>0</v>
      </c>
      <c r="I6" s="532">
        <f t="shared" ref="I6:I16" si="3">C6</f>
        <v>60</v>
      </c>
      <c r="J6" s="7">
        <f t="shared" ref="J6:J16" si="4">D6</f>
        <v>6</v>
      </c>
      <c r="K6" s="7">
        <f t="shared" ref="K6:K16" si="5">E6</f>
        <v>30</v>
      </c>
      <c r="L6" s="533">
        <f t="shared" ref="L6:L16" si="6">SUM(I6:K6)</f>
        <v>96</v>
      </c>
      <c r="M6" s="532">
        <f t="shared" ref="M6:N16" si="7">EXP(X$6+MMULT($G6:$H6,X$7:X$8))</f>
        <v>0.13160309266507283</v>
      </c>
      <c r="N6" s="533">
        <f t="shared" si="7"/>
        <v>0.42779597679776077</v>
      </c>
      <c r="O6" s="532">
        <f t="shared" ref="O6:O16" si="8">1/(1+$M6+$N6)</f>
        <v>0.64127266687703621</v>
      </c>
      <c r="P6" s="7">
        <f t="shared" ref="P6:P16" si="9">M6*O6</f>
        <v>8.4393466202596981E-2</v>
      </c>
      <c r="Q6" s="533">
        <f t="shared" ref="Q6:Q16" si="10">N6*O6</f>
        <v>0.27433386692036676</v>
      </c>
      <c r="R6" s="532">
        <f t="shared" ref="R6:R16" si="11">O6*$L6</f>
        <v>61.56217602019548</v>
      </c>
      <c r="S6" s="7">
        <f t="shared" ref="S6:S16" si="12">P6*$L6</f>
        <v>8.1017727554493106</v>
      </c>
      <c r="T6" s="533">
        <f t="shared" ref="T6:T16" si="13">Q6*$L6</f>
        <v>26.336051224355209</v>
      </c>
      <c r="U6" s="7">
        <f t="shared" ref="U6:U16" si="14">I6*LN(O6)+J6*LN(P6)+K6*LN(Q6)</f>
        <v>-80.293906538458472</v>
      </c>
      <c r="V6" s="7">
        <f t="shared" ref="V6:V16" si="15">GAMMALN(L6+1)-GAMMALN(I6+1)-GAMMALN(J6+1)-GAMMALN(K6+1)</f>
        <v>75.513746077754988</v>
      </c>
      <c r="X6" s="802">
        <f t="array" ref="X6:X8">[1]!LogitCoeff([1]!MLogitExtract(A5:E16,2,"1,0",FALSE))</f>
        <v>-22.73205676589674</v>
      </c>
      <c r="Y6" s="831">
        <f t="array" ref="Y6:Y8">[1]!LogitCoeff([1]!MLogitExtract(A5:E16,2,"2,0",FALSE))</f>
        <v>-8.5716360787604327</v>
      </c>
      <c r="AF6" s="295" t="s">
        <v>1744</v>
      </c>
      <c r="AG6" s="295" t="s">
        <v>620</v>
      </c>
      <c r="AH6" s="295" t="s">
        <v>1779</v>
      </c>
      <c r="AI6" s="295" t="s">
        <v>1780</v>
      </c>
      <c r="AJ6" s="295" t="s">
        <v>1746</v>
      </c>
      <c r="AK6" s="295" t="s">
        <v>117</v>
      </c>
      <c r="AL6" s="295" t="s">
        <v>1745</v>
      </c>
    </row>
    <row r="7" spans="1:38" x14ac:dyDescent="0.25">
      <c r="A7" s="675">
        <v>22</v>
      </c>
      <c r="B7" s="676">
        <v>0</v>
      </c>
      <c r="C7" s="576">
        <v>61</v>
      </c>
      <c r="D7" s="88">
        <v>13</v>
      </c>
      <c r="E7" s="824">
        <v>40</v>
      </c>
      <c r="G7">
        <f t="shared" si="1"/>
        <v>22</v>
      </c>
      <c r="H7">
        <f t="shared" si="2"/>
        <v>0</v>
      </c>
      <c r="I7" s="532">
        <f t="shared" si="3"/>
        <v>61</v>
      </c>
      <c r="J7" s="7">
        <f t="shared" si="4"/>
        <v>13</v>
      </c>
      <c r="K7" s="7">
        <f t="shared" si="5"/>
        <v>40</v>
      </c>
      <c r="L7" s="533">
        <f t="shared" si="6"/>
        <v>114</v>
      </c>
      <c r="M7" s="532">
        <f t="shared" si="7"/>
        <v>0.35272886086233096</v>
      </c>
      <c r="N7" s="533">
        <f t="shared" si="7"/>
        <v>0.61793655000915559</v>
      </c>
      <c r="O7" s="532">
        <f t="shared" si="8"/>
        <v>0.50744281321595353</v>
      </c>
      <c r="P7" s="7">
        <f t="shared" si="9"/>
        <v>0.17898972545843986</v>
      </c>
      <c r="Q7" s="533">
        <f t="shared" si="10"/>
        <v>0.31356746132560664</v>
      </c>
      <c r="R7" s="532">
        <f t="shared" si="11"/>
        <v>57.848480706618702</v>
      </c>
      <c r="S7" s="7">
        <f t="shared" si="12"/>
        <v>20.404828702262144</v>
      </c>
      <c r="T7" s="533">
        <f t="shared" si="13"/>
        <v>35.746690591119155</v>
      </c>
      <c r="U7" s="7">
        <f t="shared" si="14"/>
        <v>-110.1358262664578</v>
      </c>
      <c r="V7" s="7">
        <f t="shared" si="15"/>
        <v>103.60254101092582</v>
      </c>
      <c r="X7" s="680">
        <v>0.98590914314400768</v>
      </c>
      <c r="Y7" s="503">
        <v>0.36773939009440798</v>
      </c>
      <c r="AA7" t="s">
        <v>1328</v>
      </c>
      <c r="AB7" s="820">
        <f>2*(AB5-AB4)</f>
        <v>120.48743575198591</v>
      </c>
      <c r="AC7" s="7"/>
      <c r="AD7" s="835" t="s">
        <v>1783</v>
      </c>
      <c r="AF7" s="751">
        <v>24</v>
      </c>
      <c r="AG7" s="752">
        <v>1</v>
      </c>
      <c r="AH7" s="751">
        <f t="shared" ref="AH7:AI10" si="16">EXP(X$6+MMULT($AF7:$AG7,X$7:X$8))</f>
        <v>2.8272890303759657</v>
      </c>
      <c r="AI7" s="755">
        <f t="shared" si="16"/>
        <v>0.58095490858874077</v>
      </c>
      <c r="AJ7" s="752">
        <f>1/(1+AH7+AI7)</f>
        <v>0.22684770031915563</v>
      </c>
      <c r="AK7" s="752">
        <f>AH7*$AJ7</f>
        <v>0.64136401467836313</v>
      </c>
      <c r="AL7" s="755">
        <f>AI7*$AJ7</f>
        <v>0.13178828500248113</v>
      </c>
    </row>
    <row r="8" spans="1:38" x14ac:dyDescent="0.25">
      <c r="A8" s="675">
        <v>23</v>
      </c>
      <c r="B8" s="677">
        <v>0</v>
      </c>
      <c r="C8" s="576">
        <v>49</v>
      </c>
      <c r="D8" s="88">
        <v>60</v>
      </c>
      <c r="E8" s="824">
        <v>25</v>
      </c>
      <c r="G8">
        <f t="shared" si="1"/>
        <v>23</v>
      </c>
      <c r="H8">
        <f t="shared" si="2"/>
        <v>0</v>
      </c>
      <c r="I8" s="532">
        <f t="shared" si="3"/>
        <v>49</v>
      </c>
      <c r="J8" s="7">
        <f t="shared" si="4"/>
        <v>60</v>
      </c>
      <c r="K8" s="7">
        <f t="shared" si="5"/>
        <v>25</v>
      </c>
      <c r="L8" s="533">
        <f t="shared" si="6"/>
        <v>134</v>
      </c>
      <c r="M8" s="532">
        <f t="shared" si="7"/>
        <v>0.9454006495263636</v>
      </c>
      <c r="N8" s="533">
        <f t="shared" si="7"/>
        <v>0.89258805726855772</v>
      </c>
      <c r="O8" s="532">
        <f t="shared" si="8"/>
        <v>0.35236221962607756</v>
      </c>
      <c r="P8" s="7">
        <f t="shared" si="9"/>
        <v>0.33312347130304493</v>
      </c>
      <c r="Q8" s="533">
        <f t="shared" si="10"/>
        <v>0.31451430907087741</v>
      </c>
      <c r="R8" s="532">
        <f t="shared" si="11"/>
        <v>47.216537429894395</v>
      </c>
      <c r="S8" s="7">
        <f t="shared" si="12"/>
        <v>44.638545154608018</v>
      </c>
      <c r="T8" s="533">
        <f t="shared" si="13"/>
        <v>42.144917415497574</v>
      </c>
      <c r="U8" s="7">
        <f t="shared" si="14"/>
        <v>-145.98435140569262</v>
      </c>
      <c r="V8" s="7">
        <f t="shared" si="15"/>
        <v>134.48149092299815</v>
      </c>
      <c r="X8" s="757">
        <v>0.10955564318166755</v>
      </c>
      <c r="Y8" s="420">
        <v>-0.79719141864956478</v>
      </c>
      <c r="AA8" t="s">
        <v>60</v>
      </c>
      <c r="AB8" s="680">
        <f>COUNT(I5:J5)</f>
        <v>2</v>
      </c>
      <c r="AC8" s="7"/>
      <c r="AD8" s="835" t="s">
        <v>1784</v>
      </c>
      <c r="AF8" s="532">
        <v>24</v>
      </c>
      <c r="AG8" s="7">
        <v>0</v>
      </c>
      <c r="AH8" s="532">
        <f t="shared" si="16"/>
        <v>2.5339077328115422</v>
      </c>
      <c r="AI8" s="533">
        <f t="shared" si="16"/>
        <v>1.2893126971800806</v>
      </c>
      <c r="AJ8" s="7">
        <f>1/(1+AH8+AI8)</f>
        <v>0.20733035417204368</v>
      </c>
      <c r="AK8" s="7">
        <f t="shared" ref="AK8:AL10" si="17">AH8*$AJ8</f>
        <v>0.52535598768309733</v>
      </c>
      <c r="AL8" s="533">
        <f t="shared" si="17"/>
        <v>0.26731365814485902</v>
      </c>
    </row>
    <row r="9" spans="1:38" x14ac:dyDescent="0.25">
      <c r="A9" s="675">
        <v>24</v>
      </c>
      <c r="B9" s="677">
        <v>0</v>
      </c>
      <c r="C9" s="576">
        <v>8</v>
      </c>
      <c r="D9" s="88">
        <v>29</v>
      </c>
      <c r="E9" s="824">
        <v>15</v>
      </c>
      <c r="G9">
        <f t="shared" si="1"/>
        <v>24</v>
      </c>
      <c r="H9">
        <f t="shared" si="2"/>
        <v>0</v>
      </c>
      <c r="I9" s="532">
        <f t="shared" si="3"/>
        <v>8</v>
      </c>
      <c r="J9" s="7">
        <v>15</v>
      </c>
      <c r="K9" s="7">
        <v>29</v>
      </c>
      <c r="L9" s="533">
        <f t="shared" si="6"/>
        <v>52</v>
      </c>
      <c r="M9" s="532">
        <f t="shared" si="7"/>
        <v>2.5339077328115422</v>
      </c>
      <c r="N9" s="533">
        <f t="shared" si="7"/>
        <v>1.2893126971800806</v>
      </c>
      <c r="O9" s="532">
        <f t="shared" si="8"/>
        <v>0.20733035417204368</v>
      </c>
      <c r="P9" s="7">
        <f t="shared" si="9"/>
        <v>0.52535598768309733</v>
      </c>
      <c r="Q9" s="533">
        <f t="shared" si="10"/>
        <v>0.26731365814485902</v>
      </c>
      <c r="R9" s="532">
        <f t="shared" si="11"/>
        <v>10.781178416946272</v>
      </c>
      <c r="S9" s="7">
        <f t="shared" si="12"/>
        <v>27.318511359521061</v>
      </c>
      <c r="T9" s="533">
        <f t="shared" si="13"/>
        <v>13.900310223532669</v>
      </c>
      <c r="U9" s="7">
        <f t="shared" si="14"/>
        <v>-60.503366620843188</v>
      </c>
      <c r="V9" s="7">
        <f t="shared" si="15"/>
        <v>46.599923049324644</v>
      </c>
      <c r="AA9" t="s">
        <v>67</v>
      </c>
      <c r="AB9" s="680">
        <f>CHIDIST(AB7,AB8)</f>
        <v>6.8625537199331932E-27</v>
      </c>
      <c r="AC9" s="7"/>
      <c r="AD9" s="118" t="s">
        <v>1785</v>
      </c>
      <c r="AF9" s="626">
        <v>24.5</v>
      </c>
      <c r="AG9" s="7">
        <v>1</v>
      </c>
      <c r="AH9" s="532">
        <f t="shared" si="16"/>
        <v>4.6286853417549736</v>
      </c>
      <c r="AI9" s="533">
        <f t="shared" si="16"/>
        <v>0.6982260043946078</v>
      </c>
      <c r="AJ9" s="7">
        <f>1/(1+AH9+AI9)</f>
        <v>0.15805500429661909</v>
      </c>
      <c r="AK9" s="7">
        <f t="shared" si="17"/>
        <v>0.73158688157878016</v>
      </c>
      <c r="AL9" s="533">
        <f t="shared" si="17"/>
        <v>0.11035811412460092</v>
      </c>
    </row>
    <row r="10" spans="1:38" x14ac:dyDescent="0.25">
      <c r="A10" s="675">
        <v>25</v>
      </c>
      <c r="B10" s="677">
        <v>0</v>
      </c>
      <c r="C10" s="532">
        <v>4</v>
      </c>
      <c r="D10" s="7">
        <v>20</v>
      </c>
      <c r="E10" s="824">
        <v>8</v>
      </c>
      <c r="G10">
        <f t="shared" si="1"/>
        <v>25</v>
      </c>
      <c r="H10">
        <f t="shared" si="2"/>
        <v>0</v>
      </c>
      <c r="I10" s="532">
        <f t="shared" si="3"/>
        <v>4</v>
      </c>
      <c r="J10" s="7">
        <f t="shared" si="4"/>
        <v>20</v>
      </c>
      <c r="K10" s="7">
        <f t="shared" si="5"/>
        <v>8</v>
      </c>
      <c r="L10" s="533">
        <f t="shared" si="6"/>
        <v>32</v>
      </c>
      <c r="M10" s="532">
        <f t="shared" si="7"/>
        <v>6.7914998806260938</v>
      </c>
      <c r="N10" s="533">
        <f t="shared" si="7"/>
        <v>1.8623677715302636</v>
      </c>
      <c r="O10" s="532">
        <f t="shared" si="8"/>
        <v>0.10358542669441224</v>
      </c>
      <c r="P10" s="7">
        <f t="shared" si="9"/>
        <v>0.70350041302970379</v>
      </c>
      <c r="Q10" s="533">
        <f t="shared" si="10"/>
        <v>0.19291416027588401</v>
      </c>
      <c r="R10" s="532">
        <f t="shared" si="11"/>
        <v>3.3147336542211918</v>
      </c>
      <c r="S10" s="7">
        <f t="shared" si="12"/>
        <v>22.512013216950521</v>
      </c>
      <c r="T10" s="533">
        <f t="shared" si="13"/>
        <v>6.1732531288282884</v>
      </c>
      <c r="U10" s="7">
        <f t="shared" si="14"/>
        <v>-29.267250453914201</v>
      </c>
      <c r="V10" s="7">
        <f t="shared" si="15"/>
        <v>25.439686262268342</v>
      </c>
      <c r="AA10" t="s">
        <v>106</v>
      </c>
      <c r="AB10" s="680">
        <v>0.05</v>
      </c>
      <c r="AC10" s="7"/>
      <c r="AD10" s="7"/>
      <c r="AF10" s="819">
        <v>24.5</v>
      </c>
      <c r="AG10" s="762">
        <v>0</v>
      </c>
      <c r="AH10" s="409">
        <f t="shared" si="16"/>
        <v>4.148377280926498</v>
      </c>
      <c r="AI10" s="417">
        <f t="shared" si="16"/>
        <v>1.5495723328237827</v>
      </c>
      <c r="AJ10" s="762">
        <f>1/(1+AH10+AI10)</f>
        <v>0.14929942111644004</v>
      </c>
      <c r="AK10" s="762">
        <f t="shared" si="17"/>
        <v>0.61935032661491773</v>
      </c>
      <c r="AL10" s="417">
        <f t="shared" si="17"/>
        <v>0.23135025226864231</v>
      </c>
    </row>
    <row r="11" spans="1:38" x14ac:dyDescent="0.25">
      <c r="A11" s="675">
        <v>20</v>
      </c>
      <c r="B11" s="677">
        <v>1</v>
      </c>
      <c r="C11" s="576">
        <v>16</v>
      </c>
      <c r="D11" s="88">
        <v>4</v>
      </c>
      <c r="E11" s="824">
        <v>2</v>
      </c>
      <c r="G11">
        <f t="shared" si="1"/>
        <v>20</v>
      </c>
      <c r="H11">
        <f t="shared" si="2"/>
        <v>1</v>
      </c>
      <c r="I11" s="532">
        <f t="shared" si="3"/>
        <v>16</v>
      </c>
      <c r="J11" s="7">
        <f t="shared" si="4"/>
        <v>4</v>
      </c>
      <c r="K11" s="7">
        <f t="shared" si="5"/>
        <v>2</v>
      </c>
      <c r="L11" s="533">
        <f t="shared" si="6"/>
        <v>22</v>
      </c>
      <c r="M11" s="532">
        <f t="shared" si="7"/>
        <v>5.4786127776712976E-2</v>
      </c>
      <c r="N11" s="533">
        <f t="shared" si="7"/>
        <v>0.13344849303903189</v>
      </c>
      <c r="O11" s="532">
        <f t="shared" si="8"/>
        <v>0.84158463529154004</v>
      </c>
      <c r="P11" s="7">
        <f t="shared" si="9"/>
        <v>4.6107163364000704E-2</v>
      </c>
      <c r="Q11" s="533">
        <f t="shared" si="10"/>
        <v>0.11230820134445928</v>
      </c>
      <c r="R11" s="532">
        <f t="shared" si="11"/>
        <v>18.514861976413879</v>
      </c>
      <c r="S11" s="7">
        <f t="shared" si="12"/>
        <v>1.0143575940080154</v>
      </c>
      <c r="T11" s="533">
        <f t="shared" si="13"/>
        <v>2.4707804295781042</v>
      </c>
      <c r="U11" s="7">
        <f t="shared" si="14"/>
        <v>-19.439663692015831</v>
      </c>
      <c r="V11" s="7">
        <f t="shared" si="15"/>
        <v>13.928120234846661</v>
      </c>
      <c r="AA11" t="s">
        <v>527</v>
      </c>
      <c r="AB11" s="758" t="str">
        <f>IF(AB9&lt;AB10,"yes","no")</f>
        <v>yes</v>
      </c>
      <c r="AC11" s="25"/>
      <c r="AD11" s="836" t="s">
        <v>1786</v>
      </c>
    </row>
    <row r="12" spans="1:38" x14ac:dyDescent="0.25">
      <c r="A12" s="675">
        <v>21</v>
      </c>
      <c r="B12" s="677">
        <v>1</v>
      </c>
      <c r="C12" s="576">
        <v>67</v>
      </c>
      <c r="D12" s="88">
        <v>9</v>
      </c>
      <c r="E12" s="824">
        <v>8</v>
      </c>
      <c r="G12">
        <f t="shared" si="1"/>
        <v>21</v>
      </c>
      <c r="H12">
        <f t="shared" si="2"/>
        <v>1</v>
      </c>
      <c r="I12" s="532">
        <f t="shared" si="3"/>
        <v>67</v>
      </c>
      <c r="J12" s="7">
        <f t="shared" si="4"/>
        <v>9</v>
      </c>
      <c r="K12" s="7">
        <f t="shared" si="5"/>
        <v>8</v>
      </c>
      <c r="L12" s="533">
        <f t="shared" si="6"/>
        <v>84</v>
      </c>
      <c r="M12" s="532">
        <f t="shared" si="7"/>
        <v>0.14684038232231297</v>
      </c>
      <c r="N12" s="533">
        <f t="shared" si="7"/>
        <v>0.19276175061235865</v>
      </c>
      <c r="O12" s="532">
        <f t="shared" si="8"/>
        <v>0.74649030142203199</v>
      </c>
      <c r="P12" s="7">
        <f t="shared" si="9"/>
        <v>0.10961492126070983</v>
      </c>
      <c r="Q12" s="533">
        <f t="shared" si="10"/>
        <v>0.14389477731725817</v>
      </c>
      <c r="R12" s="532">
        <f t="shared" si="11"/>
        <v>62.705185319450685</v>
      </c>
      <c r="S12" s="7">
        <f t="shared" si="12"/>
        <v>9.2076533858996257</v>
      </c>
      <c r="T12" s="533">
        <f t="shared" si="13"/>
        <v>12.087161294649686</v>
      </c>
      <c r="U12" s="7">
        <f t="shared" si="14"/>
        <v>-54.995387442592602</v>
      </c>
      <c r="V12" s="7">
        <f t="shared" si="15"/>
        <v>50.180585597489312</v>
      </c>
    </row>
    <row r="13" spans="1:38" x14ac:dyDescent="0.25">
      <c r="A13" s="675">
        <v>22</v>
      </c>
      <c r="B13" s="677">
        <v>1</v>
      </c>
      <c r="C13" s="576">
        <v>55</v>
      </c>
      <c r="D13" s="88">
        <v>20</v>
      </c>
      <c r="E13" s="824">
        <v>14</v>
      </c>
      <c r="G13">
        <f t="shared" si="1"/>
        <v>22</v>
      </c>
      <c r="H13">
        <f t="shared" si="2"/>
        <v>1</v>
      </c>
      <c r="I13" s="532">
        <f t="shared" si="3"/>
        <v>55</v>
      </c>
      <c r="J13" s="7">
        <f t="shared" si="4"/>
        <v>20</v>
      </c>
      <c r="K13" s="7">
        <f t="shared" si="5"/>
        <v>14</v>
      </c>
      <c r="L13" s="533">
        <f t="shared" si="6"/>
        <v>89</v>
      </c>
      <c r="M13" s="532">
        <f t="shared" si="7"/>
        <v>0.39356856846028243</v>
      </c>
      <c r="N13" s="533">
        <f t="shared" si="7"/>
        <v>0.27843770770999365</v>
      </c>
      <c r="O13" s="532">
        <f t="shared" si="8"/>
        <v>0.59808387938022345</v>
      </c>
      <c r="P13" s="7">
        <f t="shared" si="9"/>
        <v>0.23538701622684677</v>
      </c>
      <c r="Q13" s="533">
        <f t="shared" si="10"/>
        <v>0.16652910439292976</v>
      </c>
      <c r="R13" s="532">
        <f t="shared" si="11"/>
        <v>53.229465264839888</v>
      </c>
      <c r="S13" s="7">
        <f t="shared" si="12"/>
        <v>20.949444444189361</v>
      </c>
      <c r="T13" s="533">
        <f t="shared" si="13"/>
        <v>14.821090290970748</v>
      </c>
      <c r="U13" s="7">
        <f t="shared" si="14"/>
        <v>-82.298012168378477</v>
      </c>
      <c r="V13" s="7">
        <f t="shared" si="15"/>
        <v>77.798546857959138</v>
      </c>
      <c r="AA13" t="s">
        <v>1325</v>
      </c>
      <c r="AB13" s="820">
        <f>1-(AB5-V17)/(AB4-V17)</f>
        <v>6.6002368448153215E-2</v>
      </c>
      <c r="AC13" s="7"/>
      <c r="AD13" s="835" t="s">
        <v>1787</v>
      </c>
    </row>
    <row r="14" spans="1:38" x14ac:dyDescent="0.25">
      <c r="A14" s="675">
        <v>23</v>
      </c>
      <c r="B14" s="677">
        <v>1</v>
      </c>
      <c r="C14" s="576">
        <v>49</v>
      </c>
      <c r="D14" s="88">
        <v>55</v>
      </c>
      <c r="E14" s="824">
        <v>20</v>
      </c>
      <c r="G14">
        <f t="shared" si="1"/>
        <v>23</v>
      </c>
      <c r="H14">
        <f t="shared" si="2"/>
        <v>1</v>
      </c>
      <c r="I14" s="532">
        <f t="shared" si="3"/>
        <v>49</v>
      </c>
      <c r="J14" s="7">
        <f t="shared" si="4"/>
        <v>55</v>
      </c>
      <c r="K14" s="7">
        <f t="shared" si="5"/>
        <v>20</v>
      </c>
      <c r="L14" s="533">
        <f t="shared" si="6"/>
        <v>124</v>
      </c>
      <c r="M14" s="532">
        <f t="shared" si="7"/>
        <v>1.0548611739506448</v>
      </c>
      <c r="N14" s="533">
        <f t="shared" si="7"/>
        <v>0.40219367601979755</v>
      </c>
      <c r="O14" s="532">
        <f t="shared" si="8"/>
        <v>0.40699132134230936</v>
      </c>
      <c r="P14" s="7">
        <f t="shared" si="9"/>
        <v>0.42931934301887259</v>
      </c>
      <c r="Q14" s="533">
        <f t="shared" si="10"/>
        <v>0.1636893356388181</v>
      </c>
      <c r="R14" s="532">
        <f t="shared" si="11"/>
        <v>50.466923846446363</v>
      </c>
      <c r="S14" s="7">
        <f t="shared" si="12"/>
        <v>53.235598534340198</v>
      </c>
      <c r="T14" s="533">
        <f t="shared" si="13"/>
        <v>20.297477619213446</v>
      </c>
      <c r="U14" s="7">
        <f t="shared" si="14"/>
        <v>-126.7503899159513</v>
      </c>
      <c r="V14" s="7">
        <f t="shared" si="15"/>
        <v>121.81585963705966</v>
      </c>
      <c r="AA14" t="s">
        <v>1326</v>
      </c>
      <c r="AB14" s="680">
        <f>1-EXP((-2/L17)*(AB5-AB4))</f>
        <v>0.13073014730710997</v>
      </c>
      <c r="AC14" s="7"/>
      <c r="AD14" s="835" t="s">
        <v>1788</v>
      </c>
    </row>
    <row r="15" spans="1:38" x14ac:dyDescent="0.25">
      <c r="A15" s="675">
        <v>24</v>
      </c>
      <c r="B15" s="677">
        <v>1</v>
      </c>
      <c r="C15" s="576">
        <v>12</v>
      </c>
      <c r="D15" s="88">
        <v>36</v>
      </c>
      <c r="E15" s="824">
        <v>15</v>
      </c>
      <c r="G15">
        <f t="shared" si="1"/>
        <v>24</v>
      </c>
      <c r="H15">
        <f t="shared" si="2"/>
        <v>1</v>
      </c>
      <c r="I15" s="532">
        <f t="shared" si="3"/>
        <v>12</v>
      </c>
      <c r="J15" s="7">
        <v>15</v>
      </c>
      <c r="K15" s="7">
        <v>36</v>
      </c>
      <c r="L15" s="533">
        <f t="shared" si="6"/>
        <v>63</v>
      </c>
      <c r="M15" s="532">
        <f t="shared" si="7"/>
        <v>2.8272890303759657</v>
      </c>
      <c r="N15" s="533">
        <f t="shared" si="7"/>
        <v>0.58095490858874077</v>
      </c>
      <c r="O15" s="532">
        <f t="shared" si="8"/>
        <v>0.22684770031915563</v>
      </c>
      <c r="P15" s="7">
        <f t="shared" si="9"/>
        <v>0.64136401467836313</v>
      </c>
      <c r="Q15" s="533">
        <f t="shared" si="10"/>
        <v>0.13178828500248113</v>
      </c>
      <c r="R15" s="532">
        <f t="shared" si="11"/>
        <v>14.291405120106806</v>
      </c>
      <c r="S15" s="7">
        <f t="shared" si="12"/>
        <v>40.405932924736874</v>
      </c>
      <c r="T15" s="533">
        <f t="shared" si="13"/>
        <v>8.3026619551563119</v>
      </c>
      <c r="U15" s="7">
        <f t="shared" si="14"/>
        <v>-97.420196027694857</v>
      </c>
      <c r="V15" s="7">
        <f t="shared" si="15"/>
        <v>57.403135977635543</v>
      </c>
      <c r="AA15" t="s">
        <v>1327</v>
      </c>
      <c r="AB15" s="757">
        <f>AB14/(1-EXP(2*(AB4-V17)/L17))</f>
        <v>0.14850818140836419</v>
      </c>
      <c r="AC15" s="7"/>
      <c r="AD15" s="835" t="s">
        <v>1789</v>
      </c>
    </row>
    <row r="16" spans="1:38" x14ac:dyDescent="0.25">
      <c r="A16" s="678">
        <v>25</v>
      </c>
      <c r="B16" s="679">
        <v>1</v>
      </c>
      <c r="C16" s="409">
        <v>6</v>
      </c>
      <c r="D16" s="762">
        <v>18</v>
      </c>
      <c r="E16" s="825">
        <v>5</v>
      </c>
      <c r="G16">
        <f t="shared" si="1"/>
        <v>25</v>
      </c>
      <c r="H16">
        <f t="shared" si="2"/>
        <v>1</v>
      </c>
      <c r="I16" s="409">
        <f t="shared" si="3"/>
        <v>6</v>
      </c>
      <c r="J16" s="762">
        <f t="shared" si="4"/>
        <v>18</v>
      </c>
      <c r="K16" s="762">
        <f t="shared" si="5"/>
        <v>5</v>
      </c>
      <c r="L16" s="417">
        <f t="shared" si="6"/>
        <v>29</v>
      </c>
      <c r="M16" s="409">
        <f t="shared" si="7"/>
        <v>7.577834371651897</v>
      </c>
      <c r="N16" s="417">
        <f t="shared" si="7"/>
        <v>0.83916935033244544</v>
      </c>
      <c r="O16" s="409">
        <f t="shared" si="8"/>
        <v>0.10619088932347591</v>
      </c>
      <c r="P16" s="762">
        <f t="shared" si="9"/>
        <v>0.80469697107171823</v>
      </c>
      <c r="Q16" s="417">
        <f t="shared" si="10"/>
        <v>8.9112139604805893E-2</v>
      </c>
      <c r="R16" s="409">
        <f t="shared" si="11"/>
        <v>3.0795357903808012</v>
      </c>
      <c r="S16" s="762">
        <f t="shared" si="12"/>
        <v>23.336212161079828</v>
      </c>
      <c r="T16" s="417">
        <f t="shared" si="13"/>
        <v>2.584252048539371</v>
      </c>
      <c r="U16" s="7">
        <f t="shared" si="14"/>
        <v>-29.455611410612967</v>
      </c>
      <c r="V16" s="7">
        <f t="shared" si="15"/>
        <v>23.494850804342796</v>
      </c>
    </row>
    <row r="17" spans="3:22" x14ac:dyDescent="0.25">
      <c r="C17">
        <f>SUM(C5:C16)</f>
        <v>400</v>
      </c>
      <c r="D17">
        <f>SUM(D5:D16)</f>
        <v>270</v>
      </c>
      <c r="E17">
        <f>SUM(E5:E16)</f>
        <v>190</v>
      </c>
      <c r="G17" s="801"/>
      <c r="H17" s="801"/>
      <c r="I17" s="801">
        <f>SUM(I5:I16)</f>
        <v>400</v>
      </c>
      <c r="J17" s="801">
        <f>SUM(J5:J16)</f>
        <v>235</v>
      </c>
      <c r="K17" s="827">
        <f>SUM(K5:K16)</f>
        <v>225</v>
      </c>
      <c r="L17" s="827">
        <f>SUM(L5:L16)</f>
        <v>860</v>
      </c>
      <c r="O17" s="827"/>
      <c r="R17" s="801">
        <f>SUM(R5:R16)</f>
        <v>398.62081151570646</v>
      </c>
      <c r="S17" s="801">
        <f>SUM(S5:S16)</f>
        <v>271.89135446034078</v>
      </c>
      <c r="T17" s="801">
        <f>SUM(T5:T16)</f>
        <v>189.48783402395281</v>
      </c>
      <c r="U17" s="801">
        <f>SUM(U5:U16)</f>
        <v>-852.50713171383825</v>
      </c>
      <c r="V17" s="801">
        <f>SUM(V5:V16)</f>
        <v>742.48185857521344</v>
      </c>
    </row>
    <row r="19" spans="3:22" x14ac:dyDescent="0.25">
      <c r="G19" t="s">
        <v>1757</v>
      </c>
    </row>
    <row r="20" spans="3:22" ht="15.75" thickBot="1" x14ac:dyDescent="0.3"/>
    <row r="21" spans="3:22" ht="15.75" thickTop="1" x14ac:dyDescent="0.25">
      <c r="G21" s="800"/>
      <c r="H21" s="800" t="s">
        <v>1529</v>
      </c>
      <c r="I21" s="800" t="s">
        <v>425</v>
      </c>
      <c r="J21" s="800" t="s">
        <v>1530</v>
      </c>
      <c r="K21" s="800" t="s">
        <v>67</v>
      </c>
      <c r="L21" s="800" t="s">
        <v>1531</v>
      </c>
      <c r="M21" s="800" t="s">
        <v>29</v>
      </c>
      <c r="N21" s="800" t="s">
        <v>30</v>
      </c>
    </row>
    <row r="22" spans="3:22" x14ac:dyDescent="0.25">
      <c r="G22" t="s">
        <v>296</v>
      </c>
      <c r="H22">
        <f t="array" ref="H22:N24">[1]!LogitCoeff([1]!MLogitExtract(A5:E16,2,"1,0",FALSE))</f>
        <v>-22.73205676589674</v>
      </c>
      <c r="I22">
        <v>1.9944983574934612</v>
      </c>
      <c r="J22">
        <v>129.9002831637282</v>
      </c>
      <c r="K22">
        <v>4.3088924979815562E-30</v>
      </c>
      <c r="L22">
        <v>1.3415077447167308E-10</v>
      </c>
      <c r="M22" t="str">
        <v/>
      </c>
      <c r="N22" t="str">
        <v/>
      </c>
    </row>
    <row r="23" spans="3:22" x14ac:dyDescent="0.25">
      <c r="G23" t="str">
        <f t="array" ref="G23:G24">TRANSPOSE(G4:H4)</f>
        <v>Dosage</v>
      </c>
      <c r="H23">
        <v>0.98590914314400768</v>
      </c>
      <c r="I23">
        <v>8.7609380181360663E-2</v>
      </c>
      <c r="J23">
        <v>126.64048724886315</v>
      </c>
      <c r="K23">
        <v>2.2266770200417387E-29</v>
      </c>
      <c r="L23">
        <v>2.6802475057331603</v>
      </c>
      <c r="M23">
        <v>2.2573643440645514</v>
      </c>
      <c r="N23">
        <v>3.1823514493251874</v>
      </c>
    </row>
    <row r="24" spans="3:22" x14ac:dyDescent="0.25">
      <c r="G24" s="762" t="str">
        <v>Gender</v>
      </c>
      <c r="H24" s="762">
        <v>0.10955564318166755</v>
      </c>
      <c r="I24" s="762">
        <v>0.18161918164391536</v>
      </c>
      <c r="J24" s="762">
        <v>0.36386985424368695</v>
      </c>
      <c r="K24" s="762">
        <v>0.54636483327816487</v>
      </c>
      <c r="L24" s="762">
        <v>1.1157821548770031</v>
      </c>
      <c r="M24" s="762">
        <v>0.78160059910563329</v>
      </c>
      <c r="N24" s="762">
        <v>1.5928465492049997</v>
      </c>
    </row>
    <row r="26" spans="3:22" x14ac:dyDescent="0.25">
      <c r="G26" t="s">
        <v>1778</v>
      </c>
    </row>
    <row r="27" spans="3:22" ht="15.75" thickBot="1" x14ac:dyDescent="0.3"/>
    <row r="28" spans="3:22" ht="15.75" thickTop="1" x14ac:dyDescent="0.25">
      <c r="G28" s="800"/>
      <c r="H28" s="800" t="s">
        <v>1529</v>
      </c>
      <c r="I28" s="800" t="s">
        <v>425</v>
      </c>
      <c r="J28" s="800" t="s">
        <v>1530</v>
      </c>
      <c r="K28" s="800" t="s">
        <v>67</v>
      </c>
      <c r="L28" s="800" t="s">
        <v>1531</v>
      </c>
      <c r="M28" s="800" t="s">
        <v>29</v>
      </c>
      <c r="N28" s="800" t="s">
        <v>30</v>
      </c>
    </row>
    <row r="29" spans="3:22" x14ac:dyDescent="0.25">
      <c r="G29" t="s">
        <v>296</v>
      </c>
      <c r="H29">
        <f t="array" ref="H29:N31">[1]!LogitCoeff([1]!MLogitExtract(A5:E16,2,"2,0",FALSE))</f>
        <v>-8.5716360787604327</v>
      </c>
      <c r="I29">
        <v>1.7059068985627976</v>
      </c>
      <c r="J29">
        <v>25.247407945953125</v>
      </c>
      <c r="K29">
        <v>5.0427294786123853E-7</v>
      </c>
      <c r="L29">
        <v>1.8940251874353061E-4</v>
      </c>
      <c r="M29" t="str">
        <v/>
      </c>
      <c r="N29" t="str">
        <v/>
      </c>
    </row>
    <row r="30" spans="3:22" x14ac:dyDescent="0.25">
      <c r="G30" t="str">
        <f t="array" ref="G30:G31">TRANSPOSE(G4:H4)</f>
        <v>Dosage</v>
      </c>
      <c r="H30">
        <v>0.36773939009440798</v>
      </c>
      <c r="I30">
        <v>7.6803973566496375E-2</v>
      </c>
      <c r="J30">
        <v>22.925188956277836</v>
      </c>
      <c r="K30">
        <v>1.6843018371434909E-6</v>
      </c>
      <c r="L30">
        <v>1.4444655478872908</v>
      </c>
      <c r="M30">
        <v>1.2426005087044554</v>
      </c>
      <c r="N30">
        <v>1.6791243077863471</v>
      </c>
    </row>
    <row r="31" spans="3:22" x14ac:dyDescent="0.25">
      <c r="G31" s="762" t="str">
        <v>Gender</v>
      </c>
      <c r="H31" s="762">
        <v>-0.79719141864956478</v>
      </c>
      <c r="I31" s="762">
        <v>0.18830308470767709</v>
      </c>
      <c r="J31" s="762">
        <v>17.922985818807113</v>
      </c>
      <c r="K31" s="762">
        <v>2.3002614928469643E-5</v>
      </c>
      <c r="L31" s="762">
        <v>0.450592714908785</v>
      </c>
      <c r="M31" s="762">
        <v>0.31153029730922172</v>
      </c>
      <c r="N31" s="762">
        <v>0.65173049453787257</v>
      </c>
    </row>
  </sheetData>
  <mergeCells count="7">
    <mergeCell ref="G3:H3"/>
    <mergeCell ref="X4:Y4"/>
    <mergeCell ref="O3:Q3"/>
    <mergeCell ref="R3:T3"/>
    <mergeCell ref="I3:L3"/>
    <mergeCell ref="M3:N3"/>
    <mergeCell ref="U3:V3"/>
  </mergeCells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AJ31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8" max="8" width="9.140625" customWidth="1"/>
    <col min="13" max="13" width="9.140625" customWidth="1"/>
    <col min="23" max="23" width="9.140625" customWidth="1"/>
    <col min="30" max="30" width="9.140625" customWidth="1"/>
    <col min="32" max="32" width="9.140625" customWidth="1"/>
  </cols>
  <sheetData>
    <row r="1" spans="1:36" x14ac:dyDescent="0.25">
      <c r="A1" s="1" t="s">
        <v>1737</v>
      </c>
    </row>
    <row r="2" spans="1:36" x14ac:dyDescent="0.25">
      <c r="A2" t="s">
        <v>1748</v>
      </c>
    </row>
    <row r="3" spans="1:36" ht="15.75" thickBot="1" x14ac:dyDescent="0.3">
      <c r="G3" s="1323" t="s">
        <v>1775</v>
      </c>
      <c r="H3" s="1323"/>
      <c r="I3" s="1323" t="s">
        <v>113</v>
      </c>
      <c r="J3" s="1323"/>
      <c r="K3" s="1323"/>
      <c r="L3" s="1323"/>
      <c r="M3" s="1323" t="s">
        <v>129</v>
      </c>
      <c r="N3" s="1323"/>
      <c r="O3" s="1323" t="s">
        <v>1777</v>
      </c>
      <c r="P3" s="1323"/>
      <c r="Q3" s="1323"/>
      <c r="R3" s="1323" t="s">
        <v>1776</v>
      </c>
      <c r="S3" s="1323"/>
      <c r="T3" s="1323"/>
      <c r="U3" s="1323" t="s">
        <v>1774</v>
      </c>
      <c r="V3" s="1323"/>
    </row>
    <row r="4" spans="1:36" ht="15.75" thickTop="1" x14ac:dyDescent="0.25">
      <c r="A4" s="649" t="s">
        <v>1744</v>
      </c>
      <c r="B4" s="649" t="s">
        <v>620</v>
      </c>
      <c r="C4" s="649" t="s">
        <v>1746</v>
      </c>
      <c r="D4" s="649" t="s">
        <v>117</v>
      </c>
      <c r="E4" s="649" t="s">
        <v>1745</v>
      </c>
      <c r="G4" s="826" t="str">
        <f>A4</f>
        <v>Dosage</v>
      </c>
      <c r="H4" s="826" t="str">
        <f t="shared" ref="H4:K16" si="0">B4</f>
        <v>Gender</v>
      </c>
      <c r="I4" s="826" t="str">
        <f t="shared" si="0"/>
        <v>Dead</v>
      </c>
      <c r="J4" s="826" t="str">
        <f t="shared" si="0"/>
        <v>Cured</v>
      </c>
      <c r="K4" s="826" t="str">
        <f t="shared" si="0"/>
        <v>Sick</v>
      </c>
      <c r="L4" s="826" t="s">
        <v>1</v>
      </c>
      <c r="M4" s="826" t="str">
        <f>J4</f>
        <v>Cured</v>
      </c>
      <c r="N4" s="826" t="str">
        <f>K4</f>
        <v>Sick</v>
      </c>
      <c r="O4" s="826" t="str">
        <f>I4</f>
        <v>Dead</v>
      </c>
      <c r="P4" s="826" t="str">
        <f>J4</f>
        <v>Cured</v>
      </c>
      <c r="Q4" s="826" t="str">
        <f>K4</f>
        <v>Sick</v>
      </c>
      <c r="R4" s="826" t="str">
        <f>O4</f>
        <v>Dead</v>
      </c>
      <c r="S4" s="826" t="str">
        <f>P4</f>
        <v>Cured</v>
      </c>
      <c r="T4" s="826" t="str">
        <f>Q4</f>
        <v>Sick</v>
      </c>
      <c r="U4" s="826" t="s">
        <v>1253</v>
      </c>
      <c r="V4" s="826" t="s">
        <v>1743</v>
      </c>
      <c r="X4" t="s">
        <v>1324</v>
      </c>
      <c r="AA4" t="s">
        <v>1252</v>
      </c>
      <c r="AB4" s="820">
        <f>I17*LN(I17/L17)+J17*LN(J17/L17)+K17*LN(K17/L17)+V17</f>
        <v>-163.38567469443615</v>
      </c>
      <c r="AD4" t="s">
        <v>1738</v>
      </c>
    </row>
    <row r="5" spans="1:36" x14ac:dyDescent="0.25">
      <c r="A5" s="806">
        <v>20</v>
      </c>
      <c r="B5" s="821">
        <v>0</v>
      </c>
      <c r="C5" s="813">
        <v>13</v>
      </c>
      <c r="D5" s="822">
        <v>0</v>
      </c>
      <c r="E5" s="823">
        <v>8</v>
      </c>
      <c r="G5">
        <f>A5</f>
        <v>20</v>
      </c>
      <c r="H5">
        <f t="shared" si="0"/>
        <v>0</v>
      </c>
      <c r="I5" s="751">
        <f t="shared" si="0"/>
        <v>13</v>
      </c>
      <c r="J5" s="752">
        <f t="shared" si="0"/>
        <v>0</v>
      </c>
      <c r="K5" s="752">
        <f t="shared" si="0"/>
        <v>8</v>
      </c>
      <c r="L5" s="755">
        <f>SUM(I5:K5)</f>
        <v>21</v>
      </c>
      <c r="M5" s="751">
        <f>EXP(X$6+MMULT($G5:$H5,X$7:X$8))</f>
        <v>6.2373521108151975E-2</v>
      </c>
      <c r="N5" s="755">
        <f>EXP(Y$6+MMULT($G5:$H5,Y$7:Y$8))</f>
        <v>0.2901684801631994</v>
      </c>
      <c r="O5" s="751">
        <f>1/(1+$M5+$N5)</f>
        <v>0.73934857406278565</v>
      </c>
      <c r="P5" s="752">
        <f>M5*O5</f>
        <v>4.6115773890587221E-2</v>
      </c>
      <c r="Q5" s="755">
        <f>N5*O5</f>
        <v>0.2145356520466272</v>
      </c>
      <c r="R5" s="751">
        <f>O5*$L5</f>
        <v>15.526320055318498</v>
      </c>
      <c r="S5" s="752">
        <f t="shared" ref="S5:T16" si="1">P5*$L5</f>
        <v>0.96843125170233169</v>
      </c>
      <c r="T5" s="755">
        <f t="shared" si="1"/>
        <v>4.5052486929791709</v>
      </c>
      <c r="U5" s="7">
        <f>I5*LN(O5)+J5*LN(P5)+K5*LN(Q5)</f>
        <v>-16.240049970752466</v>
      </c>
      <c r="V5">
        <f>GAMMALN(L5+1)-GAMMALN(I5+1)-GAMMALN(J5+1)-GAMMALN(K5+1)</f>
        <v>12.223372142608234</v>
      </c>
      <c r="AA5" t="s">
        <v>1315</v>
      </c>
      <c r="AB5" s="757">
        <f>U17+V17</f>
        <v>-66.505076705878082</v>
      </c>
    </row>
    <row r="6" spans="1:36" x14ac:dyDescent="0.25">
      <c r="A6" s="675">
        <v>21</v>
      </c>
      <c r="B6" s="676">
        <v>0</v>
      </c>
      <c r="C6" s="576">
        <v>60</v>
      </c>
      <c r="D6" s="88">
        <v>6</v>
      </c>
      <c r="E6" s="824">
        <v>30</v>
      </c>
      <c r="G6">
        <f t="shared" ref="G6:G16" si="2">A6</f>
        <v>21</v>
      </c>
      <c r="H6">
        <f t="shared" si="0"/>
        <v>0</v>
      </c>
      <c r="I6" s="532">
        <f t="shared" si="0"/>
        <v>60</v>
      </c>
      <c r="J6" s="7">
        <f t="shared" si="0"/>
        <v>6</v>
      </c>
      <c r="K6" s="7">
        <f t="shared" si="0"/>
        <v>30</v>
      </c>
      <c r="L6" s="533">
        <f t="shared" ref="L6:L16" si="3">SUM(I6:K6)</f>
        <v>96</v>
      </c>
      <c r="M6" s="532">
        <f t="shared" ref="M6:M16" si="4">EXP(X$6+MMULT($G6:$H6,X$7:X$8))</f>
        <v>0.15635308518308863</v>
      </c>
      <c r="N6" s="533">
        <f t="shared" ref="N6:N16" si="5">EXP(Y$6+MMULT($G6:$H6,Y$7:Y$8))</f>
        <v>0.41915888099907195</v>
      </c>
      <c r="O6" s="532">
        <f t="shared" ref="O6:O16" si="6">1/(1+$M6+$N6)</f>
        <v>0.63471431602213557</v>
      </c>
      <c r="P6" s="7">
        <f t="shared" ref="P6:P16" si="7">M6*O6</f>
        <v>9.9239541519934804E-2</v>
      </c>
      <c r="Q6" s="533">
        <f t="shared" ref="Q6:Q16" si="8">N6*O6</f>
        <v>0.26604614245792968</v>
      </c>
      <c r="R6" s="532">
        <f t="shared" ref="R6:R16" si="9">O6*$L6</f>
        <v>60.932574338125015</v>
      </c>
      <c r="S6" s="7">
        <f t="shared" si="1"/>
        <v>9.5269959859137412</v>
      </c>
      <c r="T6" s="533">
        <f t="shared" si="1"/>
        <v>25.540429675961249</v>
      </c>
      <c r="U6" s="7">
        <f t="shared" ref="U6:U16" si="10">I6*LN(O6)+J6*LN(P6)+K6*LN(Q6)</f>
        <v>-80.858694602275747</v>
      </c>
      <c r="V6">
        <f t="shared" ref="V6:V16" si="11">GAMMALN(L6+1)-GAMMALN(I6+1)-GAMMALN(J6+1)-GAMMALN(K6+1)</f>
        <v>75.513746077754988</v>
      </c>
      <c r="X6" s="802">
        <v>-21.154133877889475</v>
      </c>
      <c r="Y6" s="831">
        <v>-8.5930599308358797</v>
      </c>
      <c r="AD6" s="295" t="s">
        <v>1744</v>
      </c>
      <c r="AE6" s="295" t="s">
        <v>620</v>
      </c>
      <c r="AF6" s="295" t="s">
        <v>1779</v>
      </c>
      <c r="AG6" s="295" t="s">
        <v>1780</v>
      </c>
      <c r="AH6" s="295" t="s">
        <v>1746</v>
      </c>
      <c r="AI6" s="295" t="s">
        <v>117</v>
      </c>
      <c r="AJ6" s="295" t="s">
        <v>1745</v>
      </c>
    </row>
    <row r="7" spans="1:36" x14ac:dyDescent="0.25">
      <c r="A7" s="675">
        <v>22</v>
      </c>
      <c r="B7" s="676">
        <v>0</v>
      </c>
      <c r="C7" s="576">
        <v>61</v>
      </c>
      <c r="D7" s="88">
        <v>13</v>
      </c>
      <c r="E7" s="824">
        <v>40</v>
      </c>
      <c r="G7">
        <f t="shared" si="2"/>
        <v>22</v>
      </c>
      <c r="H7">
        <f t="shared" si="0"/>
        <v>0</v>
      </c>
      <c r="I7" s="532">
        <f t="shared" si="0"/>
        <v>61</v>
      </c>
      <c r="J7" s="7">
        <f t="shared" si="0"/>
        <v>13</v>
      </c>
      <c r="K7" s="7">
        <f t="shared" si="0"/>
        <v>40</v>
      </c>
      <c r="L7" s="533">
        <f t="shared" si="3"/>
        <v>114</v>
      </c>
      <c r="M7" s="532">
        <f t="shared" si="4"/>
        <v>0.39193373745698534</v>
      </c>
      <c r="N7" s="533">
        <f t="shared" si="5"/>
        <v>0.60549018770604723</v>
      </c>
      <c r="O7" s="532">
        <f t="shared" si="6"/>
        <v>0.50064484929926856</v>
      </c>
      <c r="P7" s="7">
        <f t="shared" si="7"/>
        <v>0.19621960692445151</v>
      </c>
      <c r="Q7" s="533">
        <f t="shared" si="8"/>
        <v>0.30313554377627983</v>
      </c>
      <c r="R7" s="532">
        <f t="shared" si="9"/>
        <v>57.073512820116619</v>
      </c>
      <c r="S7" s="7">
        <f t="shared" si="1"/>
        <v>22.369035189387471</v>
      </c>
      <c r="T7" s="533">
        <f t="shared" si="1"/>
        <v>34.557451990495899</v>
      </c>
      <c r="U7" s="7">
        <f t="shared" si="10"/>
        <v>-111.11713690488588</v>
      </c>
      <c r="V7">
        <f t="shared" si="11"/>
        <v>103.60254101092582</v>
      </c>
      <c r="X7" s="680">
        <v>0.91897597215044968</v>
      </c>
      <c r="Y7" s="503">
        <v>0.36778831861094008</v>
      </c>
      <c r="AA7" t="s">
        <v>1328</v>
      </c>
      <c r="AB7" s="820">
        <f>2*(AB5-AB4)</f>
        <v>193.76119597711613</v>
      </c>
      <c r="AD7" s="751">
        <v>24</v>
      </c>
      <c r="AE7" s="752">
        <v>1</v>
      </c>
      <c r="AF7" s="751">
        <f t="shared" ref="AF7:AG10" si="12">EXP(X$6+MMULT($AD7:$AE7,X$7:X$8))</f>
        <v>2.4308853155764618</v>
      </c>
      <c r="AG7" s="755">
        <f t="shared" si="12"/>
        <v>0.59664380404820372</v>
      </c>
      <c r="AH7" s="752">
        <f>1/(1+AF7+AG7)</f>
        <v>0.24829119052854728</v>
      </c>
      <c r="AI7" s="752">
        <f t="shared" ref="AI7:AJ10" si="13">AF7*$AH7</f>
        <v>0.60356740904284312</v>
      </c>
      <c r="AJ7" s="755">
        <f t="shared" si="13"/>
        <v>0.14814140042860979</v>
      </c>
    </row>
    <row r="8" spans="1:36" x14ac:dyDescent="0.25">
      <c r="A8" s="675">
        <v>23</v>
      </c>
      <c r="B8" s="677">
        <v>0</v>
      </c>
      <c r="C8" s="576">
        <v>49</v>
      </c>
      <c r="D8" s="88">
        <v>60</v>
      </c>
      <c r="E8" s="824">
        <v>25</v>
      </c>
      <c r="G8">
        <f t="shared" si="2"/>
        <v>23</v>
      </c>
      <c r="H8">
        <f t="shared" si="0"/>
        <v>0</v>
      </c>
      <c r="I8" s="532">
        <f t="shared" si="0"/>
        <v>49</v>
      </c>
      <c r="J8" s="7">
        <f t="shared" si="0"/>
        <v>60</v>
      </c>
      <c r="K8" s="7">
        <f t="shared" si="0"/>
        <v>25</v>
      </c>
      <c r="L8" s="533">
        <f t="shared" si="3"/>
        <v>134</v>
      </c>
      <c r="M8" s="532">
        <f t="shared" si="4"/>
        <v>0.98246897000543498</v>
      </c>
      <c r="N8" s="533">
        <f t="shared" si="5"/>
        <v>0.87465251012805478</v>
      </c>
      <c r="O8" s="532">
        <f t="shared" si="6"/>
        <v>0.35000261870324051</v>
      </c>
      <c r="P8" s="7">
        <f t="shared" si="7"/>
        <v>0.34386671229657767</v>
      </c>
      <c r="Q8" s="533">
        <f t="shared" si="8"/>
        <v>0.30613066900018177</v>
      </c>
      <c r="R8" s="532">
        <f t="shared" si="9"/>
        <v>46.90035090623423</v>
      </c>
      <c r="S8" s="7">
        <f t="shared" si="1"/>
        <v>46.078139447741407</v>
      </c>
      <c r="T8" s="533">
        <f t="shared" si="1"/>
        <v>41.021509646024356</v>
      </c>
      <c r="U8" s="7">
        <f t="shared" si="10"/>
        <v>-145.08456827268731</v>
      </c>
      <c r="V8">
        <f t="shared" si="11"/>
        <v>134.48149092299815</v>
      </c>
      <c r="X8" s="757">
        <v>-1.3033935322250792E-2</v>
      </c>
      <c r="Y8" s="420">
        <v>-0.75029470261389919</v>
      </c>
      <c r="AA8" t="s">
        <v>60</v>
      </c>
      <c r="AB8" s="680">
        <f>COUNT(I5:J5)</f>
        <v>2</v>
      </c>
      <c r="AD8" s="532">
        <v>24</v>
      </c>
      <c r="AE8" s="7">
        <v>0</v>
      </c>
      <c r="AF8" s="532">
        <f t="shared" si="12"/>
        <v>2.4627767012006188</v>
      </c>
      <c r="AG8" s="533">
        <f t="shared" si="12"/>
        <v>1.2634672353182796</v>
      </c>
      <c r="AH8" s="7">
        <f>1/(1+AF8+AG8)</f>
        <v>0.21158450842394463</v>
      </c>
      <c r="AI8" s="7">
        <f t="shared" si="13"/>
        <v>0.52108539768147688</v>
      </c>
      <c r="AJ8" s="533">
        <f t="shared" si="13"/>
        <v>0.26733009389457857</v>
      </c>
    </row>
    <row r="9" spans="1:36" x14ac:dyDescent="0.25">
      <c r="A9" s="675">
        <v>24</v>
      </c>
      <c r="B9" s="677">
        <v>0</v>
      </c>
      <c r="C9" s="576">
        <v>8</v>
      </c>
      <c r="D9" s="88">
        <v>29</v>
      </c>
      <c r="E9" s="824">
        <v>15</v>
      </c>
      <c r="G9">
        <f t="shared" si="2"/>
        <v>24</v>
      </c>
      <c r="H9">
        <f t="shared" si="0"/>
        <v>0</v>
      </c>
      <c r="I9" s="532">
        <f t="shared" si="0"/>
        <v>8</v>
      </c>
      <c r="J9" s="7">
        <f t="shared" si="0"/>
        <v>29</v>
      </c>
      <c r="K9" s="7">
        <f t="shared" si="0"/>
        <v>15</v>
      </c>
      <c r="L9" s="533">
        <f t="shared" si="3"/>
        <v>52</v>
      </c>
      <c r="M9" s="532">
        <f t="shared" si="4"/>
        <v>2.4627767012006188</v>
      </c>
      <c r="N9" s="533">
        <f t="shared" si="5"/>
        <v>1.2634672353182796</v>
      </c>
      <c r="O9" s="532">
        <f t="shared" si="6"/>
        <v>0.21158450842394463</v>
      </c>
      <c r="P9" s="7">
        <f t="shared" si="7"/>
        <v>0.52108539768147688</v>
      </c>
      <c r="Q9" s="533">
        <f t="shared" si="8"/>
        <v>0.26733009389457857</v>
      </c>
      <c r="R9" s="532">
        <f t="shared" si="9"/>
        <v>11.002394438045121</v>
      </c>
      <c r="S9" s="7">
        <f t="shared" si="1"/>
        <v>27.096440679436796</v>
      </c>
      <c r="T9" s="533">
        <f t="shared" si="1"/>
        <v>13.901164882518085</v>
      </c>
      <c r="U9" s="7">
        <f t="shared" si="10"/>
        <v>-51.117511355509862</v>
      </c>
      <c r="V9">
        <f t="shared" si="11"/>
        <v>46.599923049324644</v>
      </c>
      <c r="AA9" t="s">
        <v>67</v>
      </c>
      <c r="AB9" s="680">
        <f>CHIDIST(AB7,AB8)</f>
        <v>8.4195889618977327E-43</v>
      </c>
      <c r="AD9" s="626">
        <v>24.5</v>
      </c>
      <c r="AE9" s="7">
        <v>1</v>
      </c>
      <c r="AF9" s="532">
        <f t="shared" si="12"/>
        <v>3.8487310804294448</v>
      </c>
      <c r="AG9" s="533">
        <f t="shared" si="12"/>
        <v>0.71709939090402408</v>
      </c>
      <c r="AH9" s="7">
        <f>1/(1+AF9+AG9)</f>
        <v>0.17966770729910836</v>
      </c>
      <c r="AI9" s="7">
        <f t="shared" si="13"/>
        <v>0.69149268923157858</v>
      </c>
      <c r="AJ9" s="533">
        <f t="shared" si="13"/>
        <v>0.12883960346931309</v>
      </c>
    </row>
    <row r="10" spans="1:36" x14ac:dyDescent="0.25">
      <c r="A10" s="675">
        <v>25</v>
      </c>
      <c r="B10" s="677">
        <v>0</v>
      </c>
      <c r="C10" s="532">
        <v>4</v>
      </c>
      <c r="D10" s="7">
        <v>20</v>
      </c>
      <c r="E10" s="824">
        <v>8</v>
      </c>
      <c r="G10">
        <f t="shared" si="2"/>
        <v>25</v>
      </c>
      <c r="H10">
        <f t="shared" si="0"/>
        <v>0</v>
      </c>
      <c r="I10" s="532">
        <f t="shared" si="0"/>
        <v>4</v>
      </c>
      <c r="J10" s="7">
        <f t="shared" si="0"/>
        <v>20</v>
      </c>
      <c r="K10" s="7">
        <f t="shared" si="0"/>
        <v>8</v>
      </c>
      <c r="L10" s="533">
        <f t="shared" si="3"/>
        <v>32</v>
      </c>
      <c r="M10" s="532">
        <f t="shared" si="4"/>
        <v>6.1734968382187443</v>
      </c>
      <c r="N10" s="533">
        <f t="shared" si="5"/>
        <v>1.8251241907361599</v>
      </c>
      <c r="O10" s="532">
        <f t="shared" si="6"/>
        <v>0.11112813805385241</v>
      </c>
      <c r="P10" s="7">
        <f t="shared" si="7"/>
        <v>0.68604920891259402</v>
      </c>
      <c r="Q10" s="533">
        <f t="shared" si="8"/>
        <v>0.20282265303355365</v>
      </c>
      <c r="R10" s="532">
        <f t="shared" si="9"/>
        <v>3.5561004177232771</v>
      </c>
      <c r="S10" s="7">
        <f t="shared" si="1"/>
        <v>21.953574685203009</v>
      </c>
      <c r="T10" s="533">
        <f t="shared" si="1"/>
        <v>6.4903248970737168</v>
      </c>
      <c r="U10" s="7">
        <f t="shared" si="10"/>
        <v>-29.087790298006972</v>
      </c>
      <c r="V10">
        <f t="shared" si="11"/>
        <v>25.439686262268342</v>
      </c>
      <c r="AA10" t="s">
        <v>106</v>
      </c>
      <c r="AB10" s="680">
        <v>0.05</v>
      </c>
      <c r="AD10" s="819">
        <v>24.5</v>
      </c>
      <c r="AE10" s="762">
        <v>0</v>
      </c>
      <c r="AF10" s="409">
        <f t="shared" si="12"/>
        <v>3.8992235352824807</v>
      </c>
      <c r="AG10" s="417">
        <f t="shared" si="12"/>
        <v>1.5185468762543792</v>
      </c>
      <c r="AH10" s="762">
        <f>1/(1+AF10+AG10)</f>
        <v>0.15581735336034414</v>
      </c>
      <c r="AI10" s="762">
        <f t="shared" si="13"/>
        <v>0.60756669142808062</v>
      </c>
      <c r="AJ10" s="417">
        <f t="shared" si="13"/>
        <v>0.23661595521157539</v>
      </c>
    </row>
    <row r="11" spans="1:36" x14ac:dyDescent="0.25">
      <c r="A11" s="675">
        <v>20</v>
      </c>
      <c r="B11" s="677">
        <v>1</v>
      </c>
      <c r="C11" s="576">
        <v>16</v>
      </c>
      <c r="D11" s="88">
        <v>4</v>
      </c>
      <c r="E11" s="824">
        <v>2</v>
      </c>
      <c r="G11">
        <f t="shared" si="2"/>
        <v>20</v>
      </c>
      <c r="H11">
        <f t="shared" si="0"/>
        <v>1</v>
      </c>
      <c r="I11" s="532">
        <f t="shared" si="0"/>
        <v>16</v>
      </c>
      <c r="J11" s="7">
        <f t="shared" si="0"/>
        <v>4</v>
      </c>
      <c r="K11" s="7">
        <f t="shared" si="0"/>
        <v>2</v>
      </c>
      <c r="L11" s="533">
        <f t="shared" si="3"/>
        <v>22</v>
      </c>
      <c r="M11" s="532">
        <f t="shared" si="4"/>
        <v>6.1565823839687957E-2</v>
      </c>
      <c r="N11" s="533">
        <f t="shared" si="5"/>
        <v>0.13702549696577193</v>
      </c>
      <c r="O11" s="532">
        <f t="shared" si="6"/>
        <v>0.83431273248999882</v>
      </c>
      <c r="P11" s="7">
        <f t="shared" si="7"/>
        <v>5.1365150715687972E-2</v>
      </c>
      <c r="Q11" s="533">
        <f t="shared" si="8"/>
        <v>0.11432211679431323</v>
      </c>
      <c r="R11" s="532">
        <f t="shared" si="9"/>
        <v>18.354880114779974</v>
      </c>
      <c r="S11" s="7">
        <f t="shared" si="1"/>
        <v>1.1300333157451354</v>
      </c>
      <c r="T11" s="533">
        <f t="shared" si="1"/>
        <v>2.515086569474891</v>
      </c>
      <c r="U11" s="7">
        <f t="shared" si="10"/>
        <v>-19.111003297197229</v>
      </c>
      <c r="V11">
        <f t="shared" si="11"/>
        <v>13.928120234846661</v>
      </c>
      <c r="AA11" t="s">
        <v>527</v>
      </c>
      <c r="AB11" s="758" t="str">
        <f>IF(AB9&lt;AB10,"yes","no")</f>
        <v>yes</v>
      </c>
    </row>
    <row r="12" spans="1:36" x14ac:dyDescent="0.25">
      <c r="A12" s="675">
        <v>21</v>
      </c>
      <c r="B12" s="677">
        <v>1</v>
      </c>
      <c r="C12" s="576">
        <v>67</v>
      </c>
      <c r="D12" s="88">
        <v>9</v>
      </c>
      <c r="E12" s="824">
        <v>8</v>
      </c>
      <c r="G12">
        <f t="shared" si="2"/>
        <v>21</v>
      </c>
      <c r="H12">
        <f t="shared" si="0"/>
        <v>1</v>
      </c>
      <c r="I12" s="532">
        <f t="shared" si="0"/>
        <v>67</v>
      </c>
      <c r="J12" s="7">
        <f t="shared" si="0"/>
        <v>9</v>
      </c>
      <c r="K12" s="7">
        <f t="shared" si="0"/>
        <v>8</v>
      </c>
      <c r="L12" s="533">
        <f t="shared" si="3"/>
        <v>84</v>
      </c>
      <c r="M12" s="532">
        <f t="shared" si="4"/>
        <v>0.15432841257242536</v>
      </c>
      <c r="N12" s="533">
        <f t="shared" si="5"/>
        <v>0.19793829413936098</v>
      </c>
      <c r="O12" s="532">
        <f t="shared" si="6"/>
        <v>0.7394990907020339</v>
      </c>
      <c r="P12" s="7">
        <f t="shared" si="7"/>
        <v>0.11412572076679689</v>
      </c>
      <c r="Q12" s="533">
        <f t="shared" si="8"/>
        <v>0.14637518853116918</v>
      </c>
      <c r="R12" s="532">
        <f t="shared" si="9"/>
        <v>62.117923618970849</v>
      </c>
      <c r="S12" s="7">
        <f t="shared" si="1"/>
        <v>9.5865605444109381</v>
      </c>
      <c r="T12" s="533">
        <f t="shared" si="1"/>
        <v>12.295515836618211</v>
      </c>
      <c r="U12" s="7">
        <f t="shared" si="10"/>
        <v>-55.12615814471782</v>
      </c>
      <c r="V12">
        <f t="shared" si="11"/>
        <v>50.180585597489312</v>
      </c>
    </row>
    <row r="13" spans="1:36" x14ac:dyDescent="0.25">
      <c r="A13" s="675">
        <v>22</v>
      </c>
      <c r="B13" s="677">
        <v>1</v>
      </c>
      <c r="C13" s="576">
        <v>55</v>
      </c>
      <c r="D13" s="88">
        <v>20</v>
      </c>
      <c r="E13" s="824">
        <v>14</v>
      </c>
      <c r="G13">
        <f t="shared" si="2"/>
        <v>22</v>
      </c>
      <c r="H13">
        <f t="shared" si="0"/>
        <v>1</v>
      </c>
      <c r="I13" s="532">
        <f t="shared" si="0"/>
        <v>55</v>
      </c>
      <c r="J13" s="7">
        <f t="shared" si="0"/>
        <v>20</v>
      </c>
      <c r="K13" s="7">
        <f t="shared" si="0"/>
        <v>14</v>
      </c>
      <c r="L13" s="533">
        <f t="shared" si="3"/>
        <v>89</v>
      </c>
      <c r="M13" s="532">
        <f t="shared" si="4"/>
        <v>0.38685844583421491</v>
      </c>
      <c r="N13" s="533">
        <f t="shared" si="5"/>
        <v>0.28592903623321253</v>
      </c>
      <c r="O13" s="532">
        <f t="shared" si="6"/>
        <v>0.59780456915189395</v>
      </c>
      <c r="P13" s="7">
        <f t="shared" si="7"/>
        <v>0.23126574653469414</v>
      </c>
      <c r="Q13" s="533">
        <f t="shared" si="8"/>
        <v>0.17092968431341188</v>
      </c>
      <c r="R13" s="532">
        <f t="shared" si="9"/>
        <v>53.204606654518564</v>
      </c>
      <c r="S13" s="7">
        <f t="shared" si="1"/>
        <v>20.582651441587778</v>
      </c>
      <c r="T13" s="533">
        <f t="shared" si="1"/>
        <v>15.212741903893658</v>
      </c>
      <c r="U13" s="7">
        <f t="shared" si="10"/>
        <v>-82.311824597750871</v>
      </c>
      <c r="V13">
        <f t="shared" si="11"/>
        <v>77.798546857959138</v>
      </c>
      <c r="AA13" t="s">
        <v>1325</v>
      </c>
      <c r="AB13" s="820">
        <f>1-(AB5-V17)/(AB4-V17)</f>
        <v>0.10694786426319536</v>
      </c>
    </row>
    <row r="14" spans="1:36" x14ac:dyDescent="0.25">
      <c r="A14" s="675">
        <v>23</v>
      </c>
      <c r="B14" s="677">
        <v>1</v>
      </c>
      <c r="C14" s="576">
        <v>49</v>
      </c>
      <c r="D14" s="88">
        <v>55</v>
      </c>
      <c r="E14" s="824">
        <v>20</v>
      </c>
      <c r="G14">
        <f t="shared" si="2"/>
        <v>23</v>
      </c>
      <c r="H14">
        <f t="shared" si="0"/>
        <v>1</v>
      </c>
      <c r="I14" s="532">
        <f t="shared" si="0"/>
        <v>49</v>
      </c>
      <c r="J14" s="7">
        <f t="shared" si="0"/>
        <v>55</v>
      </c>
      <c r="K14" s="7">
        <f t="shared" si="0"/>
        <v>20</v>
      </c>
      <c r="L14" s="533">
        <f t="shared" si="3"/>
        <v>124</v>
      </c>
      <c r="M14" s="532">
        <f t="shared" si="4"/>
        <v>0.96974662421950286</v>
      </c>
      <c r="N14" s="533">
        <f t="shared" si="5"/>
        <v>0.41303485066761747</v>
      </c>
      <c r="O14" s="532">
        <f t="shared" si="6"/>
        <v>0.41967759550731487</v>
      </c>
      <c r="P14" s="7">
        <f t="shared" si="7"/>
        <v>0.40698093150377662</v>
      </c>
      <c r="Q14" s="533">
        <f t="shared" si="8"/>
        <v>0.17334147298890856</v>
      </c>
      <c r="R14" s="532">
        <f t="shared" si="9"/>
        <v>52.040021842907045</v>
      </c>
      <c r="S14" s="7">
        <f t="shared" si="1"/>
        <v>50.465635506468303</v>
      </c>
      <c r="T14" s="533">
        <f t="shared" si="1"/>
        <v>21.494342650624663</v>
      </c>
      <c r="U14" s="7">
        <f t="shared" si="10"/>
        <v>-127.03938410053493</v>
      </c>
      <c r="V14">
        <f t="shared" si="11"/>
        <v>121.81585963705966</v>
      </c>
      <c r="AA14" t="s">
        <v>1326</v>
      </c>
      <c r="AB14" s="680">
        <f>1-EXP((-2/L17)*(AB5-AB4))</f>
        <v>0.20172626676885164</v>
      </c>
    </row>
    <row r="15" spans="1:36" x14ac:dyDescent="0.25">
      <c r="A15" s="675">
        <v>24</v>
      </c>
      <c r="B15" s="677">
        <v>1</v>
      </c>
      <c r="C15" s="576">
        <v>12</v>
      </c>
      <c r="D15" s="88">
        <v>36</v>
      </c>
      <c r="E15" s="824">
        <v>15</v>
      </c>
      <c r="G15">
        <f t="shared" si="2"/>
        <v>24</v>
      </c>
      <c r="H15">
        <f t="shared" si="0"/>
        <v>1</v>
      </c>
      <c r="I15" s="532">
        <f t="shared" si="0"/>
        <v>12</v>
      </c>
      <c r="J15" s="7">
        <f t="shared" si="0"/>
        <v>36</v>
      </c>
      <c r="K15" s="7">
        <f t="shared" si="0"/>
        <v>15</v>
      </c>
      <c r="L15" s="533">
        <f t="shared" si="3"/>
        <v>63</v>
      </c>
      <c r="M15" s="532">
        <f t="shared" si="4"/>
        <v>2.4308853155764618</v>
      </c>
      <c r="N15" s="533">
        <f t="shared" si="5"/>
        <v>0.59664380404820372</v>
      </c>
      <c r="O15" s="532">
        <f t="shared" si="6"/>
        <v>0.24829119052854728</v>
      </c>
      <c r="P15" s="7">
        <f t="shared" si="7"/>
        <v>0.60356740904284312</v>
      </c>
      <c r="Q15" s="533">
        <f t="shared" si="8"/>
        <v>0.14814140042860979</v>
      </c>
      <c r="R15" s="532">
        <f t="shared" si="9"/>
        <v>15.642345003298479</v>
      </c>
      <c r="S15" s="7">
        <f t="shared" si="1"/>
        <v>38.024746769699114</v>
      </c>
      <c r="T15" s="533">
        <f t="shared" si="1"/>
        <v>9.3329082270024166</v>
      </c>
      <c r="U15" s="7">
        <f t="shared" si="10"/>
        <v>-63.537969312650418</v>
      </c>
      <c r="V15">
        <f t="shared" si="11"/>
        <v>57.403135977635543</v>
      </c>
      <c r="AA15" t="s">
        <v>1327</v>
      </c>
      <c r="AB15" s="757">
        <f>AB14/(1-EXP(2*(AB4-V17)/L17))</f>
        <v>0.22966306071375933</v>
      </c>
    </row>
    <row r="16" spans="1:36" x14ac:dyDescent="0.25">
      <c r="A16" s="678">
        <v>25</v>
      </c>
      <c r="B16" s="679">
        <v>1</v>
      </c>
      <c r="C16" s="409">
        <v>6</v>
      </c>
      <c r="D16" s="762">
        <v>18</v>
      </c>
      <c r="E16" s="825">
        <v>5</v>
      </c>
      <c r="G16">
        <f t="shared" si="2"/>
        <v>25</v>
      </c>
      <c r="H16">
        <f t="shared" si="0"/>
        <v>1</v>
      </c>
      <c r="I16" s="409">
        <f t="shared" si="0"/>
        <v>6</v>
      </c>
      <c r="J16" s="762">
        <f t="shared" si="0"/>
        <v>18</v>
      </c>
      <c r="K16" s="762">
        <f t="shared" si="0"/>
        <v>5</v>
      </c>
      <c r="L16" s="417">
        <f t="shared" si="3"/>
        <v>29</v>
      </c>
      <c r="M16" s="409">
        <f t="shared" si="4"/>
        <v>6.0935539963763778</v>
      </c>
      <c r="N16" s="417">
        <f t="shared" si="5"/>
        <v>0.86187358847252182</v>
      </c>
      <c r="O16" s="409">
        <f t="shared" si="6"/>
        <v>0.12570034600082322</v>
      </c>
      <c r="P16" s="762">
        <f t="shared" si="7"/>
        <v>0.76596184571920978</v>
      </c>
      <c r="Q16" s="417">
        <f t="shared" si="8"/>
        <v>0.10833780827996711</v>
      </c>
      <c r="R16" s="409">
        <f t="shared" si="9"/>
        <v>3.6453100340238733</v>
      </c>
      <c r="S16" s="762">
        <f t="shared" si="1"/>
        <v>22.212893525857083</v>
      </c>
      <c r="T16" s="417">
        <f t="shared" si="1"/>
        <v>3.1417964401190464</v>
      </c>
      <c r="U16" s="7">
        <f t="shared" si="10"/>
        <v>-28.354844424122064</v>
      </c>
      <c r="V16">
        <f t="shared" si="11"/>
        <v>23.494850804342796</v>
      </c>
    </row>
    <row r="17" spans="3:36" x14ac:dyDescent="0.25">
      <c r="C17">
        <f>SUM(C5:C16)</f>
        <v>400</v>
      </c>
      <c r="D17">
        <f>SUM(D5:D16)</f>
        <v>270</v>
      </c>
      <c r="E17">
        <f>SUM(E5:E16)</f>
        <v>190</v>
      </c>
      <c r="G17" s="801"/>
      <c r="H17" s="801"/>
      <c r="I17" s="801">
        <f>SUM(I5:I16)</f>
        <v>400</v>
      </c>
      <c r="J17" s="801">
        <f>SUM(J5:J16)</f>
        <v>270</v>
      </c>
      <c r="K17" s="827">
        <f>SUM(K5:K16)</f>
        <v>190</v>
      </c>
      <c r="L17" s="827">
        <f>SUM(L5:L16)</f>
        <v>860</v>
      </c>
      <c r="O17" s="827"/>
      <c r="R17" s="801">
        <f>SUM(R5:R16)</f>
        <v>399.99634024406151</v>
      </c>
      <c r="S17" s="801">
        <f>SUM(S5:S16)</f>
        <v>269.99513834315314</v>
      </c>
      <c r="T17" s="801">
        <f>SUM(T5:T16)</f>
        <v>190.00852141278537</v>
      </c>
      <c r="U17" s="801">
        <f>SUM(U5:U16)</f>
        <v>-808.98693528109152</v>
      </c>
      <c r="V17" s="801">
        <f>SUM(V5:V16)</f>
        <v>742.48185857521344</v>
      </c>
      <c r="W17" s="7"/>
    </row>
    <row r="18" spans="3:36" x14ac:dyDescent="0.25">
      <c r="X18" t="s">
        <v>1791</v>
      </c>
      <c r="AE18" t="s">
        <v>1528</v>
      </c>
    </row>
    <row r="19" spans="3:36" x14ac:dyDescent="0.25">
      <c r="G19" t="s">
        <v>1757</v>
      </c>
    </row>
    <row r="20" spans="3:36" ht="15.75" thickBot="1" x14ac:dyDescent="0.3">
      <c r="X20" s="751">
        <f t="array" ref="X20:Z22">MMULT(TRANSPOSE([1]!DESIGN(G5:H16)),P5:P16*(1-P5:P16)*L5:L16*[1]!DESIGN(G5:H16))</f>
        <v>153.1747920740894</v>
      </c>
      <c r="Y20" s="752">
        <v>3501.3156418871067</v>
      </c>
      <c r="Z20" s="755">
        <v>75.587063230603903</v>
      </c>
      <c r="AA20" s="751">
        <f t="array" ref="AA20:AC22">-MMULT(TRANSPOSE([1]!DESIGN(G5:H16)),P5:P16*Q5:Q16*L5:L16*[1]!DESIGN(G5:H16))</f>
        <v>-57.163472707451113</v>
      </c>
      <c r="AB20" s="752">
        <v>-1322.1693639345494</v>
      </c>
      <c r="AC20" s="755">
        <v>-21.83793155256798</v>
      </c>
      <c r="AE20" s="751">
        <f t="array" ref="AE20:AJ25">MINVERSE(X20:AC25)</f>
        <v>3.2450087662741978</v>
      </c>
      <c r="AF20" s="752">
        <v>-0.14253411525523657</v>
      </c>
      <c r="AG20" s="752">
        <v>-4.6133600121731249E-3</v>
      </c>
      <c r="AH20" s="752">
        <v>1.2255052242492079</v>
      </c>
      <c r="AI20" s="752">
        <v>-5.5483768989618473E-2</v>
      </c>
      <c r="AJ20" s="755">
        <v>-2.16547127636324E-3</v>
      </c>
    </row>
    <row r="21" spans="3:36" ht="15.75" thickTop="1" x14ac:dyDescent="0.25">
      <c r="G21" s="800"/>
      <c r="H21" s="800" t="s">
        <v>1529</v>
      </c>
      <c r="I21" s="800" t="s">
        <v>425</v>
      </c>
      <c r="J21" s="800" t="s">
        <v>1530</v>
      </c>
      <c r="K21" s="800" t="s">
        <v>67</v>
      </c>
      <c r="L21" s="800" t="s">
        <v>1531</v>
      </c>
      <c r="M21" s="800" t="s">
        <v>29</v>
      </c>
      <c r="N21" s="800" t="s">
        <v>30</v>
      </c>
      <c r="X21" s="532">
        <v>3501.3156418871067</v>
      </c>
      <c r="Y21" s="7">
        <v>80227.530014914752</v>
      </c>
      <c r="Z21" s="533">
        <v>1727.950501422345</v>
      </c>
      <c r="AA21" s="532">
        <v>-1322.1693639345494</v>
      </c>
      <c r="AB21" s="7">
        <v>-30649.710139650731</v>
      </c>
      <c r="AC21" s="533">
        <v>-506.00623861730224</v>
      </c>
      <c r="AE21" s="532">
        <v>-0.14253411525523885</v>
      </c>
      <c r="AF21" s="7">
        <v>6.2924605157107074E-3</v>
      </c>
      <c r="AG21" s="7">
        <v>-5.0175194271551192E-4</v>
      </c>
      <c r="AH21" s="7">
        <v>-5.5670228126347768E-2</v>
      </c>
      <c r="AI21" s="7">
        <v>2.5319849814563495E-3</v>
      </c>
      <c r="AJ21" s="533">
        <v>-1.8675762339167711E-4</v>
      </c>
    </row>
    <row r="22" spans="3:36" x14ac:dyDescent="0.25">
      <c r="G22" t="s">
        <v>296</v>
      </c>
      <c r="H22">
        <f t="array" ref="H22:H24">X6:X8</f>
        <v>-21.154133877889475</v>
      </c>
      <c r="I22">
        <f t="array" ref="I22:I24">SQRT([1]!DIAG(AE20:AG22))</f>
        <v>1.8013907866629599</v>
      </c>
      <c r="J22">
        <f>(H22/I22)^2</f>
        <v>137.90328851329164</v>
      </c>
      <c r="K22">
        <f>CHIDIST(J22,1)</f>
        <v>7.6513842350677618E-32</v>
      </c>
      <c r="L22">
        <f>EXP(H22)</f>
        <v>6.4994467120206512E-10</v>
      </c>
      <c r="X22" s="409">
        <v>75.587063230603903</v>
      </c>
      <c r="Y22" s="762">
        <v>1727.950501422345</v>
      </c>
      <c r="Z22" s="417">
        <v>75.587063230603903</v>
      </c>
      <c r="AA22" s="409">
        <v>-21.83793155256798</v>
      </c>
      <c r="AB22" s="762">
        <v>-506.00623861730224</v>
      </c>
      <c r="AC22" s="417">
        <v>-21.83793155256798</v>
      </c>
      <c r="AE22" s="532">
        <v>-4.6133600121724605E-3</v>
      </c>
      <c r="AF22" s="7">
        <v>-5.0175194271554239E-4</v>
      </c>
      <c r="AG22" s="7">
        <v>3.0833599774230381E-2</v>
      </c>
      <c r="AH22" s="7">
        <v>1.5693593019979586E-2</v>
      </c>
      <c r="AI22" s="7">
        <v>-9.8278661614065481E-4</v>
      </c>
      <c r="AJ22" s="533">
        <v>1.2340406323519166E-2</v>
      </c>
    </row>
    <row r="23" spans="3:36" x14ac:dyDescent="0.25">
      <c r="G23" t="str">
        <f t="array" ref="G23:G24">TRANSPOSE(G4:H4)</f>
        <v>Dosage</v>
      </c>
      <c r="H23">
        <v>0.91897597215044968</v>
      </c>
      <c r="I23">
        <v>7.9325030827039122E-2</v>
      </c>
      <c r="J23">
        <f>(H23/I23)^2</f>
        <v>134.21090768568445</v>
      </c>
      <c r="K23">
        <f>CHIDIST(J23,1)</f>
        <v>4.9129246822590341E-31</v>
      </c>
      <c r="L23">
        <f>EXP(H23)</f>
        <v>2.506722121907818</v>
      </c>
      <c r="M23">
        <f>EXP(H23-I23*NORMSINV(1-0.05/2))</f>
        <v>2.1457770946437114</v>
      </c>
      <c r="N23">
        <f>EXP(H23+I23*NORMSINV(1-0.05/2))</f>
        <v>2.9283823618712752</v>
      </c>
      <c r="X23" s="751">
        <f t="array" ref="X23:Z25">AA20:AC22</f>
        <v>-57.163472707451113</v>
      </c>
      <c r="Y23" s="752">
        <v>-1322.1693639345494</v>
      </c>
      <c r="Z23" s="755">
        <v>-21.83793155256798</v>
      </c>
      <c r="AA23" s="751">
        <f t="array" ref="AA23:AC25">MMULT(TRANSPOSE([1]!DESIGN(G5:H16)),Q5:Q16*(1-Q5:Q16)*L5:L16*[1]!DESIGN(G5:H16))</f>
        <v>144.04450924325707</v>
      </c>
      <c r="AB23" s="752">
        <v>3234.6341104664525</v>
      </c>
      <c r="AC23" s="755">
        <v>53.855967536150921</v>
      </c>
      <c r="AE23" s="532">
        <v>1.2255052242492102</v>
      </c>
      <c r="AF23" s="7">
        <v>-5.5670228126347865E-2</v>
      </c>
      <c r="AG23" s="7">
        <v>1.5693593019979149E-2</v>
      </c>
      <c r="AH23" s="7">
        <v>2.9808281429517272</v>
      </c>
      <c r="AI23" s="7">
        <v>-0.13347679985271768</v>
      </c>
      <c r="AJ23" s="533">
        <v>3.1205958171368377E-3</v>
      </c>
    </row>
    <row r="24" spans="3:36" x14ac:dyDescent="0.25">
      <c r="G24" s="762" t="str">
        <v>Gender</v>
      </c>
      <c r="H24" s="762">
        <v>-1.3033935322250792E-2</v>
      </c>
      <c r="I24" s="762">
        <v>0.17559498789609679</v>
      </c>
      <c r="J24" s="762">
        <f>(H24/I24)^2</f>
        <v>5.5096865506634564E-3</v>
      </c>
      <c r="K24" s="762">
        <f>CHIDIST(J24,1)</f>
        <v>0.94082955306375837</v>
      </c>
      <c r="L24" s="762">
        <f>EXP(H24)</f>
        <v>0.98705063857043662</v>
      </c>
      <c r="M24" s="762">
        <f>EXP(H24-I24*NORMSINV(1-0.05/2))</f>
        <v>0.6996369037352882</v>
      </c>
      <c r="N24" s="762">
        <f>EXP(H24+I24*NORMSINV(1-0.05/2))</f>
        <v>1.3925351248637499</v>
      </c>
      <c r="X24" s="532">
        <v>-1322.1693639345494</v>
      </c>
      <c r="Y24" s="7">
        <v>-30649.710139650731</v>
      </c>
      <c r="Z24" s="533">
        <v>-506.00623861730224</v>
      </c>
      <c r="AA24" s="532">
        <v>3234.6341104664525</v>
      </c>
      <c r="AB24" s="7">
        <v>72849.216148197243</v>
      </c>
      <c r="AC24" s="533">
        <v>1211.9537965077182</v>
      </c>
      <c r="AE24" s="532">
        <v>-5.5483768989623289E-2</v>
      </c>
      <c r="AF24" s="7">
        <v>2.5319849814565585E-3</v>
      </c>
      <c r="AG24" s="7">
        <v>-9.8278661614061729E-4</v>
      </c>
      <c r="AH24" s="7">
        <v>-0.13347679985271765</v>
      </c>
      <c r="AI24" s="7">
        <v>6.0042095913465281E-3</v>
      </c>
      <c r="AJ24" s="533">
        <v>-7.4671370747950042E-4</v>
      </c>
    </row>
    <row r="25" spans="3:36" x14ac:dyDescent="0.25">
      <c r="X25" s="409">
        <v>-21.83793155256798</v>
      </c>
      <c r="Y25" s="762">
        <v>-506.00623861730224</v>
      </c>
      <c r="Z25" s="417">
        <v>-21.83793155256798</v>
      </c>
      <c r="AA25" s="409">
        <v>53.855967536150921</v>
      </c>
      <c r="AB25" s="762">
        <v>1211.9537965077182</v>
      </c>
      <c r="AC25" s="417">
        <v>53.855967536150921</v>
      </c>
      <c r="AE25" s="409">
        <v>-2.1654712763634937E-3</v>
      </c>
      <c r="AF25" s="762">
        <v>-1.8675762339166635E-4</v>
      </c>
      <c r="AG25" s="762">
        <v>1.2340406323519171E-2</v>
      </c>
      <c r="AH25" s="762">
        <v>3.1205958171372145E-3</v>
      </c>
      <c r="AI25" s="762">
        <v>-7.4671370747951722E-4</v>
      </c>
      <c r="AJ25" s="417">
        <v>3.4622325130031731E-2</v>
      </c>
    </row>
    <row r="26" spans="3:36" x14ac:dyDescent="0.25">
      <c r="G26" t="s">
        <v>1778</v>
      </c>
    </row>
    <row r="27" spans="3:36" ht="15.75" thickBot="1" x14ac:dyDescent="0.3"/>
    <row r="28" spans="3:36" ht="15.75" thickTop="1" x14ac:dyDescent="0.25">
      <c r="G28" s="800"/>
      <c r="H28" s="800" t="s">
        <v>1529</v>
      </c>
      <c r="I28" s="800" t="s">
        <v>425</v>
      </c>
      <c r="J28" s="800" t="s">
        <v>1530</v>
      </c>
      <c r="K28" s="800" t="s">
        <v>67</v>
      </c>
      <c r="L28" s="800" t="s">
        <v>1531</v>
      </c>
      <c r="M28" s="800" t="s">
        <v>29</v>
      </c>
      <c r="N28" s="800" t="s">
        <v>30</v>
      </c>
    </row>
    <row r="29" spans="3:36" x14ac:dyDescent="0.25">
      <c r="G29" t="s">
        <v>296</v>
      </c>
      <c r="H29">
        <f t="array" ref="H29:H31">Y6:Y8</f>
        <v>-8.5930599308358797</v>
      </c>
      <c r="I29">
        <f t="array" ref="I29:I31">SQRT([1]!DIAG(AH23:AJ25))</f>
        <v>1.726507498666521</v>
      </c>
      <c r="J29">
        <f>(H29/I29)^2</f>
        <v>24.771867224058528</v>
      </c>
      <c r="K29">
        <f>CHIDIST(J29,1)</f>
        <v>6.4532502096680035E-7</v>
      </c>
      <c r="L29">
        <f>EXP(H29)</f>
        <v>1.8538794457093942E-4</v>
      </c>
    </row>
    <row r="30" spans="3:36" x14ac:dyDescent="0.25">
      <c r="G30" t="str">
        <f t="array" ref="G30:G31">TRANSPOSE(G4:H4)</f>
        <v>Dosage</v>
      </c>
      <c r="H30">
        <v>0.36778831861094008</v>
      </c>
      <c r="I30">
        <v>7.7486834955020123E-2</v>
      </c>
      <c r="J30">
        <f>(H30/I30)^2</f>
        <v>22.528901639545627</v>
      </c>
      <c r="K30">
        <f>CHIDIST(J30,1)</f>
        <v>2.0700557979381182E-6</v>
      </c>
      <c r="L30">
        <f>EXP(H30)</f>
        <v>1.444536225172784</v>
      </c>
      <c r="M30">
        <f>EXP(H30-I30*NORMSINV(1-0.05/2))</f>
        <v>1.2409992635916018</v>
      </c>
      <c r="N30">
        <f>EXP(H30+I30*NORMSINV(1-0.05/2))</f>
        <v>1.6814553940969457</v>
      </c>
    </row>
    <row r="31" spans="3:36" x14ac:dyDescent="0.25">
      <c r="G31" s="762" t="str">
        <v>Gender</v>
      </c>
      <c r="H31" s="762">
        <v>-0.75029470261389919</v>
      </c>
      <c r="I31" s="762">
        <v>0.18607075302161738</v>
      </c>
      <c r="J31" s="762">
        <f>(H31/I31)^2</f>
        <v>16.259512862184355</v>
      </c>
      <c r="K31" s="762">
        <f>CHIDIST(J31,1)</f>
        <v>5.5231587314587778E-5</v>
      </c>
      <c r="L31" s="762">
        <f>EXP(H31)</f>
        <v>0.47222736559361883</v>
      </c>
      <c r="M31" s="762">
        <f>EXP(H31-I31*NORMSINV(1-0.05/2))</f>
        <v>0.32791964770705595</v>
      </c>
      <c r="N31" s="762">
        <f>EXP(H31+I31*NORMSINV(1-0.05/2))</f>
        <v>0.68004063304771301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AJ32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13" max="13" width="9.140625" customWidth="1"/>
    <col min="32" max="32" width="9.140625" customWidth="1"/>
  </cols>
  <sheetData>
    <row r="1" spans="1:34" x14ac:dyDescent="0.25">
      <c r="A1" s="1" t="s">
        <v>1737</v>
      </c>
    </row>
    <row r="2" spans="1:34" x14ac:dyDescent="0.25">
      <c r="A2" t="s">
        <v>1758</v>
      </c>
    </row>
    <row r="3" spans="1:34" ht="15.75" thickBot="1" x14ac:dyDescent="0.3">
      <c r="G3" s="1323" t="s">
        <v>1775</v>
      </c>
      <c r="H3" s="1323"/>
      <c r="I3" s="1323" t="s">
        <v>113</v>
      </c>
      <c r="J3" s="1323"/>
      <c r="K3" s="1323"/>
      <c r="L3" s="1323"/>
      <c r="M3" s="1323" t="s">
        <v>129</v>
      </c>
      <c r="N3" s="1323"/>
      <c r="O3" s="1323" t="s">
        <v>1777</v>
      </c>
      <c r="P3" s="1323"/>
      <c r="Q3" s="1323"/>
      <c r="R3" s="1323" t="s">
        <v>1776</v>
      </c>
      <c r="S3" s="1323"/>
      <c r="T3" s="1323"/>
      <c r="U3" s="1323" t="s">
        <v>1774</v>
      </c>
      <c r="V3" s="1323"/>
    </row>
    <row r="4" spans="1:34" ht="18" thickTop="1" x14ac:dyDescent="0.25">
      <c r="A4" s="649" t="s">
        <v>1744</v>
      </c>
      <c r="B4" s="649" t="s">
        <v>620</v>
      </c>
      <c r="C4" s="649" t="s">
        <v>1746</v>
      </c>
      <c r="D4" s="649" t="s">
        <v>117</v>
      </c>
      <c r="E4" s="649" t="s">
        <v>1745</v>
      </c>
      <c r="G4" s="826" t="str">
        <f>A4</f>
        <v>Dosage</v>
      </c>
      <c r="H4" s="826" t="str">
        <f t="shared" ref="H4:K16" si="0">B4</f>
        <v>Gender</v>
      </c>
      <c r="I4" s="826" t="str">
        <f t="shared" si="0"/>
        <v>Dead</v>
      </c>
      <c r="J4" s="826" t="str">
        <f t="shared" si="0"/>
        <v>Cured</v>
      </c>
      <c r="K4" s="826" t="str">
        <f t="shared" si="0"/>
        <v>Sick</v>
      </c>
      <c r="L4" s="826" t="s">
        <v>1</v>
      </c>
      <c r="M4" s="826" t="str">
        <f>J4</f>
        <v>Cured</v>
      </c>
      <c r="N4" s="826" t="str">
        <f>K4</f>
        <v>Sick</v>
      </c>
      <c r="O4" s="826" t="str">
        <f>I4</f>
        <v>Dead</v>
      </c>
      <c r="P4" s="826" t="str">
        <f>J4</f>
        <v>Cured</v>
      </c>
      <c r="Q4" s="826" t="str">
        <f>K4</f>
        <v>Sick</v>
      </c>
      <c r="R4" s="826" t="str">
        <f>O4</f>
        <v>Dead</v>
      </c>
      <c r="S4" s="826" t="str">
        <f>P4</f>
        <v>Cured</v>
      </c>
      <c r="T4" s="826" t="str">
        <f>Q4</f>
        <v>Sick</v>
      </c>
      <c r="U4" s="826" t="s">
        <v>1253</v>
      </c>
      <c r="V4" s="826" t="s">
        <v>1252</v>
      </c>
      <c r="X4" t="s">
        <v>1795</v>
      </c>
      <c r="AA4" t="s">
        <v>1792</v>
      </c>
      <c r="AD4" t="s">
        <v>1719</v>
      </c>
      <c r="AG4" t="s">
        <v>1794</v>
      </c>
    </row>
    <row r="5" spans="1:34" x14ac:dyDescent="0.25">
      <c r="A5" s="806">
        <v>20</v>
      </c>
      <c r="B5" s="821">
        <v>0</v>
      </c>
      <c r="C5" s="813">
        <v>13</v>
      </c>
      <c r="D5" s="822">
        <v>0</v>
      </c>
      <c r="E5" s="823">
        <v>8</v>
      </c>
      <c r="G5">
        <f>A5</f>
        <v>20</v>
      </c>
      <c r="H5">
        <f t="shared" si="0"/>
        <v>0</v>
      </c>
      <c r="I5" s="751">
        <f t="shared" si="0"/>
        <v>13</v>
      </c>
      <c r="J5" s="752">
        <f t="shared" si="0"/>
        <v>0</v>
      </c>
      <c r="K5" s="752">
        <f t="shared" si="0"/>
        <v>8</v>
      </c>
      <c r="L5" s="755">
        <f>SUM(I5:K5)</f>
        <v>21</v>
      </c>
      <c r="M5" s="751">
        <f>EXP(X$6+MMULT($G5:$H5,X$7:X$8))</f>
        <v>6.2373521108151975E-2</v>
      </c>
      <c r="N5" s="755">
        <f>EXP(Y$6+MMULT($G5:$H5,Y$7:Y$8))</f>
        <v>0.2901684801631994</v>
      </c>
      <c r="O5" s="751">
        <f>1/(1+$M5+$N5)</f>
        <v>0.73934857406278565</v>
      </c>
      <c r="P5" s="752">
        <f>M5*O5</f>
        <v>4.6115773890587221E-2</v>
      </c>
      <c r="Q5" s="755">
        <f>N5*O5</f>
        <v>0.2145356520466272</v>
      </c>
      <c r="R5" s="751">
        <f>O5*$L5</f>
        <v>15.526320055318498</v>
      </c>
      <c r="S5" s="752">
        <f t="shared" ref="S5:T16" si="1">P5*$L5</f>
        <v>0.96843125170233169</v>
      </c>
      <c r="T5" s="755">
        <f t="shared" si="1"/>
        <v>4.5052486929791709</v>
      </c>
      <c r="U5" s="7">
        <f t="shared" ref="U5:U16" si="2">I5*LN(O5)+J5*LN(P5)+K5*LN(Q5)+GAMMALN(L5+1)-GAMMALN(I5+1)-GAMMALN(J5+1)-GAMMALN(K5+1)</f>
        <v>-4.0166778281442319</v>
      </c>
      <c r="V5">
        <f>GAMMALN(L5+1)-GAMMALN(I5+1)-GAMMALN(J5+1)-GAMMALN(K5+1)</f>
        <v>12.223372142608234</v>
      </c>
    </row>
    <row r="6" spans="1:34" x14ac:dyDescent="0.25">
      <c r="A6" s="675">
        <v>21</v>
      </c>
      <c r="B6" s="676">
        <v>0</v>
      </c>
      <c r="C6" s="576">
        <v>60</v>
      </c>
      <c r="D6" s="88">
        <v>6</v>
      </c>
      <c r="E6" s="824">
        <v>30</v>
      </c>
      <c r="G6">
        <f t="shared" ref="G6:G16" si="3">A6</f>
        <v>21</v>
      </c>
      <c r="H6">
        <f t="shared" si="0"/>
        <v>0</v>
      </c>
      <c r="I6" s="532">
        <f t="shared" si="0"/>
        <v>60</v>
      </c>
      <c r="J6" s="7">
        <f t="shared" si="0"/>
        <v>6</v>
      </c>
      <c r="K6" s="7">
        <f t="shared" si="0"/>
        <v>30</v>
      </c>
      <c r="L6" s="533">
        <f t="shared" ref="L6:L16" si="4">SUM(I6:K6)</f>
        <v>96</v>
      </c>
      <c r="M6" s="532">
        <f t="shared" ref="M6:N16" si="5">EXP(X$6+MMULT($G6:$H6,X$7:X$8))</f>
        <v>0.15635308518308863</v>
      </c>
      <c r="N6" s="533">
        <f t="shared" si="5"/>
        <v>0.41915888099907195</v>
      </c>
      <c r="O6" s="532">
        <f t="shared" ref="O6:O16" si="6">1/(1+$M6+$N6)</f>
        <v>0.63471431602213557</v>
      </c>
      <c r="P6" s="7">
        <f t="shared" ref="P6:P16" si="7">M6*O6</f>
        <v>9.9239541519934804E-2</v>
      </c>
      <c r="Q6" s="533">
        <f t="shared" ref="Q6:Q16" si="8">N6*O6</f>
        <v>0.26604614245792968</v>
      </c>
      <c r="R6" s="532">
        <f t="shared" ref="R6:R16" si="9">O6*$L6</f>
        <v>60.932574338125015</v>
      </c>
      <c r="S6" s="7">
        <f t="shared" si="1"/>
        <v>9.5269959859137412</v>
      </c>
      <c r="T6" s="533">
        <f t="shared" si="1"/>
        <v>25.540429675961249</v>
      </c>
      <c r="U6" s="7">
        <f t="shared" si="2"/>
        <v>-5.3449485245207882</v>
      </c>
      <c r="V6">
        <f t="shared" ref="V6:V16" si="10">GAMMALN(L6+1)-GAMMALN(I6+1)-GAMMALN(J6+1)-GAMMALN(K6+1)</f>
        <v>75.513746077754988</v>
      </c>
      <c r="X6" s="751">
        <f>'MLogit 2'!X6</f>
        <v>-21.154133877889475</v>
      </c>
      <c r="Y6" s="831">
        <f>'MLogit 2'!Y6</f>
        <v>-8.5930599308358797</v>
      </c>
      <c r="AA6" s="751">
        <f t="array" ref="AA6:AA8">MMULT(TRANSPOSE([1]!DESIGN($G5:$H16)),J5:J16-S5:S16)</f>
        <v>4.8616568468915489E-3</v>
      </c>
      <c r="AB6" s="831">
        <f t="array" ref="AB6:AB8">MMULT(TRANSPOSE([1]!DESIGN($G5:$H16)),K5:K16-T5:T16)</f>
        <v>-8.5214127853632249E-3</v>
      </c>
      <c r="AD6" s="751">
        <f>AD10</f>
        <v>-2.8607768947489639E-3</v>
      </c>
      <c r="AE6" s="831">
        <f>AD13</f>
        <v>-1.2778087049404965E-3</v>
      </c>
      <c r="AG6" s="751">
        <f>AG10</f>
        <v>-21.156994654784224</v>
      </c>
      <c r="AH6" s="831">
        <f>AG13</f>
        <v>-8.5943377395408209</v>
      </c>
    </row>
    <row r="7" spans="1:34" x14ac:dyDescent="0.25">
      <c r="A7" s="675">
        <v>22</v>
      </c>
      <c r="B7" s="676">
        <v>0</v>
      </c>
      <c r="C7" s="576">
        <v>61</v>
      </c>
      <c r="D7" s="88">
        <v>13</v>
      </c>
      <c r="E7" s="824">
        <v>40</v>
      </c>
      <c r="G7">
        <f t="shared" si="3"/>
        <v>22</v>
      </c>
      <c r="H7">
        <f t="shared" si="0"/>
        <v>0</v>
      </c>
      <c r="I7" s="532">
        <f t="shared" si="0"/>
        <v>61</v>
      </c>
      <c r="J7" s="7">
        <f t="shared" si="0"/>
        <v>13</v>
      </c>
      <c r="K7" s="7">
        <f t="shared" si="0"/>
        <v>40</v>
      </c>
      <c r="L7" s="533">
        <f t="shared" si="4"/>
        <v>114</v>
      </c>
      <c r="M7" s="532">
        <f t="shared" si="5"/>
        <v>0.39193373745698534</v>
      </c>
      <c r="N7" s="533">
        <f t="shared" si="5"/>
        <v>0.60549018770604723</v>
      </c>
      <c r="O7" s="532">
        <f t="shared" si="6"/>
        <v>0.50064484929926856</v>
      </c>
      <c r="P7" s="7">
        <f t="shared" si="7"/>
        <v>0.19621960692445151</v>
      </c>
      <c r="Q7" s="533">
        <f t="shared" si="8"/>
        <v>0.30313554377627983</v>
      </c>
      <c r="R7" s="532">
        <f t="shared" si="9"/>
        <v>57.073512820116619</v>
      </c>
      <c r="S7" s="7">
        <f t="shared" si="1"/>
        <v>22.369035189387471</v>
      </c>
      <c r="T7" s="533">
        <f t="shared" si="1"/>
        <v>34.557451990495899</v>
      </c>
      <c r="U7" s="7">
        <f t="shared" si="2"/>
        <v>-7.5145958939600774</v>
      </c>
      <c r="V7">
        <f t="shared" si="10"/>
        <v>103.60254101092582</v>
      </c>
      <c r="X7" s="532">
        <f>'MLogit 2'!X7</f>
        <v>0.91897597215044968</v>
      </c>
      <c r="Y7" s="503">
        <f>'MLogit 2'!Y7</f>
        <v>0.36778831861094008</v>
      </c>
      <c r="AA7" s="532">
        <v>0.1318876301894818</v>
      </c>
      <c r="AB7" s="503">
        <v>-0.19121757105872206</v>
      </c>
      <c r="AD7" s="532">
        <f>AD11</f>
        <v>1.270187709314818E-4</v>
      </c>
      <c r="AE7" s="503">
        <f>AD14</f>
        <v>5.0291419287441474E-5</v>
      </c>
      <c r="AG7" s="532">
        <f>AG11</f>
        <v>0.91910299092138115</v>
      </c>
      <c r="AH7" s="503">
        <f>AG14</f>
        <v>0.3678386100302275</v>
      </c>
    </row>
    <row r="8" spans="1:34" x14ac:dyDescent="0.25">
      <c r="A8" s="675">
        <v>23</v>
      </c>
      <c r="B8" s="677">
        <v>0</v>
      </c>
      <c r="C8" s="576">
        <v>49</v>
      </c>
      <c r="D8" s="88">
        <v>60</v>
      </c>
      <c r="E8" s="824">
        <v>25</v>
      </c>
      <c r="G8">
        <f t="shared" si="3"/>
        <v>23</v>
      </c>
      <c r="H8">
        <f t="shared" si="0"/>
        <v>0</v>
      </c>
      <c r="I8" s="532">
        <f t="shared" si="0"/>
        <v>49</v>
      </c>
      <c r="J8" s="7">
        <f t="shared" si="0"/>
        <v>60</v>
      </c>
      <c r="K8" s="7">
        <f t="shared" si="0"/>
        <v>25</v>
      </c>
      <c r="L8" s="533">
        <f t="shared" si="4"/>
        <v>134</v>
      </c>
      <c r="M8" s="532">
        <f t="shared" si="5"/>
        <v>0.98246897000543498</v>
      </c>
      <c r="N8" s="533">
        <f t="shared" si="5"/>
        <v>0.87465251012805478</v>
      </c>
      <c r="O8" s="532">
        <f t="shared" si="6"/>
        <v>0.35000261870324051</v>
      </c>
      <c r="P8" s="7">
        <f t="shared" si="7"/>
        <v>0.34386671229657767</v>
      </c>
      <c r="Q8" s="533">
        <f t="shared" si="8"/>
        <v>0.30613066900018177</v>
      </c>
      <c r="R8" s="532">
        <f t="shared" si="9"/>
        <v>46.90035090623423</v>
      </c>
      <c r="S8" s="7">
        <f t="shared" si="1"/>
        <v>46.078139447741407</v>
      </c>
      <c r="T8" s="533">
        <f t="shared" si="1"/>
        <v>41.021509646024356</v>
      </c>
      <c r="U8" s="7">
        <f t="shared" si="2"/>
        <v>-10.603077349689151</v>
      </c>
      <c r="V8">
        <f t="shared" si="10"/>
        <v>134.48149092299815</v>
      </c>
      <c r="X8" s="409">
        <f>'MLogit 2'!X8</f>
        <v>-1.3033935322250792E-2</v>
      </c>
      <c r="Y8" s="420">
        <f>'MLogit 2'!Y8</f>
        <v>-0.75029470261389919</v>
      </c>
      <c r="AA8" s="409">
        <v>-2.5211037683519066E-3</v>
      </c>
      <c r="AB8" s="420">
        <v>7.608372267114305E-3</v>
      </c>
      <c r="AD8" s="409">
        <f>AD12</f>
        <v>-1.8253261905261397E-5</v>
      </c>
      <c r="AE8" s="420">
        <f>AD15</f>
        <v>3.133421911570864E-4</v>
      </c>
      <c r="AG8" s="409">
        <f>AG12</f>
        <v>-1.3052188584156053E-2</v>
      </c>
      <c r="AH8" s="420">
        <f>AG15</f>
        <v>-0.7499813604227421</v>
      </c>
    </row>
    <row r="9" spans="1:34" x14ac:dyDescent="0.25">
      <c r="A9" s="675">
        <v>24</v>
      </c>
      <c r="B9" s="677">
        <v>0</v>
      </c>
      <c r="C9" s="576">
        <v>8</v>
      </c>
      <c r="D9" s="88">
        <v>29</v>
      </c>
      <c r="E9" s="824">
        <v>15</v>
      </c>
      <c r="G9">
        <f t="shared" si="3"/>
        <v>24</v>
      </c>
      <c r="H9">
        <f t="shared" si="0"/>
        <v>0</v>
      </c>
      <c r="I9" s="532">
        <f t="shared" si="0"/>
        <v>8</v>
      </c>
      <c r="J9" s="7">
        <f t="shared" si="0"/>
        <v>29</v>
      </c>
      <c r="K9" s="7">
        <f t="shared" si="0"/>
        <v>15</v>
      </c>
      <c r="L9" s="533">
        <f t="shared" si="4"/>
        <v>52</v>
      </c>
      <c r="M9" s="532">
        <f t="shared" si="5"/>
        <v>2.4627767012006188</v>
      </c>
      <c r="N9" s="533">
        <f t="shared" si="5"/>
        <v>1.2634672353182796</v>
      </c>
      <c r="O9" s="532">
        <f t="shared" si="6"/>
        <v>0.21158450842394463</v>
      </c>
      <c r="P9" s="7">
        <f t="shared" si="7"/>
        <v>0.52108539768147688</v>
      </c>
      <c r="Q9" s="533">
        <f t="shared" si="8"/>
        <v>0.26733009389457857</v>
      </c>
      <c r="R9" s="532">
        <f t="shared" si="9"/>
        <v>11.002394438045121</v>
      </c>
      <c r="S9" s="7">
        <f t="shared" si="1"/>
        <v>27.096440679436796</v>
      </c>
      <c r="T9" s="533">
        <f t="shared" si="1"/>
        <v>13.901164882518085</v>
      </c>
      <c r="U9" s="7">
        <f t="shared" si="2"/>
        <v>-4.517588306185214</v>
      </c>
      <c r="V9">
        <f t="shared" si="10"/>
        <v>46.599923049324644</v>
      </c>
    </row>
    <row r="10" spans="1:34" x14ac:dyDescent="0.25">
      <c r="A10" s="675">
        <v>25</v>
      </c>
      <c r="B10" s="677">
        <v>0</v>
      </c>
      <c r="C10" s="532">
        <v>4</v>
      </c>
      <c r="D10" s="7">
        <v>20</v>
      </c>
      <c r="E10" s="824">
        <v>8</v>
      </c>
      <c r="G10">
        <f t="shared" si="3"/>
        <v>25</v>
      </c>
      <c r="H10">
        <f t="shared" si="0"/>
        <v>0</v>
      </c>
      <c r="I10" s="532">
        <f t="shared" si="0"/>
        <v>4</v>
      </c>
      <c r="J10" s="7">
        <f t="shared" si="0"/>
        <v>20</v>
      </c>
      <c r="K10" s="7">
        <f t="shared" si="0"/>
        <v>8</v>
      </c>
      <c r="L10" s="533">
        <f t="shared" si="4"/>
        <v>32</v>
      </c>
      <c r="M10" s="532">
        <f t="shared" si="5"/>
        <v>6.1734968382187443</v>
      </c>
      <c r="N10" s="533">
        <f t="shared" si="5"/>
        <v>1.8251241907361599</v>
      </c>
      <c r="O10" s="532">
        <f t="shared" si="6"/>
        <v>0.11112813805385241</v>
      </c>
      <c r="P10" s="7">
        <f t="shared" si="7"/>
        <v>0.68604920891259402</v>
      </c>
      <c r="Q10" s="533">
        <f t="shared" si="8"/>
        <v>0.20282265303355365</v>
      </c>
      <c r="R10" s="532">
        <f t="shared" si="9"/>
        <v>3.5561004177232771</v>
      </c>
      <c r="S10" s="7">
        <f t="shared" si="1"/>
        <v>21.953574685203009</v>
      </c>
      <c r="T10" s="533">
        <f t="shared" si="1"/>
        <v>6.4903248970737168</v>
      </c>
      <c r="U10" s="7">
        <f t="shared" si="2"/>
        <v>-3.6481040357386298</v>
      </c>
      <c r="V10">
        <f t="shared" si="10"/>
        <v>25.439686262268342</v>
      </c>
      <c r="X10" s="831">
        <f>X6</f>
        <v>-21.154133877889475</v>
      </c>
      <c r="AA10" s="831">
        <f>AA6</f>
        <v>4.8616568468915489E-3</v>
      </c>
      <c r="AD10" s="831">
        <f t="array" ref="AD10:AD15">MMULT(AE20:AJ25,AA10:AA15)</f>
        <v>-2.8607768947489639E-3</v>
      </c>
      <c r="AG10" s="831">
        <f t="array" ref="AG10:AG15">X10:X15+AD10:AD15</f>
        <v>-21.156994654784224</v>
      </c>
    </row>
    <row r="11" spans="1:34" x14ac:dyDescent="0.25">
      <c r="A11" s="675">
        <v>20</v>
      </c>
      <c r="B11" s="677">
        <v>1</v>
      </c>
      <c r="C11" s="576">
        <v>16</v>
      </c>
      <c r="D11" s="88">
        <v>4</v>
      </c>
      <c r="E11" s="824">
        <v>2</v>
      </c>
      <c r="G11">
        <f t="shared" si="3"/>
        <v>20</v>
      </c>
      <c r="H11">
        <f t="shared" si="0"/>
        <v>1</v>
      </c>
      <c r="I11" s="532">
        <f t="shared" si="0"/>
        <v>16</v>
      </c>
      <c r="J11" s="7">
        <f t="shared" si="0"/>
        <v>4</v>
      </c>
      <c r="K11" s="7">
        <f t="shared" si="0"/>
        <v>2</v>
      </c>
      <c r="L11" s="533">
        <f t="shared" si="4"/>
        <v>22</v>
      </c>
      <c r="M11" s="532">
        <f t="shared" si="5"/>
        <v>6.1565823839687957E-2</v>
      </c>
      <c r="N11" s="533">
        <f t="shared" si="5"/>
        <v>0.13702549696577193</v>
      </c>
      <c r="O11" s="532">
        <f t="shared" si="6"/>
        <v>0.83431273248999882</v>
      </c>
      <c r="P11" s="7">
        <f t="shared" si="7"/>
        <v>5.1365150715687972E-2</v>
      </c>
      <c r="Q11" s="533">
        <f t="shared" si="8"/>
        <v>0.11432211679431323</v>
      </c>
      <c r="R11" s="532">
        <f t="shared" si="9"/>
        <v>18.354880114779974</v>
      </c>
      <c r="S11" s="7">
        <f t="shared" si="1"/>
        <v>1.1300333157451354</v>
      </c>
      <c r="T11" s="533">
        <f t="shared" si="1"/>
        <v>2.515086569474891</v>
      </c>
      <c r="U11" s="7">
        <f t="shared" si="2"/>
        <v>-5.1828830623505677</v>
      </c>
      <c r="V11">
        <f t="shared" si="10"/>
        <v>13.928120234846661</v>
      </c>
      <c r="X11" s="503">
        <f>X7</f>
        <v>0.91897597215044968</v>
      </c>
      <c r="AA11" s="503">
        <f>AA7</f>
        <v>0.1318876301894818</v>
      </c>
      <c r="AD11" s="503">
        <v>1.270187709314818E-4</v>
      </c>
      <c r="AG11" s="503">
        <v>0.91910299092138115</v>
      </c>
    </row>
    <row r="12" spans="1:34" x14ac:dyDescent="0.25">
      <c r="A12" s="675">
        <v>21</v>
      </c>
      <c r="B12" s="677">
        <v>1</v>
      </c>
      <c r="C12" s="576">
        <v>67</v>
      </c>
      <c r="D12" s="88">
        <v>9</v>
      </c>
      <c r="E12" s="824">
        <v>8</v>
      </c>
      <c r="G12">
        <f t="shared" si="3"/>
        <v>21</v>
      </c>
      <c r="H12">
        <f t="shared" si="0"/>
        <v>1</v>
      </c>
      <c r="I12" s="532">
        <f t="shared" si="0"/>
        <v>67</v>
      </c>
      <c r="J12" s="7">
        <f t="shared" si="0"/>
        <v>9</v>
      </c>
      <c r="K12" s="7">
        <f t="shared" si="0"/>
        <v>8</v>
      </c>
      <c r="L12" s="533">
        <f t="shared" si="4"/>
        <v>84</v>
      </c>
      <c r="M12" s="532">
        <f t="shared" si="5"/>
        <v>0.15432841257242536</v>
      </c>
      <c r="N12" s="533">
        <f t="shared" si="5"/>
        <v>0.19793829413936098</v>
      </c>
      <c r="O12" s="532">
        <f t="shared" si="6"/>
        <v>0.7394990907020339</v>
      </c>
      <c r="P12" s="7">
        <f t="shared" si="7"/>
        <v>0.11412572076679689</v>
      </c>
      <c r="Q12" s="533">
        <f t="shared" si="8"/>
        <v>0.14637518853116918</v>
      </c>
      <c r="R12" s="532">
        <f t="shared" si="9"/>
        <v>62.117923618970849</v>
      </c>
      <c r="S12" s="7">
        <f t="shared" si="1"/>
        <v>9.5865605444109381</v>
      </c>
      <c r="T12" s="533">
        <f t="shared" si="1"/>
        <v>12.295515836618211</v>
      </c>
      <c r="U12" s="7">
        <f t="shared" si="2"/>
        <v>-4.9455725472284904</v>
      </c>
      <c r="V12">
        <f t="shared" si="10"/>
        <v>50.180585597489312</v>
      </c>
      <c r="X12" s="420">
        <f>X8</f>
        <v>-1.3033935322250792E-2</v>
      </c>
      <c r="AA12" s="420">
        <f>AA8</f>
        <v>-2.5211037683519066E-3</v>
      </c>
      <c r="AD12" s="420">
        <v>-1.8253261905261397E-5</v>
      </c>
      <c r="AG12" s="420">
        <v>-1.3052188584156053E-2</v>
      </c>
    </row>
    <row r="13" spans="1:34" x14ac:dyDescent="0.25">
      <c r="A13" s="675">
        <v>22</v>
      </c>
      <c r="B13" s="677">
        <v>1</v>
      </c>
      <c r="C13" s="576">
        <v>55</v>
      </c>
      <c r="D13" s="88">
        <v>20</v>
      </c>
      <c r="E13" s="824">
        <v>14</v>
      </c>
      <c r="G13">
        <f t="shared" si="3"/>
        <v>22</v>
      </c>
      <c r="H13">
        <f t="shared" si="0"/>
        <v>1</v>
      </c>
      <c r="I13" s="532">
        <f t="shared" si="0"/>
        <v>55</v>
      </c>
      <c r="J13" s="7">
        <f t="shared" si="0"/>
        <v>20</v>
      </c>
      <c r="K13" s="7">
        <f t="shared" si="0"/>
        <v>14</v>
      </c>
      <c r="L13" s="533">
        <f t="shared" si="4"/>
        <v>89</v>
      </c>
      <c r="M13" s="532">
        <f t="shared" si="5"/>
        <v>0.38685844583421491</v>
      </c>
      <c r="N13" s="533">
        <f t="shared" si="5"/>
        <v>0.28592903623321253</v>
      </c>
      <c r="O13" s="532">
        <f t="shared" si="6"/>
        <v>0.59780456915189395</v>
      </c>
      <c r="P13" s="7">
        <f t="shared" si="7"/>
        <v>0.23126574653469414</v>
      </c>
      <c r="Q13" s="533">
        <f t="shared" si="8"/>
        <v>0.17092968431341188</v>
      </c>
      <c r="R13" s="532">
        <f t="shared" si="9"/>
        <v>53.204606654518564</v>
      </c>
      <c r="S13" s="7">
        <f t="shared" si="1"/>
        <v>20.582651441587778</v>
      </c>
      <c r="T13" s="533">
        <f t="shared" si="1"/>
        <v>15.212741903893658</v>
      </c>
      <c r="U13" s="7">
        <f t="shared" si="2"/>
        <v>-4.5132777397917287</v>
      </c>
      <c r="V13">
        <f t="shared" si="10"/>
        <v>77.798546857959138</v>
      </c>
      <c r="X13" s="503">
        <f>Y6</f>
        <v>-8.5930599308358797</v>
      </c>
      <c r="AA13" s="503">
        <f>AB6</f>
        <v>-8.5214127853632249E-3</v>
      </c>
      <c r="AD13" s="503">
        <v>-1.2778087049404965E-3</v>
      </c>
      <c r="AG13" s="503">
        <v>-8.5943377395408209</v>
      </c>
    </row>
    <row r="14" spans="1:34" x14ac:dyDescent="0.25">
      <c r="A14" s="675">
        <v>23</v>
      </c>
      <c r="B14" s="677">
        <v>1</v>
      </c>
      <c r="C14" s="576">
        <v>49</v>
      </c>
      <c r="D14" s="88">
        <v>55</v>
      </c>
      <c r="E14" s="824">
        <v>20</v>
      </c>
      <c r="G14">
        <f t="shared" si="3"/>
        <v>23</v>
      </c>
      <c r="H14">
        <f t="shared" si="0"/>
        <v>1</v>
      </c>
      <c r="I14" s="532">
        <f t="shared" si="0"/>
        <v>49</v>
      </c>
      <c r="J14" s="7">
        <f t="shared" si="0"/>
        <v>55</v>
      </c>
      <c r="K14" s="7">
        <f t="shared" si="0"/>
        <v>20</v>
      </c>
      <c r="L14" s="533">
        <f t="shared" si="4"/>
        <v>124</v>
      </c>
      <c r="M14" s="532">
        <f t="shared" si="5"/>
        <v>0.96974662421950286</v>
      </c>
      <c r="N14" s="533">
        <f t="shared" si="5"/>
        <v>0.41303485066761747</v>
      </c>
      <c r="O14" s="532">
        <f t="shared" si="6"/>
        <v>0.41967759550731487</v>
      </c>
      <c r="P14" s="7">
        <f t="shared" si="7"/>
        <v>0.40698093150377662</v>
      </c>
      <c r="Q14" s="533">
        <f t="shared" si="8"/>
        <v>0.17334147298890856</v>
      </c>
      <c r="R14" s="532">
        <f t="shared" si="9"/>
        <v>52.040021842907045</v>
      </c>
      <c r="S14" s="7">
        <f t="shared" si="1"/>
        <v>50.465635506468303</v>
      </c>
      <c r="T14" s="533">
        <f t="shared" si="1"/>
        <v>21.494342650624663</v>
      </c>
      <c r="U14" s="7">
        <f t="shared" si="2"/>
        <v>-5.2235244634753002</v>
      </c>
      <c r="V14">
        <f t="shared" si="10"/>
        <v>121.81585963705966</v>
      </c>
      <c r="X14" s="503">
        <f>Y7</f>
        <v>0.36778831861094008</v>
      </c>
      <c r="AA14" s="503">
        <f>AB7</f>
        <v>-0.19121757105872206</v>
      </c>
      <c r="AD14" s="503">
        <v>5.0291419287441474E-5</v>
      </c>
      <c r="AG14" s="503">
        <v>0.3678386100302275</v>
      </c>
    </row>
    <row r="15" spans="1:34" x14ac:dyDescent="0.25">
      <c r="A15" s="675">
        <v>24</v>
      </c>
      <c r="B15" s="677">
        <v>1</v>
      </c>
      <c r="C15" s="576">
        <v>12</v>
      </c>
      <c r="D15" s="88">
        <v>36</v>
      </c>
      <c r="E15" s="824">
        <v>15</v>
      </c>
      <c r="G15">
        <f t="shared" si="3"/>
        <v>24</v>
      </c>
      <c r="H15">
        <f t="shared" si="0"/>
        <v>1</v>
      </c>
      <c r="I15" s="532">
        <f t="shared" si="0"/>
        <v>12</v>
      </c>
      <c r="J15" s="7">
        <f t="shared" si="0"/>
        <v>36</v>
      </c>
      <c r="K15" s="7">
        <f t="shared" si="0"/>
        <v>15</v>
      </c>
      <c r="L15" s="533">
        <f t="shared" si="4"/>
        <v>63</v>
      </c>
      <c r="M15" s="532">
        <f t="shared" si="5"/>
        <v>2.4308853155764618</v>
      </c>
      <c r="N15" s="533">
        <f t="shared" si="5"/>
        <v>0.59664380404820372</v>
      </c>
      <c r="O15" s="532">
        <f t="shared" si="6"/>
        <v>0.24829119052854728</v>
      </c>
      <c r="P15" s="7">
        <f t="shared" si="7"/>
        <v>0.60356740904284312</v>
      </c>
      <c r="Q15" s="533">
        <f t="shared" si="8"/>
        <v>0.14814140042860979</v>
      </c>
      <c r="R15" s="532">
        <f t="shared" si="9"/>
        <v>15.642345003298479</v>
      </c>
      <c r="S15" s="7">
        <f t="shared" si="1"/>
        <v>38.024746769699114</v>
      </c>
      <c r="T15" s="533">
        <f t="shared" si="1"/>
        <v>9.3329082270024166</v>
      </c>
      <c r="U15" s="7">
        <f t="shared" si="2"/>
        <v>-6.1348333350148714</v>
      </c>
      <c r="V15">
        <f t="shared" si="10"/>
        <v>57.403135977635543</v>
      </c>
      <c r="X15" s="420">
        <f>Y8</f>
        <v>-0.75029470261389919</v>
      </c>
      <c r="AA15" s="420">
        <f>AB8</f>
        <v>7.608372267114305E-3</v>
      </c>
      <c r="AD15" s="420">
        <v>3.133421911570864E-4</v>
      </c>
      <c r="AG15" s="420">
        <v>-0.7499813604227421</v>
      </c>
    </row>
    <row r="16" spans="1:34" x14ac:dyDescent="0.25">
      <c r="A16" s="678">
        <v>25</v>
      </c>
      <c r="B16" s="679">
        <v>1</v>
      </c>
      <c r="C16" s="409">
        <v>6</v>
      </c>
      <c r="D16" s="762">
        <v>18</v>
      </c>
      <c r="E16" s="825">
        <v>5</v>
      </c>
      <c r="G16">
        <f t="shared" si="3"/>
        <v>25</v>
      </c>
      <c r="H16">
        <f t="shared" si="0"/>
        <v>1</v>
      </c>
      <c r="I16" s="409">
        <f t="shared" si="0"/>
        <v>6</v>
      </c>
      <c r="J16" s="762">
        <f t="shared" si="0"/>
        <v>18</v>
      </c>
      <c r="K16" s="762">
        <f t="shared" si="0"/>
        <v>5</v>
      </c>
      <c r="L16" s="417">
        <f t="shared" si="4"/>
        <v>29</v>
      </c>
      <c r="M16" s="409">
        <f t="shared" si="5"/>
        <v>6.0935539963763778</v>
      </c>
      <c r="N16" s="417">
        <f t="shared" si="5"/>
        <v>0.86187358847252182</v>
      </c>
      <c r="O16" s="409">
        <f t="shared" si="6"/>
        <v>0.12570034600082322</v>
      </c>
      <c r="P16" s="762">
        <f t="shared" si="7"/>
        <v>0.76596184571920978</v>
      </c>
      <c r="Q16" s="417">
        <f t="shared" si="8"/>
        <v>0.10833780827996711</v>
      </c>
      <c r="R16" s="409">
        <f t="shared" si="9"/>
        <v>3.6453100340238733</v>
      </c>
      <c r="S16" s="762">
        <f t="shared" si="1"/>
        <v>22.212893525857083</v>
      </c>
      <c r="T16" s="417">
        <f t="shared" si="1"/>
        <v>3.1417964401190464</v>
      </c>
      <c r="U16" s="7">
        <f t="shared" si="2"/>
        <v>-4.859993619779261</v>
      </c>
      <c r="V16">
        <f t="shared" si="10"/>
        <v>23.494850804342796</v>
      </c>
    </row>
    <row r="17" spans="3:36" x14ac:dyDescent="0.25">
      <c r="C17">
        <f>SUM(C5:C16)</f>
        <v>400</v>
      </c>
      <c r="D17">
        <f>SUM(D5:D16)</f>
        <v>270</v>
      </c>
      <c r="E17">
        <f>SUM(E5:E16)</f>
        <v>190</v>
      </c>
      <c r="G17" s="801"/>
      <c r="H17" s="801"/>
      <c r="I17" s="801">
        <f>SUM(I5:I16)</f>
        <v>400</v>
      </c>
      <c r="J17" s="801">
        <f>SUM(J5:J16)</f>
        <v>270</v>
      </c>
      <c r="K17" s="827">
        <f>SUM(K5:K16)</f>
        <v>190</v>
      </c>
      <c r="L17" s="827">
        <f>SUM(L5:L16)</f>
        <v>860</v>
      </c>
      <c r="O17" s="827"/>
      <c r="R17" s="801">
        <f>SUM(R5:R16)</f>
        <v>399.99634024406151</v>
      </c>
      <c r="S17" s="801">
        <f>SUM(S5:S16)</f>
        <v>269.99513834315314</v>
      </c>
      <c r="T17" s="801">
        <f>SUM(T5:T16)</f>
        <v>190.00852141278537</v>
      </c>
      <c r="U17" s="801">
        <f>SUM(U5:U16)</f>
        <v>-66.505076705878324</v>
      </c>
      <c r="V17" s="801">
        <f>I17*LN(I17/L17)+J17*LN(J17/L17)+K17*LN(K17/L17)+SUM(V5:V16)</f>
        <v>-163.38567469443615</v>
      </c>
      <c r="W17" s="7"/>
    </row>
    <row r="18" spans="3:36" x14ac:dyDescent="0.25">
      <c r="X18" t="s">
        <v>1793</v>
      </c>
      <c r="AE18" t="s">
        <v>1528</v>
      </c>
    </row>
    <row r="19" spans="3:36" x14ac:dyDescent="0.25">
      <c r="G19" t="s">
        <v>1757</v>
      </c>
    </row>
    <row r="20" spans="3:36" ht="15.75" thickBot="1" x14ac:dyDescent="0.3">
      <c r="X20" s="751">
        <f t="array" ref="X20:Z22">MMULT(TRANSPOSE([1]!DESIGN(G5:H16)),P5:P16*(1-P5:P16)*L5:L16*[1]!DESIGN(G5:H16))</f>
        <v>153.1747920740894</v>
      </c>
      <c r="Y20" s="752">
        <v>3501.3156418871067</v>
      </c>
      <c r="Z20" s="755">
        <v>75.587063230603903</v>
      </c>
      <c r="AA20" s="751">
        <f t="array" ref="AA20:AC22">-MMULT(TRANSPOSE([1]!DESIGN(G5:H16)),P5:P16*Q5:Q16*L5:L16*[1]!DESIGN(G5:H16))</f>
        <v>-57.163472707451113</v>
      </c>
      <c r="AB20" s="752">
        <v>-1322.1693639345494</v>
      </c>
      <c r="AC20" s="755">
        <v>-21.83793155256798</v>
      </c>
      <c r="AE20" s="751">
        <f t="array" ref="AE20:AJ25">MINVERSE(X20:AC25)</f>
        <v>3.2450087662741978</v>
      </c>
      <c r="AF20" s="752">
        <v>-0.14253411525523657</v>
      </c>
      <c r="AG20" s="752">
        <v>-4.6133600121731249E-3</v>
      </c>
      <c r="AH20" s="752">
        <v>1.2255052242492079</v>
      </c>
      <c r="AI20" s="752">
        <v>-5.5483768989618473E-2</v>
      </c>
      <c r="AJ20" s="755">
        <v>-2.16547127636324E-3</v>
      </c>
    </row>
    <row r="21" spans="3:36" ht="15.75" thickTop="1" x14ac:dyDescent="0.25">
      <c r="G21" s="800"/>
      <c r="H21" s="800" t="s">
        <v>1529</v>
      </c>
      <c r="I21" s="800" t="s">
        <v>425</v>
      </c>
      <c r="J21" s="800" t="s">
        <v>1530</v>
      </c>
      <c r="K21" s="800" t="s">
        <v>67</v>
      </c>
      <c r="L21" s="800" t="s">
        <v>1531</v>
      </c>
      <c r="M21" s="800" t="s">
        <v>29</v>
      </c>
      <c r="N21" s="800" t="s">
        <v>30</v>
      </c>
      <c r="X21" s="532">
        <v>3501.3156418871067</v>
      </c>
      <c r="Y21" s="7">
        <v>80227.530014914752</v>
      </c>
      <c r="Z21" s="533">
        <v>1727.950501422345</v>
      </c>
      <c r="AA21" s="532">
        <v>-1322.1693639345494</v>
      </c>
      <c r="AB21" s="7">
        <v>-30649.710139650731</v>
      </c>
      <c r="AC21" s="533">
        <v>-506.00623861730224</v>
      </c>
      <c r="AE21" s="532">
        <v>-0.14253411525523885</v>
      </c>
      <c r="AF21" s="7">
        <v>6.2924605157107074E-3</v>
      </c>
      <c r="AG21" s="7">
        <v>-5.0175194271551192E-4</v>
      </c>
      <c r="AH21" s="7">
        <v>-5.5670228126347768E-2</v>
      </c>
      <c r="AI21" s="7">
        <v>2.5319849814563495E-3</v>
      </c>
      <c r="AJ21" s="533">
        <v>-1.8675762339167711E-4</v>
      </c>
    </row>
    <row r="22" spans="3:36" x14ac:dyDescent="0.25">
      <c r="G22" t="s">
        <v>296</v>
      </c>
      <c r="H22">
        <f t="array" ref="H22:H24">X6:X8</f>
        <v>-21.154133877889475</v>
      </c>
      <c r="I22">
        <f t="array" ref="I22:I24">SQRT([1]!DIAG(AE20:AG22))</f>
        <v>1.8013907866629599</v>
      </c>
      <c r="J22">
        <f>(H22/I22)^2</f>
        <v>137.90328851329164</v>
      </c>
      <c r="K22">
        <f>CHIDIST(J22,1)</f>
        <v>7.6513842350677618E-32</v>
      </c>
      <c r="L22">
        <f>EXP(H22)</f>
        <v>6.4994467120206512E-10</v>
      </c>
      <c r="X22" s="409">
        <v>75.587063230603903</v>
      </c>
      <c r="Y22" s="762">
        <v>1727.950501422345</v>
      </c>
      <c r="Z22" s="417">
        <v>75.587063230603903</v>
      </c>
      <c r="AA22" s="409">
        <v>-21.83793155256798</v>
      </c>
      <c r="AB22" s="762">
        <v>-506.00623861730224</v>
      </c>
      <c r="AC22" s="417">
        <v>-21.83793155256798</v>
      </c>
      <c r="AE22" s="532">
        <v>-4.6133600121724605E-3</v>
      </c>
      <c r="AF22" s="7">
        <v>-5.0175194271554239E-4</v>
      </c>
      <c r="AG22" s="7">
        <v>3.0833599774230381E-2</v>
      </c>
      <c r="AH22" s="7">
        <v>1.5693593019979586E-2</v>
      </c>
      <c r="AI22" s="7">
        <v>-9.8278661614065481E-4</v>
      </c>
      <c r="AJ22" s="533">
        <v>1.2340406323519166E-2</v>
      </c>
    </row>
    <row r="23" spans="3:36" x14ac:dyDescent="0.25">
      <c r="G23" t="str">
        <f t="array" ref="G23:G24">TRANSPOSE(G4:H4)</f>
        <v>Dosage</v>
      </c>
      <c r="H23">
        <v>0.91897597215044968</v>
      </c>
      <c r="I23">
        <v>7.9325030827039122E-2</v>
      </c>
      <c r="J23">
        <f>(H23/I23)^2</f>
        <v>134.21090768568445</v>
      </c>
      <c r="K23">
        <f>CHIDIST(J23,1)</f>
        <v>4.9129246822590341E-31</v>
      </c>
      <c r="L23">
        <f>EXP(H23)</f>
        <v>2.506722121907818</v>
      </c>
      <c r="M23">
        <f>EXP(H23-I23*NORMSINV(1-0.05/2))</f>
        <v>2.1457770946437114</v>
      </c>
      <c r="N23">
        <f>EXP(H23+I23*NORMSINV(1-0.05/2))</f>
        <v>2.9283823618712752</v>
      </c>
      <c r="X23" s="751">
        <f t="array" ref="X23:Z25">AA20:AC22</f>
        <v>-57.163472707451113</v>
      </c>
      <c r="Y23" s="752">
        <v>-1322.1693639345494</v>
      </c>
      <c r="Z23" s="755">
        <v>-21.83793155256798</v>
      </c>
      <c r="AA23" s="751">
        <f t="array" ref="AA23:AC25">MMULT(TRANSPOSE([1]!DESIGN(G5:H16)),Q5:Q16*(1-Q5:Q16)*L5:L16*[1]!DESIGN(G5:H16))</f>
        <v>144.04450924325707</v>
      </c>
      <c r="AB23" s="752">
        <v>3234.6341104664525</v>
      </c>
      <c r="AC23" s="755">
        <v>53.855967536150921</v>
      </c>
      <c r="AE23" s="532">
        <v>1.2255052242492102</v>
      </c>
      <c r="AF23" s="7">
        <v>-5.5670228126347865E-2</v>
      </c>
      <c r="AG23" s="7">
        <v>1.5693593019979149E-2</v>
      </c>
      <c r="AH23" s="7">
        <v>2.9808281429517272</v>
      </c>
      <c r="AI23" s="7">
        <v>-0.13347679985271768</v>
      </c>
      <c r="AJ23" s="533">
        <v>3.1205958171368377E-3</v>
      </c>
    </row>
    <row r="24" spans="3:36" x14ac:dyDescent="0.25">
      <c r="G24" s="762" t="str">
        <v>Gender</v>
      </c>
      <c r="H24" s="762">
        <v>-1.3033935322250792E-2</v>
      </c>
      <c r="I24" s="762">
        <v>0.17559498789609679</v>
      </c>
      <c r="J24" s="762">
        <f>(H24/I24)^2</f>
        <v>5.5096865506634564E-3</v>
      </c>
      <c r="K24" s="762">
        <f>CHIDIST(J24,1)</f>
        <v>0.94082955306375837</v>
      </c>
      <c r="L24" s="762">
        <f>EXP(H24)</f>
        <v>0.98705063857043662</v>
      </c>
      <c r="M24" s="762">
        <f>EXP(H24-I24*NORMSINV(1-0.05/2))</f>
        <v>0.6996369037352882</v>
      </c>
      <c r="N24" s="762">
        <f>EXP(H24+I24*NORMSINV(1-0.05/2))</f>
        <v>1.3925351248637499</v>
      </c>
      <c r="X24" s="532">
        <v>-1322.1693639345494</v>
      </c>
      <c r="Y24" s="7">
        <v>-30649.710139650731</v>
      </c>
      <c r="Z24" s="533">
        <v>-506.00623861730224</v>
      </c>
      <c r="AA24" s="532">
        <v>3234.6341104664525</v>
      </c>
      <c r="AB24" s="7">
        <v>72849.216148197243</v>
      </c>
      <c r="AC24" s="533">
        <v>1211.9537965077182</v>
      </c>
      <c r="AE24" s="532">
        <v>-5.5483768989623289E-2</v>
      </c>
      <c r="AF24" s="7">
        <v>2.5319849814565585E-3</v>
      </c>
      <c r="AG24" s="7">
        <v>-9.8278661614061729E-4</v>
      </c>
      <c r="AH24" s="7">
        <v>-0.13347679985271765</v>
      </c>
      <c r="AI24" s="7">
        <v>6.0042095913465281E-3</v>
      </c>
      <c r="AJ24" s="533">
        <v>-7.4671370747950042E-4</v>
      </c>
    </row>
    <row r="25" spans="3:36" x14ac:dyDescent="0.25">
      <c r="X25" s="409">
        <v>-21.83793155256798</v>
      </c>
      <c r="Y25" s="762">
        <v>-506.00623861730224</v>
      </c>
      <c r="Z25" s="417">
        <v>-21.83793155256798</v>
      </c>
      <c r="AA25" s="409">
        <v>53.855967536150921</v>
      </c>
      <c r="AB25" s="762">
        <v>1211.9537965077182</v>
      </c>
      <c r="AC25" s="417">
        <v>53.855967536150921</v>
      </c>
      <c r="AE25" s="409">
        <v>-2.1654712763634937E-3</v>
      </c>
      <c r="AF25" s="762">
        <v>-1.8675762339166635E-4</v>
      </c>
      <c r="AG25" s="762">
        <v>1.2340406323519171E-2</v>
      </c>
      <c r="AH25" s="762">
        <v>3.1205958171372145E-3</v>
      </c>
      <c r="AI25" s="762">
        <v>-7.4671370747951722E-4</v>
      </c>
      <c r="AJ25" s="417">
        <v>3.4622325130031731E-2</v>
      </c>
    </row>
    <row r="27" spans="3:36" x14ac:dyDescent="0.25">
      <c r="G27" t="s">
        <v>1778</v>
      </c>
    </row>
    <row r="28" spans="3:36" ht="15.75" thickBot="1" x14ac:dyDescent="0.3"/>
    <row r="29" spans="3:36" ht="15.75" thickTop="1" x14ac:dyDescent="0.25">
      <c r="G29" s="800"/>
      <c r="H29" s="800" t="s">
        <v>1529</v>
      </c>
      <c r="I29" s="800" t="s">
        <v>425</v>
      </c>
      <c r="J29" s="800" t="s">
        <v>1530</v>
      </c>
      <c r="K29" s="800" t="s">
        <v>67</v>
      </c>
      <c r="L29" s="800" t="s">
        <v>1531</v>
      </c>
      <c r="M29" s="800" t="s">
        <v>29</v>
      </c>
      <c r="N29" s="800" t="s">
        <v>30</v>
      </c>
    </row>
    <row r="30" spans="3:36" x14ac:dyDescent="0.25">
      <c r="G30" t="s">
        <v>296</v>
      </c>
      <c r="H30">
        <f t="array" ref="H30:H32">Y6:Y8</f>
        <v>-8.5930599308358797</v>
      </c>
      <c r="I30">
        <f t="array" ref="I30:I32">SQRT([1]!DIAG(AH23:AJ25))</f>
        <v>1.726507498666521</v>
      </c>
      <c r="J30">
        <f>(H30/I30)^2</f>
        <v>24.771867224058528</v>
      </c>
      <c r="K30">
        <f>CHIDIST(J30,1)</f>
        <v>6.4532502096680035E-7</v>
      </c>
      <c r="L30">
        <f>EXP(H30)</f>
        <v>1.8538794457093942E-4</v>
      </c>
    </row>
    <row r="31" spans="3:36" x14ac:dyDescent="0.25">
      <c r="G31" t="str">
        <f t="array" ref="G31:G32">TRANSPOSE(G4:H4)</f>
        <v>Dosage</v>
      </c>
      <c r="H31">
        <v>0.36778831861094008</v>
      </c>
      <c r="I31">
        <v>7.7486834955020123E-2</v>
      </c>
      <c r="J31">
        <f>(H31/I31)^2</f>
        <v>22.528901639545627</v>
      </c>
      <c r="K31">
        <f>CHIDIST(J31,1)</f>
        <v>2.0700557979381182E-6</v>
      </c>
      <c r="L31">
        <f>EXP(H31)</f>
        <v>1.444536225172784</v>
      </c>
      <c r="M31">
        <f>EXP(H31-I31*NORMSINV(1-0.05/2))</f>
        <v>1.2409992635916018</v>
      </c>
      <c r="N31">
        <f>EXP(H31+I31*NORMSINV(1-0.05/2))</f>
        <v>1.6814553940969457</v>
      </c>
    </row>
    <row r="32" spans="3:36" x14ac:dyDescent="0.25">
      <c r="G32" s="762" t="str">
        <v>Gender</v>
      </c>
      <c r="H32" s="762">
        <v>-0.75029470261389919</v>
      </c>
      <c r="I32" s="762">
        <v>0.18607075302161738</v>
      </c>
      <c r="J32" s="762">
        <f>(H32/I32)^2</f>
        <v>16.259512862184355</v>
      </c>
      <c r="K32" s="762">
        <f>CHIDIST(J32,1)</f>
        <v>5.5231587314587778E-5</v>
      </c>
      <c r="L32" s="762">
        <f>EXP(H32)</f>
        <v>0.47222736559361883</v>
      </c>
      <c r="M32" s="762">
        <f>EXP(H32-I32*NORMSINV(1-0.05/2))</f>
        <v>0.32791964770705595</v>
      </c>
      <c r="N32" s="762">
        <f>EXP(H32+I32*NORMSINV(1-0.05/2))</f>
        <v>0.68004063304771301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AJ32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13" max="13" width="9.140625" customWidth="1"/>
    <col min="32" max="32" width="9.140625" customWidth="1"/>
  </cols>
  <sheetData>
    <row r="1" spans="1:34" x14ac:dyDescent="0.25">
      <c r="A1" s="1" t="s">
        <v>1737</v>
      </c>
    </row>
    <row r="2" spans="1:34" x14ac:dyDescent="0.25">
      <c r="A2" t="s">
        <v>1749</v>
      </c>
    </row>
    <row r="3" spans="1:34" ht="15.75" thickBot="1" x14ac:dyDescent="0.3">
      <c r="G3" s="1323" t="s">
        <v>1775</v>
      </c>
      <c r="H3" s="1323"/>
      <c r="I3" s="1323" t="s">
        <v>113</v>
      </c>
      <c r="J3" s="1323"/>
      <c r="K3" s="1323"/>
      <c r="L3" s="1323"/>
      <c r="M3" s="1323" t="s">
        <v>129</v>
      </c>
      <c r="N3" s="1323"/>
      <c r="O3" s="1323" t="s">
        <v>1777</v>
      </c>
      <c r="P3" s="1323"/>
      <c r="Q3" s="1323"/>
      <c r="R3" s="1323" t="s">
        <v>1776</v>
      </c>
      <c r="S3" s="1323"/>
      <c r="T3" s="1323"/>
      <c r="U3" s="1323" t="s">
        <v>1774</v>
      </c>
      <c r="V3" s="1323"/>
    </row>
    <row r="4" spans="1:34" ht="18" thickTop="1" x14ac:dyDescent="0.25">
      <c r="A4" s="649" t="s">
        <v>1744</v>
      </c>
      <c r="B4" s="649" t="s">
        <v>620</v>
      </c>
      <c r="C4" s="649" t="s">
        <v>1746</v>
      </c>
      <c r="D4" s="649" t="s">
        <v>117</v>
      </c>
      <c r="E4" s="649" t="s">
        <v>1745</v>
      </c>
      <c r="G4" s="826" t="str">
        <f>A4</f>
        <v>Dosage</v>
      </c>
      <c r="H4" s="826" t="str">
        <f t="shared" ref="H4:K16" si="0">B4</f>
        <v>Gender</v>
      </c>
      <c r="I4" s="826" t="str">
        <f t="shared" si="0"/>
        <v>Dead</v>
      </c>
      <c r="J4" s="826" t="str">
        <f t="shared" si="0"/>
        <v>Cured</v>
      </c>
      <c r="K4" s="826" t="str">
        <f t="shared" si="0"/>
        <v>Sick</v>
      </c>
      <c r="L4" s="826" t="s">
        <v>1</v>
      </c>
      <c r="M4" s="826" t="str">
        <f>J4</f>
        <v>Cured</v>
      </c>
      <c r="N4" s="826" t="str">
        <f>K4</f>
        <v>Sick</v>
      </c>
      <c r="O4" s="826" t="str">
        <f>I4</f>
        <v>Dead</v>
      </c>
      <c r="P4" s="826" t="str">
        <f>J4</f>
        <v>Cured</v>
      </c>
      <c r="Q4" s="826" t="str">
        <f>K4</f>
        <v>Sick</v>
      </c>
      <c r="R4" s="826" t="str">
        <f>O4</f>
        <v>Dead</v>
      </c>
      <c r="S4" s="826" t="str">
        <f>P4</f>
        <v>Cured</v>
      </c>
      <c r="T4" s="826" t="str">
        <f>Q4</f>
        <v>Sick</v>
      </c>
      <c r="U4" s="826" t="s">
        <v>1253</v>
      </c>
      <c r="V4" s="826" t="s">
        <v>1796</v>
      </c>
      <c r="X4" t="s">
        <v>298</v>
      </c>
      <c r="AA4" t="s">
        <v>1252</v>
      </c>
      <c r="AB4" s="820">
        <f>I17*LN(I17/L17)+J17*LN(J17/L17)+K17*LN(K17/L17)+V17</f>
        <v>-163.38567469443615</v>
      </c>
      <c r="AD4" t="s">
        <v>1792</v>
      </c>
      <c r="AG4" t="s">
        <v>1719</v>
      </c>
    </row>
    <row r="5" spans="1:34" x14ac:dyDescent="0.25">
      <c r="A5" s="806">
        <v>20</v>
      </c>
      <c r="B5" s="821">
        <v>0</v>
      </c>
      <c r="C5" s="813">
        <v>13</v>
      </c>
      <c r="D5" s="822">
        <v>0</v>
      </c>
      <c r="E5" s="823">
        <v>8</v>
      </c>
      <c r="G5">
        <f>A5</f>
        <v>20</v>
      </c>
      <c r="H5">
        <f t="shared" si="0"/>
        <v>0</v>
      </c>
      <c r="I5" s="751">
        <f t="shared" si="0"/>
        <v>13</v>
      </c>
      <c r="J5" s="752">
        <f t="shared" si="0"/>
        <v>0</v>
      </c>
      <c r="K5" s="752">
        <f t="shared" si="0"/>
        <v>8</v>
      </c>
      <c r="L5" s="755">
        <f>SUM(I5:K5)</f>
        <v>21</v>
      </c>
      <c r="M5" s="751">
        <f>EXP(X$6+MMULT($G5:$H5,X$7:X$8))</f>
        <v>6.235353859314656E-2</v>
      </c>
      <c r="N5" s="755">
        <f>EXP(Y$6+MMULT($G5:$H5,Y$7:Y$8))</f>
        <v>0.29008956765232569</v>
      </c>
      <c r="O5" s="751">
        <f>1/(1+$M5+$N5)</f>
        <v>0.73940263762821623</v>
      </c>
      <c r="P5" s="752">
        <f>M5*O5</f>
        <v>4.6104370901225343E-2</v>
      </c>
      <c r="Q5" s="755">
        <f>N5*O5</f>
        <v>0.21449299147055848</v>
      </c>
      <c r="R5" s="751">
        <f>O5*$L5</f>
        <v>15.527455390192541</v>
      </c>
      <c r="S5" s="752">
        <f t="shared" ref="S5:T16" si="1">P5*$L5</f>
        <v>0.96819178892573221</v>
      </c>
      <c r="T5" s="755">
        <f t="shared" si="1"/>
        <v>4.5043528208817278</v>
      </c>
      <c r="U5" s="7">
        <f>I5*LN(O5)+J5*LN(P5)+K5*LN(Q5)</f>
        <v>-16.24069036756325</v>
      </c>
      <c r="V5">
        <f>GAMMALN(L5+1)-GAMMALN(I5+1)-GAMMALN(J5+1)-GAMMALN(K5+1)</f>
        <v>12.223372142608234</v>
      </c>
      <c r="AA5" t="s">
        <v>1315</v>
      </c>
      <c r="AB5" s="757">
        <f>U17+V17</f>
        <v>-66.505073432682821</v>
      </c>
    </row>
    <row r="6" spans="1:34" x14ac:dyDescent="0.25">
      <c r="A6" s="675">
        <v>21</v>
      </c>
      <c r="B6" s="676">
        <v>0</v>
      </c>
      <c r="C6" s="576">
        <v>60</v>
      </c>
      <c r="D6" s="88">
        <v>6</v>
      </c>
      <c r="E6" s="824">
        <v>30</v>
      </c>
      <c r="G6">
        <f t="shared" ref="G6:G16" si="2">A6</f>
        <v>21</v>
      </c>
      <c r="H6">
        <f t="shared" si="0"/>
        <v>0</v>
      </c>
      <c r="I6" s="532">
        <f t="shared" si="0"/>
        <v>60</v>
      </c>
      <c r="J6" s="7">
        <f t="shared" si="0"/>
        <v>6</v>
      </c>
      <c r="K6" s="7">
        <f t="shared" si="0"/>
        <v>30</v>
      </c>
      <c r="L6" s="533">
        <f t="shared" ref="L6:L16" si="3">SUM(I6:K6)</f>
        <v>96</v>
      </c>
      <c r="M6" s="532">
        <f t="shared" ref="M6:N16" si="4">EXP(X$6+MMULT($G6:$H6,X$7:X$8))</f>
        <v>0.15632285028544476</v>
      </c>
      <c r="N6" s="533">
        <f t="shared" si="4"/>
        <v>0.41906596485761755</v>
      </c>
      <c r="O6" s="532">
        <f t="shared" ref="O6:O16" si="5">1/(1+$M6+$N6)</f>
        <v>0.63476393280676502</v>
      </c>
      <c r="P6" s="7">
        <f t="shared" ref="P6:P16" si="6">M6*O6</f>
        <v>9.9228107234752047E-2</v>
      </c>
      <c r="Q6" s="533">
        <f t="shared" ref="Q6:Q16" si="7">N6*O6</f>
        <v>0.26600795995848292</v>
      </c>
      <c r="R6" s="532">
        <f t="shared" ref="R6:R16" si="8">O6*$L6</f>
        <v>60.937337549449438</v>
      </c>
      <c r="S6" s="7">
        <f t="shared" si="1"/>
        <v>9.5258982945361961</v>
      </c>
      <c r="T6" s="533">
        <f t="shared" si="1"/>
        <v>25.53676415601436</v>
      </c>
      <c r="U6" s="7">
        <f t="shared" ref="U6:U16" si="9">I6*LN(O6)+J6*LN(P6)+K6*LN(Q6)</f>
        <v>-80.859001688462797</v>
      </c>
      <c r="V6">
        <f t="shared" ref="V6:V16" si="10">GAMMALN(L6+1)-GAMMALN(I6+1)-GAMMALN(J6+1)-GAMMALN(K6+1)</f>
        <v>75.513746077754988</v>
      </c>
      <c r="X6" s="802">
        <f t="array" ref="X6:Y8">[1]!MLogitCoeff(A5:E16,2)</f>
        <v>-21.156994806198703</v>
      </c>
      <c r="Y6" s="831">
        <v>-8.5943377955124909</v>
      </c>
      <c r="AD6" s="751">
        <f t="array" ref="AD6:AD8">MMULT(TRANSPOSE([1]!DESIGN($G5:$H16)),J5:J16-S5:S16)</f>
        <v>1.7852386235972517E-13</v>
      </c>
      <c r="AE6" s="831">
        <f t="array" ref="AE6:AE8">MMULT(TRANSPOSE([1]!DESIGN($G5:$H16)),K5:K16-T5:T16)</f>
        <v>-6.7501559897209518E-14</v>
      </c>
      <c r="AG6" s="751">
        <f>AG10</f>
        <v>-2.3666711027597255E-14</v>
      </c>
      <c r="AH6" s="831">
        <f>AG13</f>
        <v>1.2346722242348945E-14</v>
      </c>
    </row>
    <row r="7" spans="1:34" x14ac:dyDescent="0.25">
      <c r="A7" s="675">
        <v>22</v>
      </c>
      <c r="B7" s="676">
        <v>0</v>
      </c>
      <c r="C7" s="576">
        <v>61</v>
      </c>
      <c r="D7" s="88">
        <v>13</v>
      </c>
      <c r="E7" s="824">
        <v>40</v>
      </c>
      <c r="G7">
        <f t="shared" si="2"/>
        <v>22</v>
      </c>
      <c r="H7">
        <f t="shared" si="0"/>
        <v>0</v>
      </c>
      <c r="I7" s="532">
        <f t="shared" si="0"/>
        <v>61</v>
      </c>
      <c r="J7" s="7">
        <f t="shared" si="0"/>
        <v>13</v>
      </c>
      <c r="K7" s="7">
        <f t="shared" si="0"/>
        <v>40</v>
      </c>
      <c r="L7" s="533">
        <f t="shared" si="3"/>
        <v>114</v>
      </c>
      <c r="M7" s="532">
        <f t="shared" si="4"/>
        <v>0.39190772605247925</v>
      </c>
      <c r="N7" s="533">
        <f t="shared" si="4"/>
        <v>0.60538641331812137</v>
      </c>
      <c r="O7" s="532">
        <f t="shared" si="5"/>
        <v>0.50067738160746122</v>
      </c>
      <c r="P7" s="7">
        <f t="shared" si="6"/>
        <v>0.19621933411168954</v>
      </c>
      <c r="Q7" s="533">
        <f t="shared" si="7"/>
        <v>0.30310328428084932</v>
      </c>
      <c r="R7" s="532">
        <f t="shared" si="8"/>
        <v>57.077221503250577</v>
      </c>
      <c r="S7" s="7">
        <f t="shared" si="1"/>
        <v>22.369004088732609</v>
      </c>
      <c r="T7" s="533">
        <f t="shared" si="1"/>
        <v>34.553774408016821</v>
      </c>
      <c r="U7" s="7">
        <f t="shared" si="9"/>
        <v>-111.11744828025783</v>
      </c>
      <c r="V7">
        <f t="shared" si="10"/>
        <v>103.60254101092582</v>
      </c>
      <c r="X7" s="680">
        <v>0.91910299757157021</v>
      </c>
      <c r="Y7" s="503">
        <v>0.36783861228994202</v>
      </c>
      <c r="AA7" t="s">
        <v>1328</v>
      </c>
      <c r="AB7" s="820">
        <f>2*(AB5-AB4)</f>
        <v>193.76120252350665</v>
      </c>
      <c r="AD7" s="532">
        <v>4.3343106881366111E-12</v>
      </c>
      <c r="AE7" s="503">
        <v>-1.7621459846850485E-12</v>
      </c>
      <c r="AG7" s="532">
        <f>AG11</f>
        <v>1.0976343080677012E-15</v>
      </c>
      <c r="AH7" s="503">
        <f>AG14</f>
        <v>-5.4730221903878968E-16</v>
      </c>
    </row>
    <row r="8" spans="1:34" x14ac:dyDescent="0.25">
      <c r="A8" s="675">
        <v>23</v>
      </c>
      <c r="B8" s="677">
        <v>0</v>
      </c>
      <c r="C8" s="576">
        <v>49</v>
      </c>
      <c r="D8" s="88">
        <v>60</v>
      </c>
      <c r="E8" s="824">
        <v>25</v>
      </c>
      <c r="G8">
        <f t="shared" si="2"/>
        <v>23</v>
      </c>
      <c r="H8">
        <f t="shared" si="0"/>
        <v>0</v>
      </c>
      <c r="I8" s="532">
        <f t="shared" si="0"/>
        <v>49</v>
      </c>
      <c r="J8" s="7">
        <f t="shared" si="0"/>
        <v>60</v>
      </c>
      <c r="K8" s="7">
        <f t="shared" si="0"/>
        <v>25</v>
      </c>
      <c r="L8" s="533">
        <f t="shared" si="3"/>
        <v>134</v>
      </c>
      <c r="M8" s="532">
        <f t="shared" si="4"/>
        <v>0.98252856482060669</v>
      </c>
      <c r="N8" s="533">
        <f t="shared" si="4"/>
        <v>0.87454658732474089</v>
      </c>
      <c r="O8" s="532">
        <f t="shared" si="5"/>
        <v>0.35000829405873718</v>
      </c>
      <c r="P8" s="7">
        <f t="shared" si="6"/>
        <v>0.34389314683683991</v>
      </c>
      <c r="Q8" s="533">
        <f t="shared" si="7"/>
        <v>0.30609855910442296</v>
      </c>
      <c r="R8" s="532">
        <f t="shared" si="8"/>
        <v>46.901111403870779</v>
      </c>
      <c r="S8" s="7">
        <f t="shared" si="1"/>
        <v>46.081681676136547</v>
      </c>
      <c r="T8" s="533">
        <f t="shared" si="1"/>
        <v>41.017206919992674</v>
      </c>
      <c r="U8" s="7">
        <f t="shared" si="9"/>
        <v>-145.08178382506711</v>
      </c>
      <c r="V8">
        <f t="shared" si="10"/>
        <v>134.48149092299815</v>
      </c>
      <c r="X8" s="757">
        <v>-1.3052189217977373E-2</v>
      </c>
      <c r="Y8" s="420">
        <v>-0.74998136001826388</v>
      </c>
      <c r="AA8" t="s">
        <v>60</v>
      </c>
      <c r="AB8" s="680">
        <f>COUNT(I5:J5)</f>
        <v>2</v>
      </c>
      <c r="AD8" s="409">
        <v>5.773159728050814E-14</v>
      </c>
      <c r="AE8" s="420">
        <v>-1.4210854715202004E-14</v>
      </c>
      <c r="AG8" s="409">
        <f>AG12</f>
        <v>-7.2118149905005719E-16</v>
      </c>
      <c r="AH8" s="420">
        <f>AG15</f>
        <v>1.2961510378875804E-16</v>
      </c>
    </row>
    <row r="9" spans="1:34" x14ac:dyDescent="0.25">
      <c r="A9" s="675">
        <v>24</v>
      </c>
      <c r="B9" s="677">
        <v>0</v>
      </c>
      <c r="C9" s="576">
        <v>8</v>
      </c>
      <c r="D9" s="88">
        <v>29</v>
      </c>
      <c r="E9" s="824">
        <v>15</v>
      </c>
      <c r="G9">
        <f t="shared" si="2"/>
        <v>24</v>
      </c>
      <c r="H9">
        <f t="shared" si="0"/>
        <v>0</v>
      </c>
      <c r="I9" s="532">
        <f t="shared" si="0"/>
        <v>8</v>
      </c>
      <c r="J9" s="7">
        <f t="shared" si="0"/>
        <v>29</v>
      </c>
      <c r="K9" s="7">
        <f t="shared" si="0"/>
        <v>15</v>
      </c>
      <c r="L9" s="533">
        <f t="shared" si="3"/>
        <v>52</v>
      </c>
      <c r="M9" s="532">
        <f t="shared" si="4"/>
        <v>2.4632389629368405</v>
      </c>
      <c r="N9" s="533">
        <f t="shared" si="4"/>
        <v>1.263377764309757</v>
      </c>
      <c r="O9" s="532">
        <f t="shared" si="5"/>
        <v>0.21156782064335719</v>
      </c>
      <c r="P9" s="7">
        <f t="shared" si="6"/>
        <v>0.52114209911235065</v>
      </c>
      <c r="Q9" s="533">
        <f t="shared" si="7"/>
        <v>0.26729008024429224</v>
      </c>
      <c r="R9" s="532">
        <f t="shared" si="8"/>
        <v>11.001526673454574</v>
      </c>
      <c r="S9" s="7">
        <f t="shared" si="1"/>
        <v>27.099389153842235</v>
      </c>
      <c r="T9" s="533">
        <f t="shared" si="1"/>
        <v>13.899084172703196</v>
      </c>
      <c r="U9" s="7">
        <f t="shared" si="9"/>
        <v>-51.117232257963558</v>
      </c>
      <c r="V9">
        <f t="shared" si="10"/>
        <v>46.599923049324644</v>
      </c>
      <c r="AA9" t="s">
        <v>67</v>
      </c>
      <c r="AB9" s="680">
        <f>CHIDIST(AB7,AB8)</f>
        <v>8.4195614029841413E-43</v>
      </c>
    </row>
    <row r="10" spans="1:34" x14ac:dyDescent="0.25">
      <c r="A10" s="675">
        <v>25</v>
      </c>
      <c r="B10" s="677">
        <v>0</v>
      </c>
      <c r="C10" s="532">
        <v>4</v>
      </c>
      <c r="D10" s="7">
        <v>20</v>
      </c>
      <c r="E10" s="824">
        <v>8</v>
      </c>
      <c r="G10">
        <f t="shared" si="2"/>
        <v>25</v>
      </c>
      <c r="H10">
        <f t="shared" si="0"/>
        <v>0</v>
      </c>
      <c r="I10" s="532">
        <f t="shared" si="0"/>
        <v>4</v>
      </c>
      <c r="J10" s="7">
        <f t="shared" si="0"/>
        <v>20</v>
      </c>
      <c r="K10" s="7">
        <f t="shared" si="0"/>
        <v>8</v>
      </c>
      <c r="L10" s="533">
        <f t="shared" si="3"/>
        <v>32</v>
      </c>
      <c r="M10" s="532">
        <f t="shared" si="4"/>
        <v>6.1754399879844657</v>
      </c>
      <c r="N10" s="533">
        <f t="shared" si="4"/>
        <v>1.8250867346414328</v>
      </c>
      <c r="O10" s="532">
        <f t="shared" si="5"/>
        <v>0.11110460874319258</v>
      </c>
      <c r="P10" s="7">
        <f t="shared" si="6"/>
        <v>0.68611984368208001</v>
      </c>
      <c r="Q10" s="533">
        <f t="shared" si="7"/>
        <v>0.20277554757472735</v>
      </c>
      <c r="R10" s="532">
        <f t="shared" si="8"/>
        <v>3.5553474797821627</v>
      </c>
      <c r="S10" s="7">
        <f t="shared" si="1"/>
        <v>21.95583499782656</v>
      </c>
      <c r="T10" s="533">
        <f t="shared" si="1"/>
        <v>6.4888175223912752</v>
      </c>
      <c r="U10" s="7">
        <f t="shared" si="9"/>
        <v>-29.088436455818083</v>
      </c>
      <c r="V10">
        <f t="shared" si="10"/>
        <v>25.439686262268342</v>
      </c>
      <c r="X10" s="831">
        <f>X6</f>
        <v>-21.156994806198703</v>
      </c>
      <c r="AA10" t="s">
        <v>106</v>
      </c>
      <c r="AB10" s="680">
        <v>0.05</v>
      </c>
      <c r="AD10" s="831">
        <f>AD6</f>
        <v>1.7852386235972517E-13</v>
      </c>
      <c r="AG10" s="831">
        <f t="array" ref="AG10:AG15">MMULT(AE20:AJ25,AD10:AD15)</f>
        <v>-2.3666711027597255E-14</v>
      </c>
    </row>
    <row r="11" spans="1:34" x14ac:dyDescent="0.25">
      <c r="A11" s="675">
        <v>20</v>
      </c>
      <c r="B11" s="677">
        <v>1</v>
      </c>
      <c r="C11" s="576">
        <v>16</v>
      </c>
      <c r="D11" s="88">
        <v>4</v>
      </c>
      <c r="E11" s="824">
        <v>2</v>
      </c>
      <c r="G11">
        <f t="shared" si="2"/>
        <v>20</v>
      </c>
      <c r="H11">
        <f t="shared" si="0"/>
        <v>1</v>
      </c>
      <c r="I11" s="532">
        <f t="shared" si="0"/>
        <v>16</v>
      </c>
      <c r="J11" s="7">
        <f t="shared" si="0"/>
        <v>4</v>
      </c>
      <c r="K11" s="7">
        <f t="shared" si="0"/>
        <v>2</v>
      </c>
      <c r="L11" s="533">
        <f t="shared" si="3"/>
        <v>22</v>
      </c>
      <c r="M11" s="532">
        <f t="shared" si="4"/>
        <v>6.1544976639652062E-2</v>
      </c>
      <c r="N11" s="533">
        <f t="shared" si="4"/>
        <v>0.13703116329263595</v>
      </c>
      <c r="O11" s="532">
        <f t="shared" si="5"/>
        <v>0.83432329969166052</v>
      </c>
      <c r="P11" s="7">
        <f t="shared" si="6"/>
        <v>5.1348407989440674E-2</v>
      </c>
      <c r="Q11" s="533">
        <f t="shared" si="7"/>
        <v>0.11432829231889878</v>
      </c>
      <c r="R11" s="532">
        <f t="shared" si="8"/>
        <v>18.355112593216532</v>
      </c>
      <c r="S11" s="7">
        <f t="shared" si="1"/>
        <v>1.1296649757676949</v>
      </c>
      <c r="T11" s="533">
        <f t="shared" si="1"/>
        <v>2.5152224310157734</v>
      </c>
      <c r="U11" s="7">
        <f t="shared" si="9"/>
        <v>-19.11199664445757</v>
      </c>
      <c r="V11">
        <f t="shared" si="10"/>
        <v>13.928120234846661</v>
      </c>
      <c r="X11" s="503">
        <f>X7</f>
        <v>0.91910299757157021</v>
      </c>
      <c r="AA11" t="s">
        <v>527</v>
      </c>
      <c r="AB11" s="758" t="str">
        <f>IF(AB9&lt;AB10,"yes","no")</f>
        <v>yes</v>
      </c>
      <c r="AD11" s="503">
        <f>AD7</f>
        <v>4.3343106881366111E-12</v>
      </c>
      <c r="AG11" s="503">
        <v>1.0976343080677012E-15</v>
      </c>
    </row>
    <row r="12" spans="1:34" x14ac:dyDescent="0.25">
      <c r="A12" s="675">
        <v>21</v>
      </c>
      <c r="B12" s="677">
        <v>1</v>
      </c>
      <c r="C12" s="576">
        <v>67</v>
      </c>
      <c r="D12" s="88">
        <v>9</v>
      </c>
      <c r="E12" s="824">
        <v>8</v>
      </c>
      <c r="G12">
        <f t="shared" si="2"/>
        <v>21</v>
      </c>
      <c r="H12">
        <f t="shared" si="0"/>
        <v>1</v>
      </c>
      <c r="I12" s="532">
        <f t="shared" si="0"/>
        <v>67</v>
      </c>
      <c r="J12" s="7">
        <f t="shared" si="0"/>
        <v>9</v>
      </c>
      <c r="K12" s="7">
        <f t="shared" si="0"/>
        <v>8</v>
      </c>
      <c r="L12" s="533">
        <f t="shared" si="3"/>
        <v>84</v>
      </c>
      <c r="M12" s="532">
        <f t="shared" si="4"/>
        <v>0.1542957526731126</v>
      </c>
      <c r="N12" s="533">
        <f t="shared" si="4"/>
        <v>0.19795643506082441</v>
      </c>
      <c r="O12" s="532">
        <f t="shared" si="5"/>
        <v>0.73950703061961354</v>
      </c>
      <c r="P12" s="7">
        <f t="shared" si="6"/>
        <v>0.1141027938965118</v>
      </c>
      <c r="Q12" s="533">
        <f t="shared" si="7"/>
        <v>0.14639017548387462</v>
      </c>
      <c r="R12" s="532">
        <f t="shared" si="8"/>
        <v>62.118590572047538</v>
      </c>
      <c r="S12" s="7">
        <f t="shared" si="1"/>
        <v>9.5846346873069912</v>
      </c>
      <c r="T12" s="533">
        <f t="shared" si="1"/>
        <v>12.296774740645468</v>
      </c>
      <c r="U12" s="7">
        <f t="shared" si="9"/>
        <v>-55.126427924947315</v>
      </c>
      <c r="V12">
        <f t="shared" si="10"/>
        <v>50.180585597489312</v>
      </c>
      <c r="X12" s="420">
        <f>X8</f>
        <v>-1.3052189217977373E-2</v>
      </c>
      <c r="AD12" s="420">
        <f>AD8</f>
        <v>5.773159728050814E-14</v>
      </c>
      <c r="AG12" s="420">
        <v>-7.2118149905005719E-16</v>
      </c>
    </row>
    <row r="13" spans="1:34" x14ac:dyDescent="0.25">
      <c r="A13" s="675">
        <v>22</v>
      </c>
      <c r="B13" s="677">
        <v>1</v>
      </c>
      <c r="C13" s="576">
        <v>55</v>
      </c>
      <c r="D13" s="88">
        <v>20</v>
      </c>
      <c r="E13" s="824">
        <v>14</v>
      </c>
      <c r="G13">
        <f t="shared" si="2"/>
        <v>22</v>
      </c>
      <c r="H13">
        <f t="shared" si="0"/>
        <v>1</v>
      </c>
      <c r="I13" s="532">
        <f t="shared" si="0"/>
        <v>55</v>
      </c>
      <c r="J13" s="7">
        <f t="shared" si="0"/>
        <v>20</v>
      </c>
      <c r="K13" s="7">
        <f t="shared" si="0"/>
        <v>14</v>
      </c>
      <c r="L13" s="533">
        <f t="shared" si="3"/>
        <v>89</v>
      </c>
      <c r="M13" s="532">
        <f t="shared" si="4"/>
        <v>0.38682571012016442</v>
      </c>
      <c r="N13" s="533">
        <f t="shared" si="4"/>
        <v>0.28596962355420857</v>
      </c>
      <c r="O13" s="532">
        <f t="shared" si="5"/>
        <v>0.59780176323391176</v>
      </c>
      <c r="P13" s="7">
        <f t="shared" si="6"/>
        <v>0.23124509157404433</v>
      </c>
      <c r="Q13" s="533">
        <f t="shared" si="7"/>
        <v>0.17095314519204388</v>
      </c>
      <c r="R13" s="532">
        <f t="shared" si="8"/>
        <v>53.204356927818147</v>
      </c>
      <c r="S13" s="7">
        <f t="shared" si="1"/>
        <v>20.580813150089945</v>
      </c>
      <c r="T13" s="533">
        <f t="shared" si="1"/>
        <v>15.214829922091905</v>
      </c>
      <c r="U13" s="7">
        <f t="shared" si="9"/>
        <v>-82.3119476532367</v>
      </c>
      <c r="V13">
        <f t="shared" si="10"/>
        <v>77.798546857959138</v>
      </c>
      <c r="X13" s="503">
        <f>Y6</f>
        <v>-8.5943377955124909</v>
      </c>
      <c r="AA13" t="s">
        <v>1325</v>
      </c>
      <c r="AB13" s="820">
        <f>1-(AB5-V17)/(AB4-V17)</f>
        <v>0.106947867876522</v>
      </c>
      <c r="AD13" s="503">
        <f>AE6</f>
        <v>-6.7501559897209518E-14</v>
      </c>
      <c r="AG13" s="503">
        <v>1.2346722242348945E-14</v>
      </c>
    </row>
    <row r="14" spans="1:34" x14ac:dyDescent="0.25">
      <c r="A14" s="675">
        <v>23</v>
      </c>
      <c r="B14" s="677">
        <v>1</v>
      </c>
      <c r="C14" s="576">
        <v>49</v>
      </c>
      <c r="D14" s="88">
        <v>55</v>
      </c>
      <c r="E14" s="824">
        <v>20</v>
      </c>
      <c r="G14">
        <f t="shared" si="2"/>
        <v>23</v>
      </c>
      <c r="H14">
        <f t="shared" si="0"/>
        <v>1</v>
      </c>
      <c r="I14" s="532">
        <f t="shared" si="0"/>
        <v>49</v>
      </c>
      <c r="J14" s="7">
        <f t="shared" si="0"/>
        <v>55</v>
      </c>
      <c r="K14" s="7">
        <f t="shared" si="0"/>
        <v>20</v>
      </c>
      <c r="L14" s="533">
        <f t="shared" si="3"/>
        <v>124</v>
      </c>
      <c r="M14" s="532">
        <f t="shared" si="4"/>
        <v>0.96978774475393581</v>
      </c>
      <c r="N14" s="533">
        <f t="shared" si="4"/>
        <v>0.41311425703644505</v>
      </c>
      <c r="O14" s="532">
        <f t="shared" si="5"/>
        <v>0.41965636826384606</v>
      </c>
      <c r="P14" s="7">
        <f t="shared" si="6"/>
        <v>0.40697760295022245</v>
      </c>
      <c r="Q14" s="533">
        <f t="shared" si="7"/>
        <v>0.17336602878593155</v>
      </c>
      <c r="R14" s="532">
        <f t="shared" si="8"/>
        <v>52.037389664716912</v>
      </c>
      <c r="S14" s="7">
        <f t="shared" si="1"/>
        <v>50.465222765827583</v>
      </c>
      <c r="T14" s="533">
        <f t="shared" si="1"/>
        <v>21.497387569455512</v>
      </c>
      <c r="U14" s="7">
        <f t="shared" si="9"/>
        <v>-127.03947937742005</v>
      </c>
      <c r="V14">
        <f t="shared" si="10"/>
        <v>121.81585963705966</v>
      </c>
      <c r="X14" s="503">
        <f>Y7</f>
        <v>0.36783861228994202</v>
      </c>
      <c r="AA14" t="s">
        <v>1326</v>
      </c>
      <c r="AB14" s="680">
        <f>1-EXP((-2/L17)*(AB5-AB4))</f>
        <v>0.2017262728453767</v>
      </c>
      <c r="AD14" s="503">
        <f>AE7</f>
        <v>-1.7621459846850485E-12</v>
      </c>
      <c r="AG14" s="503">
        <v>-5.4730221903878968E-16</v>
      </c>
    </row>
    <row r="15" spans="1:34" x14ac:dyDescent="0.25">
      <c r="A15" s="675">
        <v>24</v>
      </c>
      <c r="B15" s="677">
        <v>1</v>
      </c>
      <c r="C15" s="576">
        <v>12</v>
      </c>
      <c r="D15" s="88">
        <v>36</v>
      </c>
      <c r="E15" s="824">
        <v>15</v>
      </c>
      <c r="G15">
        <f t="shared" si="2"/>
        <v>24</v>
      </c>
      <c r="H15">
        <f t="shared" si="0"/>
        <v>1</v>
      </c>
      <c r="I15" s="532">
        <f t="shared" si="0"/>
        <v>12</v>
      </c>
      <c r="J15" s="7">
        <f t="shared" si="0"/>
        <v>36</v>
      </c>
      <c r="K15" s="7">
        <f t="shared" si="0"/>
        <v>15</v>
      </c>
      <c r="L15" s="533">
        <f t="shared" si="3"/>
        <v>63</v>
      </c>
      <c r="M15" s="532">
        <f t="shared" si="4"/>
        <v>2.4312972102675721</v>
      </c>
      <c r="N15" s="533">
        <f t="shared" si="4"/>
        <v>0.59678852336014954</v>
      </c>
      <c r="O15" s="532">
        <f t="shared" si="5"/>
        <v>0.24825688084334621</v>
      </c>
      <c r="P15" s="7">
        <f t="shared" si="6"/>
        <v>0.60358626182415664</v>
      </c>
      <c r="Q15" s="533">
        <f t="shared" si="7"/>
        <v>0.14815685733249717</v>
      </c>
      <c r="R15" s="532">
        <f t="shared" si="8"/>
        <v>15.640183493130811</v>
      </c>
      <c r="S15" s="7">
        <f t="shared" si="1"/>
        <v>38.02593449492187</v>
      </c>
      <c r="T15" s="533">
        <f t="shared" si="1"/>
        <v>9.3338820119473223</v>
      </c>
      <c r="U15" s="7">
        <f t="shared" si="9"/>
        <v>-63.536938161632953</v>
      </c>
      <c r="V15">
        <f t="shared" si="10"/>
        <v>57.403135977635543</v>
      </c>
      <c r="X15" s="420">
        <f>Y8</f>
        <v>-0.74998136001826388</v>
      </c>
      <c r="AA15" t="s">
        <v>1327</v>
      </c>
      <c r="AB15" s="757">
        <f>AB14/(1-EXP(2*(AB4-V17)/L17))</f>
        <v>0.22966306763181402</v>
      </c>
      <c r="AD15" s="420">
        <f>AE8</f>
        <v>-1.4210854715202004E-14</v>
      </c>
      <c r="AG15" s="420">
        <v>1.2961510378875804E-16</v>
      </c>
    </row>
    <row r="16" spans="1:34" x14ac:dyDescent="0.25">
      <c r="A16" s="678">
        <v>25</v>
      </c>
      <c r="B16" s="679">
        <v>1</v>
      </c>
      <c r="C16" s="409">
        <v>6</v>
      </c>
      <c r="D16" s="762">
        <v>18</v>
      </c>
      <c r="E16" s="825">
        <v>5</v>
      </c>
      <c r="G16">
        <f t="shared" si="2"/>
        <v>25</v>
      </c>
      <c r="H16">
        <f t="shared" si="0"/>
        <v>1</v>
      </c>
      <c r="I16" s="409">
        <f t="shared" si="0"/>
        <v>6</v>
      </c>
      <c r="J16" s="762">
        <f t="shared" si="0"/>
        <v>18</v>
      </c>
      <c r="K16" s="762">
        <f t="shared" si="0"/>
        <v>5</v>
      </c>
      <c r="L16" s="417">
        <f t="shared" si="3"/>
        <v>29</v>
      </c>
      <c r="M16" s="409">
        <f t="shared" si="4"/>
        <v>6.0953607184990037</v>
      </c>
      <c r="N16" s="417">
        <f t="shared" si="4"/>
        <v>0.86212599915903554</v>
      </c>
      <c r="O16" s="409">
        <f t="shared" si="5"/>
        <v>0.12566781893345202</v>
      </c>
      <c r="P16" s="762">
        <f t="shared" si="6"/>
        <v>0.76599068710640883</v>
      </c>
      <c r="Q16" s="417">
        <f t="shared" si="7"/>
        <v>0.10834149396013909</v>
      </c>
      <c r="R16" s="409">
        <f t="shared" si="8"/>
        <v>3.6443667490701088</v>
      </c>
      <c r="S16" s="762">
        <f t="shared" si="1"/>
        <v>22.213729926085858</v>
      </c>
      <c r="T16" s="417">
        <f t="shared" si="1"/>
        <v>3.1419033248440336</v>
      </c>
      <c r="U16" s="7">
        <f t="shared" si="9"/>
        <v>-28.355549371068889</v>
      </c>
      <c r="V16">
        <f t="shared" si="10"/>
        <v>23.494850804342796</v>
      </c>
    </row>
    <row r="17" spans="3:36" x14ac:dyDescent="0.25">
      <c r="C17">
        <f>SUM(C5:C16)</f>
        <v>400</v>
      </c>
      <c r="D17">
        <f>SUM(D5:D16)</f>
        <v>270</v>
      </c>
      <c r="E17">
        <f>SUM(E5:E16)</f>
        <v>190</v>
      </c>
      <c r="G17" s="801"/>
      <c r="H17" s="801"/>
      <c r="I17" s="801">
        <f>SUM(I5:I16)</f>
        <v>400</v>
      </c>
      <c r="J17" s="801">
        <f>SUM(J5:J16)</f>
        <v>270</v>
      </c>
      <c r="K17" s="827">
        <f>SUM(K5:K16)</f>
        <v>190</v>
      </c>
      <c r="L17" s="827">
        <f>SUM(L5:L16)</f>
        <v>860</v>
      </c>
      <c r="O17" s="827"/>
      <c r="R17" s="801">
        <f>SUM(R5:R16)</f>
        <v>400.00000000000011</v>
      </c>
      <c r="S17" s="801">
        <f>SUM(S5:S16)</f>
        <v>269.99999999999983</v>
      </c>
      <c r="T17" s="801">
        <f>SUM(T5:T16)</f>
        <v>190.00000000000009</v>
      </c>
      <c r="U17" s="801">
        <f>SUM(U5:U16)</f>
        <v>-808.98693200789626</v>
      </c>
      <c r="V17" s="801">
        <f>SUM(V5:V16)</f>
        <v>742.48185857521344</v>
      </c>
      <c r="W17" s="7"/>
    </row>
    <row r="18" spans="3:36" x14ac:dyDescent="0.25">
      <c r="X18" t="s">
        <v>1791</v>
      </c>
      <c r="AE18" t="s">
        <v>1528</v>
      </c>
    </row>
    <row r="19" spans="3:36" x14ac:dyDescent="0.25">
      <c r="G19" t="s">
        <v>1757</v>
      </c>
    </row>
    <row r="20" spans="3:36" ht="15.75" thickBot="1" x14ac:dyDescent="0.3">
      <c r="X20" s="751">
        <f t="array" ref="X20:Z22">MMULT(TRANSPOSE([1]!DESIGN(G5:H16)),P5:P16*(1-P5:P16)*L5:L16*[1]!DESIGN(G5:H16))</f>
        <v>153.17024362114361</v>
      </c>
      <c r="Y20" s="752">
        <v>3501.2154675624215</v>
      </c>
      <c r="Z20" s="755">
        <v>75.583490587048502</v>
      </c>
      <c r="AA20" s="751">
        <f t="array" ref="AA20:AC22">-MMULT(TRANSPOSE([1]!DESIGN(G5:H16)),P5:P16*Q5:Q16*L5:L16*[1]!DESIGN(G5:H16))</f>
        <v>-57.162825119673073</v>
      </c>
      <c r="AB20" s="752">
        <v>-1322.1566642494668</v>
      </c>
      <c r="AC20" s="755">
        <v>-21.840030661240473</v>
      </c>
      <c r="AE20" s="751">
        <f t="array" ref="AE20:AJ25">MINVERSE(X20:AC25)</f>
        <v>3.2453693288507766</v>
      </c>
      <c r="AF20" s="752">
        <v>-0.1425499740790169</v>
      </c>
      <c r="AG20" s="752">
        <v>-4.6107999775572752E-3</v>
      </c>
      <c r="AH20" s="752">
        <v>1.2256302588371764</v>
      </c>
      <c r="AI20" s="752">
        <v>-5.5489542637584183E-2</v>
      </c>
      <c r="AJ20" s="755">
        <v>-2.1649839095638341E-3</v>
      </c>
    </row>
    <row r="21" spans="3:36" ht="15.75" thickTop="1" x14ac:dyDescent="0.25">
      <c r="G21" s="800"/>
      <c r="H21" s="800" t="s">
        <v>1529</v>
      </c>
      <c r="I21" s="800" t="s">
        <v>425</v>
      </c>
      <c r="J21" s="800" t="s">
        <v>1530</v>
      </c>
      <c r="K21" s="800" t="s">
        <v>67</v>
      </c>
      <c r="L21" s="800" t="s">
        <v>1531</v>
      </c>
      <c r="M21" s="800" t="s">
        <v>29</v>
      </c>
      <c r="N21" s="800" t="s">
        <v>30</v>
      </c>
      <c r="X21" s="532">
        <v>3501.2154675624215</v>
      </c>
      <c r="Y21" s="7">
        <v>80225.307209906867</v>
      </c>
      <c r="Z21" s="533">
        <v>1727.8721469528452</v>
      </c>
      <c r="AA21" s="532">
        <v>-1322.1566642494668</v>
      </c>
      <c r="AB21" s="7">
        <v>-30649.462493658837</v>
      </c>
      <c r="AC21" s="533">
        <v>-506.05584008468725</v>
      </c>
      <c r="AE21" s="532">
        <v>-0.14254997407901701</v>
      </c>
      <c r="AF21" s="7">
        <v>6.2931580126704073E-3</v>
      </c>
      <c r="AG21" s="7">
        <v>-5.0185954612798345E-4</v>
      </c>
      <c r="AH21" s="7">
        <v>-5.5675783100960316E-2</v>
      </c>
      <c r="AI21" s="7">
        <v>2.5322414523067183E-3</v>
      </c>
      <c r="AJ21" s="533">
        <v>-1.8677809083676166E-4</v>
      </c>
    </row>
    <row r="22" spans="3:36" x14ac:dyDescent="0.25">
      <c r="G22" t="s">
        <v>296</v>
      </c>
      <c r="H22">
        <f t="array" ref="H22:H24">X6:X8</f>
        <v>-21.156994806198703</v>
      </c>
      <c r="I22">
        <f t="array" ref="I22:I24">SQRT([1]!DIAG(AE20:AG22))</f>
        <v>1.8014908628274462</v>
      </c>
      <c r="J22">
        <f>(H22/I22)^2</f>
        <v>137.92526639426455</v>
      </c>
      <c r="K22">
        <f>CHIDIST(J22,1)</f>
        <v>7.5671693909924519E-32</v>
      </c>
      <c r="L22">
        <f>EXP(H22)</f>
        <v>6.4808788342761493E-10</v>
      </c>
      <c r="X22" s="409">
        <v>75.583490587048502</v>
      </c>
      <c r="Y22" s="762">
        <v>1727.8721469528452</v>
      </c>
      <c r="Z22" s="417">
        <v>75.583490587048502</v>
      </c>
      <c r="AA22" s="409">
        <v>-21.840030661240473</v>
      </c>
      <c r="AB22" s="762">
        <v>-506.05584008468725</v>
      </c>
      <c r="AC22" s="417">
        <v>-21.840030661240473</v>
      </c>
      <c r="AE22" s="532">
        <v>-4.6107999775563974E-3</v>
      </c>
      <c r="AF22" s="7">
        <v>-5.018595461280125E-4</v>
      </c>
      <c r="AG22" s="7">
        <v>3.0834505331225774E-2</v>
      </c>
      <c r="AH22" s="7">
        <v>1.5688900371118742E-2</v>
      </c>
      <c r="AI22" s="7">
        <v>-9.825772165676888E-4</v>
      </c>
      <c r="AJ22" s="533">
        <v>1.2340776124905726E-2</v>
      </c>
    </row>
    <row r="23" spans="3:36" x14ac:dyDescent="0.25">
      <c r="G23" t="str">
        <f t="array" ref="G23:G24">TRANSPOSE(G4:H4)</f>
        <v>Dosage</v>
      </c>
      <c r="H23">
        <v>0.91910299757157021</v>
      </c>
      <c r="I23">
        <v>7.9329427154558527E-2</v>
      </c>
      <c r="J23">
        <f>(H23/I23)^2</f>
        <v>134.23313357844458</v>
      </c>
      <c r="K23">
        <f>CHIDIST(J23,1)</f>
        <v>4.8582333872045523E-31</v>
      </c>
      <c r="L23">
        <f>EXP(H23)</f>
        <v>2.5070405595653962</v>
      </c>
      <c r="M23">
        <f>EXP(H23-I23*NORMSINV(1-0.05/2))</f>
        <v>2.1460311885294909</v>
      </c>
      <c r="N23">
        <f>EXP(H23+I23*NORMSINV(1-0.05/2))</f>
        <v>2.9287796006416715</v>
      </c>
      <c r="X23" s="751">
        <f t="array" ref="X23:Z25">AA20:AC22</f>
        <v>-57.162825119673073</v>
      </c>
      <c r="Y23" s="752">
        <v>-1322.1566642494668</v>
      </c>
      <c r="Z23" s="755">
        <v>-21.840030661240473</v>
      </c>
      <c r="AA23" s="751">
        <f t="array" ref="AA23:AC25">MMULT(TRANSPOSE([1]!DESIGN(G5:H16)),Q5:Q16*(1-Q5:Q16)*L5:L16*[1]!DESIGN(G5:H16))</f>
        <v>144.0424290934659</v>
      </c>
      <c r="AB23" s="752">
        <v>3234.5873033718594</v>
      </c>
      <c r="AC23" s="755">
        <v>53.861095035864466</v>
      </c>
      <c r="AE23" s="532">
        <v>1.2256302588372157</v>
      </c>
      <c r="AF23" s="7">
        <v>-5.5675783100962009E-2</v>
      </c>
      <c r="AG23" s="7">
        <v>1.5688900371117843E-2</v>
      </c>
      <c r="AH23" s="7">
        <v>2.9810072347788465</v>
      </c>
      <c r="AI23" s="7">
        <v>-0.13348486913116944</v>
      </c>
      <c r="AJ23" s="533">
        <v>3.1185067677373542E-3</v>
      </c>
    </row>
    <row r="24" spans="3:36" x14ac:dyDescent="0.25">
      <c r="G24" s="762" t="str">
        <v>Gender</v>
      </c>
      <c r="H24" s="762">
        <v>-1.3052189217977373E-2</v>
      </c>
      <c r="I24" s="762">
        <v>0.17559756641601207</v>
      </c>
      <c r="J24" s="762">
        <f>(H24/I24)^2</f>
        <v>5.5249676150751605E-3</v>
      </c>
      <c r="K24" s="762">
        <f>CHIDIST(J24,1)</f>
        <v>0.94074770633263105</v>
      </c>
      <c r="L24" s="762">
        <f>EXP(H24)</f>
        <v>0.98703262121544733</v>
      </c>
      <c r="M24" s="762">
        <f>EXP(H24-I24*NORMSINV(1-0.05/2))</f>
        <v>0.6996205969969389</v>
      </c>
      <c r="N24" s="762">
        <f>EXP(H24+I24*NORMSINV(1-0.05/2))</f>
        <v>1.3925167433967061</v>
      </c>
      <c r="X24" s="532">
        <v>-1322.1566642494668</v>
      </c>
      <c r="Y24" s="7">
        <v>-30649.462493658837</v>
      </c>
      <c r="Z24" s="533">
        <v>-506.05584008468725</v>
      </c>
      <c r="AA24" s="532">
        <v>3234.5873033718594</v>
      </c>
      <c r="AB24" s="7">
        <v>72848.152854862958</v>
      </c>
      <c r="AC24" s="533">
        <v>1212.0691124734037</v>
      </c>
      <c r="AE24" s="532">
        <v>-5.5489542637589324E-2</v>
      </c>
      <c r="AF24" s="7">
        <v>2.5322414523069416E-3</v>
      </c>
      <c r="AG24" s="7">
        <v>-9.8257721656763654E-4</v>
      </c>
      <c r="AH24" s="7">
        <v>-0.13348486913116947</v>
      </c>
      <c r="AI24" s="7">
        <v>6.0045750176369343E-3</v>
      </c>
      <c r="AJ24" s="533">
        <v>-7.4666034792127871E-4</v>
      </c>
    </row>
    <row r="25" spans="3:36" x14ac:dyDescent="0.25">
      <c r="X25" s="409">
        <v>-21.840030661240473</v>
      </c>
      <c r="Y25" s="762">
        <v>-506.05584008468725</v>
      </c>
      <c r="Z25" s="417">
        <v>-21.840030661240473</v>
      </c>
      <c r="AA25" s="409">
        <v>53.861095035864466</v>
      </c>
      <c r="AB25" s="762">
        <v>1212.0691124734037</v>
      </c>
      <c r="AC25" s="417">
        <v>53.861095035864466</v>
      </c>
      <c r="AE25" s="409">
        <v>-2.164983909563161E-3</v>
      </c>
      <c r="AF25" s="762">
        <v>-1.8677809083679156E-4</v>
      </c>
      <c r="AG25" s="762">
        <v>1.2340776124905728E-2</v>
      </c>
      <c r="AH25" s="762">
        <v>3.1185067677381821E-3</v>
      </c>
      <c r="AI25" s="762">
        <v>-7.4666034792131568E-4</v>
      </c>
      <c r="AJ25" s="417">
        <v>3.4621598853735176E-2</v>
      </c>
    </row>
    <row r="27" spans="3:36" x14ac:dyDescent="0.25">
      <c r="G27" t="s">
        <v>1778</v>
      </c>
    </row>
    <row r="28" spans="3:36" ht="15.75" thickBot="1" x14ac:dyDescent="0.3"/>
    <row r="29" spans="3:36" ht="15.75" thickTop="1" x14ac:dyDescent="0.25">
      <c r="G29" s="800"/>
      <c r="H29" s="800" t="s">
        <v>1529</v>
      </c>
      <c r="I29" s="800" t="s">
        <v>425</v>
      </c>
      <c r="J29" s="800" t="s">
        <v>1530</v>
      </c>
      <c r="K29" s="800" t="s">
        <v>67</v>
      </c>
      <c r="L29" s="800" t="s">
        <v>1531</v>
      </c>
      <c r="M29" s="800" t="s">
        <v>29</v>
      </c>
      <c r="N29" s="800" t="s">
        <v>30</v>
      </c>
    </row>
    <row r="30" spans="3:36" x14ac:dyDescent="0.25">
      <c r="G30" t="s">
        <v>296</v>
      </c>
      <c r="H30">
        <f t="array" ref="H30:H32">Y6:Y8</f>
        <v>-8.5943377955124909</v>
      </c>
      <c r="I30">
        <f t="array" ref="I30:I32">SQRT([1]!DIAG(AH23:AJ25))</f>
        <v>1.7265593632362737</v>
      </c>
      <c r="J30">
        <f>(H30/I30)^2</f>
        <v>24.77774668965343</v>
      </c>
      <c r="K30">
        <f>CHIDIST(J30,1)</f>
        <v>6.4335957108688625E-7</v>
      </c>
      <c r="L30">
        <f>EXP(H30)</f>
        <v>1.8515119516417114E-4</v>
      </c>
    </row>
    <row r="31" spans="3:36" x14ac:dyDescent="0.25">
      <c r="G31" t="str">
        <f t="array" ref="G31:G32">TRANSPOSE(G4:H4)</f>
        <v>Dosage</v>
      </c>
      <c r="H31">
        <v>0.36783861228994202</v>
      </c>
      <c r="I31">
        <v>7.7489192908669111E-2</v>
      </c>
      <c r="J31">
        <f>(H31/I31)^2</f>
        <v>22.533692108761237</v>
      </c>
      <c r="K31">
        <f>CHIDIST(J31,1)</f>
        <v>2.0649001151729324E-6</v>
      </c>
      <c r="L31">
        <f>EXP(H31)</f>
        <v>1.4446088780409743</v>
      </c>
      <c r="M31">
        <f>EXP(H31-I31*NORMSINV(1-0.05/2))</f>
        <v>1.2410559440212108</v>
      </c>
      <c r="N31">
        <f>EXP(H31+I31*NORMSINV(1-0.05/2))</f>
        <v>1.6815477340634175</v>
      </c>
    </row>
    <row r="32" spans="3:36" x14ac:dyDescent="0.25">
      <c r="G32" s="762" t="str">
        <v>Gender</v>
      </c>
      <c r="H32" s="762">
        <v>-0.74998136001826388</v>
      </c>
      <c r="I32" s="762">
        <v>0.18606880139812579</v>
      </c>
      <c r="J32" s="762">
        <f>(H32/I32)^2</f>
        <v>16.246275706419663</v>
      </c>
      <c r="K32" s="762">
        <f>CHIDIST(J32,1)</f>
        <v>5.561881744086609E-5</v>
      </c>
      <c r="L32" s="762">
        <f>EXP(H32)</f>
        <v>0.47237535772699268</v>
      </c>
      <c r="M32" s="762">
        <f>EXP(H32-I32*NORMSINV(1-0.05/2))</f>
        <v>0.32802366972526786</v>
      </c>
      <c r="N32" s="762">
        <f>EXP(H32+I32*NORMSINV(1-0.05/2))</f>
        <v>0.68025115009106252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AC45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8" max="10" width="9.28515625" bestFit="1" customWidth="1"/>
    <col min="11" max="11" width="9.28515625" customWidth="1"/>
    <col min="12" max="12" width="9.28515625" bestFit="1" customWidth="1"/>
    <col min="13" max="13" width="9.140625" customWidth="1"/>
    <col min="14" max="16" width="9.42578125" bestFit="1" customWidth="1"/>
    <col min="17" max="18" width="9.42578125" customWidth="1"/>
    <col min="19" max="20" width="9.42578125" bestFit="1" customWidth="1"/>
    <col min="21" max="21" width="9.28515625" bestFit="1" customWidth="1"/>
  </cols>
  <sheetData>
    <row r="1" spans="1:29" x14ac:dyDescent="0.25">
      <c r="A1" s="1" t="s">
        <v>1737</v>
      </c>
    </row>
    <row r="2" spans="1:29" x14ac:dyDescent="0.25">
      <c r="A2" t="s">
        <v>2322</v>
      </c>
      <c r="G2" s="833" t="s">
        <v>298</v>
      </c>
      <c r="H2" s="833"/>
      <c r="J2" t="s">
        <v>1752</v>
      </c>
      <c r="M2" t="s">
        <v>1753</v>
      </c>
      <c r="P2" t="s">
        <v>1797</v>
      </c>
      <c r="V2" s="16" t="s">
        <v>1781</v>
      </c>
      <c r="AA2" s="16" t="s">
        <v>1813</v>
      </c>
    </row>
    <row r="4" spans="1:29" x14ac:dyDescent="0.25">
      <c r="A4" s="649" t="s">
        <v>1744</v>
      </c>
      <c r="B4" s="649" t="s">
        <v>620</v>
      </c>
      <c r="C4" s="649" t="s">
        <v>1746</v>
      </c>
      <c r="D4" s="649" t="s">
        <v>117</v>
      </c>
      <c r="E4" s="649" t="s">
        <v>1745</v>
      </c>
      <c r="G4" s="829" t="s">
        <v>1745</v>
      </c>
      <c r="H4" s="829" t="s">
        <v>1746</v>
      </c>
      <c r="J4" t="str">
        <f t="array" ref="J4:K10">[1]!MLogitRSquare(A5:E16,2,TRUE)</f>
        <v>LL</v>
      </c>
      <c r="K4" s="831">
        <v>-66.505073432682707</v>
      </c>
      <c r="M4" s="7" t="str">
        <f t="array" ref="M4:N8">[1]!MLogitTest(A5:E16,2,TRUE)</f>
        <v>LL</v>
      </c>
      <c r="N4" s="831">
        <v>-66.505073432682707</v>
      </c>
      <c r="P4" s="295" t="s">
        <v>1744</v>
      </c>
      <c r="Q4" s="295" t="s">
        <v>620</v>
      </c>
      <c r="R4" s="295" t="s">
        <v>1746</v>
      </c>
      <c r="S4" s="295" t="s">
        <v>117</v>
      </c>
      <c r="T4" s="295" t="s">
        <v>1745</v>
      </c>
      <c r="V4" s="649" t="str">
        <f t="array" ref="V4:Y16">[1]!MLogitExtract(A4:E16,2,"2,0")</f>
        <v>Dosage</v>
      </c>
      <c r="W4" s="649" t="str">
        <v>Gender</v>
      </c>
      <c r="X4" s="649" t="str">
        <v>Sick</v>
      </c>
      <c r="Y4" s="649" t="str">
        <v>Dead</v>
      </c>
      <c r="AA4" t="str">
        <f t="array" ref="AA4:AC7">[1]!MLogitCoeff(A5:E16,2,TRUE)</f>
        <v/>
      </c>
      <c r="AB4" t="str">
        <v xml:space="preserve"> 1</v>
      </c>
      <c r="AC4" t="str">
        <v xml:space="preserve"> 2</v>
      </c>
    </row>
    <row r="5" spans="1:29" x14ac:dyDescent="0.25">
      <c r="A5" s="806">
        <v>20</v>
      </c>
      <c r="B5" s="821">
        <v>0</v>
      </c>
      <c r="C5" s="813">
        <v>13</v>
      </c>
      <c r="D5" s="822">
        <v>0</v>
      </c>
      <c r="E5" s="823">
        <v>8</v>
      </c>
      <c r="G5" s="751">
        <f t="array" ref="G5:H7">[1]!MLogitCoeff(A5:E16,2)</f>
        <v>-21.156994806198703</v>
      </c>
      <c r="H5" s="831">
        <v>-8.5943377955124909</v>
      </c>
      <c r="J5" t="str">
        <v>LL0</v>
      </c>
      <c r="K5" s="503">
        <v>-163.38567469443615</v>
      </c>
      <c r="M5" s="7" t="str">
        <v>LL0</v>
      </c>
      <c r="N5" s="503">
        <v>-163.38567469443615</v>
      </c>
      <c r="P5" s="751">
        <v>24</v>
      </c>
      <c r="Q5" s="752">
        <v>1</v>
      </c>
      <c r="R5" s="751">
        <f t="array" ref="R5:T5">[1]!MLogitPred(P5:Q5,$A$5:$E$16,2)</f>
        <v>0.24825688084334632</v>
      </c>
      <c r="S5" s="752">
        <v>0.60358626182415642</v>
      </c>
      <c r="T5" s="755">
        <v>0.14815685733249731</v>
      </c>
      <c r="V5" s="806">
        <v>20</v>
      </c>
      <c r="W5" s="821">
        <v>0</v>
      </c>
      <c r="X5" s="813">
        <v>8</v>
      </c>
      <c r="Y5" s="808">
        <v>13</v>
      </c>
      <c r="AA5" t="str">
        <v>Intercept</v>
      </c>
      <c r="AB5" s="3">
        <v>-21.156994806198703</v>
      </c>
      <c r="AC5" s="5">
        <v>-8.5943377955124909</v>
      </c>
    </row>
    <row r="6" spans="1:29" x14ac:dyDescent="0.25">
      <c r="A6" s="675">
        <v>21</v>
      </c>
      <c r="B6" s="676">
        <v>0</v>
      </c>
      <c r="C6" s="576">
        <v>60</v>
      </c>
      <c r="D6" s="88">
        <v>6</v>
      </c>
      <c r="E6" s="824">
        <v>30</v>
      </c>
      <c r="G6" s="532">
        <v>0.91910299757157021</v>
      </c>
      <c r="H6" s="503">
        <v>0.36783861228994202</v>
      </c>
      <c r="J6" t="str">
        <v>R-sq (L)</v>
      </c>
      <c r="K6" s="503">
        <v>0.10694786787652211</v>
      </c>
      <c r="M6" s="7" t="str">
        <v>Chi-square</v>
      </c>
      <c r="N6" s="503">
        <v>193.76120252350688</v>
      </c>
      <c r="P6" s="532">
        <v>24</v>
      </c>
      <c r="Q6" s="7">
        <v>0</v>
      </c>
      <c r="R6" s="532">
        <f t="array" ref="R6:T6">[1]!MLogitPred(P6:Q6,$A$5:$E$16,2)</f>
        <v>0.21156782064335716</v>
      </c>
      <c r="S6" s="7">
        <v>0.52114209911235054</v>
      </c>
      <c r="T6" s="533">
        <v>0.26729008024429224</v>
      </c>
      <c r="V6" s="675">
        <v>20</v>
      </c>
      <c r="W6" s="676">
        <v>1</v>
      </c>
      <c r="X6" s="576">
        <v>2</v>
      </c>
      <c r="Y6" s="495">
        <v>16</v>
      </c>
      <c r="AA6" t="str">
        <v>Var 1</v>
      </c>
      <c r="AB6" s="532">
        <v>0.91910299757157021</v>
      </c>
      <c r="AC6" s="533">
        <v>0.36783861228994202</v>
      </c>
    </row>
    <row r="7" spans="1:29" x14ac:dyDescent="0.25">
      <c r="A7" s="675">
        <v>22</v>
      </c>
      <c r="B7" s="676">
        <v>0</v>
      </c>
      <c r="C7" s="576">
        <v>61</v>
      </c>
      <c r="D7" s="88">
        <v>13</v>
      </c>
      <c r="E7" s="824">
        <v>40</v>
      </c>
      <c r="G7" s="409">
        <v>-1.3052189217977373E-2</v>
      </c>
      <c r="H7" s="420">
        <v>-0.74998136001826388</v>
      </c>
      <c r="J7" t="str">
        <v>R-sq (CS)</v>
      </c>
      <c r="K7" s="503">
        <v>0.20172627284537692</v>
      </c>
      <c r="M7" s="7" t="str">
        <v>df</v>
      </c>
      <c r="N7" s="503">
        <v>4</v>
      </c>
      <c r="P7" s="626">
        <v>24.5</v>
      </c>
      <c r="Q7" s="7">
        <v>1</v>
      </c>
      <c r="R7" s="532">
        <f t="array" ref="R7:T7">[1]!MLogitPred(P7:Q7,$A$5:$E$16,2)</f>
        <v>0.17963257350315073</v>
      </c>
      <c r="S7" s="7">
        <v>0.6915185326897606</v>
      </c>
      <c r="T7" s="533">
        <v>0.12884889380708861</v>
      </c>
      <c r="V7" s="675">
        <v>21</v>
      </c>
      <c r="W7" s="676">
        <v>0</v>
      </c>
      <c r="X7" s="576">
        <v>30</v>
      </c>
      <c r="Y7" s="495">
        <v>60</v>
      </c>
      <c r="AA7" t="str">
        <v>Var 2</v>
      </c>
      <c r="AB7" s="409">
        <v>-1.3052189217977373E-2</v>
      </c>
      <c r="AC7" s="417">
        <v>-0.74998136001826388</v>
      </c>
    </row>
    <row r="8" spans="1:29" x14ac:dyDescent="0.25">
      <c r="A8" s="675">
        <v>23</v>
      </c>
      <c r="B8" s="677">
        <v>0</v>
      </c>
      <c r="C8" s="576">
        <v>49</v>
      </c>
      <c r="D8" s="88">
        <v>60</v>
      </c>
      <c r="E8" s="824">
        <v>25</v>
      </c>
      <c r="J8" t="str">
        <v>R-sq (N)</v>
      </c>
      <c r="K8" s="503">
        <v>0.22966306763181427</v>
      </c>
      <c r="M8" s="7" t="str">
        <v>p-value</v>
      </c>
      <c r="N8" s="420">
        <v>8.2411173248424168E-41</v>
      </c>
      <c r="P8" s="819">
        <v>24.5</v>
      </c>
      <c r="Q8" s="762">
        <v>0</v>
      </c>
      <c r="R8" s="409">
        <f t="array" ref="R8:T8">[1]!MLogitPred(P8:Q8,$A$5:$E$16,2)</f>
        <v>0.15579525681143649</v>
      </c>
      <c r="S8" s="762">
        <v>0.60763314698524862</v>
      </c>
      <c r="T8" s="417">
        <v>0.23657159620331492</v>
      </c>
      <c r="V8" s="675">
        <v>21</v>
      </c>
      <c r="W8" s="677">
        <v>1</v>
      </c>
      <c r="X8" s="576">
        <v>8</v>
      </c>
      <c r="Y8" s="495">
        <v>67</v>
      </c>
    </row>
    <row r="9" spans="1:29" x14ac:dyDescent="0.25">
      <c r="A9" s="675">
        <v>24</v>
      </c>
      <c r="B9" s="677">
        <v>0</v>
      </c>
      <c r="C9" s="576">
        <v>8</v>
      </c>
      <c r="D9" s="88">
        <v>29</v>
      </c>
      <c r="E9" s="824">
        <v>15</v>
      </c>
      <c r="J9" t="str">
        <v>AIC</v>
      </c>
      <c r="K9" s="503">
        <v>1629.9738640157923</v>
      </c>
      <c r="V9" s="675">
        <v>22</v>
      </c>
      <c r="W9" s="677">
        <v>0</v>
      </c>
      <c r="X9" s="576">
        <v>40</v>
      </c>
      <c r="Y9" s="495">
        <v>61</v>
      </c>
      <c r="AA9" s="16" t="s">
        <v>1815</v>
      </c>
    </row>
    <row r="10" spans="1:29" x14ac:dyDescent="0.25">
      <c r="A10" s="675">
        <v>25</v>
      </c>
      <c r="B10" s="677">
        <v>0</v>
      </c>
      <c r="C10" s="532">
        <v>4</v>
      </c>
      <c r="D10" s="7">
        <v>20</v>
      </c>
      <c r="E10" s="824">
        <v>8</v>
      </c>
      <c r="J10" t="str">
        <v>BIC</v>
      </c>
      <c r="K10" s="420">
        <v>1658.5154583512776</v>
      </c>
      <c r="P10" t="s">
        <v>1798</v>
      </c>
      <c r="V10" s="675">
        <v>22</v>
      </c>
      <c r="W10" s="677">
        <v>1</v>
      </c>
      <c r="X10" s="532">
        <v>14</v>
      </c>
      <c r="Y10" s="533">
        <v>55</v>
      </c>
    </row>
    <row r="11" spans="1:29" x14ac:dyDescent="0.25">
      <c r="A11" s="675">
        <v>20</v>
      </c>
      <c r="B11" s="677">
        <v>1</v>
      </c>
      <c r="C11" s="576">
        <v>16</v>
      </c>
      <c r="D11" s="88">
        <v>4</v>
      </c>
      <c r="E11" s="824">
        <v>2</v>
      </c>
      <c r="V11" s="675">
        <v>23</v>
      </c>
      <c r="W11" s="677">
        <v>0</v>
      </c>
      <c r="X11" s="576">
        <v>25</v>
      </c>
      <c r="Y11" s="495">
        <v>49</v>
      </c>
      <c r="AA11" t="str">
        <f t="array" ref="AA11:AC14">[1]!MLogitCoeff(A4:E16,2,TRUE,TRUE)</f>
        <v/>
      </c>
      <c r="AB11" t="str">
        <v>Cured</v>
      </c>
      <c r="AC11" t="str">
        <v>Sick</v>
      </c>
    </row>
    <row r="12" spans="1:29" x14ac:dyDescent="0.25">
      <c r="A12" s="675">
        <v>21</v>
      </c>
      <c r="B12" s="677">
        <v>1</v>
      </c>
      <c r="C12" s="576">
        <v>67</v>
      </c>
      <c r="D12" s="88">
        <v>9</v>
      </c>
      <c r="E12" s="824">
        <v>8</v>
      </c>
      <c r="G12" t="s">
        <v>1799</v>
      </c>
      <c r="P12" s="295" t="s">
        <v>1744</v>
      </c>
      <c r="Q12" s="295" t="s">
        <v>620</v>
      </c>
      <c r="R12" s="295" t="s">
        <v>1746</v>
      </c>
      <c r="S12" s="295" t="s">
        <v>117</v>
      </c>
      <c r="T12" s="295" t="s">
        <v>1745</v>
      </c>
      <c r="V12" s="675">
        <v>23</v>
      </c>
      <c r="W12" s="677">
        <v>1</v>
      </c>
      <c r="X12" s="576">
        <v>20</v>
      </c>
      <c r="Y12" s="495">
        <v>49</v>
      </c>
      <c r="AA12" t="str">
        <v>Intercept</v>
      </c>
      <c r="AB12" s="3">
        <v>-21.156994806198703</v>
      </c>
      <c r="AC12" s="5">
        <v>-8.5943377955124909</v>
      </c>
    </row>
    <row r="13" spans="1:29" ht="15.75" thickBot="1" x14ac:dyDescent="0.3">
      <c r="A13" s="675">
        <v>22</v>
      </c>
      <c r="B13" s="677">
        <v>1</v>
      </c>
      <c r="C13" s="576">
        <v>55</v>
      </c>
      <c r="D13" s="88">
        <v>20</v>
      </c>
      <c r="E13" s="824">
        <v>14</v>
      </c>
      <c r="P13" s="751">
        <v>24</v>
      </c>
      <c r="Q13" s="752">
        <v>1</v>
      </c>
      <c r="R13" s="751">
        <f t="array" ref="R13:T13">[1]!MLogitPredC(P13:Q13,$G$5:$H$7)</f>
        <v>0.24825688084334632</v>
      </c>
      <c r="S13" s="752">
        <v>0.60358626182415642</v>
      </c>
      <c r="T13" s="755">
        <v>0.14815685733249731</v>
      </c>
      <c r="V13" s="675">
        <v>24</v>
      </c>
      <c r="W13" s="677">
        <v>0</v>
      </c>
      <c r="X13" s="576">
        <v>15</v>
      </c>
      <c r="Y13" s="495">
        <v>8</v>
      </c>
      <c r="AA13" t="str">
        <v>Dosage</v>
      </c>
      <c r="AB13" s="532">
        <v>0.91910299757157021</v>
      </c>
      <c r="AC13" s="533">
        <v>0.36783861228994202</v>
      </c>
    </row>
    <row r="14" spans="1:29" ht="15.75" thickTop="1" x14ac:dyDescent="0.25">
      <c r="A14" s="675">
        <v>23</v>
      </c>
      <c r="B14" s="677">
        <v>1</v>
      </c>
      <c r="C14" s="576">
        <v>49</v>
      </c>
      <c r="D14" s="88">
        <v>55</v>
      </c>
      <c r="E14" s="824">
        <v>20</v>
      </c>
      <c r="G14" s="800"/>
      <c r="H14" s="800" t="s">
        <v>1529</v>
      </c>
      <c r="I14" s="800" t="s">
        <v>425</v>
      </c>
      <c r="J14" s="800" t="s">
        <v>1530</v>
      </c>
      <c r="K14" s="800" t="s">
        <v>67</v>
      </c>
      <c r="L14" s="800" t="s">
        <v>1531</v>
      </c>
      <c r="M14" s="800" t="s">
        <v>29</v>
      </c>
      <c r="N14" s="800" t="s">
        <v>30</v>
      </c>
      <c r="P14" s="532">
        <v>24</v>
      </c>
      <c r="Q14" s="7">
        <v>0</v>
      </c>
      <c r="R14" s="532">
        <f t="array" ref="R14:T14">[1]!MLogitPredC(P14:Q14,$G$5:$H$7)</f>
        <v>0.21156782064335716</v>
      </c>
      <c r="S14" s="7">
        <v>0.52114209911235054</v>
      </c>
      <c r="T14" s="533">
        <v>0.26729008024429224</v>
      </c>
      <c r="V14" s="675">
        <v>24</v>
      </c>
      <c r="W14" s="677">
        <v>1</v>
      </c>
      <c r="X14" s="576">
        <v>15</v>
      </c>
      <c r="Y14" s="495">
        <v>12</v>
      </c>
      <c r="AA14" t="str">
        <v>Gender</v>
      </c>
      <c r="AB14" s="409">
        <v>-1.3052189217977373E-2</v>
      </c>
      <c r="AC14" s="417">
        <v>-0.74998136001826388</v>
      </c>
    </row>
    <row r="15" spans="1:29" x14ac:dyDescent="0.25">
      <c r="A15" s="675">
        <v>24</v>
      </c>
      <c r="B15" s="677">
        <v>1</v>
      </c>
      <c r="C15" s="576">
        <v>12</v>
      </c>
      <c r="D15" s="88">
        <v>36</v>
      </c>
      <c r="E15" s="824">
        <v>15</v>
      </c>
      <c r="G15" t="s">
        <v>296</v>
      </c>
      <c r="H15">
        <f t="array" ref="H15:N17">[1]!MLogitParam(A5:E16,2,1)</f>
        <v>-21.156994806198703</v>
      </c>
      <c r="I15">
        <v>1.8014908628275901</v>
      </c>
      <c r="J15">
        <v>137.92526639424253</v>
      </c>
      <c r="K15">
        <v>7.5671693910766021E-32</v>
      </c>
      <c r="L15">
        <v>6.4808788342761493E-10</v>
      </c>
      <c r="M15" t="str">
        <v/>
      </c>
      <c r="N15" t="str">
        <v/>
      </c>
      <c r="P15" s="626">
        <v>24.5</v>
      </c>
      <c r="Q15" s="7">
        <v>1</v>
      </c>
      <c r="R15" s="532">
        <f t="array" ref="R15:T15">[1]!MLogitPredC(P15:Q15,$G$5:$H$7)</f>
        <v>0.17963257350315073</v>
      </c>
      <c r="S15" s="7">
        <v>0.6915185326897606</v>
      </c>
      <c r="T15" s="533">
        <v>0.12884889380708861</v>
      </c>
      <c r="V15" s="675">
        <v>25</v>
      </c>
      <c r="W15" s="677">
        <v>0</v>
      </c>
      <c r="X15" s="576">
        <v>8</v>
      </c>
      <c r="Y15" s="495">
        <v>4</v>
      </c>
    </row>
    <row r="16" spans="1:29" x14ac:dyDescent="0.25">
      <c r="A16" s="678">
        <v>25</v>
      </c>
      <c r="B16" s="679">
        <v>1</v>
      </c>
      <c r="C16" s="409">
        <v>6</v>
      </c>
      <c r="D16" s="762">
        <v>18</v>
      </c>
      <c r="E16" s="825">
        <v>5</v>
      </c>
      <c r="G16" t="str">
        <f>A4</f>
        <v>Dosage</v>
      </c>
      <c r="H16">
        <v>0.91910299757157021</v>
      </c>
      <c r="I16">
        <v>7.9329427154565105E-2</v>
      </c>
      <c r="J16">
        <v>134.23313357842235</v>
      </c>
      <c r="K16">
        <v>4.8582333872587975E-31</v>
      </c>
      <c r="L16">
        <v>2.5070405595653962</v>
      </c>
      <c r="M16">
        <v>2.1460311885294634</v>
      </c>
      <c r="N16">
        <v>2.9287796006417093</v>
      </c>
      <c r="P16" s="819">
        <v>24.5</v>
      </c>
      <c r="Q16" s="762">
        <v>0</v>
      </c>
      <c r="R16" s="409">
        <f t="array" ref="R16:T16">[1]!MLogitPredC(P16:Q16,$G$5:$H$7)</f>
        <v>0.15579525681143649</v>
      </c>
      <c r="S16" s="762">
        <v>0.60763314698524862</v>
      </c>
      <c r="T16" s="417">
        <v>0.23657159620331492</v>
      </c>
      <c r="V16" s="678">
        <v>25</v>
      </c>
      <c r="W16" s="679">
        <v>1</v>
      </c>
      <c r="X16" s="409">
        <v>5</v>
      </c>
      <c r="Y16" s="417">
        <v>6</v>
      </c>
      <c r="AA16" s="16" t="s">
        <v>1814</v>
      </c>
    </row>
    <row r="17" spans="3:29" x14ac:dyDescent="0.25">
      <c r="C17">
        <f>SUM(C5:C16)</f>
        <v>400</v>
      </c>
      <c r="D17">
        <f>SUM(D5:D16)</f>
        <v>270</v>
      </c>
      <c r="E17">
        <f>SUM(E5:E16)</f>
        <v>190</v>
      </c>
      <c r="G17" s="762" t="str">
        <f>B4</f>
        <v>Gender</v>
      </c>
      <c r="H17" s="762">
        <v>-1.3052189217977373E-2</v>
      </c>
      <c r="I17" s="762">
        <v>0.17559756641601218</v>
      </c>
      <c r="J17" s="762">
        <v>5.5249676150751544E-3</v>
      </c>
      <c r="K17" s="762">
        <v>0.94074770633263105</v>
      </c>
      <c r="L17" s="762">
        <v>0.98703262121544733</v>
      </c>
      <c r="M17" s="762">
        <v>0.69962059699693879</v>
      </c>
      <c r="N17" s="762">
        <v>1.3925167433967063</v>
      </c>
    </row>
    <row r="18" spans="3:29" x14ac:dyDescent="0.25">
      <c r="AB18" s="3">
        <f t="array" ref="AB18:AC20">[1]!MLogitCoeff(A4:E16,2,,TRUE)</f>
        <v>-21.156994806198703</v>
      </c>
      <c r="AC18" s="5">
        <v>-8.5943377955124909</v>
      </c>
    </row>
    <row r="19" spans="3:29" x14ac:dyDescent="0.25">
      <c r="G19" t="s">
        <v>1800</v>
      </c>
      <c r="AB19" s="532">
        <v>0.91910299757157021</v>
      </c>
      <c r="AC19" s="533">
        <v>0.36783861228994202</v>
      </c>
    </row>
    <row r="20" spans="3:29" ht="15.75" thickBot="1" x14ac:dyDescent="0.3">
      <c r="AB20" s="409">
        <v>-1.3052189217977373E-2</v>
      </c>
      <c r="AC20" s="417">
        <v>-0.74998136001826388</v>
      </c>
    </row>
    <row r="21" spans="3:29" ht="15.75" thickTop="1" x14ac:dyDescent="0.25">
      <c r="G21" s="800"/>
      <c r="H21" s="800" t="s">
        <v>1529</v>
      </c>
      <c r="I21" s="800" t="s">
        <v>425</v>
      </c>
      <c r="J21" s="800" t="s">
        <v>1530</v>
      </c>
      <c r="K21" s="800" t="s">
        <v>67</v>
      </c>
      <c r="L21" s="800" t="s">
        <v>1531</v>
      </c>
      <c r="M21" s="800" t="s">
        <v>29</v>
      </c>
      <c r="N21" s="800" t="s">
        <v>30</v>
      </c>
    </row>
    <row r="22" spans="3:29" x14ac:dyDescent="0.25">
      <c r="G22" t="s">
        <v>296</v>
      </c>
      <c r="H22">
        <f t="array" ref="H22:N24">[1]!MLogitParam(A5:E16,2,2)</f>
        <v>-8.5943377955124909</v>
      </c>
      <c r="I22">
        <v>1.7265593632364695</v>
      </c>
      <c r="J22">
        <v>24.777746689647806</v>
      </c>
      <c r="K22">
        <v>6.4335957108876486E-7</v>
      </c>
      <c r="L22">
        <v>1.8515119516417116E-4</v>
      </c>
      <c r="M22" t="str">
        <v/>
      </c>
      <c r="N22" t="str">
        <v/>
      </c>
    </row>
    <row r="23" spans="3:29" x14ac:dyDescent="0.25">
      <c r="G23" t="s">
        <v>1744</v>
      </c>
      <c r="H23">
        <v>0.36783861228994202</v>
      </c>
      <c r="I23">
        <v>7.7489192908677923E-2</v>
      </c>
      <c r="J23">
        <v>22.533692108756117</v>
      </c>
      <c r="K23">
        <v>2.0649001151784364E-6</v>
      </c>
      <c r="L23">
        <v>1.4446088780409743</v>
      </c>
      <c r="M23">
        <v>1.2410559440211892</v>
      </c>
      <c r="N23">
        <v>1.6815477340634464</v>
      </c>
    </row>
    <row r="24" spans="3:29" x14ac:dyDescent="0.25">
      <c r="G24" s="762" t="s">
        <v>620</v>
      </c>
      <c r="H24" s="762">
        <v>-0.74998136001826388</v>
      </c>
      <c r="I24" s="762">
        <v>0.1860688013981257</v>
      </c>
      <c r="J24" s="762">
        <v>16.246275706419677</v>
      </c>
      <c r="K24" s="762">
        <v>5.561881744086567E-5</v>
      </c>
      <c r="L24" s="762">
        <v>0.47237535772699268</v>
      </c>
      <c r="M24" s="762">
        <v>0.32802366972526792</v>
      </c>
      <c r="N24" s="762">
        <v>0.68025115009106241</v>
      </c>
    </row>
    <row r="26" spans="3:29" x14ac:dyDescent="0.25">
      <c r="G26" t="s">
        <v>1825</v>
      </c>
    </row>
    <row r="27" spans="3:29" ht="15.75" thickBot="1" x14ac:dyDescent="0.3"/>
    <row r="28" spans="3:29" ht="15.75" thickTop="1" x14ac:dyDescent="0.25">
      <c r="G28" s="800" t="str">
        <f t="array" ref="G28:N31">[1]!MLogitParam(A4:E16,2,2,TRUE,TRUE)</f>
        <v/>
      </c>
      <c r="H28" s="800" t="str">
        <v>coeff</v>
      </c>
      <c r="I28" s="800" t="str">
        <v>s.e.</v>
      </c>
      <c r="J28" s="800" t="str">
        <v>Wald</v>
      </c>
      <c r="K28" s="800" t="str">
        <v>p-value</v>
      </c>
      <c r="L28" s="800" t="str">
        <v>exp(b)</v>
      </c>
      <c r="M28" s="800" t="str">
        <v>lower</v>
      </c>
      <c r="N28" s="800" t="str">
        <v>upper</v>
      </c>
    </row>
    <row r="29" spans="3:29" x14ac:dyDescent="0.25">
      <c r="G29" t="str">
        <v>intercept</v>
      </c>
      <c r="H29">
        <v>-8.5943377955124909</v>
      </c>
      <c r="I29">
        <v>1.7265593632364695</v>
      </c>
      <c r="J29">
        <v>24.777746689647806</v>
      </c>
      <c r="K29">
        <v>6.4335957108876486E-7</v>
      </c>
      <c r="L29">
        <v>1.8515119516417116E-4</v>
      </c>
      <c r="M29" t="str">
        <v/>
      </c>
      <c r="N29" t="str">
        <v/>
      </c>
    </row>
    <row r="30" spans="3:29" x14ac:dyDescent="0.25">
      <c r="G30" t="str">
        <v>Dosage</v>
      </c>
      <c r="H30">
        <v>0.36783861228994202</v>
      </c>
      <c r="I30">
        <v>7.7489192908677923E-2</v>
      </c>
      <c r="J30">
        <v>22.533692108756117</v>
      </c>
      <c r="K30">
        <v>2.0649001151784364E-6</v>
      </c>
      <c r="L30">
        <v>1.4446088780409743</v>
      </c>
      <c r="M30">
        <v>1.2410559440211892</v>
      </c>
      <c r="N30">
        <v>1.6815477340634464</v>
      </c>
    </row>
    <row r="31" spans="3:29" x14ac:dyDescent="0.25">
      <c r="G31" s="762" t="str">
        <v>Gender</v>
      </c>
      <c r="H31" s="762">
        <v>-0.74998136001826388</v>
      </c>
      <c r="I31" s="762">
        <v>0.1860688013981257</v>
      </c>
      <c r="J31" s="762">
        <v>16.246275706419677</v>
      </c>
      <c r="K31" s="762">
        <v>5.561881744086567E-5</v>
      </c>
      <c r="L31" s="762">
        <v>0.47237535772699268</v>
      </c>
      <c r="M31" s="762">
        <v>0.32802366972526792</v>
      </c>
      <c r="N31" s="762">
        <v>0.68025115009106241</v>
      </c>
    </row>
    <row r="33" spans="7:14" x14ac:dyDescent="0.25">
      <c r="G33" t="s">
        <v>1825</v>
      </c>
    </row>
    <row r="34" spans="7:14" ht="15.75" thickBot="1" x14ac:dyDescent="0.3"/>
    <row r="35" spans="7:14" ht="15.75" thickTop="1" x14ac:dyDescent="0.25">
      <c r="G35" s="800" t="str">
        <f t="array" ref="G35:N38">[1]!MLogitParam(A5:E16,2,2,TRUE)</f>
        <v/>
      </c>
      <c r="H35" s="800" t="str">
        <v>coeff</v>
      </c>
      <c r="I35" s="800" t="str">
        <v>s.e.</v>
      </c>
      <c r="J35" s="800" t="str">
        <v>Wald</v>
      </c>
      <c r="K35" s="800" t="str">
        <v>p-value</v>
      </c>
      <c r="L35" s="800" t="str">
        <v>exp(b)</v>
      </c>
      <c r="M35" s="800" t="str">
        <v>lower</v>
      </c>
      <c r="N35" s="800" t="str">
        <v>upper</v>
      </c>
    </row>
    <row r="36" spans="7:14" x14ac:dyDescent="0.25">
      <c r="G36" t="str">
        <v>intercept</v>
      </c>
      <c r="H36">
        <v>-8.5943377955124909</v>
      </c>
      <c r="I36">
        <v>1.7265593632364695</v>
      </c>
      <c r="J36">
        <v>24.777746689647806</v>
      </c>
      <c r="K36">
        <v>6.4335957108876486E-7</v>
      </c>
      <c r="L36">
        <v>1.8515119516417116E-4</v>
      </c>
      <c r="M36" t="str">
        <v/>
      </c>
      <c r="N36" t="str">
        <v/>
      </c>
    </row>
    <row r="37" spans="7:14" x14ac:dyDescent="0.25">
      <c r="G37" t="str">
        <v>var 1</v>
      </c>
      <c r="H37">
        <v>0.36783861228994202</v>
      </c>
      <c r="I37">
        <v>7.7489192908677923E-2</v>
      </c>
      <c r="J37">
        <v>22.533692108756117</v>
      </c>
      <c r="K37">
        <v>2.0649001151784364E-6</v>
      </c>
      <c r="L37">
        <v>1.4446088780409743</v>
      </c>
      <c r="M37">
        <v>1.2410559440211892</v>
      </c>
      <c r="N37">
        <v>1.6815477340634464</v>
      </c>
    </row>
    <row r="38" spans="7:14" x14ac:dyDescent="0.25">
      <c r="G38" s="762" t="str">
        <v>var 2</v>
      </c>
      <c r="H38" s="762">
        <v>-0.74998136001826388</v>
      </c>
      <c r="I38" s="762">
        <v>0.1860688013981257</v>
      </c>
      <c r="J38" s="762">
        <v>16.246275706419677</v>
      </c>
      <c r="K38" s="762">
        <v>5.561881744086567E-5</v>
      </c>
      <c r="L38" s="762">
        <v>0.47237535772699268</v>
      </c>
      <c r="M38" s="762">
        <v>0.32802366972526792</v>
      </c>
      <c r="N38" s="762">
        <v>0.68025115009106241</v>
      </c>
    </row>
    <row r="40" spans="7:14" x14ac:dyDescent="0.25">
      <c r="G40" t="s">
        <v>1800</v>
      </c>
    </row>
    <row r="41" spans="7:14" ht="15.75" thickBot="1" x14ac:dyDescent="0.3"/>
    <row r="42" spans="7:14" ht="15.75" thickTop="1" x14ac:dyDescent="0.25">
      <c r="G42" s="800"/>
      <c r="H42" s="800" t="s">
        <v>1529</v>
      </c>
      <c r="I42" s="800" t="s">
        <v>425</v>
      </c>
      <c r="J42" s="800" t="s">
        <v>1530</v>
      </c>
      <c r="K42" s="800" t="s">
        <v>67</v>
      </c>
      <c r="L42" s="800" t="s">
        <v>1531</v>
      </c>
      <c r="M42" s="800" t="s">
        <v>29</v>
      </c>
      <c r="N42" s="800" t="s">
        <v>30</v>
      </c>
    </row>
    <row r="43" spans="7:14" x14ac:dyDescent="0.25">
      <c r="G43" t="s">
        <v>296</v>
      </c>
      <c r="H43">
        <f t="array" ref="H43:N45">[1]!MLogitParam(A4:E16,2,2,,TRUE)</f>
        <v>-8.5943377955124909</v>
      </c>
      <c r="I43">
        <v>1.7265593632364695</v>
      </c>
      <c r="J43">
        <v>24.777746689647806</v>
      </c>
      <c r="K43">
        <v>6.4335957108876486E-7</v>
      </c>
      <c r="L43">
        <v>1.8515119516417116E-4</v>
      </c>
      <c r="M43" t="str">
        <v/>
      </c>
      <c r="N43" t="str">
        <v/>
      </c>
    </row>
    <row r="44" spans="7:14" x14ac:dyDescent="0.25">
      <c r="G44" t="s">
        <v>1744</v>
      </c>
      <c r="H44">
        <v>0.36783861228994202</v>
      </c>
      <c r="I44">
        <v>7.7489192908677923E-2</v>
      </c>
      <c r="J44">
        <v>22.533692108756117</v>
      </c>
      <c r="K44">
        <v>2.0649001151784364E-6</v>
      </c>
      <c r="L44">
        <v>1.4446088780409743</v>
      </c>
      <c r="M44">
        <v>1.2410559440211892</v>
      </c>
      <c r="N44">
        <v>1.6815477340634464</v>
      </c>
    </row>
    <row r="45" spans="7:14" x14ac:dyDescent="0.25">
      <c r="G45" s="762" t="s">
        <v>620</v>
      </c>
      <c r="H45" s="762">
        <v>-0.74998136001826388</v>
      </c>
      <c r="I45" s="762">
        <v>0.1860688013981257</v>
      </c>
      <c r="J45" s="762">
        <v>16.246275706419677</v>
      </c>
      <c r="K45" s="762">
        <v>5.561881744086567E-5</v>
      </c>
      <c r="L45" s="762">
        <v>0.47237535772699268</v>
      </c>
      <c r="M45" s="762">
        <v>0.32802366972526792</v>
      </c>
      <c r="N45" s="762">
        <v>0.68025115009106241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/>
  <dimension ref="A1:T17"/>
  <sheetViews>
    <sheetView workbookViewId="0"/>
  </sheetViews>
  <sheetFormatPr defaultRowHeight="15" x14ac:dyDescent="0.25"/>
  <cols>
    <col min="1" max="2" width="7.28515625" customWidth="1"/>
    <col min="3" max="5" width="6.42578125" customWidth="1"/>
    <col min="6" max="6" width="5" customWidth="1"/>
    <col min="15" max="15" width="2.85546875" customWidth="1"/>
    <col min="18" max="18" width="3" customWidth="1"/>
  </cols>
  <sheetData>
    <row r="1" spans="1:20" x14ac:dyDescent="0.25">
      <c r="A1" s="1" t="s">
        <v>1737</v>
      </c>
    </row>
    <row r="2" spans="1:20" x14ac:dyDescent="0.25">
      <c r="A2" t="s">
        <v>2413</v>
      </c>
    </row>
    <row r="3" spans="1:20" x14ac:dyDescent="0.25">
      <c r="G3" t="s">
        <v>1737</v>
      </c>
      <c r="P3" t="s">
        <v>2268</v>
      </c>
      <c r="S3" t="s">
        <v>2415</v>
      </c>
    </row>
    <row r="4" spans="1:20" x14ac:dyDescent="0.25">
      <c r="A4" s="649" t="s">
        <v>1744</v>
      </c>
      <c r="B4" s="649" t="s">
        <v>620</v>
      </c>
      <c r="C4" s="649" t="s">
        <v>1746</v>
      </c>
      <c r="D4" s="649" t="s">
        <v>117</v>
      </c>
      <c r="E4" s="649" t="s">
        <v>1745</v>
      </c>
      <c r="G4" t="s">
        <v>2414</v>
      </c>
      <c r="I4">
        <v>0</v>
      </c>
      <c r="J4" t="str">
        <f>C4</f>
        <v>Dead</v>
      </c>
    </row>
    <row r="5" spans="1:20" x14ac:dyDescent="0.25">
      <c r="A5" s="806">
        <v>20</v>
      </c>
      <c r="B5" s="821">
        <v>0</v>
      </c>
      <c r="C5" s="813">
        <v>13</v>
      </c>
      <c r="D5" s="822">
        <v>0</v>
      </c>
      <c r="E5" s="823">
        <v>8</v>
      </c>
      <c r="P5" t="str">
        <f t="array" ref="P5:Q11">[1]!MLogitRSquare(A5:E16,2,TRUE)</f>
        <v>LL</v>
      </c>
      <c r="Q5" s="1071">
        <v>-66.505073432682707</v>
      </c>
      <c r="S5" t="str">
        <f t="array" ref="S5:T9">[1]!MLogitTest(A5:E16,2,TRUE)</f>
        <v>LL</v>
      </c>
      <c r="T5" s="1071">
        <v>-66.505073432682707</v>
      </c>
    </row>
    <row r="6" spans="1:20" ht="15.75" thickBot="1" x14ac:dyDescent="0.3">
      <c r="A6" s="675">
        <v>21</v>
      </c>
      <c r="B6" s="676">
        <v>0</v>
      </c>
      <c r="C6" s="576">
        <v>60</v>
      </c>
      <c r="D6" s="88">
        <v>6</v>
      </c>
      <c r="E6" s="824">
        <v>30</v>
      </c>
      <c r="G6">
        <v>1</v>
      </c>
      <c r="H6" t="str">
        <f>D4</f>
        <v>Cured</v>
      </c>
      <c r="P6" t="str">
        <v>LL0</v>
      </c>
      <c r="Q6" s="680">
        <v>-163.38567469443615</v>
      </c>
      <c r="S6" t="str">
        <v>LL0</v>
      </c>
      <c r="T6" s="680">
        <v>-163.38567469443615</v>
      </c>
    </row>
    <row r="7" spans="1:20" ht="15.75" thickTop="1" x14ac:dyDescent="0.25">
      <c r="A7" s="675">
        <v>22</v>
      </c>
      <c r="B7" s="676">
        <v>0</v>
      </c>
      <c r="C7" s="576">
        <v>61</v>
      </c>
      <c r="D7" s="88">
        <v>13</v>
      </c>
      <c r="E7" s="824">
        <v>40</v>
      </c>
      <c r="G7" s="826" t="str">
        <f t="array" ref="G7:N10">[1]!MLogitParam(A4:E16,2,1,TRUE,TRUE,0.05,20)</f>
        <v/>
      </c>
      <c r="H7" s="826" t="str">
        <v>coeff</v>
      </c>
      <c r="I7" s="826" t="str">
        <v>s.e.</v>
      </c>
      <c r="J7" s="826" t="str">
        <v>Wald</v>
      </c>
      <c r="K7" s="826" t="str">
        <v>p-value</v>
      </c>
      <c r="L7" s="826" t="str">
        <v>exp(b)</v>
      </c>
      <c r="M7" s="826" t="str">
        <v>lower</v>
      </c>
      <c r="N7" s="826" t="str">
        <v>upper</v>
      </c>
      <c r="P7" t="str">
        <v>R-sq (L)</v>
      </c>
      <c r="Q7" s="680">
        <v>0.10694786787652211</v>
      </c>
      <c r="S7" t="str">
        <v>Chi-square</v>
      </c>
      <c r="T7" s="680">
        <v>193.76120252350688</v>
      </c>
    </row>
    <row r="8" spans="1:20" x14ac:dyDescent="0.25">
      <c r="A8" s="675">
        <v>23</v>
      </c>
      <c r="B8" s="677">
        <v>0</v>
      </c>
      <c r="C8" s="576">
        <v>49</v>
      </c>
      <c r="D8" s="88">
        <v>60</v>
      </c>
      <c r="E8" s="824">
        <v>25</v>
      </c>
      <c r="G8" t="str">
        <v>intercept</v>
      </c>
      <c r="H8">
        <v>-21.156994806198703</v>
      </c>
      <c r="I8">
        <v>1.8014908628275901</v>
      </c>
      <c r="J8">
        <v>137.92526639424253</v>
      </c>
      <c r="K8">
        <v>7.5671693910766021E-32</v>
      </c>
      <c r="L8">
        <v>6.4808788342761493E-10</v>
      </c>
      <c r="M8" t="str">
        <v/>
      </c>
      <c r="N8" t="str">
        <v/>
      </c>
      <c r="P8" t="str">
        <v>R-sq (CS)</v>
      </c>
      <c r="Q8" s="680">
        <v>0.20172627284537692</v>
      </c>
      <c r="S8" t="str">
        <v>df</v>
      </c>
      <c r="T8" s="680">
        <v>4</v>
      </c>
    </row>
    <row r="9" spans="1:20" x14ac:dyDescent="0.25">
      <c r="A9" s="675">
        <v>24</v>
      </c>
      <c r="B9" s="677">
        <v>0</v>
      </c>
      <c r="C9" s="576">
        <v>8</v>
      </c>
      <c r="D9" s="88">
        <v>29</v>
      </c>
      <c r="E9" s="824">
        <v>15</v>
      </c>
      <c r="G9" t="str">
        <v>Dosage</v>
      </c>
      <c r="H9">
        <v>0.91910299757157021</v>
      </c>
      <c r="I9">
        <v>7.9329427154565105E-2</v>
      </c>
      <c r="J9">
        <v>134.23313357842235</v>
      </c>
      <c r="K9">
        <v>4.8582333872587975E-31</v>
      </c>
      <c r="L9">
        <v>2.5070405595653962</v>
      </c>
      <c r="M9">
        <v>2.1460311885294634</v>
      </c>
      <c r="N9">
        <v>2.9287796006417093</v>
      </c>
      <c r="P9" t="str">
        <v>R-sq (N)</v>
      </c>
      <c r="Q9" s="680">
        <v>0.22966306763181427</v>
      </c>
      <c r="S9" t="str">
        <v>p-value</v>
      </c>
      <c r="T9" s="757">
        <v>8.2411173248424168E-41</v>
      </c>
    </row>
    <row r="10" spans="1:20" x14ac:dyDescent="0.25">
      <c r="A10" s="675">
        <v>25</v>
      </c>
      <c r="B10" s="677">
        <v>0</v>
      </c>
      <c r="C10" s="532">
        <v>4</v>
      </c>
      <c r="D10" s="7">
        <v>20</v>
      </c>
      <c r="E10" s="824">
        <v>8</v>
      </c>
      <c r="G10" s="762" t="str">
        <v>Gender</v>
      </c>
      <c r="H10" s="762">
        <v>-1.3052189217977373E-2</v>
      </c>
      <c r="I10" s="762">
        <v>0.17559756641601218</v>
      </c>
      <c r="J10" s="762">
        <v>5.5249676150751544E-3</v>
      </c>
      <c r="K10" s="762">
        <v>0.94074770633263105</v>
      </c>
      <c r="L10" s="762">
        <v>0.98703262121544733</v>
      </c>
      <c r="M10" s="762">
        <v>0.69962059699693879</v>
      </c>
      <c r="N10" s="762">
        <v>1.3925167433967063</v>
      </c>
      <c r="P10" t="str">
        <v>AIC</v>
      </c>
      <c r="Q10" s="680">
        <v>1629.9738640157923</v>
      </c>
    </row>
    <row r="11" spans="1:20" x14ac:dyDescent="0.25">
      <c r="A11" s="675">
        <v>20</v>
      </c>
      <c r="B11" s="677">
        <v>1</v>
      </c>
      <c r="C11" s="576">
        <v>16</v>
      </c>
      <c r="D11" s="88">
        <v>4</v>
      </c>
      <c r="E11" s="824">
        <v>2</v>
      </c>
      <c r="P11" t="str">
        <v>BIC</v>
      </c>
      <c r="Q11" s="757">
        <v>1658.5154583512776</v>
      </c>
    </row>
    <row r="12" spans="1:20" ht="15.75" thickBot="1" x14ac:dyDescent="0.3">
      <c r="A12" s="675">
        <v>21</v>
      </c>
      <c r="B12" s="677">
        <v>1</v>
      </c>
      <c r="C12" s="576">
        <v>67</v>
      </c>
      <c r="D12" s="88">
        <v>9</v>
      </c>
      <c r="E12" s="824">
        <v>8</v>
      </c>
      <c r="G12">
        <v>2</v>
      </c>
      <c r="H12" t="str">
        <f>E4</f>
        <v>Sick</v>
      </c>
    </row>
    <row r="13" spans="1:20" ht="15.75" thickTop="1" x14ac:dyDescent="0.25">
      <c r="A13" s="675">
        <v>22</v>
      </c>
      <c r="B13" s="677">
        <v>1</v>
      </c>
      <c r="C13" s="576">
        <v>55</v>
      </c>
      <c r="D13" s="88">
        <v>20</v>
      </c>
      <c r="E13" s="824">
        <v>14</v>
      </c>
      <c r="G13" s="826" t="str">
        <f t="array" ref="G13:N16">[1]!MLogitParam(A4:E16,2,2,TRUE,TRUE,0.05,20)</f>
        <v/>
      </c>
      <c r="H13" s="826" t="str">
        <v>coeff</v>
      </c>
      <c r="I13" s="826" t="str">
        <v>s.e.</v>
      </c>
      <c r="J13" s="826" t="str">
        <v>Wald</v>
      </c>
      <c r="K13" s="826" t="str">
        <v>p-value</v>
      </c>
      <c r="L13" s="826" t="str">
        <v>exp(b)</v>
      </c>
      <c r="M13" s="826" t="str">
        <v>lower</v>
      </c>
      <c r="N13" s="826" t="str">
        <v>upper</v>
      </c>
    </row>
    <row r="14" spans="1:20" x14ac:dyDescent="0.25">
      <c r="A14" s="675">
        <v>23</v>
      </c>
      <c r="B14" s="677">
        <v>1</v>
      </c>
      <c r="C14" s="576">
        <v>49</v>
      </c>
      <c r="D14" s="88">
        <v>55</v>
      </c>
      <c r="E14" s="824">
        <v>20</v>
      </c>
      <c r="G14" t="str">
        <v>intercept</v>
      </c>
      <c r="H14">
        <v>-8.5943377955124909</v>
      </c>
      <c r="I14">
        <v>1.7265593632364695</v>
      </c>
      <c r="J14">
        <v>24.777746689647806</v>
      </c>
      <c r="K14">
        <v>6.4335957108876486E-7</v>
      </c>
      <c r="L14">
        <v>1.8515119516417116E-4</v>
      </c>
      <c r="M14" t="str">
        <v/>
      </c>
      <c r="N14" t="str">
        <v/>
      </c>
    </row>
    <row r="15" spans="1:20" x14ac:dyDescent="0.25">
      <c r="A15" s="675">
        <v>24</v>
      </c>
      <c r="B15" s="677">
        <v>1</v>
      </c>
      <c r="C15" s="576">
        <v>12</v>
      </c>
      <c r="D15" s="88">
        <v>36</v>
      </c>
      <c r="E15" s="824">
        <v>15</v>
      </c>
      <c r="G15" t="str">
        <v>Dosage</v>
      </c>
      <c r="H15">
        <v>0.36783861228994202</v>
      </c>
      <c r="I15">
        <v>7.7489192908677923E-2</v>
      </c>
      <c r="J15">
        <v>22.533692108756117</v>
      </c>
      <c r="K15">
        <v>2.0649001151784364E-6</v>
      </c>
      <c r="L15">
        <v>1.4446088780409743</v>
      </c>
      <c r="M15">
        <v>1.2410559440211892</v>
      </c>
      <c r="N15">
        <v>1.6815477340634464</v>
      </c>
    </row>
    <row r="16" spans="1:20" x14ac:dyDescent="0.25">
      <c r="A16" s="678">
        <v>25</v>
      </c>
      <c r="B16" s="679">
        <v>1</v>
      </c>
      <c r="C16" s="409">
        <v>6</v>
      </c>
      <c r="D16" s="762">
        <v>18</v>
      </c>
      <c r="E16" s="825">
        <v>5</v>
      </c>
      <c r="G16" s="762" t="str">
        <v>Gender</v>
      </c>
      <c r="H16" s="762">
        <v>-0.74998136001826388</v>
      </c>
      <c r="I16" s="762">
        <v>0.1860688013981257</v>
      </c>
      <c r="J16" s="762">
        <v>16.246275706419677</v>
      </c>
      <c r="K16" s="762">
        <v>5.561881744086567E-5</v>
      </c>
      <c r="L16" s="762">
        <v>0.47237535772699268</v>
      </c>
      <c r="M16" s="762">
        <v>0.32802366972526792</v>
      </c>
      <c r="N16" s="762">
        <v>0.68025115009106241</v>
      </c>
    </row>
    <row r="17" spans="3:5" x14ac:dyDescent="0.25">
      <c r="C17">
        <f>SUM(C5:C16)</f>
        <v>400</v>
      </c>
      <c r="D17">
        <f>SUM(D5:D16)</f>
        <v>270</v>
      </c>
      <c r="E17">
        <f>SUM(E5:E16)</f>
        <v>190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O53"/>
  <sheetViews>
    <sheetView workbookViewId="0"/>
  </sheetViews>
  <sheetFormatPr defaultRowHeight="15" x14ac:dyDescent="0.25"/>
  <cols>
    <col min="5" max="5" width="10.140625" customWidth="1"/>
    <col min="6" max="9" width="9.85546875" customWidth="1"/>
  </cols>
  <sheetData>
    <row r="1" spans="1:15" x14ac:dyDescent="0.25">
      <c r="A1" s="1" t="s">
        <v>1737</v>
      </c>
    </row>
    <row r="2" spans="1:15" x14ac:dyDescent="0.25">
      <c r="A2" t="s">
        <v>38</v>
      </c>
      <c r="E2" t="s">
        <v>1811</v>
      </c>
      <c r="K2" t="s">
        <v>1812</v>
      </c>
    </row>
    <row r="4" spans="1:15" x14ac:dyDescent="0.25">
      <c r="A4" s="649" t="s">
        <v>1320</v>
      </c>
      <c r="B4" s="649" t="s">
        <v>1321</v>
      </c>
      <c r="C4" s="13" t="s">
        <v>801</v>
      </c>
      <c r="E4" s="13" t="s">
        <v>1320</v>
      </c>
      <c r="F4" s="13" t="s">
        <v>1321</v>
      </c>
      <c r="G4">
        <v>0</v>
      </c>
      <c r="H4">
        <v>1</v>
      </c>
      <c r="I4">
        <v>2</v>
      </c>
      <c r="K4" t="str">
        <f t="array" ref="K4:O10">[1]!MLogitSummary(A4:C53,TRUE)</f>
        <v>Temp</v>
      </c>
      <c r="L4" t="str">
        <v>Water</v>
      </c>
      <c r="M4">
        <v>0</v>
      </c>
      <c r="N4">
        <v>1</v>
      </c>
      <c r="O4">
        <v>2</v>
      </c>
    </row>
    <row r="5" spans="1:15" x14ac:dyDescent="0.25">
      <c r="A5" s="806">
        <v>20</v>
      </c>
      <c r="B5" s="832">
        <v>0</v>
      </c>
      <c r="C5" s="831">
        <v>1</v>
      </c>
      <c r="E5" s="751">
        <f t="array" ref="E5:I10">[1]!MLogitSummary(A5:C53)</f>
        <v>20</v>
      </c>
      <c r="F5" s="752">
        <v>0</v>
      </c>
      <c r="G5" s="752">
        <v>1</v>
      </c>
      <c r="H5" s="752">
        <v>5</v>
      </c>
      <c r="I5" s="755">
        <v>2</v>
      </c>
      <c r="K5" s="3">
        <v>20</v>
      </c>
      <c r="L5" s="827">
        <v>0</v>
      </c>
      <c r="M5" s="827">
        <v>1</v>
      </c>
      <c r="N5" s="827">
        <v>5</v>
      </c>
      <c r="O5" s="5">
        <v>2</v>
      </c>
    </row>
    <row r="6" spans="1:15" x14ac:dyDescent="0.25">
      <c r="A6" s="675">
        <v>22</v>
      </c>
      <c r="B6" s="696">
        <v>1</v>
      </c>
      <c r="C6" s="503">
        <v>2</v>
      </c>
      <c r="E6" s="532">
        <v>20</v>
      </c>
      <c r="F6" s="7">
        <v>1</v>
      </c>
      <c r="G6" s="7">
        <v>3</v>
      </c>
      <c r="H6" s="7">
        <v>5</v>
      </c>
      <c r="I6" s="533">
        <v>1</v>
      </c>
      <c r="K6" s="532">
        <v>20</v>
      </c>
      <c r="L6" s="7">
        <v>1</v>
      </c>
      <c r="M6" s="7">
        <v>3</v>
      </c>
      <c r="N6" s="7">
        <v>5</v>
      </c>
      <c r="O6" s="533">
        <v>1</v>
      </c>
    </row>
    <row r="7" spans="1:15" x14ac:dyDescent="0.25">
      <c r="A7" s="675">
        <v>22</v>
      </c>
      <c r="B7" s="696">
        <v>1</v>
      </c>
      <c r="C7" s="503">
        <v>2</v>
      </c>
      <c r="E7" s="532">
        <v>22</v>
      </c>
      <c r="F7" s="7">
        <v>0</v>
      </c>
      <c r="G7" s="7">
        <v>1</v>
      </c>
      <c r="H7" s="7">
        <v>4</v>
      </c>
      <c r="I7" s="533">
        <v>3</v>
      </c>
      <c r="K7" s="532">
        <v>22</v>
      </c>
      <c r="L7" s="7">
        <v>0</v>
      </c>
      <c r="M7" s="7">
        <v>1</v>
      </c>
      <c r="N7" s="7">
        <v>4</v>
      </c>
      <c r="O7" s="533">
        <v>3</v>
      </c>
    </row>
    <row r="8" spans="1:15" x14ac:dyDescent="0.25">
      <c r="A8" s="675">
        <v>24</v>
      </c>
      <c r="B8" s="697">
        <v>0</v>
      </c>
      <c r="C8" s="503">
        <v>0</v>
      </c>
      <c r="E8" s="532">
        <v>22</v>
      </c>
      <c r="F8" s="7">
        <v>1</v>
      </c>
      <c r="G8" s="7">
        <v>3</v>
      </c>
      <c r="H8" s="7">
        <v>2</v>
      </c>
      <c r="I8" s="533">
        <v>4</v>
      </c>
      <c r="K8" s="532">
        <v>22</v>
      </c>
      <c r="L8" s="7">
        <v>1</v>
      </c>
      <c r="M8" s="7">
        <v>3</v>
      </c>
      <c r="N8" s="7">
        <v>2</v>
      </c>
      <c r="O8" s="533">
        <v>4</v>
      </c>
    </row>
    <row r="9" spans="1:15" x14ac:dyDescent="0.25">
      <c r="A9" s="675">
        <v>22</v>
      </c>
      <c r="B9" s="696">
        <v>0</v>
      </c>
      <c r="C9" s="503">
        <v>1</v>
      </c>
      <c r="E9" s="532">
        <v>24</v>
      </c>
      <c r="F9" s="7">
        <v>0</v>
      </c>
      <c r="G9" s="7">
        <v>5</v>
      </c>
      <c r="H9" s="7">
        <v>2</v>
      </c>
      <c r="I9" s="533">
        <v>0</v>
      </c>
      <c r="K9" s="532">
        <v>24</v>
      </c>
      <c r="L9" s="7">
        <v>0</v>
      </c>
      <c r="M9" s="7">
        <v>5</v>
      </c>
      <c r="N9" s="7">
        <v>2</v>
      </c>
      <c r="O9" s="533">
        <v>0</v>
      </c>
    </row>
    <row r="10" spans="1:15" x14ac:dyDescent="0.25">
      <c r="A10" s="675">
        <v>22</v>
      </c>
      <c r="B10" s="696">
        <v>1</v>
      </c>
      <c r="C10" s="503">
        <v>0</v>
      </c>
      <c r="E10" s="409">
        <v>24</v>
      </c>
      <c r="F10" s="762">
        <v>1</v>
      </c>
      <c r="G10" s="762">
        <v>3</v>
      </c>
      <c r="H10" s="762">
        <v>1</v>
      </c>
      <c r="I10" s="417">
        <v>4</v>
      </c>
      <c r="K10" s="409">
        <v>24</v>
      </c>
      <c r="L10" s="762">
        <v>1</v>
      </c>
      <c r="M10" s="762">
        <v>3</v>
      </c>
      <c r="N10" s="762">
        <v>1</v>
      </c>
      <c r="O10" s="417">
        <v>4</v>
      </c>
    </row>
    <row r="11" spans="1:15" x14ac:dyDescent="0.25">
      <c r="A11" s="675">
        <v>20</v>
      </c>
      <c r="B11" s="696">
        <v>1</v>
      </c>
      <c r="C11" s="503">
        <v>0</v>
      </c>
    </row>
    <row r="12" spans="1:15" x14ac:dyDescent="0.25">
      <c r="A12" s="675">
        <v>24</v>
      </c>
      <c r="B12" s="696">
        <v>1</v>
      </c>
      <c r="C12" s="503">
        <v>2</v>
      </c>
      <c r="E12" t="s">
        <v>1751</v>
      </c>
      <c r="H12" t="s">
        <v>1750</v>
      </c>
      <c r="K12" s="16" t="s">
        <v>1820</v>
      </c>
    </row>
    <row r="13" spans="1:15" x14ac:dyDescent="0.25">
      <c r="A13" s="675">
        <v>24</v>
      </c>
      <c r="B13" s="697">
        <v>0</v>
      </c>
      <c r="C13" s="503">
        <v>0</v>
      </c>
    </row>
    <row r="14" spans="1:15" x14ac:dyDescent="0.25">
      <c r="A14" s="675">
        <v>20</v>
      </c>
      <c r="B14" s="696">
        <v>0</v>
      </c>
      <c r="C14" s="503">
        <v>1</v>
      </c>
      <c r="E14" s="7" t="str">
        <f t="array" ref="E14:F18">[1]!MLogitTest(A5:C53,0,TRUE)</f>
        <v>LL</v>
      </c>
      <c r="F14" s="831">
        <v>-16.886809590583233</v>
      </c>
      <c r="H14" s="7" t="str">
        <f t="array" ref="H14:I18">[1]!MLogitTest(E5:I10,2,TRUE)</f>
        <v>LL</v>
      </c>
      <c r="I14" s="831">
        <v>-16.886809590583233</v>
      </c>
      <c r="K14" t="str">
        <f t="array" ref="K14:M17">[1]!MLogitCoeff(A4:C53,0,TRUE,TRUE)</f>
        <v/>
      </c>
      <c r="L14">
        <v>1</v>
      </c>
      <c r="M14">
        <v>2</v>
      </c>
    </row>
    <row r="15" spans="1:15" x14ac:dyDescent="0.25">
      <c r="A15" s="675">
        <v>20</v>
      </c>
      <c r="B15" s="696">
        <v>0</v>
      </c>
      <c r="C15" s="503">
        <v>2</v>
      </c>
      <c r="E15" s="7" t="str">
        <v>LL0</v>
      </c>
      <c r="F15" s="503">
        <v>-20.647122941326145</v>
      </c>
      <c r="H15" s="7" t="str">
        <v>LL0</v>
      </c>
      <c r="I15" s="503">
        <v>-20.647122941326145</v>
      </c>
      <c r="K15" t="str">
        <v>Intercept</v>
      </c>
      <c r="L15" s="3">
        <v>11.931457376133164</v>
      </c>
      <c r="M15" s="5">
        <v>2.8268013629401576</v>
      </c>
    </row>
    <row r="16" spans="1:15" x14ac:dyDescent="0.25">
      <c r="A16" s="675">
        <v>22</v>
      </c>
      <c r="B16" s="696">
        <v>1</v>
      </c>
      <c r="C16" s="503">
        <v>0</v>
      </c>
      <c r="E16" s="7" t="str">
        <v>Chi-square</v>
      </c>
      <c r="F16" s="503">
        <v>7.5206267014858241</v>
      </c>
      <c r="H16" s="7" t="str">
        <v>Chi-square</v>
      </c>
      <c r="I16" s="503">
        <v>7.5206267014858241</v>
      </c>
      <c r="K16" t="str">
        <v>Temp</v>
      </c>
      <c r="L16" s="532">
        <v>-0.52286107106699087</v>
      </c>
      <c r="M16" s="533">
        <v>-0.14107007704856209</v>
      </c>
    </row>
    <row r="17" spans="1:13" x14ac:dyDescent="0.25">
      <c r="A17" s="675">
        <v>20</v>
      </c>
      <c r="B17" s="696">
        <v>1</v>
      </c>
      <c r="C17" s="503">
        <v>1</v>
      </c>
      <c r="E17" s="7" t="str">
        <v>df</v>
      </c>
      <c r="F17" s="503">
        <v>4</v>
      </c>
      <c r="H17" s="7" t="str">
        <v>df</v>
      </c>
      <c r="I17" s="503">
        <v>4</v>
      </c>
      <c r="K17" t="str">
        <v>Water</v>
      </c>
      <c r="L17" s="409">
        <v>-0.65815117895311059</v>
      </c>
      <c r="M17" s="417">
        <v>0.3130953032753151</v>
      </c>
    </row>
    <row r="18" spans="1:13" x14ac:dyDescent="0.25">
      <c r="A18" s="675">
        <v>22</v>
      </c>
      <c r="B18" s="697">
        <v>0</v>
      </c>
      <c r="C18" s="503">
        <v>0</v>
      </c>
      <c r="E18" s="7" t="str">
        <v>p-value</v>
      </c>
      <c r="F18" s="420">
        <v>0.11080317446444113</v>
      </c>
      <c r="H18" s="7" t="str">
        <v>p-value</v>
      </c>
      <c r="I18" s="420">
        <v>0.11080317446444113</v>
      </c>
    </row>
    <row r="19" spans="1:13" x14ac:dyDescent="0.25">
      <c r="A19" s="675">
        <v>22</v>
      </c>
      <c r="B19" s="696">
        <v>0</v>
      </c>
      <c r="C19" s="503">
        <v>1</v>
      </c>
      <c r="K19" s="16" t="s">
        <v>1821</v>
      </c>
    </row>
    <row r="20" spans="1:13" x14ac:dyDescent="0.25">
      <c r="A20" s="675">
        <v>24</v>
      </c>
      <c r="B20" s="696">
        <v>1</v>
      </c>
      <c r="C20" s="503">
        <v>2</v>
      </c>
    </row>
    <row r="21" spans="1:13" x14ac:dyDescent="0.25">
      <c r="A21" s="675">
        <v>24</v>
      </c>
      <c r="B21" s="697">
        <v>0</v>
      </c>
      <c r="C21" s="503">
        <v>0</v>
      </c>
      <c r="K21" t="str">
        <f t="array" ref="K21:M24">[1]!MLogitCoeff(A5:C53,0,TRUE)</f>
        <v/>
      </c>
      <c r="L21" t="str">
        <v xml:space="preserve"> 1</v>
      </c>
      <c r="M21" t="str">
        <v xml:space="preserve"> 2</v>
      </c>
    </row>
    <row r="22" spans="1:13" x14ac:dyDescent="0.25">
      <c r="A22" s="675">
        <v>22</v>
      </c>
      <c r="B22" s="696">
        <v>1</v>
      </c>
      <c r="C22" s="503">
        <v>2</v>
      </c>
      <c r="K22" t="str">
        <v>Intercept</v>
      </c>
      <c r="L22" s="3">
        <v>11.931457376133164</v>
      </c>
      <c r="M22" s="5">
        <v>2.8268013629401576</v>
      </c>
    </row>
    <row r="23" spans="1:13" x14ac:dyDescent="0.25">
      <c r="A23" s="675">
        <v>24</v>
      </c>
      <c r="B23" s="696">
        <v>1</v>
      </c>
      <c r="C23" s="503">
        <v>2</v>
      </c>
      <c r="K23" t="str">
        <v>Var 1</v>
      </c>
      <c r="L23" s="532">
        <v>-0.52286107106699087</v>
      </c>
      <c r="M23" s="533">
        <v>-0.14107007704856209</v>
      </c>
    </row>
    <row r="24" spans="1:13" x14ac:dyDescent="0.25">
      <c r="A24" s="675">
        <v>20</v>
      </c>
      <c r="B24" s="697">
        <v>0</v>
      </c>
      <c r="C24" s="503">
        <v>0</v>
      </c>
      <c r="K24" t="str">
        <v>Var 2</v>
      </c>
      <c r="L24" s="409">
        <v>-0.65815117895311059</v>
      </c>
      <c r="M24" s="417">
        <v>0.3130953032753151</v>
      </c>
    </row>
    <row r="25" spans="1:13" x14ac:dyDescent="0.25">
      <c r="A25" s="675">
        <v>20</v>
      </c>
      <c r="B25" s="696">
        <v>1</v>
      </c>
      <c r="C25" s="503">
        <v>0</v>
      </c>
    </row>
    <row r="26" spans="1:13" x14ac:dyDescent="0.25">
      <c r="A26" s="675">
        <v>20</v>
      </c>
      <c r="B26" s="696">
        <v>0</v>
      </c>
      <c r="C26" s="503">
        <v>2</v>
      </c>
    </row>
    <row r="27" spans="1:13" x14ac:dyDescent="0.25">
      <c r="A27" s="675">
        <v>20</v>
      </c>
      <c r="B27" s="696">
        <v>1</v>
      </c>
      <c r="C27" s="503">
        <v>1</v>
      </c>
    </row>
    <row r="28" spans="1:13" x14ac:dyDescent="0.25">
      <c r="A28" s="675">
        <v>20</v>
      </c>
      <c r="B28" s="696">
        <v>1</v>
      </c>
      <c r="C28" s="503">
        <v>1</v>
      </c>
    </row>
    <row r="29" spans="1:13" x14ac:dyDescent="0.25">
      <c r="A29" s="675">
        <v>20</v>
      </c>
      <c r="B29" s="697">
        <v>0</v>
      </c>
      <c r="C29" s="503">
        <v>1</v>
      </c>
    </row>
    <row r="30" spans="1:13" x14ac:dyDescent="0.25">
      <c r="A30" s="675">
        <v>24</v>
      </c>
      <c r="B30" s="697">
        <v>0</v>
      </c>
      <c r="C30" s="503">
        <v>0</v>
      </c>
    </row>
    <row r="31" spans="1:13" x14ac:dyDescent="0.25">
      <c r="A31" s="675">
        <v>22</v>
      </c>
      <c r="B31" s="697">
        <v>0</v>
      </c>
      <c r="C31" s="503">
        <v>2</v>
      </c>
    </row>
    <row r="32" spans="1:13" x14ac:dyDescent="0.25">
      <c r="A32" s="675">
        <v>24</v>
      </c>
      <c r="B32" s="696">
        <v>1</v>
      </c>
      <c r="C32" s="503">
        <v>1</v>
      </c>
    </row>
    <row r="33" spans="1:3" x14ac:dyDescent="0.25">
      <c r="A33" s="675">
        <v>24</v>
      </c>
      <c r="B33" s="697">
        <v>0</v>
      </c>
      <c r="C33" s="503">
        <v>1</v>
      </c>
    </row>
    <row r="34" spans="1:3" x14ac:dyDescent="0.25">
      <c r="A34" s="675">
        <v>22</v>
      </c>
      <c r="B34" s="696">
        <v>1</v>
      </c>
      <c r="C34" s="503">
        <v>2</v>
      </c>
    </row>
    <row r="35" spans="1:3" x14ac:dyDescent="0.25">
      <c r="A35" s="675">
        <v>22</v>
      </c>
      <c r="B35" s="697">
        <v>0</v>
      </c>
      <c r="C35" s="503">
        <v>2</v>
      </c>
    </row>
    <row r="36" spans="1:3" x14ac:dyDescent="0.25">
      <c r="A36" s="675">
        <v>22</v>
      </c>
      <c r="B36" s="697">
        <v>0</v>
      </c>
      <c r="C36" s="503">
        <v>1</v>
      </c>
    </row>
    <row r="37" spans="1:3" x14ac:dyDescent="0.25">
      <c r="A37" s="675">
        <v>20</v>
      </c>
      <c r="B37" s="696">
        <v>1</v>
      </c>
      <c r="C37" s="503">
        <v>0</v>
      </c>
    </row>
    <row r="38" spans="1:3" x14ac:dyDescent="0.25">
      <c r="A38" s="675">
        <v>24</v>
      </c>
      <c r="B38" s="696">
        <v>1</v>
      </c>
      <c r="C38" s="503">
        <v>2</v>
      </c>
    </row>
    <row r="39" spans="1:3" x14ac:dyDescent="0.25">
      <c r="A39" s="675">
        <v>24</v>
      </c>
      <c r="B39" s="697">
        <v>0</v>
      </c>
      <c r="C39" s="503">
        <v>0</v>
      </c>
    </row>
    <row r="40" spans="1:3" x14ac:dyDescent="0.25">
      <c r="A40" s="675">
        <v>22</v>
      </c>
      <c r="B40" s="696">
        <v>1</v>
      </c>
      <c r="C40" s="503">
        <v>1</v>
      </c>
    </row>
    <row r="41" spans="1:3" x14ac:dyDescent="0.25">
      <c r="A41" s="675">
        <v>20</v>
      </c>
      <c r="B41" s="697">
        <v>0</v>
      </c>
      <c r="C41" s="503">
        <v>1</v>
      </c>
    </row>
    <row r="42" spans="1:3" x14ac:dyDescent="0.25">
      <c r="A42" s="675">
        <v>22</v>
      </c>
      <c r="B42" s="696">
        <v>0</v>
      </c>
      <c r="C42" s="503">
        <v>2</v>
      </c>
    </row>
    <row r="43" spans="1:3" x14ac:dyDescent="0.25">
      <c r="A43" s="675">
        <v>22</v>
      </c>
      <c r="B43" s="696">
        <v>1</v>
      </c>
      <c r="C43" s="503">
        <v>0</v>
      </c>
    </row>
    <row r="44" spans="1:3" x14ac:dyDescent="0.25">
      <c r="A44" s="675">
        <v>20</v>
      </c>
      <c r="B44" s="696">
        <v>1</v>
      </c>
      <c r="C44" s="503">
        <v>1</v>
      </c>
    </row>
    <row r="45" spans="1:3" x14ac:dyDescent="0.25">
      <c r="A45" s="675">
        <v>20</v>
      </c>
      <c r="B45" s="696">
        <v>1</v>
      </c>
      <c r="C45" s="503">
        <v>2</v>
      </c>
    </row>
    <row r="46" spans="1:3" x14ac:dyDescent="0.25">
      <c r="A46" s="675">
        <v>22</v>
      </c>
      <c r="B46" s="696">
        <v>1</v>
      </c>
      <c r="C46" s="503">
        <v>1</v>
      </c>
    </row>
    <row r="47" spans="1:3" x14ac:dyDescent="0.25">
      <c r="A47" s="675">
        <v>24</v>
      </c>
      <c r="B47" s="697">
        <v>0</v>
      </c>
      <c r="C47" s="503">
        <v>1</v>
      </c>
    </row>
    <row r="48" spans="1:3" x14ac:dyDescent="0.25">
      <c r="A48" s="675">
        <v>20</v>
      </c>
      <c r="B48" s="696">
        <v>1</v>
      </c>
      <c r="C48" s="503">
        <v>1</v>
      </c>
    </row>
    <row r="49" spans="1:3" x14ac:dyDescent="0.25">
      <c r="A49" s="675">
        <v>20</v>
      </c>
      <c r="B49" s="696">
        <v>0</v>
      </c>
      <c r="C49" s="503">
        <v>1</v>
      </c>
    </row>
    <row r="50" spans="1:3" x14ac:dyDescent="0.25">
      <c r="A50" s="675">
        <v>24</v>
      </c>
      <c r="B50" s="696">
        <v>1</v>
      </c>
      <c r="C50" s="503">
        <v>0</v>
      </c>
    </row>
    <row r="51" spans="1:3" x14ac:dyDescent="0.25">
      <c r="A51" s="675">
        <v>24</v>
      </c>
      <c r="B51" s="696">
        <v>1</v>
      </c>
      <c r="C51" s="503">
        <v>0</v>
      </c>
    </row>
    <row r="52" spans="1:3" x14ac:dyDescent="0.25">
      <c r="A52" s="675">
        <v>22</v>
      </c>
      <c r="B52" s="696">
        <v>0</v>
      </c>
      <c r="C52" s="503">
        <v>1</v>
      </c>
    </row>
    <row r="53" spans="1:3" x14ac:dyDescent="0.25">
      <c r="A53" s="678">
        <v>24</v>
      </c>
      <c r="B53" s="812">
        <v>1</v>
      </c>
      <c r="C53" s="42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/>
  <dimension ref="A1:X53"/>
  <sheetViews>
    <sheetView workbookViewId="0"/>
  </sheetViews>
  <sheetFormatPr defaultRowHeight="15" x14ac:dyDescent="0.25"/>
  <cols>
    <col min="5" max="9" width="6.140625" customWidth="1"/>
    <col min="10" max="10" width="5.42578125" customWidth="1"/>
    <col min="19" max="19" width="3.7109375" customWidth="1"/>
    <col min="22" max="22" width="3.7109375" customWidth="1"/>
  </cols>
  <sheetData>
    <row r="1" spans="1:24" x14ac:dyDescent="0.25">
      <c r="A1" s="1" t="s">
        <v>1737</v>
      </c>
    </row>
    <row r="2" spans="1:24" x14ac:dyDescent="0.25">
      <c r="A2" t="s">
        <v>2413</v>
      </c>
    </row>
    <row r="4" spans="1:24" x14ac:dyDescent="0.25">
      <c r="A4" s="649" t="s">
        <v>1320</v>
      </c>
      <c r="B4" s="649" t="s">
        <v>1321</v>
      </c>
      <c r="C4" s="13" t="s">
        <v>801</v>
      </c>
      <c r="E4" t="s">
        <v>2423</v>
      </c>
      <c r="K4" t="s">
        <v>1737</v>
      </c>
      <c r="T4" t="s">
        <v>2268</v>
      </c>
      <c r="W4" t="s">
        <v>2415</v>
      </c>
    </row>
    <row r="5" spans="1:24" x14ac:dyDescent="0.25">
      <c r="A5" s="806">
        <v>20</v>
      </c>
      <c r="B5" s="832">
        <v>0</v>
      </c>
      <c r="C5" s="831">
        <v>1</v>
      </c>
      <c r="K5" t="s">
        <v>2414</v>
      </c>
      <c r="M5">
        <v>0</v>
      </c>
    </row>
    <row r="6" spans="1:24" x14ac:dyDescent="0.25">
      <c r="A6" s="675">
        <v>22</v>
      </c>
      <c r="B6" s="696">
        <v>1</v>
      </c>
      <c r="C6" s="503">
        <v>2</v>
      </c>
      <c r="E6" s="1072" t="str">
        <f t="array" ref="E6:I12">[1]!MLogitSummary(A4:C53,TRUE)</f>
        <v>Temp</v>
      </c>
      <c r="F6" s="1073" t="str">
        <v>Water</v>
      </c>
      <c r="G6" s="1078">
        <v>0</v>
      </c>
      <c r="H6" s="1078">
        <v>1</v>
      </c>
      <c r="I6" s="1073">
        <v>2</v>
      </c>
      <c r="T6" t="str">
        <f t="array" ref="T6:U12">[1]!MLogitRSquare(E7:I12,2,TRUE)</f>
        <v>LL</v>
      </c>
      <c r="U6" s="1071">
        <v>-16.886809590583233</v>
      </c>
      <c r="W6" t="str">
        <f t="array" ref="W6:X10">[1]!MLogitTest(E7:I12,2,TRUE)</f>
        <v>LL</v>
      </c>
      <c r="X6" s="1071">
        <v>-16.886809590583233</v>
      </c>
    </row>
    <row r="7" spans="1:24" ht="15.75" thickBot="1" x14ac:dyDescent="0.3">
      <c r="A7" s="675">
        <v>22</v>
      </c>
      <c r="B7" s="696">
        <v>1</v>
      </c>
      <c r="C7" s="503">
        <v>2</v>
      </c>
      <c r="E7" s="501">
        <v>20</v>
      </c>
      <c r="F7" s="57">
        <v>0</v>
      </c>
      <c r="G7" s="7">
        <v>1</v>
      </c>
      <c r="H7" s="7">
        <v>5</v>
      </c>
      <c r="I7" s="57">
        <v>2</v>
      </c>
      <c r="K7">
        <v>1</v>
      </c>
      <c r="T7" t="str">
        <v>LL0</v>
      </c>
      <c r="U7" s="680">
        <v>-20.647122941326145</v>
      </c>
      <c r="W7" t="str">
        <v>LL0</v>
      </c>
      <c r="X7" s="680">
        <v>-20.647122941326145</v>
      </c>
    </row>
    <row r="8" spans="1:24" ht="15.75" thickTop="1" x14ac:dyDescent="0.25">
      <c r="A8" s="675">
        <v>24</v>
      </c>
      <c r="B8" s="697">
        <v>0</v>
      </c>
      <c r="C8" s="503">
        <v>0</v>
      </c>
      <c r="E8" s="501">
        <v>20</v>
      </c>
      <c r="F8" s="57">
        <v>1</v>
      </c>
      <c r="G8" s="7">
        <v>3</v>
      </c>
      <c r="H8" s="7">
        <v>5</v>
      </c>
      <c r="I8" s="57">
        <v>1</v>
      </c>
      <c r="K8" s="826" t="str">
        <f t="array" ref="K8:R11">[1]!MLogitParam(E6:I12,2,1,TRUE,TRUE,0.05,20)</f>
        <v/>
      </c>
      <c r="L8" s="826" t="str">
        <v>coeff</v>
      </c>
      <c r="M8" s="826" t="str">
        <v>s.e.</v>
      </c>
      <c r="N8" s="826" t="str">
        <v>Wald</v>
      </c>
      <c r="O8" s="826" t="str">
        <v>p-value</v>
      </c>
      <c r="P8" s="826" t="str">
        <v>exp(b)</v>
      </c>
      <c r="Q8" s="826" t="str">
        <v>lower</v>
      </c>
      <c r="R8" s="826" t="str">
        <v>upper</v>
      </c>
      <c r="T8" t="str">
        <v>R-sq (L)</v>
      </c>
      <c r="U8" s="680">
        <v>7.0356413899119508E-2</v>
      </c>
      <c r="W8" t="str">
        <v>Chi-square</v>
      </c>
      <c r="X8" s="680">
        <v>7.5206267014858241</v>
      </c>
    </row>
    <row r="9" spans="1:24" x14ac:dyDescent="0.25">
      <c r="A9" s="675">
        <v>22</v>
      </c>
      <c r="B9" s="696">
        <v>0</v>
      </c>
      <c r="C9" s="503">
        <v>1</v>
      </c>
      <c r="E9" s="501">
        <v>22</v>
      </c>
      <c r="F9" s="57">
        <v>0</v>
      </c>
      <c r="G9" s="7">
        <v>1</v>
      </c>
      <c r="H9" s="7">
        <v>4</v>
      </c>
      <c r="I9" s="57">
        <v>3</v>
      </c>
      <c r="K9" t="str">
        <v>intercept</v>
      </c>
      <c r="L9">
        <v>11.931457376133164</v>
      </c>
      <c r="M9">
        <v>5.2468888865783851</v>
      </c>
      <c r="N9">
        <v>5.1711037792703651</v>
      </c>
      <c r="O9">
        <v>2.2965619282105876E-2</v>
      </c>
      <c r="P9">
        <v>151972.88201763929</v>
      </c>
      <c r="Q9" t="str">
        <v/>
      </c>
      <c r="R9" t="str">
        <v/>
      </c>
      <c r="T9" t="str">
        <v>R-sq (CS)</v>
      </c>
      <c r="U9" s="680">
        <v>0.14228394936285016</v>
      </c>
      <c r="W9" t="str">
        <v>df</v>
      </c>
      <c r="X9" s="680">
        <v>4</v>
      </c>
    </row>
    <row r="10" spans="1:24" x14ac:dyDescent="0.25">
      <c r="A10" s="675">
        <v>22</v>
      </c>
      <c r="B10" s="696">
        <v>1</v>
      </c>
      <c r="C10" s="503">
        <v>0</v>
      </c>
      <c r="E10" s="501">
        <v>22</v>
      </c>
      <c r="F10" s="57">
        <v>1</v>
      </c>
      <c r="G10" s="7">
        <v>3</v>
      </c>
      <c r="H10" s="7">
        <v>2</v>
      </c>
      <c r="I10" s="57">
        <v>4</v>
      </c>
      <c r="K10" t="str">
        <v>Temp</v>
      </c>
      <c r="L10">
        <v>-0.52286107106699087</v>
      </c>
      <c r="M10">
        <v>0.23678048891090839</v>
      </c>
      <c r="N10">
        <v>4.8761919198086625</v>
      </c>
      <c r="O10">
        <v>2.7229629495340021E-2</v>
      </c>
      <c r="P10">
        <v>0.59282201340436147</v>
      </c>
      <c r="Q10">
        <v>0.37271459928884737</v>
      </c>
      <c r="R10">
        <v>0.94291433779990641</v>
      </c>
      <c r="T10" t="str">
        <v>R-sq (N)</v>
      </c>
      <c r="U10" s="680">
        <v>0.16038728569851243</v>
      </c>
      <c r="W10" t="str">
        <v>p-value</v>
      </c>
      <c r="X10" s="757">
        <v>0.11080317446444113</v>
      </c>
    </row>
    <row r="11" spans="1:24" x14ac:dyDescent="0.25">
      <c r="A11" s="675">
        <v>20</v>
      </c>
      <c r="B11" s="696">
        <v>1</v>
      </c>
      <c r="C11" s="503">
        <v>0</v>
      </c>
      <c r="E11" s="501">
        <v>24</v>
      </c>
      <c r="F11" s="57">
        <v>0</v>
      </c>
      <c r="G11" s="7">
        <v>5</v>
      </c>
      <c r="H11" s="7">
        <v>2</v>
      </c>
      <c r="I11" s="57">
        <v>0</v>
      </c>
      <c r="K11" s="762" t="str">
        <v>Water</v>
      </c>
      <c r="L11" s="762">
        <v>-0.65815117895311059</v>
      </c>
      <c r="M11" s="762">
        <v>0.7298844925018152</v>
      </c>
      <c r="N11" s="762">
        <v>0.81309830207727007</v>
      </c>
      <c r="O11" s="762">
        <v>0.36720581935926011</v>
      </c>
      <c r="P11" s="762">
        <v>0.51780778399656802</v>
      </c>
      <c r="Q11" s="762">
        <v>0.12384821978246703</v>
      </c>
      <c r="R11" s="762">
        <v>2.1649475595077905</v>
      </c>
      <c r="T11" t="str">
        <v>AIC</v>
      </c>
      <c r="U11" s="680">
        <v>111.37263696413062</v>
      </c>
    </row>
    <row r="12" spans="1:24" x14ac:dyDescent="0.25">
      <c r="A12" s="675">
        <v>24</v>
      </c>
      <c r="B12" s="696">
        <v>1</v>
      </c>
      <c r="C12" s="503">
        <v>2</v>
      </c>
      <c r="E12" s="759">
        <v>24</v>
      </c>
      <c r="F12" s="761">
        <v>1</v>
      </c>
      <c r="G12" s="760">
        <v>3</v>
      </c>
      <c r="H12" s="760">
        <v>1</v>
      </c>
      <c r="I12" s="761">
        <v>4</v>
      </c>
      <c r="T12" t="str">
        <v>BIC</v>
      </c>
      <c r="U12" s="757">
        <v>122.72355875279437</v>
      </c>
    </row>
    <row r="13" spans="1:24" ht="15.75" thickBot="1" x14ac:dyDescent="0.3">
      <c r="A13" s="675">
        <v>24</v>
      </c>
      <c r="B13" s="697">
        <v>0</v>
      </c>
      <c r="C13" s="503">
        <v>0</v>
      </c>
      <c r="K13">
        <v>2</v>
      </c>
    </row>
    <row r="14" spans="1:24" ht="15.75" thickTop="1" x14ac:dyDescent="0.25">
      <c r="A14" s="675">
        <v>20</v>
      </c>
      <c r="B14" s="696">
        <v>0</v>
      </c>
      <c r="C14" s="503">
        <v>1</v>
      </c>
      <c r="K14" s="826" t="str">
        <f t="array" ref="K14:R17">[1]!MLogitParam(E6:I12,2,2,TRUE,TRUE,0.05,20)</f>
        <v/>
      </c>
      <c r="L14" s="826" t="str">
        <v>coeff</v>
      </c>
      <c r="M14" s="826" t="str">
        <v>s.e.</v>
      </c>
      <c r="N14" s="826" t="str">
        <v>Wald</v>
      </c>
      <c r="O14" s="826" t="str">
        <v>p-value</v>
      </c>
      <c r="P14" s="826" t="str">
        <v>exp(b)</v>
      </c>
      <c r="Q14" s="826" t="str">
        <v>lower</v>
      </c>
      <c r="R14" s="826" t="str">
        <v>upper</v>
      </c>
    </row>
    <row r="15" spans="1:24" x14ac:dyDescent="0.25">
      <c r="A15" s="675">
        <v>20</v>
      </c>
      <c r="B15" s="696">
        <v>0</v>
      </c>
      <c r="C15" s="503">
        <v>2</v>
      </c>
      <c r="K15" t="str">
        <v>intercept</v>
      </c>
      <c r="L15">
        <v>2.8268013629401576</v>
      </c>
      <c r="M15">
        <v>5.3184977861345102</v>
      </c>
      <c r="N15">
        <v>0.28249620533279424</v>
      </c>
      <c r="O15">
        <v>0.59506976352952812</v>
      </c>
      <c r="P15">
        <v>16.891345040067868</v>
      </c>
      <c r="Q15" t="str">
        <v/>
      </c>
      <c r="R15" t="str">
        <v/>
      </c>
    </row>
    <row r="16" spans="1:24" x14ac:dyDescent="0.25">
      <c r="A16" s="675">
        <v>22</v>
      </c>
      <c r="B16" s="696">
        <v>1</v>
      </c>
      <c r="C16" s="503">
        <v>0</v>
      </c>
      <c r="K16" t="str">
        <v>Temp</v>
      </c>
      <c r="L16">
        <v>-0.14107007704856209</v>
      </c>
      <c r="M16">
        <v>0.23591667437776928</v>
      </c>
      <c r="N16">
        <v>0.35756296678091815</v>
      </c>
      <c r="O16">
        <v>0.54986282639523965</v>
      </c>
      <c r="P16">
        <v>0.86842845266243207</v>
      </c>
      <c r="Q16">
        <v>0.54691697956596386</v>
      </c>
      <c r="R16">
        <v>1.3789441644181126</v>
      </c>
    </row>
    <row r="17" spans="1:18" x14ac:dyDescent="0.25">
      <c r="A17" s="675">
        <v>20</v>
      </c>
      <c r="B17" s="696">
        <v>1</v>
      </c>
      <c r="C17" s="503">
        <v>1</v>
      </c>
      <c r="K17" s="762" t="str">
        <v>Water</v>
      </c>
      <c r="L17" s="762">
        <v>0.3130953032753151</v>
      </c>
      <c r="M17" s="762">
        <v>0.75548591040026114</v>
      </c>
      <c r="N17" s="762">
        <v>0.17175143215162866</v>
      </c>
      <c r="O17" s="762">
        <v>0.67855992237051854</v>
      </c>
      <c r="P17" s="762">
        <v>1.367651866519177</v>
      </c>
      <c r="Q17" s="762">
        <v>0.31110342309627592</v>
      </c>
      <c r="R17" s="762">
        <v>6.0123788075920377</v>
      </c>
    </row>
    <row r="18" spans="1:18" x14ac:dyDescent="0.25">
      <c r="A18" s="675">
        <v>22</v>
      </c>
      <c r="B18" s="697">
        <v>0</v>
      </c>
      <c r="C18" s="503">
        <v>0</v>
      </c>
    </row>
    <row r="19" spans="1:18" x14ac:dyDescent="0.25">
      <c r="A19" s="675">
        <v>22</v>
      </c>
      <c r="B19" s="696">
        <v>0</v>
      </c>
      <c r="C19" s="503">
        <v>1</v>
      </c>
    </row>
    <row r="20" spans="1:18" x14ac:dyDescent="0.25">
      <c r="A20" s="675">
        <v>24</v>
      </c>
      <c r="B20" s="696">
        <v>1</v>
      </c>
      <c r="C20" s="503">
        <v>2</v>
      </c>
    </row>
    <row r="21" spans="1:18" x14ac:dyDescent="0.25">
      <c r="A21" s="675">
        <v>24</v>
      </c>
      <c r="B21" s="697">
        <v>0</v>
      </c>
      <c r="C21" s="503">
        <v>0</v>
      </c>
    </row>
    <row r="22" spans="1:18" x14ac:dyDescent="0.25">
      <c r="A22" s="675">
        <v>22</v>
      </c>
      <c r="B22" s="696">
        <v>1</v>
      </c>
      <c r="C22" s="503">
        <v>2</v>
      </c>
    </row>
    <row r="23" spans="1:18" x14ac:dyDescent="0.25">
      <c r="A23" s="675">
        <v>24</v>
      </c>
      <c r="B23" s="696">
        <v>1</v>
      </c>
      <c r="C23" s="503">
        <v>2</v>
      </c>
    </row>
    <row r="24" spans="1:18" x14ac:dyDescent="0.25">
      <c r="A24" s="675">
        <v>20</v>
      </c>
      <c r="B24" s="697">
        <v>0</v>
      </c>
      <c r="C24" s="503">
        <v>0</v>
      </c>
    </row>
    <row r="25" spans="1:18" x14ac:dyDescent="0.25">
      <c r="A25" s="675">
        <v>20</v>
      </c>
      <c r="B25" s="696">
        <v>1</v>
      </c>
      <c r="C25" s="503">
        <v>0</v>
      </c>
    </row>
    <row r="26" spans="1:18" x14ac:dyDescent="0.25">
      <c r="A26" s="675">
        <v>20</v>
      </c>
      <c r="B26" s="696">
        <v>0</v>
      </c>
      <c r="C26" s="503">
        <v>2</v>
      </c>
    </row>
    <row r="27" spans="1:18" x14ac:dyDescent="0.25">
      <c r="A27" s="675">
        <v>20</v>
      </c>
      <c r="B27" s="696">
        <v>1</v>
      </c>
      <c r="C27" s="503">
        <v>1</v>
      </c>
    </row>
    <row r="28" spans="1:18" x14ac:dyDescent="0.25">
      <c r="A28" s="675">
        <v>20</v>
      </c>
      <c r="B28" s="696">
        <v>1</v>
      </c>
      <c r="C28" s="503">
        <v>1</v>
      </c>
    </row>
    <row r="29" spans="1:18" x14ac:dyDescent="0.25">
      <c r="A29" s="675">
        <v>20</v>
      </c>
      <c r="B29" s="697">
        <v>0</v>
      </c>
      <c r="C29" s="503">
        <v>1</v>
      </c>
    </row>
    <row r="30" spans="1:18" x14ac:dyDescent="0.25">
      <c r="A30" s="675">
        <v>24</v>
      </c>
      <c r="B30" s="697">
        <v>0</v>
      </c>
      <c r="C30" s="503">
        <v>0</v>
      </c>
    </row>
    <row r="31" spans="1:18" x14ac:dyDescent="0.25">
      <c r="A31" s="675">
        <v>22</v>
      </c>
      <c r="B31" s="697">
        <v>0</v>
      </c>
      <c r="C31" s="503">
        <v>2</v>
      </c>
    </row>
    <row r="32" spans="1:18" x14ac:dyDescent="0.25">
      <c r="A32" s="675">
        <v>24</v>
      </c>
      <c r="B32" s="696">
        <v>1</v>
      </c>
      <c r="C32" s="503">
        <v>1</v>
      </c>
    </row>
    <row r="33" spans="1:3" x14ac:dyDescent="0.25">
      <c r="A33" s="675">
        <v>24</v>
      </c>
      <c r="B33" s="697">
        <v>0</v>
      </c>
      <c r="C33" s="503">
        <v>1</v>
      </c>
    </row>
    <row r="34" spans="1:3" x14ac:dyDescent="0.25">
      <c r="A34" s="675">
        <v>22</v>
      </c>
      <c r="B34" s="696">
        <v>1</v>
      </c>
      <c r="C34" s="503">
        <v>2</v>
      </c>
    </row>
    <row r="35" spans="1:3" x14ac:dyDescent="0.25">
      <c r="A35" s="675">
        <v>22</v>
      </c>
      <c r="B35" s="697">
        <v>0</v>
      </c>
      <c r="C35" s="503">
        <v>2</v>
      </c>
    </row>
    <row r="36" spans="1:3" x14ac:dyDescent="0.25">
      <c r="A36" s="675">
        <v>22</v>
      </c>
      <c r="B36" s="697">
        <v>0</v>
      </c>
      <c r="C36" s="503">
        <v>1</v>
      </c>
    </row>
    <row r="37" spans="1:3" x14ac:dyDescent="0.25">
      <c r="A37" s="675">
        <v>20</v>
      </c>
      <c r="B37" s="696">
        <v>1</v>
      </c>
      <c r="C37" s="503">
        <v>0</v>
      </c>
    </row>
    <row r="38" spans="1:3" x14ac:dyDescent="0.25">
      <c r="A38" s="675">
        <v>24</v>
      </c>
      <c r="B38" s="696">
        <v>1</v>
      </c>
      <c r="C38" s="503">
        <v>2</v>
      </c>
    </row>
    <row r="39" spans="1:3" x14ac:dyDescent="0.25">
      <c r="A39" s="675">
        <v>24</v>
      </c>
      <c r="B39" s="697">
        <v>0</v>
      </c>
      <c r="C39" s="503">
        <v>0</v>
      </c>
    </row>
    <row r="40" spans="1:3" x14ac:dyDescent="0.25">
      <c r="A40" s="675">
        <v>22</v>
      </c>
      <c r="B40" s="696">
        <v>1</v>
      </c>
      <c r="C40" s="503">
        <v>1</v>
      </c>
    </row>
    <row r="41" spans="1:3" x14ac:dyDescent="0.25">
      <c r="A41" s="675">
        <v>20</v>
      </c>
      <c r="B41" s="697">
        <v>0</v>
      </c>
      <c r="C41" s="503">
        <v>1</v>
      </c>
    </row>
    <row r="42" spans="1:3" x14ac:dyDescent="0.25">
      <c r="A42" s="675">
        <v>22</v>
      </c>
      <c r="B42" s="696">
        <v>0</v>
      </c>
      <c r="C42" s="503">
        <v>2</v>
      </c>
    </row>
    <row r="43" spans="1:3" x14ac:dyDescent="0.25">
      <c r="A43" s="675">
        <v>22</v>
      </c>
      <c r="B43" s="696">
        <v>1</v>
      </c>
      <c r="C43" s="503">
        <v>0</v>
      </c>
    </row>
    <row r="44" spans="1:3" x14ac:dyDescent="0.25">
      <c r="A44" s="675">
        <v>20</v>
      </c>
      <c r="B44" s="696">
        <v>1</v>
      </c>
      <c r="C44" s="503">
        <v>1</v>
      </c>
    </row>
    <row r="45" spans="1:3" x14ac:dyDescent="0.25">
      <c r="A45" s="675">
        <v>20</v>
      </c>
      <c r="B45" s="696">
        <v>1</v>
      </c>
      <c r="C45" s="503">
        <v>2</v>
      </c>
    </row>
    <row r="46" spans="1:3" x14ac:dyDescent="0.25">
      <c r="A46" s="675">
        <v>22</v>
      </c>
      <c r="B46" s="696">
        <v>1</v>
      </c>
      <c r="C46" s="503">
        <v>1</v>
      </c>
    </row>
    <row r="47" spans="1:3" x14ac:dyDescent="0.25">
      <c r="A47" s="675">
        <v>24</v>
      </c>
      <c r="B47" s="697">
        <v>0</v>
      </c>
      <c r="C47" s="503">
        <v>1</v>
      </c>
    </row>
    <row r="48" spans="1:3" x14ac:dyDescent="0.25">
      <c r="A48" s="675">
        <v>20</v>
      </c>
      <c r="B48" s="696">
        <v>1</v>
      </c>
      <c r="C48" s="503">
        <v>1</v>
      </c>
    </row>
    <row r="49" spans="1:3" x14ac:dyDescent="0.25">
      <c r="A49" s="675">
        <v>20</v>
      </c>
      <c r="B49" s="696">
        <v>0</v>
      </c>
      <c r="C49" s="503">
        <v>1</v>
      </c>
    </row>
    <row r="50" spans="1:3" x14ac:dyDescent="0.25">
      <c r="A50" s="675">
        <v>24</v>
      </c>
      <c r="B50" s="696">
        <v>1</v>
      </c>
      <c r="C50" s="503">
        <v>0</v>
      </c>
    </row>
    <row r="51" spans="1:3" x14ac:dyDescent="0.25">
      <c r="A51" s="675">
        <v>24</v>
      </c>
      <c r="B51" s="696">
        <v>1</v>
      </c>
      <c r="C51" s="503">
        <v>0</v>
      </c>
    </row>
    <row r="52" spans="1:3" x14ac:dyDescent="0.25">
      <c r="A52" s="675">
        <v>22</v>
      </c>
      <c r="B52" s="696">
        <v>0</v>
      </c>
      <c r="C52" s="503">
        <v>1</v>
      </c>
    </row>
    <row r="53" spans="1:3" x14ac:dyDescent="0.25">
      <c r="A53" s="678">
        <v>24</v>
      </c>
      <c r="B53" s="812">
        <v>1</v>
      </c>
      <c r="C53" s="42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P30"/>
  <sheetViews>
    <sheetView workbookViewId="0"/>
  </sheetViews>
  <sheetFormatPr defaultRowHeight="15" x14ac:dyDescent="0.25"/>
  <sheetData>
    <row r="1" spans="1:16" x14ac:dyDescent="0.25">
      <c r="A1" s="1" t="s">
        <v>1737</v>
      </c>
    </row>
    <row r="2" spans="1:16" x14ac:dyDescent="0.25">
      <c r="A2" t="s">
        <v>1808</v>
      </c>
      <c r="N2" s="16" t="s">
        <v>1816</v>
      </c>
    </row>
    <row r="4" spans="1:16" x14ac:dyDescent="0.25">
      <c r="A4" s="649" t="s">
        <v>1809</v>
      </c>
      <c r="B4" s="649" t="s">
        <v>1810</v>
      </c>
      <c r="C4" s="649" t="s">
        <v>1746</v>
      </c>
      <c r="D4" s="649" t="s">
        <v>117</v>
      </c>
      <c r="E4" s="649" t="s">
        <v>1745</v>
      </c>
      <c r="G4" s="13" t="str">
        <f t="array" ref="G4:L16">[1]!MLogitSelect(A4:E16,2,"1,2,1*2",TRUE)</f>
        <v>Dos</v>
      </c>
      <c r="H4" s="13" t="str">
        <v>Gen</v>
      </c>
      <c r="I4" s="13" t="str">
        <v>Dos*Gen</v>
      </c>
      <c r="J4" s="13" t="str">
        <v>Dead</v>
      </c>
      <c r="K4" s="13" t="str">
        <v>Cured</v>
      </c>
      <c r="L4" s="13" t="str">
        <v>Sick</v>
      </c>
      <c r="N4" t="str">
        <f t="array" ref="N4:P8">[1]!MLogitCoeff([1]!MLogitSelect(A4:E16,2,"1,2,1*2",TRUE),2,TRUE,TRUE)</f>
        <v/>
      </c>
      <c r="O4" t="str">
        <v>Cured</v>
      </c>
      <c r="P4" t="str">
        <v>Sick</v>
      </c>
    </row>
    <row r="5" spans="1:16" x14ac:dyDescent="0.25">
      <c r="A5" s="806">
        <v>20</v>
      </c>
      <c r="B5" s="821">
        <v>0</v>
      </c>
      <c r="C5" s="813">
        <v>13</v>
      </c>
      <c r="D5" s="822">
        <v>0</v>
      </c>
      <c r="E5" s="823">
        <v>8</v>
      </c>
      <c r="G5" s="3">
        <v>20</v>
      </c>
      <c r="H5" s="827">
        <v>0</v>
      </c>
      <c r="I5" s="827">
        <v>0</v>
      </c>
      <c r="J5" s="827">
        <v>13</v>
      </c>
      <c r="K5" s="827">
        <v>0</v>
      </c>
      <c r="L5" s="5">
        <v>8</v>
      </c>
      <c r="N5" t="str">
        <v>Intercept</v>
      </c>
      <c r="O5" s="3">
        <v>-24.164217347252507</v>
      </c>
      <c r="P5" s="5">
        <v>-5.8057693522158331</v>
      </c>
    </row>
    <row r="6" spans="1:16" x14ac:dyDescent="0.25">
      <c r="A6" s="675">
        <v>21</v>
      </c>
      <c r="B6" s="676">
        <v>0</v>
      </c>
      <c r="C6" s="576">
        <v>60</v>
      </c>
      <c r="D6" s="88">
        <v>6</v>
      </c>
      <c r="E6" s="824">
        <v>30</v>
      </c>
      <c r="G6" s="532">
        <v>20</v>
      </c>
      <c r="H6" s="7">
        <v>1</v>
      </c>
      <c r="I6" s="7">
        <v>20</v>
      </c>
      <c r="J6" s="7">
        <v>16</v>
      </c>
      <c r="K6" s="7">
        <v>4</v>
      </c>
      <c r="L6" s="533">
        <v>2</v>
      </c>
      <c r="N6" t="str">
        <v>Dos</v>
      </c>
      <c r="O6" s="532">
        <v>1.0486512321676673</v>
      </c>
      <c r="P6" s="533">
        <v>0.24287513179776027</v>
      </c>
    </row>
    <row r="7" spans="1:16" x14ac:dyDescent="0.25">
      <c r="A7" s="675">
        <v>22</v>
      </c>
      <c r="B7" s="676">
        <v>0</v>
      </c>
      <c r="C7" s="576">
        <v>61</v>
      </c>
      <c r="D7" s="88">
        <v>13</v>
      </c>
      <c r="E7" s="824">
        <v>40</v>
      </c>
      <c r="G7" s="532">
        <v>21</v>
      </c>
      <c r="H7" s="7">
        <v>0</v>
      </c>
      <c r="I7" s="7">
        <v>0</v>
      </c>
      <c r="J7" s="7">
        <v>60</v>
      </c>
      <c r="K7" s="7">
        <v>6</v>
      </c>
      <c r="L7" s="533">
        <v>30</v>
      </c>
      <c r="N7" t="str">
        <v>Gen</v>
      </c>
      <c r="O7" s="532">
        <v>5.2584712465733539</v>
      </c>
      <c r="P7" s="533">
        <v>-8.6265121803599953</v>
      </c>
    </row>
    <row r="8" spans="1:16" x14ac:dyDescent="0.25">
      <c r="A8" s="675">
        <v>23</v>
      </c>
      <c r="B8" s="677">
        <v>0</v>
      </c>
      <c r="C8" s="576">
        <v>49</v>
      </c>
      <c r="D8" s="88">
        <v>60</v>
      </c>
      <c r="E8" s="824">
        <v>25</v>
      </c>
      <c r="G8" s="532">
        <v>21</v>
      </c>
      <c r="H8" s="7">
        <v>1</v>
      </c>
      <c r="I8" s="7">
        <v>21</v>
      </c>
      <c r="J8" s="7">
        <v>67</v>
      </c>
      <c r="K8" s="7">
        <v>9</v>
      </c>
      <c r="L8" s="533">
        <v>8</v>
      </c>
      <c r="N8" t="str">
        <v>Dos*Gen</v>
      </c>
      <c r="O8" s="409">
        <v>-0.22687177305814882</v>
      </c>
      <c r="P8" s="417">
        <v>0.34968697995021031</v>
      </c>
    </row>
    <row r="9" spans="1:16" x14ac:dyDescent="0.25">
      <c r="A9" s="675">
        <v>24</v>
      </c>
      <c r="B9" s="677">
        <v>0</v>
      </c>
      <c r="C9" s="576">
        <v>8</v>
      </c>
      <c r="D9" s="88">
        <v>29</v>
      </c>
      <c r="E9" s="824">
        <v>15</v>
      </c>
      <c r="G9" s="532">
        <v>22</v>
      </c>
      <c r="H9" s="7">
        <v>0</v>
      </c>
      <c r="I9" s="7">
        <v>0</v>
      </c>
      <c r="J9" s="7">
        <v>61</v>
      </c>
      <c r="K9" s="7">
        <v>13</v>
      </c>
      <c r="L9" s="533">
        <v>40</v>
      </c>
    </row>
    <row r="10" spans="1:16" x14ac:dyDescent="0.25">
      <c r="A10" s="675">
        <v>25</v>
      </c>
      <c r="B10" s="677">
        <v>0</v>
      </c>
      <c r="C10" s="532">
        <v>4</v>
      </c>
      <c r="D10" s="7">
        <v>20</v>
      </c>
      <c r="E10" s="824">
        <v>8</v>
      </c>
      <c r="G10" s="532">
        <v>22</v>
      </c>
      <c r="H10" s="7">
        <v>1</v>
      </c>
      <c r="I10" s="7">
        <v>22</v>
      </c>
      <c r="J10" s="7">
        <v>55</v>
      </c>
      <c r="K10" s="7">
        <v>20</v>
      </c>
      <c r="L10" s="533">
        <v>14</v>
      </c>
      <c r="N10" s="16" t="s">
        <v>1819</v>
      </c>
    </row>
    <row r="11" spans="1:16" x14ac:dyDescent="0.25">
      <c r="A11" s="675">
        <v>20</v>
      </c>
      <c r="B11" s="677">
        <v>1</v>
      </c>
      <c r="C11" s="576">
        <v>16</v>
      </c>
      <c r="D11" s="88">
        <v>4</v>
      </c>
      <c r="E11" s="824">
        <v>2</v>
      </c>
      <c r="G11" s="532">
        <v>23</v>
      </c>
      <c r="H11" s="7">
        <v>0</v>
      </c>
      <c r="I11" s="7">
        <v>0</v>
      </c>
      <c r="J11" s="7">
        <v>49</v>
      </c>
      <c r="K11" s="7">
        <v>60</v>
      </c>
      <c r="L11" s="533">
        <v>25</v>
      </c>
    </row>
    <row r="12" spans="1:16" x14ac:dyDescent="0.25">
      <c r="A12" s="675">
        <v>21</v>
      </c>
      <c r="B12" s="677">
        <v>1</v>
      </c>
      <c r="C12" s="576">
        <v>67</v>
      </c>
      <c r="D12" s="88">
        <v>9</v>
      </c>
      <c r="E12" s="824">
        <v>8</v>
      </c>
      <c r="G12" s="532">
        <v>23</v>
      </c>
      <c r="H12" s="7">
        <v>1</v>
      </c>
      <c r="I12" s="7">
        <v>23</v>
      </c>
      <c r="J12" s="7">
        <v>49</v>
      </c>
      <c r="K12" s="7">
        <v>55</v>
      </c>
      <c r="L12" s="533">
        <v>20</v>
      </c>
      <c r="O12" s="840">
        <f t="array" ref="O12:P15">[1]!MLogitCoeff([1]!MLogitSelect(A4:E16,2,"1,2,1*2",TRUE),2,,TRUE)</f>
        <v>-24.164217347252507</v>
      </c>
      <c r="P12" s="841">
        <v>-5.8057693522158331</v>
      </c>
    </row>
    <row r="13" spans="1:16" x14ac:dyDescent="0.25">
      <c r="A13" s="675">
        <v>22</v>
      </c>
      <c r="B13" s="677">
        <v>1</v>
      </c>
      <c r="C13" s="576">
        <v>55</v>
      </c>
      <c r="D13" s="88">
        <v>20</v>
      </c>
      <c r="E13" s="824">
        <v>14</v>
      </c>
      <c r="G13" s="532">
        <v>24</v>
      </c>
      <c r="H13" s="7">
        <v>0</v>
      </c>
      <c r="I13" s="7">
        <v>0</v>
      </c>
      <c r="J13" s="7">
        <v>8</v>
      </c>
      <c r="K13" s="7">
        <v>29</v>
      </c>
      <c r="L13" s="533">
        <v>15</v>
      </c>
      <c r="O13" s="842">
        <v>1.0486512321676673</v>
      </c>
      <c r="P13" s="843">
        <v>0.24287513179776027</v>
      </c>
    </row>
    <row r="14" spans="1:16" x14ac:dyDescent="0.25">
      <c r="A14" s="675">
        <v>23</v>
      </c>
      <c r="B14" s="677">
        <v>1</v>
      </c>
      <c r="C14" s="576">
        <v>49</v>
      </c>
      <c r="D14" s="88">
        <v>55</v>
      </c>
      <c r="E14" s="824">
        <v>20</v>
      </c>
      <c r="G14" s="532">
        <v>24</v>
      </c>
      <c r="H14" s="7">
        <v>1</v>
      </c>
      <c r="I14" s="7">
        <v>24</v>
      </c>
      <c r="J14" s="7">
        <v>12</v>
      </c>
      <c r="K14" s="7">
        <v>36</v>
      </c>
      <c r="L14" s="533">
        <v>15</v>
      </c>
      <c r="O14" s="842">
        <v>5.2584712465733539</v>
      </c>
      <c r="P14" s="843">
        <v>-8.6265121803599953</v>
      </c>
    </row>
    <row r="15" spans="1:16" x14ac:dyDescent="0.25">
      <c r="A15" s="675">
        <v>24</v>
      </c>
      <c r="B15" s="677">
        <v>1</v>
      </c>
      <c r="C15" s="576">
        <v>12</v>
      </c>
      <c r="D15" s="88">
        <v>36</v>
      </c>
      <c r="E15" s="824">
        <v>15</v>
      </c>
      <c r="G15" s="532">
        <v>25</v>
      </c>
      <c r="H15" s="7">
        <v>0</v>
      </c>
      <c r="I15" s="7">
        <v>0</v>
      </c>
      <c r="J15" s="7">
        <v>4</v>
      </c>
      <c r="K15" s="7">
        <v>20</v>
      </c>
      <c r="L15" s="533">
        <v>8</v>
      </c>
      <c r="O15" s="844">
        <v>-0.22687177305814882</v>
      </c>
      <c r="P15" s="845">
        <v>0.34968697995021031</v>
      </c>
    </row>
    <row r="16" spans="1:16" x14ac:dyDescent="0.25">
      <c r="A16" s="678">
        <v>25</v>
      </c>
      <c r="B16" s="679">
        <v>1</v>
      </c>
      <c r="C16" s="409">
        <v>6</v>
      </c>
      <c r="D16" s="762">
        <v>18</v>
      </c>
      <c r="E16" s="825">
        <v>5</v>
      </c>
      <c r="G16" s="409">
        <v>25</v>
      </c>
      <c r="H16" s="762">
        <v>1</v>
      </c>
      <c r="I16" s="762">
        <v>25</v>
      </c>
      <c r="J16" s="762">
        <v>6</v>
      </c>
      <c r="K16" s="762">
        <v>18</v>
      </c>
      <c r="L16" s="417">
        <v>5</v>
      </c>
    </row>
    <row r="17" spans="3:16" x14ac:dyDescent="0.25">
      <c r="C17">
        <f>SUM(C5:C16)</f>
        <v>400</v>
      </c>
      <c r="D17">
        <f>SUM(D5:D16)</f>
        <v>270</v>
      </c>
      <c r="E17">
        <f>SUM(E5:E16)</f>
        <v>190</v>
      </c>
      <c r="N17" s="16" t="s">
        <v>1817</v>
      </c>
    </row>
    <row r="19" spans="3:16" x14ac:dyDescent="0.25">
      <c r="N19" t="str">
        <f t="array" ref="N19:P23">[1]!MLogitCoeff([1]!MLogitSelect(A5:E16,2,"1,2,1*2"),2,TRUE)</f>
        <v/>
      </c>
      <c r="O19" t="str">
        <v xml:space="preserve"> 1</v>
      </c>
      <c r="P19" t="str">
        <v xml:space="preserve"> 2</v>
      </c>
    </row>
    <row r="20" spans="3:16" x14ac:dyDescent="0.25">
      <c r="N20" t="str">
        <v>Intercept</v>
      </c>
      <c r="O20" s="3">
        <v>-24.164217347252507</v>
      </c>
      <c r="P20" s="5">
        <v>-5.8057693522158331</v>
      </c>
    </row>
    <row r="21" spans="3:16" x14ac:dyDescent="0.25">
      <c r="N21" t="str">
        <v>Var 1</v>
      </c>
      <c r="O21" s="532">
        <v>1.0486512321676673</v>
      </c>
      <c r="P21" s="533">
        <v>0.24287513179776027</v>
      </c>
    </row>
    <row r="22" spans="3:16" x14ac:dyDescent="0.25">
      <c r="N22" t="str">
        <v>Var 2</v>
      </c>
      <c r="O22" s="532">
        <v>5.2584712465733539</v>
      </c>
      <c r="P22" s="533">
        <v>-8.6265121803599953</v>
      </c>
    </row>
    <row r="23" spans="3:16" x14ac:dyDescent="0.25">
      <c r="N23" t="str">
        <v>Var 3</v>
      </c>
      <c r="O23" s="409">
        <v>-0.22687177305814882</v>
      </c>
      <c r="P23" s="417">
        <v>0.34968697995021031</v>
      </c>
    </row>
    <row r="25" spans="3:16" x14ac:dyDescent="0.25">
      <c r="N25" s="16" t="s">
        <v>1818</v>
      </c>
    </row>
    <row r="27" spans="3:16" x14ac:dyDescent="0.25">
      <c r="O27" s="3">
        <f t="array" ref="O27:P30">[1]!MLogitCoeff([1]!MLogitSelect(A5:E16,2,"1,2,1*2"),2)</f>
        <v>-24.164217347252507</v>
      </c>
      <c r="P27" s="5">
        <v>-5.8057693522158331</v>
      </c>
    </row>
    <row r="28" spans="3:16" x14ac:dyDescent="0.25">
      <c r="O28" s="532">
        <v>1.0486512321676673</v>
      </c>
      <c r="P28" s="533">
        <v>0.24287513179776027</v>
      </c>
    </row>
    <row r="29" spans="3:16" x14ac:dyDescent="0.25">
      <c r="O29" s="532">
        <v>5.2584712465733539</v>
      </c>
      <c r="P29" s="533">
        <v>-8.6265121803599953</v>
      </c>
    </row>
    <row r="30" spans="3:16" x14ac:dyDescent="0.25">
      <c r="O30" s="409">
        <v>-0.22687177305814882</v>
      </c>
      <c r="P30" s="417">
        <v>0.34968697995021031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AL35"/>
  <sheetViews>
    <sheetView zoomScale="99" zoomScaleNormal="99" workbookViewId="0"/>
  </sheetViews>
  <sheetFormatPr defaultRowHeight="15" x14ac:dyDescent="0.25"/>
  <cols>
    <col min="1" max="4" width="9.140625" customWidth="1"/>
    <col min="7" max="7" width="9.140625" customWidth="1"/>
    <col min="9" max="15" width="9.140625" customWidth="1"/>
    <col min="32" max="32" width="4.140625" customWidth="1"/>
  </cols>
  <sheetData>
    <row r="1" spans="1:38" x14ac:dyDescent="0.25">
      <c r="A1" s="1" t="s">
        <v>1826</v>
      </c>
    </row>
    <row r="2" spans="1:38" x14ac:dyDescent="0.25">
      <c r="A2" s="17" t="s">
        <v>1833</v>
      </c>
    </row>
    <row r="3" spans="1:38" ht="15.75" thickBot="1" x14ac:dyDescent="0.3">
      <c r="I3" s="1323" t="s">
        <v>1775</v>
      </c>
      <c r="J3" s="1323"/>
      <c r="K3" s="1323" t="s">
        <v>113</v>
      </c>
      <c r="L3" s="1323"/>
      <c r="M3" s="1323"/>
      <c r="N3" s="1323"/>
      <c r="O3" s="1323"/>
      <c r="P3" s="1323" t="s">
        <v>129</v>
      </c>
      <c r="Q3" s="1323"/>
      <c r="R3" s="1323"/>
      <c r="S3" s="1323" t="s">
        <v>1827</v>
      </c>
      <c r="T3" s="1323"/>
      <c r="U3" s="1323"/>
      <c r="V3" s="1323" t="s">
        <v>1777</v>
      </c>
      <c r="W3" s="1323"/>
      <c r="X3" s="1323"/>
      <c r="Y3" s="1323"/>
      <c r="Z3" s="1323" t="s">
        <v>1776</v>
      </c>
      <c r="AA3" s="1323"/>
      <c r="AB3" s="1323"/>
      <c r="AC3" s="1323"/>
      <c r="AD3" s="1323" t="s">
        <v>1774</v>
      </c>
      <c r="AE3" s="1323"/>
      <c r="AG3" s="1309" t="s">
        <v>298</v>
      </c>
      <c r="AH3" s="1309"/>
      <c r="AI3" s="1309"/>
    </row>
    <row r="4" spans="1:38" ht="15.75" thickTop="1" x14ac:dyDescent="0.25">
      <c r="A4" s="13" t="s">
        <v>1828</v>
      </c>
      <c r="B4" s="13" t="s">
        <v>1829</v>
      </c>
      <c r="C4">
        <v>1</v>
      </c>
      <c r="D4">
        <v>2</v>
      </c>
      <c r="E4">
        <v>3</v>
      </c>
      <c r="F4">
        <v>4</v>
      </c>
      <c r="G4" s="13" t="s">
        <v>1830</v>
      </c>
      <c r="I4" s="826" t="str">
        <f t="shared" ref="I4:N12" si="0">A4</f>
        <v>gender</v>
      </c>
      <c r="J4" s="826" t="str">
        <f t="shared" si="0"/>
        <v>age</v>
      </c>
      <c r="K4" s="826">
        <f t="shared" si="0"/>
        <v>1</v>
      </c>
      <c r="L4" s="826">
        <f t="shared" si="0"/>
        <v>2</v>
      </c>
      <c r="M4" s="826">
        <f t="shared" si="0"/>
        <v>3</v>
      </c>
      <c r="N4" s="826">
        <f t="shared" si="0"/>
        <v>4</v>
      </c>
      <c r="O4" s="826" t="s">
        <v>1</v>
      </c>
      <c r="P4" s="826">
        <f>K4</f>
        <v>1</v>
      </c>
      <c r="Q4" s="826">
        <f>L4</f>
        <v>2</v>
      </c>
      <c r="R4" s="826">
        <f>M4</f>
        <v>3</v>
      </c>
      <c r="S4" s="826">
        <f>K4</f>
        <v>1</v>
      </c>
      <c r="T4" s="826">
        <f>L4</f>
        <v>2</v>
      </c>
      <c r="U4" s="826">
        <f>M4</f>
        <v>3</v>
      </c>
      <c r="V4" s="826">
        <f>K4</f>
        <v>1</v>
      </c>
      <c r="W4" s="826">
        <f>L4</f>
        <v>2</v>
      </c>
      <c r="X4" s="826">
        <f>M4</f>
        <v>3</v>
      </c>
      <c r="Y4" s="826">
        <f>N4</f>
        <v>4</v>
      </c>
      <c r="Z4" s="826">
        <f>V4</f>
        <v>1</v>
      </c>
      <c r="AA4" s="826">
        <f>W4</f>
        <v>2</v>
      </c>
      <c r="AB4" s="826">
        <f>X4</f>
        <v>3</v>
      </c>
      <c r="AC4" s="826">
        <f>Y4</f>
        <v>4</v>
      </c>
      <c r="AD4" s="826" t="s">
        <v>1253</v>
      </c>
      <c r="AE4" s="826" t="s">
        <v>1743</v>
      </c>
    </row>
    <row r="5" spans="1:38" x14ac:dyDescent="0.25">
      <c r="A5" s="751">
        <v>0</v>
      </c>
      <c r="B5" s="827">
        <v>0</v>
      </c>
      <c r="C5" s="751">
        <v>3</v>
      </c>
      <c r="D5" s="827">
        <v>9</v>
      </c>
      <c r="E5" s="827">
        <v>18</v>
      </c>
      <c r="F5" s="755">
        <v>24</v>
      </c>
      <c r="G5" s="831">
        <f>SUM(C5:F5)</f>
        <v>54</v>
      </c>
      <c r="I5">
        <f>A5</f>
        <v>0</v>
      </c>
      <c r="J5">
        <f>B5</f>
        <v>0</v>
      </c>
      <c r="K5" s="751">
        <f t="shared" si="0"/>
        <v>3</v>
      </c>
      <c r="L5" s="827">
        <f t="shared" si="0"/>
        <v>9</v>
      </c>
      <c r="M5" s="827">
        <f t="shared" si="0"/>
        <v>18</v>
      </c>
      <c r="N5" s="827">
        <f t="shared" si="0"/>
        <v>24</v>
      </c>
      <c r="O5" s="831">
        <f>SUM(K5:N5)</f>
        <v>54</v>
      </c>
      <c r="P5" s="751">
        <f>EXP(AG$5+MMULT($I5:$J5,AG$6:AG$7))</f>
        <v>8.2921921764601239E-2</v>
      </c>
      <c r="Q5" s="827">
        <f t="shared" ref="Q5:R12" si="1">EXP(AH$5+MMULT($I5:$J5,AH$6:AH$7))</f>
        <v>0.29357072062381501</v>
      </c>
      <c r="R5" s="755">
        <f t="shared" si="1"/>
        <v>0.98136532764423001</v>
      </c>
      <c r="S5" s="751">
        <f t="shared" ref="S5:U12" si="2">P5/(1+P5)</f>
        <v>7.6572391876121124E-2</v>
      </c>
      <c r="T5" s="827">
        <f>Q5/(1+Q5)</f>
        <v>0.22694601535372005</v>
      </c>
      <c r="U5" s="755">
        <f t="shared" si="2"/>
        <v>0.49529751729886029</v>
      </c>
      <c r="V5" s="751">
        <f t="shared" ref="V5:V12" si="3">S5</f>
        <v>7.6572391876121124E-2</v>
      </c>
      <c r="W5" s="827">
        <f>T5-S5</f>
        <v>0.15037362347759892</v>
      </c>
      <c r="X5" s="827">
        <f>U5-T5</f>
        <v>0.26835150194514024</v>
      </c>
      <c r="Y5" s="755">
        <f t="shared" ref="Y5:Y12" si="4">1-U5</f>
        <v>0.50470248270113971</v>
      </c>
      <c r="Z5" s="751">
        <f>V5*$O5</f>
        <v>4.1349091613105404</v>
      </c>
      <c r="AA5" s="827">
        <f t="shared" ref="AA5:AC12" si="5">W5*$O5</f>
        <v>8.1201756677903418</v>
      </c>
      <c r="AB5" s="827">
        <f t="shared" si="5"/>
        <v>14.490981105037573</v>
      </c>
      <c r="AC5" s="755">
        <f t="shared" si="5"/>
        <v>27.253934065861543</v>
      </c>
      <c r="AD5" s="7">
        <f>SUMPRODUCT(K5:N5,LN(V5:Y5))</f>
        <v>-64.849350884733553</v>
      </c>
      <c r="AE5">
        <f>GAMMALN(O5+1)-SUMPRODUCT(GAMMALN(K5:N5+1))</f>
        <v>58.546350707740302</v>
      </c>
      <c r="AG5" s="751">
        <f>F16</f>
        <v>-2.4898558155543067</v>
      </c>
      <c r="AH5" s="831">
        <f>M16</f>
        <v>-1.22563671261041</v>
      </c>
      <c r="AI5" s="755">
        <f>T16</f>
        <v>-1.8810485434610585E-2</v>
      </c>
      <c r="AK5" t="s">
        <v>1252</v>
      </c>
      <c r="AL5" s="820">
        <f>SUMPRODUCT(K13:N13,LN(K13:N13/O13))+AE13</f>
        <v>-58.714364607210314</v>
      </c>
    </row>
    <row r="6" spans="1:38" x14ac:dyDescent="0.25">
      <c r="A6" s="532">
        <v>0</v>
      </c>
      <c r="B6" s="7">
        <v>1</v>
      </c>
      <c r="C6" s="532">
        <v>6</v>
      </c>
      <c r="D6" s="7">
        <v>13</v>
      </c>
      <c r="E6" s="7">
        <v>16</v>
      </c>
      <c r="F6" s="533">
        <v>28</v>
      </c>
      <c r="G6" s="503">
        <f t="shared" ref="G6:G13" si="6">SUM(C6:F6)</f>
        <v>63</v>
      </c>
      <c r="I6">
        <f t="shared" ref="I6:J12" si="7">A6</f>
        <v>0</v>
      </c>
      <c r="J6">
        <f t="shared" si="7"/>
        <v>1</v>
      </c>
      <c r="K6" s="532">
        <f t="shared" si="0"/>
        <v>6</v>
      </c>
      <c r="L6" s="7">
        <f t="shared" si="0"/>
        <v>13</v>
      </c>
      <c r="M6" s="7">
        <f t="shared" si="0"/>
        <v>16</v>
      </c>
      <c r="N6" s="7">
        <f t="shared" si="0"/>
        <v>28</v>
      </c>
      <c r="O6" s="503">
        <f t="shared" ref="O6:O12" si="8">SUM(K6:N6)</f>
        <v>63</v>
      </c>
      <c r="P6" s="532">
        <f t="shared" ref="P6:P12" si="9">EXP(AG$5+MMULT($I6:$J6,AG$6:AG$7))</f>
        <v>0.10380199752601355</v>
      </c>
      <c r="Q6" s="7">
        <f t="shared" si="1"/>
        <v>0.37365985966958304</v>
      </c>
      <c r="R6" s="533">
        <f t="shared" si="1"/>
        <v>1.3323969998525109</v>
      </c>
      <c r="S6" s="532">
        <f t="shared" si="2"/>
        <v>9.4040414638375591E-2</v>
      </c>
      <c r="T6" s="7">
        <f t="shared" si="2"/>
        <v>0.27201774663449968</v>
      </c>
      <c r="U6" s="533">
        <f t="shared" si="2"/>
        <v>0.57125652276896466</v>
      </c>
      <c r="V6" s="532">
        <f t="shared" si="3"/>
        <v>9.4040414638375591E-2</v>
      </c>
      <c r="W6" s="7">
        <f t="shared" ref="W6:X12" si="10">T6-S6</f>
        <v>0.17797733199612409</v>
      </c>
      <c r="X6" s="7">
        <f t="shared" si="10"/>
        <v>0.29923877613446498</v>
      </c>
      <c r="Y6" s="533">
        <f t="shared" si="4"/>
        <v>0.42874347723103534</v>
      </c>
      <c r="Z6" s="532">
        <f t="shared" ref="Z6:Z12" si="11">V6*$O6</f>
        <v>5.9245461222176621</v>
      </c>
      <c r="AA6" s="7">
        <f t="shared" si="5"/>
        <v>11.212571915755818</v>
      </c>
      <c r="AB6" s="7">
        <f t="shared" si="5"/>
        <v>18.852042896471293</v>
      </c>
      <c r="AC6" s="533">
        <f t="shared" si="5"/>
        <v>27.010839065555228</v>
      </c>
      <c r="AD6" s="7">
        <f t="shared" ref="AD6:AD12" si="12">SUMPRODUCT(K6:N6,LN(V6:Y6))</f>
        <v>-79.640788888096836</v>
      </c>
      <c r="AE6">
        <f t="shared" ref="AE6:AE12" si="13">GAMMALN(O6+1)-SUMPRODUCT(GAMMALN(K6:N6+1))</f>
        <v>73.31629809088578</v>
      </c>
      <c r="AG6" s="532">
        <f>F17</f>
        <v>0.29414154986482882</v>
      </c>
      <c r="AH6" s="503">
        <f>M17</f>
        <v>0.4300159098267457</v>
      </c>
      <c r="AI6" s="533">
        <f>T17</f>
        <v>0.38227491891538079</v>
      </c>
      <c r="AK6" t="s">
        <v>1315</v>
      </c>
      <c r="AL6" s="757">
        <f>AD13+AE13</f>
        <v>-51.075315111599252</v>
      </c>
    </row>
    <row r="7" spans="1:38" x14ac:dyDescent="0.25">
      <c r="A7" s="532">
        <v>0</v>
      </c>
      <c r="B7" s="7">
        <v>2</v>
      </c>
      <c r="C7" s="532">
        <v>9</v>
      </c>
      <c r="D7" s="31">
        <v>13</v>
      </c>
      <c r="E7" s="31">
        <v>17</v>
      </c>
      <c r="F7" s="533">
        <v>20</v>
      </c>
      <c r="G7" s="503">
        <f t="shared" si="6"/>
        <v>59</v>
      </c>
      <c r="I7">
        <f t="shared" si="7"/>
        <v>0</v>
      </c>
      <c r="J7">
        <f t="shared" si="7"/>
        <v>2</v>
      </c>
      <c r="K7" s="532">
        <f t="shared" si="0"/>
        <v>9</v>
      </c>
      <c r="L7" s="7">
        <f t="shared" si="0"/>
        <v>13</v>
      </c>
      <c r="M7" s="7">
        <f t="shared" si="0"/>
        <v>17</v>
      </c>
      <c r="N7" s="7">
        <f t="shared" si="0"/>
        <v>20</v>
      </c>
      <c r="O7" s="503">
        <f t="shared" si="8"/>
        <v>59</v>
      </c>
      <c r="P7" s="532">
        <f t="shared" si="9"/>
        <v>0.12993976093533127</v>
      </c>
      <c r="Q7" s="7">
        <f t="shared" si="1"/>
        <v>0.47559814695282698</v>
      </c>
      <c r="R7" s="533">
        <f t="shared" si="1"/>
        <v>1.8089917334633581</v>
      </c>
      <c r="S7" s="532">
        <f t="shared" si="2"/>
        <v>0.11499706924886945</v>
      </c>
      <c r="T7" s="7">
        <f t="shared" si="2"/>
        <v>0.32230871794936677</v>
      </c>
      <c r="U7" s="533">
        <f t="shared" si="2"/>
        <v>0.64400037633181428</v>
      </c>
      <c r="V7" s="532">
        <f t="shared" si="3"/>
        <v>0.11499706924886945</v>
      </c>
      <c r="W7" s="7">
        <f t="shared" si="10"/>
        <v>0.20731164870049734</v>
      </c>
      <c r="X7" s="7">
        <f t="shared" si="10"/>
        <v>0.32169165838244751</v>
      </c>
      <c r="Y7" s="533">
        <f t="shared" si="4"/>
        <v>0.35599962366818572</v>
      </c>
      <c r="Z7" s="532">
        <f t="shared" si="11"/>
        <v>6.7848270856832977</v>
      </c>
      <c r="AA7" s="7">
        <f t="shared" si="5"/>
        <v>12.231387273329343</v>
      </c>
      <c r="AB7" s="7">
        <f t="shared" si="5"/>
        <v>18.979807844564402</v>
      </c>
      <c r="AC7" s="533">
        <f t="shared" si="5"/>
        <v>21.003977796422959</v>
      </c>
      <c r="AD7" s="7">
        <f t="shared" si="12"/>
        <v>-79.858816891715506</v>
      </c>
      <c r="AE7">
        <f t="shared" si="13"/>
        <v>73.339147617354215</v>
      </c>
      <c r="AG7" s="409">
        <f>F18</f>
        <v>0.22458575110736467</v>
      </c>
      <c r="AH7" s="420">
        <f>M18</f>
        <v>0.24122735110346019</v>
      </c>
      <c r="AI7" s="417">
        <f>T18</f>
        <v>0.30579006108266554</v>
      </c>
    </row>
    <row r="8" spans="1:38" x14ac:dyDescent="0.25">
      <c r="A8" s="409">
        <v>0</v>
      </c>
      <c r="B8" s="762">
        <v>3</v>
      </c>
      <c r="C8" s="409">
        <v>5</v>
      </c>
      <c r="D8" s="846">
        <v>7</v>
      </c>
      <c r="E8" s="846">
        <v>16</v>
      </c>
      <c r="F8" s="417">
        <v>16</v>
      </c>
      <c r="G8" s="420">
        <f t="shared" si="6"/>
        <v>44</v>
      </c>
      <c r="I8">
        <f t="shared" si="7"/>
        <v>0</v>
      </c>
      <c r="J8">
        <f t="shared" si="7"/>
        <v>3</v>
      </c>
      <c r="K8" s="532">
        <f t="shared" si="0"/>
        <v>5</v>
      </c>
      <c r="L8" s="7">
        <f t="shared" si="0"/>
        <v>7</v>
      </c>
      <c r="M8" s="7">
        <f t="shared" si="0"/>
        <v>16</v>
      </c>
      <c r="N8" s="7">
        <f t="shared" si="0"/>
        <v>16</v>
      </c>
      <c r="O8" s="503">
        <f t="shared" si="8"/>
        <v>44</v>
      </c>
      <c r="P8" s="532">
        <f t="shared" si="9"/>
        <v>0.16265911903766295</v>
      </c>
      <c r="Q8" s="7">
        <f t="shared" si="1"/>
        <v>0.6053462568470146</v>
      </c>
      <c r="R8" s="533">
        <f t="shared" si="1"/>
        <v>2.4560630893802728</v>
      </c>
      <c r="S8" s="532">
        <f t="shared" si="2"/>
        <v>0.1399026734270114</v>
      </c>
      <c r="T8" s="7">
        <f t="shared" si="2"/>
        <v>0.3770814266798409</v>
      </c>
      <c r="U8" s="533">
        <f t="shared" si="2"/>
        <v>0.71065343017817539</v>
      </c>
      <c r="V8" s="532">
        <f t="shared" si="3"/>
        <v>0.1399026734270114</v>
      </c>
      <c r="W8" s="7">
        <f t="shared" si="10"/>
        <v>0.2371787532528295</v>
      </c>
      <c r="X8" s="7">
        <f t="shared" si="10"/>
        <v>0.33357200349833449</v>
      </c>
      <c r="Y8" s="533">
        <f t="shared" si="4"/>
        <v>0.28934656982182461</v>
      </c>
      <c r="Z8" s="532">
        <f t="shared" si="11"/>
        <v>6.1557176307885015</v>
      </c>
      <c r="AA8" s="7">
        <f t="shared" si="5"/>
        <v>10.435865143124499</v>
      </c>
      <c r="AB8" s="7">
        <f t="shared" si="5"/>
        <v>14.677168153926718</v>
      </c>
      <c r="AC8" s="533">
        <f t="shared" si="5"/>
        <v>12.731249072160283</v>
      </c>
      <c r="AD8" s="7">
        <f t="shared" si="12"/>
        <v>-57.315056005755395</v>
      </c>
      <c r="AE8">
        <f t="shared" si="13"/>
        <v>50.660897833348074</v>
      </c>
      <c r="AK8" t="s">
        <v>1328</v>
      </c>
      <c r="AL8" s="820">
        <f>2*(AL6-AL5)</f>
        <v>15.278098991222123</v>
      </c>
    </row>
    <row r="9" spans="1:38" x14ac:dyDescent="0.25">
      <c r="A9" s="532">
        <v>1</v>
      </c>
      <c r="B9" s="7">
        <v>0</v>
      </c>
      <c r="C9" s="532">
        <v>4</v>
      </c>
      <c r="D9" s="7">
        <v>8</v>
      </c>
      <c r="E9" s="7">
        <v>11</v>
      </c>
      <c r="F9" s="533">
        <v>25</v>
      </c>
      <c r="G9" s="503">
        <f t="shared" si="6"/>
        <v>48</v>
      </c>
      <c r="I9">
        <f t="shared" si="7"/>
        <v>1</v>
      </c>
      <c r="J9">
        <f t="shared" si="7"/>
        <v>0</v>
      </c>
      <c r="K9" s="532">
        <f t="shared" si="0"/>
        <v>4</v>
      </c>
      <c r="L9" s="7">
        <f t="shared" si="0"/>
        <v>8</v>
      </c>
      <c r="M9" s="7">
        <f t="shared" si="0"/>
        <v>11</v>
      </c>
      <c r="N9" s="7">
        <f t="shared" si="0"/>
        <v>25</v>
      </c>
      <c r="O9" s="503">
        <f t="shared" si="8"/>
        <v>48</v>
      </c>
      <c r="P9" s="532">
        <f t="shared" si="9"/>
        <v>0.11127905030464158</v>
      </c>
      <c r="Q9" s="7">
        <f t="shared" si="1"/>
        <v>0.45130097903571992</v>
      </c>
      <c r="R9" s="533">
        <f t="shared" si="1"/>
        <v>1.438303700539322</v>
      </c>
      <c r="S9" s="532">
        <f t="shared" si="2"/>
        <v>0.10013601018946232</v>
      </c>
      <c r="T9" s="7">
        <f t="shared" si="2"/>
        <v>0.31096305008736053</v>
      </c>
      <c r="U9" s="533">
        <f t="shared" si="2"/>
        <v>0.58987881625294969</v>
      </c>
      <c r="V9" s="532">
        <f t="shared" si="3"/>
        <v>0.10013601018946232</v>
      </c>
      <c r="W9" s="7">
        <f t="shared" si="10"/>
        <v>0.21082703989789819</v>
      </c>
      <c r="X9" s="7">
        <f t="shared" si="10"/>
        <v>0.27891576616558916</v>
      </c>
      <c r="Y9" s="533">
        <f t="shared" si="4"/>
        <v>0.41012118374705031</v>
      </c>
      <c r="Z9" s="532">
        <f t="shared" si="11"/>
        <v>4.8065284890941911</v>
      </c>
      <c r="AA9" s="7">
        <f t="shared" si="5"/>
        <v>10.119697915099113</v>
      </c>
      <c r="AB9" s="7">
        <f t="shared" si="5"/>
        <v>13.387956775948279</v>
      </c>
      <c r="AC9" s="533">
        <f t="shared" si="5"/>
        <v>19.685816819858417</v>
      </c>
      <c r="AD9" s="7">
        <f t="shared" si="12"/>
        <v>-57.986506081516978</v>
      </c>
      <c r="AE9">
        <f t="shared" si="13"/>
        <v>51.385353846286648</v>
      </c>
      <c r="AK9" t="s">
        <v>60</v>
      </c>
      <c r="AL9" s="680">
        <f>COUNT(M5:O5)</f>
        <v>3</v>
      </c>
    </row>
    <row r="10" spans="1:38" x14ac:dyDescent="0.25">
      <c r="A10" s="532">
        <v>1</v>
      </c>
      <c r="B10" s="7">
        <v>1</v>
      </c>
      <c r="C10" s="532">
        <v>8</v>
      </c>
      <c r="D10" s="31">
        <v>14</v>
      </c>
      <c r="E10" s="31">
        <v>20</v>
      </c>
      <c r="F10" s="533">
        <v>18</v>
      </c>
      <c r="G10" s="503">
        <f t="shared" si="6"/>
        <v>60</v>
      </c>
      <c r="I10">
        <f t="shared" si="7"/>
        <v>1</v>
      </c>
      <c r="J10">
        <f t="shared" si="7"/>
        <v>1</v>
      </c>
      <c r="K10" s="532">
        <f t="shared" si="0"/>
        <v>8</v>
      </c>
      <c r="L10" s="7">
        <f t="shared" si="0"/>
        <v>14</v>
      </c>
      <c r="M10" s="7">
        <f t="shared" si="0"/>
        <v>20</v>
      </c>
      <c r="N10" s="7">
        <f t="shared" si="0"/>
        <v>18</v>
      </c>
      <c r="O10" s="503">
        <f t="shared" si="8"/>
        <v>60</v>
      </c>
      <c r="P10" s="532">
        <f t="shared" si="9"/>
        <v>0.13929956588814338</v>
      </c>
      <c r="Q10" s="7">
        <f t="shared" si="1"/>
        <v>0.57442056938410058</v>
      </c>
      <c r="R10" s="533">
        <f t="shared" si="1"/>
        <v>1.9527809690155444</v>
      </c>
      <c r="S10" s="532">
        <f t="shared" si="2"/>
        <v>0.12226772488897783</v>
      </c>
      <c r="T10" s="7">
        <f t="shared" si="2"/>
        <v>0.36484569660367738</v>
      </c>
      <c r="U10" s="533">
        <f t="shared" si="2"/>
        <v>0.66133620797027848</v>
      </c>
      <c r="V10" s="532">
        <f t="shared" si="3"/>
        <v>0.12226772488897783</v>
      </c>
      <c r="W10" s="7">
        <f t="shared" si="10"/>
        <v>0.24257797171469955</v>
      </c>
      <c r="X10" s="7">
        <f t="shared" si="10"/>
        <v>0.29649051136660109</v>
      </c>
      <c r="Y10" s="533">
        <f t="shared" si="4"/>
        <v>0.33866379202972152</v>
      </c>
      <c r="Z10" s="532">
        <f t="shared" si="11"/>
        <v>7.3360634933386697</v>
      </c>
      <c r="AA10" s="7">
        <f t="shared" si="5"/>
        <v>14.554678302881973</v>
      </c>
      <c r="AB10" s="7">
        <f t="shared" si="5"/>
        <v>17.789430681996066</v>
      </c>
      <c r="AC10" s="533">
        <f t="shared" si="5"/>
        <v>20.319827521783292</v>
      </c>
      <c r="AD10" s="7">
        <f t="shared" si="12"/>
        <v>-80.446641563873087</v>
      </c>
      <c r="AE10">
        <f t="shared" si="13"/>
        <v>74.101287669401145</v>
      </c>
      <c r="AK10" t="s">
        <v>67</v>
      </c>
      <c r="AL10" s="680">
        <f>CHIDIST(AL8,AL9)</f>
        <v>1.5937756704613676E-3</v>
      </c>
    </row>
    <row r="11" spans="1:38" x14ac:dyDescent="0.25">
      <c r="A11" s="532">
        <v>1</v>
      </c>
      <c r="B11" s="7">
        <v>2</v>
      </c>
      <c r="C11" s="532">
        <v>10</v>
      </c>
      <c r="D11" s="31">
        <v>15</v>
      </c>
      <c r="E11" s="31">
        <v>16</v>
      </c>
      <c r="F11" s="533">
        <v>12</v>
      </c>
      <c r="G11" s="503">
        <f t="shared" si="6"/>
        <v>53</v>
      </c>
      <c r="I11">
        <f t="shared" si="7"/>
        <v>1</v>
      </c>
      <c r="J11">
        <f t="shared" si="7"/>
        <v>2</v>
      </c>
      <c r="K11" s="532">
        <f t="shared" si="0"/>
        <v>10</v>
      </c>
      <c r="L11" s="7">
        <f t="shared" si="0"/>
        <v>15</v>
      </c>
      <c r="M11" s="7">
        <f t="shared" si="0"/>
        <v>16</v>
      </c>
      <c r="N11" s="7">
        <f t="shared" si="0"/>
        <v>12</v>
      </c>
      <c r="O11" s="503">
        <f t="shared" si="8"/>
        <v>53</v>
      </c>
      <c r="P11" s="532">
        <f t="shared" si="9"/>
        <v>0.174375760787885</v>
      </c>
      <c r="Q11" s="7">
        <f t="shared" si="1"/>
        <v>0.73112846162347567</v>
      </c>
      <c r="R11" s="533">
        <f t="shared" si="1"/>
        <v>2.6512853380822095</v>
      </c>
      <c r="S11" s="532">
        <f t="shared" si="2"/>
        <v>0.14848378739603485</v>
      </c>
      <c r="T11" s="7">
        <f t="shared" si="2"/>
        <v>0.42234211835314261</v>
      </c>
      <c r="U11" s="533">
        <f t="shared" si="2"/>
        <v>0.7261238420426388</v>
      </c>
      <c r="V11" s="532">
        <f t="shared" si="3"/>
        <v>0.14848378739603485</v>
      </c>
      <c r="W11" s="7">
        <f t="shared" si="10"/>
        <v>0.27385833095710777</v>
      </c>
      <c r="X11" s="7">
        <f t="shared" si="10"/>
        <v>0.30378172368949619</v>
      </c>
      <c r="Y11" s="533">
        <f t="shared" si="4"/>
        <v>0.2738761579573612</v>
      </c>
      <c r="Z11" s="532">
        <f t="shared" si="11"/>
        <v>7.8696407319898469</v>
      </c>
      <c r="AA11" s="7">
        <f t="shared" si="5"/>
        <v>14.514491540726711</v>
      </c>
      <c r="AB11" s="7">
        <f t="shared" si="5"/>
        <v>16.100431355543297</v>
      </c>
      <c r="AC11" s="533">
        <f t="shared" si="5"/>
        <v>14.515436371740144</v>
      </c>
      <c r="AD11" s="7">
        <f t="shared" si="12"/>
        <v>-73.104044854669482</v>
      </c>
      <c r="AE11">
        <f t="shared" si="13"/>
        <v>66.668369657971951</v>
      </c>
      <c r="AK11" t="s">
        <v>106</v>
      </c>
      <c r="AL11" s="680">
        <v>0.05</v>
      </c>
    </row>
    <row r="12" spans="1:38" x14ac:dyDescent="0.25">
      <c r="A12" s="409">
        <v>1</v>
      </c>
      <c r="B12" s="762">
        <v>3</v>
      </c>
      <c r="C12" s="409">
        <v>5</v>
      </c>
      <c r="D12" s="762">
        <v>14</v>
      </c>
      <c r="E12" s="762">
        <v>12</v>
      </c>
      <c r="F12" s="417">
        <v>8</v>
      </c>
      <c r="G12" s="420">
        <f t="shared" si="6"/>
        <v>39</v>
      </c>
      <c r="I12">
        <f>A11</f>
        <v>1</v>
      </c>
      <c r="J12">
        <f t="shared" si="7"/>
        <v>3</v>
      </c>
      <c r="K12" s="409">
        <f t="shared" si="0"/>
        <v>5</v>
      </c>
      <c r="L12" s="762">
        <f t="shared" si="0"/>
        <v>14</v>
      </c>
      <c r="M12" s="762">
        <f t="shared" si="0"/>
        <v>12</v>
      </c>
      <c r="N12" s="762">
        <f t="shared" si="0"/>
        <v>8</v>
      </c>
      <c r="O12" s="420">
        <f t="shared" si="8"/>
        <v>39</v>
      </c>
      <c r="P12" s="409">
        <f t="shared" si="9"/>
        <v>0.21828428363352001</v>
      </c>
      <c r="Q12" s="762">
        <f t="shared" si="1"/>
        <v>0.93058789306423806</v>
      </c>
      <c r="R12" s="417">
        <f t="shared" si="1"/>
        <v>3.5996427942829574</v>
      </c>
      <c r="S12" s="409">
        <f t="shared" si="2"/>
        <v>0.17917352014300755</v>
      </c>
      <c r="T12" s="762">
        <f t="shared" si="2"/>
        <v>0.48202306479152557</v>
      </c>
      <c r="U12" s="417">
        <f t="shared" si="2"/>
        <v>0.78259181316363702</v>
      </c>
      <c r="V12" s="409">
        <f t="shared" si="3"/>
        <v>0.17917352014300755</v>
      </c>
      <c r="W12" s="762">
        <f t="shared" si="10"/>
        <v>0.30284954464851799</v>
      </c>
      <c r="X12" s="762">
        <f t="shared" si="10"/>
        <v>0.30056874837211145</v>
      </c>
      <c r="Y12" s="417">
        <f t="shared" si="4"/>
        <v>0.21740818683636298</v>
      </c>
      <c r="Z12" s="409">
        <f t="shared" si="11"/>
        <v>6.987767285577295</v>
      </c>
      <c r="AA12" s="762">
        <f t="shared" si="5"/>
        <v>11.811132241292201</v>
      </c>
      <c r="AB12" s="762">
        <f t="shared" si="5"/>
        <v>11.722181186512346</v>
      </c>
      <c r="AC12" s="417">
        <f t="shared" si="5"/>
        <v>8.4789192866181562</v>
      </c>
      <c r="AD12" s="7">
        <f t="shared" si="12"/>
        <v>-51.953045300942122</v>
      </c>
      <c r="AE12">
        <f t="shared" si="13"/>
        <v>46.061229936715577</v>
      </c>
      <c r="AK12" t="s">
        <v>527</v>
      </c>
      <c r="AL12" s="758" t="str">
        <f>IF(AL10&lt;AL11,"yes","no")</f>
        <v>yes</v>
      </c>
    </row>
    <row r="13" spans="1:38" x14ac:dyDescent="0.25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827"/>
      <c r="J13" s="827"/>
      <c r="K13" s="827">
        <f>SUM(K5:K12)</f>
        <v>50</v>
      </c>
      <c r="L13" s="827">
        <f>SUM(L5:L12)</f>
        <v>93</v>
      </c>
      <c r="M13" s="827">
        <f>SUM(M5:M12)</f>
        <v>126</v>
      </c>
      <c r="N13" s="827">
        <f>SUM(N5:N12)</f>
        <v>151</v>
      </c>
      <c r="O13" s="827">
        <f>SUM(O5:O12)</f>
        <v>420</v>
      </c>
      <c r="S13" s="827"/>
      <c r="T13" s="7"/>
      <c r="Z13" s="827">
        <f t="shared" ref="Z13:AE13" si="14">SUM(Z5:Z12)</f>
        <v>50</v>
      </c>
      <c r="AA13" s="827">
        <f t="shared" si="14"/>
        <v>92.999999999999986</v>
      </c>
      <c r="AB13" s="827">
        <f t="shared" si="14"/>
        <v>125.99999999999997</v>
      </c>
      <c r="AC13" s="827">
        <f t="shared" si="14"/>
        <v>151.00000000000003</v>
      </c>
      <c r="AD13" s="827">
        <f t="shared" si="14"/>
        <v>-545.15425047130293</v>
      </c>
      <c r="AE13" s="827">
        <f t="shared" si="14"/>
        <v>494.07893535970368</v>
      </c>
    </row>
    <row r="14" spans="1:38" x14ac:dyDescent="0.25">
      <c r="AK14" t="s">
        <v>1325</v>
      </c>
      <c r="AL14" s="820">
        <f>1-(AL6-AE13)/(AL5-AE13)</f>
        <v>1.3818997980019398E-2</v>
      </c>
    </row>
    <row r="15" spans="1:38" x14ac:dyDescent="0.25">
      <c r="A15" s="13" t="s">
        <v>1828</v>
      </c>
      <c r="B15" s="13" t="s">
        <v>1829</v>
      </c>
      <c r="C15" s="13">
        <f t="shared" ref="C15:C23" si="15">C4</f>
        <v>1</v>
      </c>
      <c r="D15" s="13" t="s">
        <v>1841</v>
      </c>
      <c r="H15" s="13" t="s">
        <v>1828</v>
      </c>
      <c r="I15" s="13" t="s">
        <v>1829</v>
      </c>
      <c r="J15" s="13" t="s">
        <v>1842</v>
      </c>
      <c r="K15" s="13" t="s">
        <v>1843</v>
      </c>
      <c r="O15" s="13" t="s">
        <v>1828</v>
      </c>
      <c r="P15" s="13" t="s">
        <v>1829</v>
      </c>
      <c r="Q15" s="13" t="s">
        <v>1831</v>
      </c>
      <c r="R15" s="13">
        <v>4</v>
      </c>
      <c r="AK15" t="s">
        <v>1326</v>
      </c>
      <c r="AL15" s="680">
        <f>1-EXP((-2/O13)*(AL6-AL5))</f>
        <v>3.5722754032992188E-2</v>
      </c>
    </row>
    <row r="16" spans="1:38" x14ac:dyDescent="0.25">
      <c r="A16" s="751">
        <v>0</v>
      </c>
      <c r="B16" s="752">
        <v>0</v>
      </c>
      <c r="C16" s="751">
        <f t="shared" si="15"/>
        <v>3</v>
      </c>
      <c r="D16" s="755">
        <f>G5-C16</f>
        <v>51</v>
      </c>
      <c r="F16" s="831">
        <f t="array" ref="F16:F18">[1]!LogitCoeff(A16:D23)</f>
        <v>-2.4898558155543067</v>
      </c>
      <c r="H16" s="751">
        <v>0</v>
      </c>
      <c r="I16" s="827">
        <v>0</v>
      </c>
      <c r="J16" s="751">
        <f>C5+D5</f>
        <v>12</v>
      </c>
      <c r="K16" s="755">
        <f>G5-J16</f>
        <v>42</v>
      </c>
      <c r="M16" s="831">
        <f t="array" ref="M16:M18">[1]!LogitCoeff(H16:K23)</f>
        <v>-1.22563671261041</v>
      </c>
      <c r="O16" s="751">
        <v>0</v>
      </c>
      <c r="P16" s="827">
        <v>0</v>
      </c>
      <c r="Q16" s="751">
        <f>G5-R16</f>
        <v>30</v>
      </c>
      <c r="R16" s="755">
        <f>F5</f>
        <v>24</v>
      </c>
      <c r="T16" s="831">
        <f t="array" ref="T16:T18">[1]!LogitCoeff(O16:R23)</f>
        <v>-1.8810485434610585E-2</v>
      </c>
      <c r="AK16" t="s">
        <v>1327</v>
      </c>
      <c r="AL16" s="757">
        <f>AL15/(1-EXP(2*(AL5-AE13)/O13))</f>
        <v>3.8490586936736119E-2</v>
      </c>
    </row>
    <row r="17" spans="1:20" x14ac:dyDescent="0.25">
      <c r="A17" s="532">
        <v>0</v>
      </c>
      <c r="B17" s="7">
        <v>1</v>
      </c>
      <c r="C17" s="532">
        <f t="shared" si="15"/>
        <v>6</v>
      </c>
      <c r="D17" s="533">
        <f t="shared" ref="D17:D23" si="16">G6-C17</f>
        <v>57</v>
      </c>
      <c r="F17" s="503">
        <v>0.29414154986482882</v>
      </c>
      <c r="H17" s="532">
        <v>0</v>
      </c>
      <c r="I17" s="7">
        <v>1</v>
      </c>
      <c r="J17" s="532">
        <f t="shared" ref="J17:J23" si="17">C6+D6</f>
        <v>19</v>
      </c>
      <c r="K17" s="533">
        <f t="shared" ref="K17:K23" si="18">G6-J17</f>
        <v>44</v>
      </c>
      <c r="M17" s="503">
        <v>0.4300159098267457</v>
      </c>
      <c r="O17" s="532">
        <v>0</v>
      </c>
      <c r="P17" s="7">
        <v>1</v>
      </c>
      <c r="Q17" s="532">
        <f t="shared" ref="Q17:Q23" si="19">G6-R17</f>
        <v>35</v>
      </c>
      <c r="R17" s="533">
        <f t="shared" ref="R17:R23" si="20">F6</f>
        <v>28</v>
      </c>
      <c r="T17" s="503">
        <v>0.38227491891538079</v>
      </c>
    </row>
    <row r="18" spans="1:20" x14ac:dyDescent="0.25">
      <c r="A18" s="532">
        <v>0</v>
      </c>
      <c r="B18" s="7">
        <v>2</v>
      </c>
      <c r="C18" s="532">
        <f t="shared" si="15"/>
        <v>9</v>
      </c>
      <c r="D18" s="533">
        <f t="shared" si="16"/>
        <v>50</v>
      </c>
      <c r="F18" s="420">
        <v>0.22458575110736467</v>
      </c>
      <c r="H18" s="532">
        <v>0</v>
      </c>
      <c r="I18" s="7">
        <v>2</v>
      </c>
      <c r="J18" s="532">
        <f t="shared" si="17"/>
        <v>22</v>
      </c>
      <c r="K18" s="533">
        <f t="shared" si="18"/>
        <v>37</v>
      </c>
      <c r="M18" s="420">
        <v>0.24122735110346019</v>
      </c>
      <c r="O18" s="532">
        <v>0</v>
      </c>
      <c r="P18" s="7">
        <v>2</v>
      </c>
      <c r="Q18" s="532">
        <f t="shared" si="19"/>
        <v>39</v>
      </c>
      <c r="R18" s="533">
        <f t="shared" si="20"/>
        <v>20</v>
      </c>
      <c r="T18" s="420">
        <v>0.30579006108266554</v>
      </c>
    </row>
    <row r="19" spans="1:20" x14ac:dyDescent="0.25">
      <c r="A19" s="409">
        <v>0</v>
      </c>
      <c r="B19" s="762">
        <v>3</v>
      </c>
      <c r="C19" s="409">
        <f t="shared" si="15"/>
        <v>5</v>
      </c>
      <c r="D19" s="417">
        <f t="shared" si="16"/>
        <v>39</v>
      </c>
      <c r="H19" s="409">
        <v>0</v>
      </c>
      <c r="I19" s="762">
        <v>3</v>
      </c>
      <c r="J19" s="409">
        <f t="shared" si="17"/>
        <v>12</v>
      </c>
      <c r="K19" s="417">
        <f t="shared" si="18"/>
        <v>32</v>
      </c>
      <c r="O19" s="409">
        <v>0</v>
      </c>
      <c r="P19" s="762">
        <v>3</v>
      </c>
      <c r="Q19" s="532">
        <f t="shared" si="19"/>
        <v>28</v>
      </c>
      <c r="R19" s="533">
        <f t="shared" si="20"/>
        <v>16</v>
      </c>
    </row>
    <row r="20" spans="1:20" x14ac:dyDescent="0.25">
      <c r="A20" s="532">
        <v>1</v>
      </c>
      <c r="B20" s="7">
        <v>0</v>
      </c>
      <c r="C20" s="532">
        <f t="shared" si="15"/>
        <v>4</v>
      </c>
      <c r="D20" s="533">
        <f t="shared" si="16"/>
        <v>44</v>
      </c>
      <c r="H20" s="532">
        <v>1</v>
      </c>
      <c r="I20" s="7">
        <v>0</v>
      </c>
      <c r="J20" s="532">
        <f t="shared" si="17"/>
        <v>12</v>
      </c>
      <c r="K20" s="533">
        <f t="shared" si="18"/>
        <v>36</v>
      </c>
      <c r="O20" s="532">
        <v>1</v>
      </c>
      <c r="P20" s="7">
        <v>0</v>
      </c>
      <c r="Q20" s="751">
        <f t="shared" si="19"/>
        <v>23</v>
      </c>
      <c r="R20" s="755">
        <f t="shared" si="20"/>
        <v>25</v>
      </c>
    </row>
    <row r="21" spans="1:20" x14ac:dyDescent="0.25">
      <c r="A21" s="532">
        <v>1</v>
      </c>
      <c r="B21" s="7">
        <v>1</v>
      </c>
      <c r="C21" s="532">
        <f t="shared" si="15"/>
        <v>8</v>
      </c>
      <c r="D21" s="533">
        <f t="shared" si="16"/>
        <v>52</v>
      </c>
      <c r="H21" s="532">
        <v>1</v>
      </c>
      <c r="I21" s="7">
        <v>1</v>
      </c>
      <c r="J21" s="532">
        <f t="shared" si="17"/>
        <v>22</v>
      </c>
      <c r="K21" s="533">
        <f t="shared" si="18"/>
        <v>38</v>
      </c>
      <c r="O21" s="532">
        <v>1</v>
      </c>
      <c r="P21" s="7">
        <v>1</v>
      </c>
      <c r="Q21" s="532">
        <f t="shared" si="19"/>
        <v>42</v>
      </c>
      <c r="R21" s="533">
        <f t="shared" si="20"/>
        <v>18</v>
      </c>
    </row>
    <row r="22" spans="1:20" x14ac:dyDescent="0.25">
      <c r="A22" s="532">
        <v>1</v>
      </c>
      <c r="B22" s="7">
        <v>2</v>
      </c>
      <c r="C22" s="532">
        <f t="shared" si="15"/>
        <v>10</v>
      </c>
      <c r="D22" s="533">
        <f t="shared" si="16"/>
        <v>43</v>
      </c>
      <c r="H22" s="532">
        <v>1</v>
      </c>
      <c r="I22" s="7">
        <v>2</v>
      </c>
      <c r="J22" s="532">
        <f t="shared" si="17"/>
        <v>25</v>
      </c>
      <c r="K22" s="533">
        <f t="shared" si="18"/>
        <v>28</v>
      </c>
      <c r="O22" s="532">
        <v>1</v>
      </c>
      <c r="P22" s="7">
        <v>2</v>
      </c>
      <c r="Q22" s="532">
        <f t="shared" si="19"/>
        <v>41</v>
      </c>
      <c r="R22" s="533">
        <f t="shared" si="20"/>
        <v>12</v>
      </c>
    </row>
    <row r="23" spans="1:20" x14ac:dyDescent="0.25">
      <c r="A23" s="409">
        <v>1</v>
      </c>
      <c r="B23" s="762">
        <v>3</v>
      </c>
      <c r="C23" s="409">
        <f t="shared" si="15"/>
        <v>5</v>
      </c>
      <c r="D23" s="417">
        <f t="shared" si="16"/>
        <v>34</v>
      </c>
      <c r="H23" s="409">
        <v>1</v>
      </c>
      <c r="I23" s="762">
        <v>3</v>
      </c>
      <c r="J23" s="409">
        <f t="shared" si="17"/>
        <v>19</v>
      </c>
      <c r="K23" s="417">
        <f t="shared" si="18"/>
        <v>20</v>
      </c>
      <c r="O23" s="409">
        <v>1</v>
      </c>
      <c r="P23" s="762">
        <v>3</v>
      </c>
      <c r="Q23" s="409">
        <f t="shared" si="19"/>
        <v>31</v>
      </c>
      <c r="R23" s="417">
        <f t="shared" si="20"/>
        <v>8</v>
      </c>
    </row>
    <row r="25" spans="1:20" x14ac:dyDescent="0.25">
      <c r="A25" t="s">
        <v>1832</v>
      </c>
    </row>
    <row r="27" spans="1:20" x14ac:dyDescent="0.25">
      <c r="C27" s="13">
        <f>C15</f>
        <v>1</v>
      </c>
      <c r="D27" s="13" t="str">
        <f>D15</f>
        <v>2+3+4</v>
      </c>
      <c r="J27" s="13" t="str">
        <f>J15</f>
        <v>1+2</v>
      </c>
      <c r="K27" s="13" t="str">
        <f>K15</f>
        <v>3+4</v>
      </c>
      <c r="Q27" s="13" t="str">
        <f>Q15</f>
        <v>1+2+3</v>
      </c>
      <c r="R27" s="13">
        <f>R15</f>
        <v>4</v>
      </c>
    </row>
    <row r="28" spans="1:20" x14ac:dyDescent="0.25">
      <c r="C28" s="751">
        <f t="array" ref="C28:D35">[1]!QSORTRows(C16:D23)</f>
        <v>3</v>
      </c>
      <c r="D28" s="755">
        <v>51</v>
      </c>
      <c r="J28" s="751">
        <f t="array" ref="J28:K35">[1]!QSORTRows(J16:K23)</f>
        <v>12</v>
      </c>
      <c r="K28" s="755">
        <v>42</v>
      </c>
      <c r="Q28" s="751">
        <f t="array" ref="Q28:R35">[1]!QSORTRows(Q16:R23)</f>
        <v>23</v>
      </c>
      <c r="R28" s="755">
        <v>25</v>
      </c>
    </row>
    <row r="29" spans="1:20" x14ac:dyDescent="0.25">
      <c r="C29" s="532">
        <v>4</v>
      </c>
      <c r="D29" s="533">
        <v>44</v>
      </c>
      <c r="J29" s="532">
        <v>12</v>
      </c>
      <c r="K29" s="533">
        <v>36</v>
      </c>
      <c r="Q29" s="532">
        <v>28</v>
      </c>
      <c r="R29" s="533">
        <v>16</v>
      </c>
    </row>
    <row r="30" spans="1:20" x14ac:dyDescent="0.25">
      <c r="C30" s="532">
        <v>5</v>
      </c>
      <c r="D30" s="533">
        <v>34</v>
      </c>
      <c r="J30" s="532">
        <v>12</v>
      </c>
      <c r="K30" s="533">
        <v>32</v>
      </c>
      <c r="Q30" s="532">
        <v>30</v>
      </c>
      <c r="R30" s="533">
        <v>24</v>
      </c>
    </row>
    <row r="31" spans="1:20" x14ac:dyDescent="0.25">
      <c r="C31" s="409">
        <v>5</v>
      </c>
      <c r="D31" s="417">
        <v>39</v>
      </c>
      <c r="J31" s="409">
        <v>19</v>
      </c>
      <c r="K31" s="417">
        <v>20</v>
      </c>
      <c r="Q31" s="409">
        <v>31</v>
      </c>
      <c r="R31" s="417">
        <v>8</v>
      </c>
    </row>
    <row r="32" spans="1:20" x14ac:dyDescent="0.25">
      <c r="C32" s="532">
        <v>6</v>
      </c>
      <c r="D32" s="533">
        <v>57</v>
      </c>
      <c r="J32" s="532">
        <v>19</v>
      </c>
      <c r="K32" s="533">
        <v>44</v>
      </c>
      <c r="Q32" s="532">
        <v>35</v>
      </c>
      <c r="R32" s="533">
        <v>28</v>
      </c>
    </row>
    <row r="33" spans="3:18" x14ac:dyDescent="0.25">
      <c r="C33" s="532">
        <v>8</v>
      </c>
      <c r="D33" s="533">
        <v>52</v>
      </c>
      <c r="J33" s="532">
        <v>22</v>
      </c>
      <c r="K33" s="533">
        <v>37</v>
      </c>
      <c r="Q33" s="532">
        <v>39</v>
      </c>
      <c r="R33" s="533">
        <v>20</v>
      </c>
    </row>
    <row r="34" spans="3:18" x14ac:dyDescent="0.25">
      <c r="C34" s="532">
        <v>9</v>
      </c>
      <c r="D34" s="533">
        <v>50</v>
      </c>
      <c r="J34" s="532">
        <v>22</v>
      </c>
      <c r="K34" s="533">
        <v>38</v>
      </c>
      <c r="Q34" s="532">
        <v>41</v>
      </c>
      <c r="R34" s="533">
        <v>12</v>
      </c>
    </row>
    <row r="35" spans="3:18" x14ac:dyDescent="0.25">
      <c r="C35" s="409">
        <v>10</v>
      </c>
      <c r="D35" s="417">
        <v>43</v>
      </c>
      <c r="J35" s="409">
        <v>25</v>
      </c>
      <c r="K35" s="417">
        <v>28</v>
      </c>
      <c r="Q35" s="409">
        <v>42</v>
      </c>
      <c r="R35" s="417">
        <v>18</v>
      </c>
    </row>
  </sheetData>
  <mergeCells count="8">
    <mergeCell ref="AG3:AI3"/>
    <mergeCell ref="AD3:AE3"/>
    <mergeCell ref="I3:J3"/>
    <mergeCell ref="K3:O3"/>
    <mergeCell ref="P3:R3"/>
    <mergeCell ref="S3:U3"/>
    <mergeCell ref="V3:Y3"/>
    <mergeCell ref="Z3:AC3"/>
  </mergeCells>
  <pageMargins left="0.7" right="0.7" top="0.75" bottom="0.75" header="0.3" footer="0.3"/>
  <ignoredErrors>
    <ignoredError sqref="C13:F13 G5:G12" formulaRange="1"/>
  </ignoredErrors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AL34"/>
  <sheetViews>
    <sheetView workbookViewId="0"/>
  </sheetViews>
  <sheetFormatPr defaultRowHeight="15" x14ac:dyDescent="0.25"/>
  <sheetData>
    <row r="1" spans="1:38" x14ac:dyDescent="0.25">
      <c r="A1" s="1" t="s">
        <v>1826</v>
      </c>
    </row>
    <row r="2" spans="1:38" x14ac:dyDescent="0.25">
      <c r="A2" s="17" t="s">
        <v>1748</v>
      </c>
    </row>
    <row r="3" spans="1:38" ht="15.75" thickBot="1" x14ac:dyDescent="0.3">
      <c r="I3" s="1323" t="s">
        <v>1775</v>
      </c>
      <c r="J3" s="1323"/>
      <c r="K3" s="1323" t="s">
        <v>113</v>
      </c>
      <c r="L3" s="1323"/>
      <c r="M3" s="1323"/>
      <c r="N3" s="1323"/>
      <c r="O3" s="1323"/>
      <c r="P3" s="1323" t="s">
        <v>129</v>
      </c>
      <c r="Q3" s="1323"/>
      <c r="R3" s="1323"/>
      <c r="S3" s="1323" t="s">
        <v>1827</v>
      </c>
      <c r="T3" s="1323"/>
      <c r="U3" s="1323"/>
      <c r="V3" s="1323" t="s">
        <v>1777</v>
      </c>
      <c r="W3" s="1323"/>
      <c r="X3" s="1323"/>
      <c r="Y3" s="1323"/>
      <c r="Z3" s="1323" t="s">
        <v>1776</v>
      </c>
      <c r="AA3" s="1323"/>
      <c r="AB3" s="1323"/>
      <c r="AC3" s="1323"/>
      <c r="AD3" s="1323" t="s">
        <v>1774</v>
      </c>
      <c r="AE3" s="1323"/>
      <c r="AG3" s="1309" t="s">
        <v>298</v>
      </c>
      <c r="AH3" s="1309"/>
      <c r="AI3" s="1309"/>
    </row>
    <row r="4" spans="1:38" ht="15.75" thickTop="1" x14ac:dyDescent="0.25">
      <c r="A4" s="13" t="s">
        <v>1828</v>
      </c>
      <c r="B4" s="13" t="s">
        <v>1829</v>
      </c>
      <c r="C4">
        <v>1</v>
      </c>
      <c r="D4">
        <v>2</v>
      </c>
      <c r="E4">
        <v>3</v>
      </c>
      <c r="F4">
        <v>4</v>
      </c>
      <c r="G4" s="13" t="s">
        <v>1830</v>
      </c>
      <c r="I4" s="826" t="str">
        <f t="shared" ref="I4:N12" si="0">A4</f>
        <v>gender</v>
      </c>
      <c r="J4" s="826" t="str">
        <f t="shared" si="0"/>
        <v>age</v>
      </c>
      <c r="K4" s="826">
        <f t="shared" si="0"/>
        <v>1</v>
      </c>
      <c r="L4" s="826">
        <f t="shared" si="0"/>
        <v>2</v>
      </c>
      <c r="M4" s="826">
        <f t="shared" si="0"/>
        <v>3</v>
      </c>
      <c r="N4" s="826">
        <f t="shared" si="0"/>
        <v>4</v>
      </c>
      <c r="O4" s="826" t="s">
        <v>1</v>
      </c>
      <c r="P4" s="826">
        <f>K4</f>
        <v>1</v>
      </c>
      <c r="Q4" s="826">
        <f>L4</f>
        <v>2</v>
      </c>
      <c r="R4" s="826">
        <f>M4</f>
        <v>3</v>
      </c>
      <c r="S4" s="826">
        <f>K4</f>
        <v>1</v>
      </c>
      <c r="T4" s="826">
        <f>L4</f>
        <v>2</v>
      </c>
      <c r="U4" s="826">
        <f>M4</f>
        <v>3</v>
      </c>
      <c r="V4" s="826">
        <f>K4</f>
        <v>1</v>
      </c>
      <c r="W4" s="826">
        <f>L4</f>
        <v>2</v>
      </c>
      <c r="X4" s="826">
        <f>M4</f>
        <v>3</v>
      </c>
      <c r="Y4" s="826">
        <f>N4</f>
        <v>4</v>
      </c>
      <c r="Z4" s="826">
        <f>V4</f>
        <v>1</v>
      </c>
      <c r="AA4" s="826">
        <f>W4</f>
        <v>2</v>
      </c>
      <c r="AB4" s="826">
        <f>X4</f>
        <v>3</v>
      </c>
      <c r="AC4" s="826">
        <f>Y4</f>
        <v>4</v>
      </c>
      <c r="AD4" s="826" t="s">
        <v>1253</v>
      </c>
      <c r="AE4" s="826" t="s">
        <v>1743</v>
      </c>
    </row>
    <row r="5" spans="1:38" x14ac:dyDescent="0.25">
      <c r="A5" s="751">
        <v>0</v>
      </c>
      <c r="B5" s="827">
        <v>0</v>
      </c>
      <c r="C5" s="751">
        <v>3</v>
      </c>
      <c r="D5" s="827">
        <v>9</v>
      </c>
      <c r="E5" s="827">
        <v>18</v>
      </c>
      <c r="F5" s="755">
        <v>24</v>
      </c>
      <c r="G5" s="831">
        <f>SUM(C5:F5)</f>
        <v>54</v>
      </c>
      <c r="I5">
        <f>A5</f>
        <v>0</v>
      </c>
      <c r="J5">
        <f>B5</f>
        <v>0</v>
      </c>
      <c r="K5" s="751">
        <f t="shared" si="0"/>
        <v>3</v>
      </c>
      <c r="L5" s="827">
        <f t="shared" si="0"/>
        <v>9</v>
      </c>
      <c r="M5" s="827">
        <f t="shared" si="0"/>
        <v>18</v>
      </c>
      <c r="N5" s="827">
        <f t="shared" si="0"/>
        <v>24</v>
      </c>
      <c r="O5" s="831">
        <f>SUM(K5:N5)</f>
        <v>54</v>
      </c>
      <c r="P5" s="751">
        <f>EXP(AG$5+MMULT($I5:$J5,AG$6:AG$7))</f>
        <v>8.1195529609107753E-2</v>
      </c>
      <c r="Q5" s="827">
        <f t="shared" ref="Q5:R12" si="1">EXP(AH$5+MMULT($I5:$J5,AH$6:AH$7))</f>
        <v>0.30972745127533041</v>
      </c>
      <c r="R5" s="755">
        <f t="shared" si="1"/>
        <v>1.0113383519283055</v>
      </c>
      <c r="S5" s="751">
        <f t="shared" ref="S5:U12" si="2">P5/(1+P5)</f>
        <v>7.5097914656068673E-2</v>
      </c>
      <c r="T5" s="827">
        <f t="shared" si="2"/>
        <v>0.23648236965159219</v>
      </c>
      <c r="U5" s="755">
        <f t="shared" si="2"/>
        <v>0.50281860879285556</v>
      </c>
      <c r="V5" s="751">
        <f t="shared" ref="V5:V12" si="3">S5</f>
        <v>7.5097914656068673E-2</v>
      </c>
      <c r="W5" s="827">
        <f>T5-S5</f>
        <v>0.16138445499552351</v>
      </c>
      <c r="X5" s="827">
        <f>U5-T5</f>
        <v>0.26633623914126336</v>
      </c>
      <c r="Y5" s="755">
        <f t="shared" ref="Y5:Y12" si="4">1-U5</f>
        <v>0.49718139120714444</v>
      </c>
      <c r="Z5" s="751">
        <f>V5*$O5</f>
        <v>4.0552873914277088</v>
      </c>
      <c r="AA5" s="827">
        <f t="shared" ref="AA5:AC12" si="5">W5*$O5</f>
        <v>8.7147605697582691</v>
      </c>
      <c r="AB5" s="827">
        <f t="shared" si="5"/>
        <v>14.382156913628222</v>
      </c>
      <c r="AC5" s="755">
        <f t="shared" si="5"/>
        <v>26.847795125185801</v>
      </c>
      <c r="AD5" s="7">
        <f>SUMPRODUCT(K5:N5,LN(V5:Y5))</f>
        <v>-64.767711177190108</v>
      </c>
      <c r="AE5">
        <f>GAMMALN(O5+1)-SUMPRODUCT(GAMMALN(K5:N5+1))</f>
        <v>58.546350707740302</v>
      </c>
      <c r="AG5" s="751">
        <v>-2.5108950874050637</v>
      </c>
      <c r="AH5" s="831">
        <v>-1.1720625576510737</v>
      </c>
      <c r="AI5" s="755">
        <v>1.127455460086773E-2</v>
      </c>
      <c r="AK5" t="s">
        <v>1252</v>
      </c>
      <c r="AL5" s="820">
        <f>SUMPRODUCT(K13:N13,LN(K13:N13/O13))+AE13</f>
        <v>-57.376375275960925</v>
      </c>
    </row>
    <row r="6" spans="1:38" x14ac:dyDescent="0.25">
      <c r="A6" s="532">
        <v>0</v>
      </c>
      <c r="B6" s="7">
        <v>1</v>
      </c>
      <c r="C6" s="532">
        <v>6</v>
      </c>
      <c r="D6" s="7">
        <v>13</v>
      </c>
      <c r="E6" s="7">
        <v>16</v>
      </c>
      <c r="F6" s="533">
        <v>28</v>
      </c>
      <c r="G6" s="503">
        <f t="shared" ref="G6:G13" si="6">SUM(C6:F6)</f>
        <v>63</v>
      </c>
      <c r="I6">
        <f t="shared" ref="I6:J12" si="7">A6</f>
        <v>0</v>
      </c>
      <c r="J6">
        <f t="shared" si="7"/>
        <v>1</v>
      </c>
      <c r="K6" s="532">
        <f t="shared" si="0"/>
        <v>6</v>
      </c>
      <c r="L6" s="7">
        <f t="shared" si="0"/>
        <v>13</v>
      </c>
      <c r="M6" s="7">
        <f t="shared" si="0"/>
        <v>16</v>
      </c>
      <c r="N6" s="7">
        <f t="shared" si="0"/>
        <v>28</v>
      </c>
      <c r="O6" s="503">
        <f t="shared" ref="O6:O12" si="8">SUM(K6:N6)</f>
        <v>63</v>
      </c>
      <c r="P6" s="532">
        <f t="shared" ref="P6:P12" si="9">EXP(AG$5+MMULT($I6:$J6,AG$6:AG$7))</f>
        <v>0.10366717111126474</v>
      </c>
      <c r="Q6" s="7">
        <f t="shared" si="1"/>
        <v>0.38178381974595665</v>
      </c>
      <c r="R6" s="533">
        <f t="shared" si="1"/>
        <v>1.3435680157214522</v>
      </c>
      <c r="S6" s="532">
        <f t="shared" si="2"/>
        <v>9.3929740618164739E-2</v>
      </c>
      <c r="T6" s="7">
        <f t="shared" si="2"/>
        <v>0.27629779296167201</v>
      </c>
      <c r="U6" s="533">
        <f t="shared" si="2"/>
        <v>0.57330020153387506</v>
      </c>
      <c r="V6" s="532">
        <f t="shared" si="3"/>
        <v>9.3929740618164739E-2</v>
      </c>
      <c r="W6" s="7">
        <f t="shared" ref="W6:X12" si="10">T6-S6</f>
        <v>0.18236805234350728</v>
      </c>
      <c r="X6" s="7">
        <f t="shared" si="10"/>
        <v>0.29700240857220306</v>
      </c>
      <c r="Y6" s="533">
        <f t="shared" si="4"/>
        <v>0.42669979846612494</v>
      </c>
      <c r="Z6" s="532">
        <f t="shared" ref="Z6:Z12" si="11">V6*$O6</f>
        <v>5.9175736589443781</v>
      </c>
      <c r="AA6" s="7">
        <f t="shared" si="5"/>
        <v>11.489187297640958</v>
      </c>
      <c r="AB6" s="7">
        <f t="shared" si="5"/>
        <v>18.711151740048791</v>
      </c>
      <c r="AC6" s="533">
        <f t="shared" si="5"/>
        <v>26.882087303365871</v>
      </c>
      <c r="AD6" s="7">
        <f t="shared" ref="AD6:AD12" si="12">SUMPRODUCT(K6:N6,LN(V6:Y6))</f>
        <v>-79.584846285875386</v>
      </c>
      <c r="AE6">
        <f t="shared" ref="AE6:AE12" si="13">GAMMALN(O6+1)-SUMPRODUCT(GAMMALN(K6:N6+1))</f>
        <v>73.31629809088578</v>
      </c>
      <c r="AG6" s="532">
        <v>0.29615585671546801</v>
      </c>
      <c r="AH6" s="503">
        <v>0.3832069624016291</v>
      </c>
      <c r="AI6" s="533">
        <v>0.36417400883494988</v>
      </c>
      <c r="AK6" t="s">
        <v>1315</v>
      </c>
      <c r="AL6" s="757">
        <f>AD13+AE13</f>
        <v>-50.532294582280826</v>
      </c>
    </row>
    <row r="7" spans="1:38" x14ac:dyDescent="0.25">
      <c r="A7" s="532">
        <v>0</v>
      </c>
      <c r="B7" s="7">
        <v>2</v>
      </c>
      <c r="C7" s="532">
        <v>9</v>
      </c>
      <c r="D7" s="31">
        <v>13</v>
      </c>
      <c r="E7" s="31">
        <v>17</v>
      </c>
      <c r="F7" s="533">
        <v>20</v>
      </c>
      <c r="G7" s="503">
        <f t="shared" si="6"/>
        <v>59</v>
      </c>
      <c r="I7">
        <f t="shared" si="7"/>
        <v>0</v>
      </c>
      <c r="J7">
        <f t="shared" si="7"/>
        <v>2</v>
      </c>
      <c r="K7" s="532">
        <f t="shared" si="0"/>
        <v>9</v>
      </c>
      <c r="L7" s="7">
        <f t="shared" si="0"/>
        <v>13</v>
      </c>
      <c r="M7" s="7">
        <f t="shared" si="0"/>
        <v>17</v>
      </c>
      <c r="N7" s="7">
        <f t="shared" si="0"/>
        <v>20</v>
      </c>
      <c r="O7" s="503">
        <f t="shared" si="8"/>
        <v>59</v>
      </c>
      <c r="P7" s="532">
        <f t="shared" si="9"/>
        <v>0.13235805490708635</v>
      </c>
      <c r="Q7" s="7">
        <f t="shared" si="1"/>
        <v>0.47060370147895486</v>
      </c>
      <c r="R7" s="533">
        <f t="shared" si="1"/>
        <v>1.784936771583691</v>
      </c>
      <c r="S7" s="532">
        <f t="shared" si="2"/>
        <v>0.1168871050402399</v>
      </c>
      <c r="T7" s="7">
        <f t="shared" si="2"/>
        <v>0.32000715148865649</v>
      </c>
      <c r="U7" s="533">
        <f t="shared" si="2"/>
        <v>0.64092542056840418</v>
      </c>
      <c r="V7" s="532">
        <f t="shared" si="3"/>
        <v>0.1168871050402399</v>
      </c>
      <c r="W7" s="7">
        <f t="shared" si="10"/>
        <v>0.20312004644841658</v>
      </c>
      <c r="X7" s="7">
        <f t="shared" si="10"/>
        <v>0.32091826907974769</v>
      </c>
      <c r="Y7" s="533">
        <f t="shared" si="4"/>
        <v>0.35907457943159582</v>
      </c>
      <c r="Z7" s="532">
        <f t="shared" si="11"/>
        <v>6.8963391973741537</v>
      </c>
      <c r="AA7" s="7">
        <f t="shared" si="5"/>
        <v>11.984082740456579</v>
      </c>
      <c r="AB7" s="7">
        <f t="shared" si="5"/>
        <v>18.934177875705114</v>
      </c>
      <c r="AC7" s="533">
        <f t="shared" si="5"/>
        <v>21.185400186464154</v>
      </c>
      <c r="AD7" s="7">
        <f t="shared" si="12"/>
        <v>-79.846549013456126</v>
      </c>
      <c r="AE7">
        <f t="shared" si="13"/>
        <v>73.339147617354215</v>
      </c>
      <c r="AG7" s="409">
        <v>0.2443252979472737</v>
      </c>
      <c r="AH7" s="420">
        <v>0.20916181018870461</v>
      </c>
      <c r="AI7" s="417">
        <v>0.28405421896069605</v>
      </c>
    </row>
    <row r="8" spans="1:38" x14ac:dyDescent="0.25">
      <c r="A8" s="409">
        <v>0</v>
      </c>
      <c r="B8" s="762">
        <v>3</v>
      </c>
      <c r="C8" s="409">
        <v>5</v>
      </c>
      <c r="D8" s="846">
        <v>7</v>
      </c>
      <c r="E8" s="846">
        <v>16</v>
      </c>
      <c r="F8" s="417">
        <v>16</v>
      </c>
      <c r="G8" s="420">
        <f t="shared" si="6"/>
        <v>44</v>
      </c>
      <c r="I8">
        <f t="shared" si="7"/>
        <v>0</v>
      </c>
      <c r="J8">
        <f t="shared" si="7"/>
        <v>3</v>
      </c>
      <c r="K8" s="532">
        <f t="shared" si="0"/>
        <v>5</v>
      </c>
      <c r="L8" s="7">
        <f t="shared" si="0"/>
        <v>7</v>
      </c>
      <c r="M8" s="7">
        <f t="shared" si="0"/>
        <v>16</v>
      </c>
      <c r="N8" s="7">
        <f t="shared" si="0"/>
        <v>16</v>
      </c>
      <c r="O8" s="503">
        <f t="shared" si="8"/>
        <v>44</v>
      </c>
      <c r="P8" s="532">
        <f t="shared" si="9"/>
        <v>0.16898941594523426</v>
      </c>
      <c r="Q8" s="7">
        <f t="shared" si="1"/>
        <v>0.5800870345764273</v>
      </c>
      <c r="R8" s="533">
        <f t="shared" si="1"/>
        <v>2.3712973524759233</v>
      </c>
      <c r="S8" s="532">
        <f t="shared" si="2"/>
        <v>0.1445602617441929</v>
      </c>
      <c r="T8" s="7">
        <f t="shared" si="2"/>
        <v>0.36712346970933202</v>
      </c>
      <c r="U8" s="533">
        <f t="shared" si="2"/>
        <v>0.70337828573157823</v>
      </c>
      <c r="V8" s="532">
        <f t="shared" si="3"/>
        <v>0.1445602617441929</v>
      </c>
      <c r="W8" s="7">
        <f t="shared" si="10"/>
        <v>0.22256320796513912</v>
      </c>
      <c r="X8" s="7">
        <f t="shared" si="10"/>
        <v>0.33625481602224622</v>
      </c>
      <c r="Y8" s="533">
        <f t="shared" si="4"/>
        <v>0.29662171426842177</v>
      </c>
      <c r="Z8" s="532">
        <f t="shared" si="11"/>
        <v>6.3606515167444879</v>
      </c>
      <c r="AA8" s="7">
        <f t="shared" si="5"/>
        <v>9.7927811504661211</v>
      </c>
      <c r="AB8" s="7">
        <f t="shared" si="5"/>
        <v>14.795211904978833</v>
      </c>
      <c r="AC8" s="533">
        <f t="shared" si="5"/>
        <v>13.051355427810558</v>
      </c>
      <c r="AD8" s="7">
        <f t="shared" si="12"/>
        <v>-57.071041737507322</v>
      </c>
      <c r="AE8">
        <f t="shared" si="13"/>
        <v>50.660897833348074</v>
      </c>
      <c r="AK8" t="s">
        <v>1328</v>
      </c>
      <c r="AL8" s="820">
        <f>2*(AL6-AL5)</f>
        <v>13.688161387360196</v>
      </c>
    </row>
    <row r="9" spans="1:38" x14ac:dyDescent="0.25">
      <c r="A9" s="532">
        <v>1</v>
      </c>
      <c r="B9" s="7">
        <v>0</v>
      </c>
      <c r="C9" s="532">
        <v>4</v>
      </c>
      <c r="D9" s="7">
        <v>8</v>
      </c>
      <c r="E9" s="7">
        <v>11</v>
      </c>
      <c r="F9" s="533">
        <v>25</v>
      </c>
      <c r="G9" s="503">
        <f t="shared" si="6"/>
        <v>48</v>
      </c>
      <c r="I9">
        <f t="shared" si="7"/>
        <v>1</v>
      </c>
      <c r="J9">
        <f t="shared" si="7"/>
        <v>0</v>
      </c>
      <c r="K9" s="532">
        <f t="shared" si="0"/>
        <v>4</v>
      </c>
      <c r="L9" s="7">
        <f t="shared" si="0"/>
        <v>8</v>
      </c>
      <c r="M9" s="7">
        <f t="shared" si="0"/>
        <v>11</v>
      </c>
      <c r="N9" s="7">
        <f t="shared" si="0"/>
        <v>25</v>
      </c>
      <c r="O9" s="503">
        <f t="shared" si="8"/>
        <v>48</v>
      </c>
      <c r="P9" s="532">
        <f t="shared" si="9"/>
        <v>0.10918198184667949</v>
      </c>
      <c r="Q9" s="7">
        <f t="shared" si="1"/>
        <v>0.45436447472718744</v>
      </c>
      <c r="R9" s="533">
        <f t="shared" si="1"/>
        <v>1.4556442169669139</v>
      </c>
      <c r="S9" s="532">
        <f t="shared" si="2"/>
        <v>9.8434687574803698E-2</v>
      </c>
      <c r="T9" s="7">
        <f t="shared" si="2"/>
        <v>0.31241444811309632</v>
      </c>
      <c r="U9" s="533">
        <f t="shared" si="2"/>
        <v>0.5927748844516455</v>
      </c>
      <c r="V9" s="532">
        <f t="shared" si="3"/>
        <v>9.8434687574803698E-2</v>
      </c>
      <c r="W9" s="7">
        <f t="shared" si="10"/>
        <v>0.21397976053829262</v>
      </c>
      <c r="X9" s="7">
        <f t="shared" si="10"/>
        <v>0.28036043633854918</v>
      </c>
      <c r="Y9" s="533">
        <f t="shared" si="4"/>
        <v>0.4072251155483545</v>
      </c>
      <c r="Z9" s="532">
        <f t="shared" si="11"/>
        <v>4.7248650035905779</v>
      </c>
      <c r="AA9" s="7">
        <f t="shared" si="5"/>
        <v>10.271028505838046</v>
      </c>
      <c r="AB9" s="7">
        <f t="shared" si="5"/>
        <v>13.45730094425036</v>
      </c>
      <c r="AC9" s="533">
        <f t="shared" si="5"/>
        <v>19.546805546321018</v>
      </c>
      <c r="AD9" s="7">
        <f t="shared" si="12"/>
        <v>-58.056638812833256</v>
      </c>
      <c r="AE9">
        <f t="shared" si="13"/>
        <v>51.385353846286648</v>
      </c>
      <c r="AK9" t="s">
        <v>60</v>
      </c>
      <c r="AL9" s="680">
        <f>COUNT(M5:O5)</f>
        <v>3</v>
      </c>
    </row>
    <row r="10" spans="1:38" x14ac:dyDescent="0.25">
      <c r="A10" s="532">
        <v>1</v>
      </c>
      <c r="B10" s="7">
        <v>1</v>
      </c>
      <c r="C10" s="532">
        <v>8</v>
      </c>
      <c r="D10" s="31">
        <v>14</v>
      </c>
      <c r="E10" s="31">
        <v>20</v>
      </c>
      <c r="F10" s="533">
        <v>18</v>
      </c>
      <c r="G10" s="503">
        <f t="shared" si="6"/>
        <v>60</v>
      </c>
      <c r="I10">
        <f t="shared" si="7"/>
        <v>1</v>
      </c>
      <c r="J10">
        <f t="shared" si="7"/>
        <v>1</v>
      </c>
      <c r="K10" s="532">
        <f t="shared" si="0"/>
        <v>8</v>
      </c>
      <c r="L10" s="7">
        <f t="shared" si="0"/>
        <v>14</v>
      </c>
      <c r="M10" s="7">
        <f t="shared" si="0"/>
        <v>20</v>
      </c>
      <c r="N10" s="7">
        <f t="shared" si="0"/>
        <v>18</v>
      </c>
      <c r="O10" s="503">
        <f t="shared" si="8"/>
        <v>60</v>
      </c>
      <c r="P10" s="532">
        <f t="shared" si="9"/>
        <v>0.13939914240176479</v>
      </c>
      <c r="Q10" s="7">
        <f t="shared" si="1"/>
        <v>0.56006984206255117</v>
      </c>
      <c r="R10" s="533">
        <f t="shared" si="1"/>
        <v>1.9338305607194937</v>
      </c>
      <c r="S10" s="532">
        <f t="shared" si="2"/>
        <v>0.12234443331940924</v>
      </c>
      <c r="T10" s="7">
        <f t="shared" si="2"/>
        <v>0.35900305676192612</v>
      </c>
      <c r="U10" s="533">
        <f t="shared" si="2"/>
        <v>0.6591486865707884</v>
      </c>
      <c r="V10" s="532">
        <f t="shared" si="3"/>
        <v>0.12234443331940924</v>
      </c>
      <c r="W10" s="7">
        <f t="shared" si="10"/>
        <v>0.23665862344251687</v>
      </c>
      <c r="X10" s="7">
        <f t="shared" si="10"/>
        <v>0.30014562980886228</v>
      </c>
      <c r="Y10" s="533">
        <f t="shared" si="4"/>
        <v>0.3408513134292116</v>
      </c>
      <c r="Z10" s="532">
        <f t="shared" si="11"/>
        <v>7.3406659991645542</v>
      </c>
      <c r="AA10" s="7">
        <f t="shared" si="5"/>
        <v>14.199517406551012</v>
      </c>
      <c r="AB10" s="7">
        <f t="shared" si="5"/>
        <v>18.008737788531736</v>
      </c>
      <c r="AC10" s="533">
        <f t="shared" si="5"/>
        <v>20.451078805752697</v>
      </c>
      <c r="AD10" s="7">
        <f t="shared" si="12"/>
        <v>-80.426542564549123</v>
      </c>
      <c r="AE10">
        <f t="shared" si="13"/>
        <v>74.101287669401145</v>
      </c>
      <c r="AK10" t="s">
        <v>67</v>
      </c>
      <c r="AL10" s="680">
        <f>CHIDIST(AL8,AL9)</f>
        <v>3.3618644242074279E-3</v>
      </c>
    </row>
    <row r="11" spans="1:38" x14ac:dyDescent="0.25">
      <c r="A11" s="532">
        <v>1</v>
      </c>
      <c r="B11" s="7">
        <v>2</v>
      </c>
      <c r="C11" s="532">
        <v>10</v>
      </c>
      <c r="D11" s="31">
        <v>15</v>
      </c>
      <c r="E11" s="31">
        <v>16</v>
      </c>
      <c r="F11" s="533">
        <v>12</v>
      </c>
      <c r="G11" s="503">
        <f t="shared" si="6"/>
        <v>53</v>
      </c>
      <c r="I11">
        <f t="shared" si="7"/>
        <v>1</v>
      </c>
      <c r="J11">
        <f t="shared" si="7"/>
        <v>2</v>
      </c>
      <c r="K11" s="532">
        <f t="shared" si="0"/>
        <v>10</v>
      </c>
      <c r="L11" s="7">
        <f t="shared" si="0"/>
        <v>15</v>
      </c>
      <c r="M11" s="7">
        <f t="shared" si="0"/>
        <v>16</v>
      </c>
      <c r="N11" s="7">
        <f t="shared" si="0"/>
        <v>12</v>
      </c>
      <c r="O11" s="503">
        <f t="shared" si="8"/>
        <v>53</v>
      </c>
      <c r="P11" s="532">
        <f t="shared" si="9"/>
        <v>0.17797919192962955</v>
      </c>
      <c r="Q11" s="7">
        <f t="shared" si="1"/>
        <v>0.69036697505083733</v>
      </c>
      <c r="R11" s="533">
        <f t="shared" si="1"/>
        <v>2.5691034897009266</v>
      </c>
      <c r="S11" s="532">
        <f t="shared" si="2"/>
        <v>0.15108857028118178</v>
      </c>
      <c r="T11" s="7">
        <f t="shared" si="2"/>
        <v>0.40841248394010699</v>
      </c>
      <c r="U11" s="533">
        <f t="shared" si="2"/>
        <v>0.71981759484262109</v>
      </c>
      <c r="V11" s="532">
        <f t="shared" si="3"/>
        <v>0.15108857028118178</v>
      </c>
      <c r="W11" s="7">
        <f t="shared" si="10"/>
        <v>0.25732391365892521</v>
      </c>
      <c r="X11" s="7">
        <f t="shared" si="10"/>
        <v>0.3114051109025141</v>
      </c>
      <c r="Y11" s="533">
        <f t="shared" si="4"/>
        <v>0.28018240515737891</v>
      </c>
      <c r="Z11" s="532">
        <f t="shared" si="11"/>
        <v>8.0076942249026342</v>
      </c>
      <c r="AA11" s="7">
        <f t="shared" si="5"/>
        <v>13.638167423923036</v>
      </c>
      <c r="AB11" s="7">
        <f t="shared" si="5"/>
        <v>16.504470877833249</v>
      </c>
      <c r="AC11" s="533">
        <f t="shared" si="5"/>
        <v>14.849667473341082</v>
      </c>
      <c r="AD11" s="7">
        <f t="shared" si="12"/>
        <v>-73.194527912395827</v>
      </c>
      <c r="AE11">
        <f t="shared" si="13"/>
        <v>66.668369657971951</v>
      </c>
      <c r="AK11" t="s">
        <v>106</v>
      </c>
      <c r="AL11" s="680">
        <v>0.05</v>
      </c>
    </row>
    <row r="12" spans="1:38" x14ac:dyDescent="0.25">
      <c r="A12" s="409">
        <v>1</v>
      </c>
      <c r="B12" s="762">
        <v>3</v>
      </c>
      <c r="C12" s="409">
        <v>5</v>
      </c>
      <c r="D12" s="762">
        <v>14</v>
      </c>
      <c r="E12" s="762">
        <v>12</v>
      </c>
      <c r="F12" s="417">
        <v>8</v>
      </c>
      <c r="G12" s="420">
        <f t="shared" si="6"/>
        <v>39</v>
      </c>
      <c r="I12">
        <f>A11</f>
        <v>1</v>
      </c>
      <c r="J12">
        <f t="shared" si="7"/>
        <v>3</v>
      </c>
      <c r="K12" s="409">
        <f t="shared" si="0"/>
        <v>5</v>
      </c>
      <c r="L12" s="762">
        <v>11</v>
      </c>
      <c r="M12" s="762">
        <f t="shared" si="0"/>
        <v>12</v>
      </c>
      <c r="N12" s="762">
        <f t="shared" si="0"/>
        <v>8</v>
      </c>
      <c r="O12" s="420">
        <f t="shared" si="8"/>
        <v>36</v>
      </c>
      <c r="P12" s="409">
        <f t="shared" si="9"/>
        <v>0.22723664015541961</v>
      </c>
      <c r="Q12" s="762">
        <f t="shared" si="1"/>
        <v>0.85097701116285751</v>
      </c>
      <c r="R12" s="417">
        <f t="shared" si="1"/>
        <v>3.4130667261447138</v>
      </c>
      <c r="S12" s="409">
        <f t="shared" si="2"/>
        <v>0.1851612254068962</v>
      </c>
      <c r="T12" s="762">
        <f t="shared" si="2"/>
        <v>0.45974477588365065</v>
      </c>
      <c r="U12" s="417">
        <f t="shared" si="2"/>
        <v>0.7734002085045274</v>
      </c>
      <c r="V12" s="409">
        <f t="shared" si="3"/>
        <v>0.1851612254068962</v>
      </c>
      <c r="W12" s="762">
        <f t="shared" si="10"/>
        <v>0.27458355047675442</v>
      </c>
      <c r="X12" s="762">
        <f t="shared" si="10"/>
        <v>0.31365543262087675</v>
      </c>
      <c r="Y12" s="417">
        <f t="shared" si="4"/>
        <v>0.2265997914954726</v>
      </c>
      <c r="Z12" s="409">
        <f t="shared" si="11"/>
        <v>6.6658041146482629</v>
      </c>
      <c r="AA12" s="762">
        <f t="shared" si="5"/>
        <v>9.8850078171631601</v>
      </c>
      <c r="AB12" s="762">
        <f t="shared" si="5"/>
        <v>11.291595574351563</v>
      </c>
      <c r="AC12" s="417">
        <f t="shared" si="5"/>
        <v>8.1575924938370132</v>
      </c>
      <c r="AD12" s="7">
        <f t="shared" si="12"/>
        <v>-48.440220056541897</v>
      </c>
      <c r="AE12">
        <f t="shared" si="13"/>
        <v>42.838077555080133</v>
      </c>
      <c r="AK12" t="s">
        <v>527</v>
      </c>
      <c r="AL12" s="758" t="str">
        <f>IF(AL10&lt;AL11,"yes","no")</f>
        <v>yes</v>
      </c>
    </row>
    <row r="13" spans="1:38" x14ac:dyDescent="0.25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827"/>
      <c r="J13" s="827"/>
      <c r="K13" s="827">
        <f>SUM(K5:K12)</f>
        <v>50</v>
      </c>
      <c r="L13" s="827">
        <f>SUM(L5:L12)</f>
        <v>90</v>
      </c>
      <c r="M13" s="827">
        <f>SUM(M5:M12)</f>
        <v>126</v>
      </c>
      <c r="N13" s="827">
        <f>SUM(N5:N12)</f>
        <v>151</v>
      </c>
      <c r="O13" s="827">
        <f>SUM(O5:O12)</f>
        <v>417</v>
      </c>
      <c r="S13" s="827"/>
      <c r="T13" s="7"/>
      <c r="Z13" s="827">
        <f t="shared" ref="Z13:AE13" si="14">SUM(Z5:Z12)</f>
        <v>49.968881106796765</v>
      </c>
      <c r="AA13" s="827">
        <f t="shared" si="14"/>
        <v>89.974532911797183</v>
      </c>
      <c r="AB13" s="827">
        <f t="shared" si="14"/>
        <v>126.08480361932786</v>
      </c>
      <c r="AC13" s="827">
        <f t="shared" si="14"/>
        <v>150.97178236207819</v>
      </c>
      <c r="AD13" s="827">
        <f t="shared" si="14"/>
        <v>-541.38807756034907</v>
      </c>
      <c r="AE13" s="827">
        <f t="shared" si="14"/>
        <v>490.85578297806825</v>
      </c>
    </row>
    <row r="14" spans="1:38" x14ac:dyDescent="0.25">
      <c r="AK14" t="s">
        <v>1325</v>
      </c>
      <c r="AL14" s="820">
        <f>1-(AL6-AE13)/(AL5-AE13)</f>
        <v>1.248390958216794E-2</v>
      </c>
    </row>
    <row r="15" spans="1:38" x14ac:dyDescent="0.25">
      <c r="AK15" t="s">
        <v>1326</v>
      </c>
      <c r="AL15" s="680">
        <f>1-EXP((-2/O13)*(AL6-AL5))</f>
        <v>3.2292422852984837E-2</v>
      </c>
    </row>
    <row r="16" spans="1:38" x14ac:dyDescent="0.25">
      <c r="A16" t="s">
        <v>1738</v>
      </c>
      <c r="AK16" t="s">
        <v>1327</v>
      </c>
      <c r="AL16" s="757">
        <f>AL15/(1-EXP(2*(AL5-AE13)/O13))</f>
        <v>3.4802405060209256E-2</v>
      </c>
    </row>
    <row r="18" spans="1:15" x14ac:dyDescent="0.25">
      <c r="A18" s="13" t="s">
        <v>1828</v>
      </c>
      <c r="B18" s="13" t="s">
        <v>1829</v>
      </c>
      <c r="C18">
        <v>1</v>
      </c>
      <c r="D18">
        <v>2</v>
      </c>
      <c r="E18">
        <v>3</v>
      </c>
      <c r="F18">
        <v>4</v>
      </c>
    </row>
    <row r="19" spans="1:15" x14ac:dyDescent="0.25">
      <c r="A19" s="751">
        <v>1</v>
      </c>
      <c r="B19" s="752">
        <v>2</v>
      </c>
      <c r="C19" s="751">
        <f t="array" ref="C19:F19">[1]!OLogitPredC(A19:B19,$AG$5:$AI$7)</f>
        <v>0.15108857028118178</v>
      </c>
      <c r="D19" s="752">
        <v>0.25732391365892521</v>
      </c>
      <c r="E19" s="752">
        <v>0.3114051109025141</v>
      </c>
      <c r="F19" s="755">
        <v>0.28018240515737891</v>
      </c>
    </row>
    <row r="20" spans="1:15" x14ac:dyDescent="0.25">
      <c r="A20" s="409">
        <v>1</v>
      </c>
      <c r="B20" s="762">
        <v>2.5</v>
      </c>
      <c r="C20" s="409">
        <f t="array" ref="C20:F20">[1]!OLogitPredC(A20:B20,$AG$5:$AI$7)</f>
        <v>0.16743361921651098</v>
      </c>
      <c r="D20" s="762">
        <v>0.26646775102568487</v>
      </c>
      <c r="E20" s="762">
        <v>0.3136478989394918</v>
      </c>
      <c r="F20" s="417">
        <v>0.25245073081831237</v>
      </c>
    </row>
    <row r="23" spans="1:15" x14ac:dyDescent="0.25">
      <c r="A23" t="s">
        <v>1844</v>
      </c>
    </row>
    <row r="25" spans="1:15" x14ac:dyDescent="0.25">
      <c r="A25" s="13" t="s">
        <v>1828</v>
      </c>
      <c r="B25" s="13" t="s">
        <v>1829</v>
      </c>
      <c r="C25">
        <v>1</v>
      </c>
      <c r="D25">
        <v>2</v>
      </c>
      <c r="E25">
        <v>3</v>
      </c>
      <c r="F25">
        <v>4</v>
      </c>
      <c r="G25" s="13" t="s">
        <v>1830</v>
      </c>
      <c r="I25" t="str">
        <f t="array" ref="I25:L28">[1]!MLogitCoeff(A25:F33,3,TRUE,TRUE)</f>
        <v/>
      </c>
      <c r="J25">
        <v>2</v>
      </c>
      <c r="K25">
        <v>3</v>
      </c>
      <c r="L25">
        <v>4</v>
      </c>
      <c r="N25" t="str">
        <f t="array" ref="N25:O29">[1]!MLogitTest(A26:F33,3,TRUE)</f>
        <v>LL</v>
      </c>
      <c r="O25" s="831">
        <v>-50.848354249899444</v>
      </c>
    </row>
    <row r="26" spans="1:15" x14ac:dyDescent="0.25">
      <c r="A26" s="751">
        <v>0</v>
      </c>
      <c r="B26" s="827">
        <v>0</v>
      </c>
      <c r="C26" s="751">
        <v>3</v>
      </c>
      <c r="D26" s="827">
        <v>9</v>
      </c>
      <c r="E26" s="827">
        <v>18</v>
      </c>
      <c r="F26" s="755">
        <v>24</v>
      </c>
      <c r="G26" s="831">
        <f>SUM(C26:F26)</f>
        <v>54</v>
      </c>
      <c r="I26" t="str">
        <v>Intercept</v>
      </c>
      <c r="J26" s="751">
        <v>0.70462454396498631</v>
      </c>
      <c r="K26" s="752">
        <v>1.3064859811211225</v>
      </c>
      <c r="L26" s="755">
        <v>1.9167832964407627</v>
      </c>
      <c r="N26" t="str">
        <v>LL0</v>
      </c>
      <c r="O26" s="503">
        <v>-58.714364607210086</v>
      </c>
    </row>
    <row r="27" spans="1:15" x14ac:dyDescent="0.25">
      <c r="A27" s="532">
        <v>0</v>
      </c>
      <c r="B27" s="7">
        <v>1</v>
      </c>
      <c r="C27" s="532">
        <v>6</v>
      </c>
      <c r="D27" s="7">
        <v>13</v>
      </c>
      <c r="E27" s="7">
        <v>16</v>
      </c>
      <c r="F27" s="533">
        <v>28</v>
      </c>
      <c r="G27" s="503">
        <f t="shared" ref="G27:G34" si="15">SUM(C27:F27)</f>
        <v>63</v>
      </c>
      <c r="I27" t="str">
        <v>gender</v>
      </c>
      <c r="J27" s="532">
        <v>3.0907530151776198E-2</v>
      </c>
      <c r="K27" s="7">
        <v>-0.29433335406015115</v>
      </c>
      <c r="L27" s="533">
        <v>-0.51153044936609948</v>
      </c>
      <c r="N27" t="str">
        <v>Chi-square</v>
      </c>
      <c r="O27" s="503">
        <v>15.732020714621285</v>
      </c>
    </row>
    <row r="28" spans="1:15" x14ac:dyDescent="0.25">
      <c r="A28" s="532">
        <v>0</v>
      </c>
      <c r="B28" s="7">
        <v>2</v>
      </c>
      <c r="C28" s="532">
        <v>9</v>
      </c>
      <c r="D28" s="31">
        <v>13</v>
      </c>
      <c r="E28" s="31">
        <v>17</v>
      </c>
      <c r="F28" s="533">
        <v>20</v>
      </c>
      <c r="G28" s="503">
        <f t="shared" si="15"/>
        <v>59</v>
      </c>
      <c r="I28" t="str">
        <v>age</v>
      </c>
      <c r="J28" s="409">
        <v>-6.2846424673800277E-2</v>
      </c>
      <c r="K28" s="762">
        <v>-0.15006446058883463</v>
      </c>
      <c r="L28" s="417">
        <v>-0.39874293635045177</v>
      </c>
      <c r="N28" t="str">
        <v>df</v>
      </c>
      <c r="O28" s="503">
        <v>6</v>
      </c>
    </row>
    <row r="29" spans="1:15" x14ac:dyDescent="0.25">
      <c r="A29" s="409">
        <v>0</v>
      </c>
      <c r="B29" s="762">
        <v>3</v>
      </c>
      <c r="C29" s="409">
        <v>5</v>
      </c>
      <c r="D29" s="846">
        <v>7</v>
      </c>
      <c r="E29" s="846">
        <v>16</v>
      </c>
      <c r="F29" s="417">
        <v>16</v>
      </c>
      <c r="G29" s="420">
        <f t="shared" si="15"/>
        <v>44</v>
      </c>
      <c r="N29" t="str">
        <v>p-value</v>
      </c>
      <c r="O29" s="420">
        <v>1.5266928643256626E-2</v>
      </c>
    </row>
    <row r="30" spans="1:15" x14ac:dyDescent="0.25">
      <c r="A30" s="532">
        <v>1</v>
      </c>
      <c r="B30" s="7">
        <v>0</v>
      </c>
      <c r="C30" s="532">
        <v>4</v>
      </c>
      <c r="D30" s="7">
        <v>8</v>
      </c>
      <c r="E30" s="7">
        <v>11</v>
      </c>
      <c r="F30" s="533">
        <v>25</v>
      </c>
      <c r="G30" s="503">
        <f t="shared" si="15"/>
        <v>48</v>
      </c>
    </row>
    <row r="31" spans="1:15" x14ac:dyDescent="0.25">
      <c r="A31" s="532">
        <v>1</v>
      </c>
      <c r="B31" s="7">
        <v>1</v>
      </c>
      <c r="C31" s="532">
        <v>8</v>
      </c>
      <c r="D31" s="31">
        <v>14</v>
      </c>
      <c r="E31" s="31">
        <v>20</v>
      </c>
      <c r="F31" s="533">
        <v>18</v>
      </c>
      <c r="G31" s="503">
        <f t="shared" si="15"/>
        <v>60</v>
      </c>
      <c r="I31" s="13" t="s">
        <v>1828</v>
      </c>
      <c r="J31" s="13" t="s">
        <v>1829</v>
      </c>
      <c r="K31">
        <v>1</v>
      </c>
      <c r="L31">
        <v>2</v>
      </c>
      <c r="M31">
        <v>3</v>
      </c>
      <c r="N31">
        <v>4</v>
      </c>
    </row>
    <row r="32" spans="1:15" x14ac:dyDescent="0.25">
      <c r="A32" s="532">
        <v>1</v>
      </c>
      <c r="B32" s="7">
        <v>2</v>
      </c>
      <c r="C32" s="532">
        <v>10</v>
      </c>
      <c r="D32" s="31">
        <v>15</v>
      </c>
      <c r="E32" s="31">
        <v>16</v>
      </c>
      <c r="F32" s="533">
        <v>12</v>
      </c>
      <c r="G32" s="503">
        <f t="shared" si="15"/>
        <v>53</v>
      </c>
      <c r="I32" s="751">
        <v>1</v>
      </c>
      <c r="J32" s="752">
        <v>2</v>
      </c>
      <c r="K32" s="751">
        <f t="array" ref="K32:N32">[1]!MLogitPredC(I32:J32,$J$26:$L$28)</f>
        <v>0.1489297888965572</v>
      </c>
      <c r="L32" s="752">
        <v>0.27405099554495727</v>
      </c>
      <c r="M32" s="752">
        <v>0.30353553428577984</v>
      </c>
      <c r="N32" s="755">
        <v>0.27348368127270573</v>
      </c>
    </row>
    <row r="33" spans="1:14" x14ac:dyDescent="0.25">
      <c r="A33" s="409">
        <v>1</v>
      </c>
      <c r="B33" s="762">
        <v>3</v>
      </c>
      <c r="C33" s="409">
        <v>5</v>
      </c>
      <c r="D33" s="762">
        <v>14</v>
      </c>
      <c r="E33" s="762">
        <v>12</v>
      </c>
      <c r="F33" s="417">
        <v>8</v>
      </c>
      <c r="G33" s="420">
        <f t="shared" si="15"/>
        <v>39</v>
      </c>
      <c r="I33" s="409">
        <v>1</v>
      </c>
      <c r="J33" s="762">
        <v>2.5</v>
      </c>
      <c r="K33" s="409">
        <f t="array" ref="K33:N33">[1]!MLogitPredC(I33:J33,$J$26:$L$28)</f>
        <v>0.16185426733788946</v>
      </c>
      <c r="L33" s="762">
        <v>0.28862040823996876</v>
      </c>
      <c r="M33" s="762">
        <v>0.30603143383222253</v>
      </c>
      <c r="N33" s="417">
        <v>0.24349389058991924</v>
      </c>
    </row>
    <row r="34" spans="1:14" x14ac:dyDescent="0.25">
      <c r="C34">
        <f>SUM(C26:C33)</f>
        <v>50</v>
      </c>
      <c r="D34">
        <f>SUM(D26:D33)</f>
        <v>93</v>
      </c>
      <c r="E34">
        <f>SUM(E26:E33)</f>
        <v>126</v>
      </c>
      <c r="F34">
        <f>SUM(F26:F33)</f>
        <v>151</v>
      </c>
      <c r="G34">
        <f t="shared" si="15"/>
        <v>420</v>
      </c>
    </row>
  </sheetData>
  <mergeCells count="8">
    <mergeCell ref="AG3:AI3"/>
    <mergeCell ref="AD3:AE3"/>
    <mergeCell ref="I3:J3"/>
    <mergeCell ref="K3:O3"/>
    <mergeCell ref="P3:R3"/>
    <mergeCell ref="S3:U3"/>
    <mergeCell ref="V3:Y3"/>
    <mergeCell ref="Z3:AC3"/>
  </mergeCells>
  <pageMargins left="0.7" right="0.7" top="0.75" bottom="0.75" header="0.3" footer="0.3"/>
  <ignoredErrors>
    <ignoredError sqref="G5:G12 C13:F13 G26 C34:F34 G27:G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AL16"/>
  <sheetViews>
    <sheetView workbookViewId="0"/>
  </sheetViews>
  <sheetFormatPr defaultRowHeight="15" x14ac:dyDescent="0.25"/>
  <sheetData>
    <row r="1" spans="1:38" x14ac:dyDescent="0.25">
      <c r="A1" s="1" t="s">
        <v>1826</v>
      </c>
    </row>
    <row r="2" spans="1:38" x14ac:dyDescent="0.25">
      <c r="A2" s="17" t="s">
        <v>1834</v>
      </c>
    </row>
    <row r="3" spans="1:38" ht="15.75" thickBot="1" x14ac:dyDescent="0.3">
      <c r="I3" s="1323" t="s">
        <v>1775</v>
      </c>
      <c r="J3" s="1323"/>
      <c r="K3" s="1323" t="s">
        <v>113</v>
      </c>
      <c r="L3" s="1323"/>
      <c r="M3" s="1323"/>
      <c r="N3" s="1323"/>
      <c r="O3" s="1323"/>
      <c r="P3" s="1323" t="s">
        <v>129</v>
      </c>
      <c r="Q3" s="1323"/>
      <c r="R3" s="1323"/>
      <c r="S3" s="1323" t="s">
        <v>1827</v>
      </c>
      <c r="T3" s="1323"/>
      <c r="U3" s="1323"/>
      <c r="V3" s="1323" t="s">
        <v>1777</v>
      </c>
      <c r="W3" s="1323"/>
      <c r="X3" s="1323"/>
      <c r="Y3" s="1323"/>
      <c r="Z3" s="1323" t="s">
        <v>1776</v>
      </c>
      <c r="AA3" s="1323"/>
      <c r="AB3" s="1323"/>
      <c r="AC3" s="1323"/>
      <c r="AD3" s="1323" t="s">
        <v>1774</v>
      </c>
      <c r="AE3" s="1323"/>
      <c r="AG3" s="1309" t="s">
        <v>298</v>
      </c>
      <c r="AH3" s="1309"/>
      <c r="AI3" s="1309"/>
    </row>
    <row r="4" spans="1:38" ht="15.75" thickTop="1" x14ac:dyDescent="0.25">
      <c r="A4" s="13" t="s">
        <v>1828</v>
      </c>
      <c r="B4" s="13" t="s">
        <v>1829</v>
      </c>
      <c r="C4">
        <v>1</v>
      </c>
      <c r="D4">
        <v>2</v>
      </c>
      <c r="E4">
        <v>3</v>
      </c>
      <c r="F4">
        <v>4</v>
      </c>
      <c r="G4" s="13" t="s">
        <v>1830</v>
      </c>
      <c r="I4" s="826" t="str">
        <f t="shared" ref="I4:N12" si="0">A4</f>
        <v>gender</v>
      </c>
      <c r="J4" s="826" t="str">
        <f t="shared" si="0"/>
        <v>age</v>
      </c>
      <c r="K4" s="826">
        <f t="shared" si="0"/>
        <v>1</v>
      </c>
      <c r="L4" s="826">
        <f t="shared" si="0"/>
        <v>2</v>
      </c>
      <c r="M4" s="826">
        <f t="shared" si="0"/>
        <v>3</v>
      </c>
      <c r="N4" s="826">
        <f t="shared" si="0"/>
        <v>4</v>
      </c>
      <c r="O4" s="826" t="s">
        <v>1</v>
      </c>
      <c r="P4" s="826">
        <f>K4</f>
        <v>1</v>
      </c>
      <c r="Q4" s="826">
        <f>L4</f>
        <v>2</v>
      </c>
      <c r="R4" s="826">
        <f>M4</f>
        <v>3</v>
      </c>
      <c r="S4" s="826">
        <f>K4</f>
        <v>1</v>
      </c>
      <c r="T4" s="826">
        <f>L4</f>
        <v>2</v>
      </c>
      <c r="U4" s="826">
        <f>M4</f>
        <v>3</v>
      </c>
      <c r="V4" s="826">
        <f>K4</f>
        <v>1</v>
      </c>
      <c r="W4" s="826">
        <f>L4</f>
        <v>2</v>
      </c>
      <c r="X4" s="826">
        <f>M4</f>
        <v>3</v>
      </c>
      <c r="Y4" s="826">
        <f>N4</f>
        <v>4</v>
      </c>
      <c r="Z4" s="826">
        <f>V4</f>
        <v>1</v>
      </c>
      <c r="AA4" s="826">
        <f>W4</f>
        <v>2</v>
      </c>
      <c r="AB4" s="826">
        <f>X4</f>
        <v>3</v>
      </c>
      <c r="AC4" s="826">
        <f>Y4</f>
        <v>4</v>
      </c>
      <c r="AD4" s="826" t="s">
        <v>1253</v>
      </c>
      <c r="AE4" s="826" t="s">
        <v>1743</v>
      </c>
    </row>
    <row r="5" spans="1:38" x14ac:dyDescent="0.25">
      <c r="A5" s="751">
        <v>0</v>
      </c>
      <c r="B5" s="827">
        <v>0</v>
      </c>
      <c r="C5" s="751">
        <v>3</v>
      </c>
      <c r="D5" s="827">
        <v>9</v>
      </c>
      <c r="E5" s="827">
        <v>18</v>
      </c>
      <c r="F5" s="755">
        <v>24</v>
      </c>
      <c r="G5" s="831">
        <f>SUM(C5:F5)</f>
        <v>54</v>
      </c>
      <c r="I5">
        <f>A5</f>
        <v>0</v>
      </c>
      <c r="J5">
        <f>B5</f>
        <v>0</v>
      </c>
      <c r="K5" s="751">
        <f t="shared" si="0"/>
        <v>3</v>
      </c>
      <c r="L5" s="827">
        <f t="shared" si="0"/>
        <v>9</v>
      </c>
      <c r="M5" s="827">
        <f t="shared" si="0"/>
        <v>18</v>
      </c>
      <c r="N5" s="827">
        <f t="shared" si="0"/>
        <v>24</v>
      </c>
      <c r="O5" s="831">
        <f>SUM(K5:N5)</f>
        <v>54</v>
      </c>
      <c r="P5" s="751">
        <f>EXP(AG$5+MMULT($I5:$J5,AG$6:AG$7))</f>
        <v>7.7513721963037768E-2</v>
      </c>
      <c r="Q5" s="827">
        <f t="shared" ref="Q5:R12" si="1">EXP(AH$5+MMULT($I5:$J5,AH$6:AH$7))</f>
        <v>0.29326995641695919</v>
      </c>
      <c r="R5" s="755">
        <f t="shared" si="1"/>
        <v>1.0546743743487434</v>
      </c>
      <c r="S5" s="751">
        <f t="shared" ref="S5:U12" si="2">P5/(1+P5)</f>
        <v>7.1937572935796681E-2</v>
      </c>
      <c r="T5" s="827">
        <f t="shared" si="2"/>
        <v>0.2267662331146019</v>
      </c>
      <c r="U5" s="755">
        <f t="shared" si="2"/>
        <v>0.51330487570958128</v>
      </c>
      <c r="V5" s="751">
        <f t="shared" ref="V5:V12" si="3">S5</f>
        <v>7.1937572935796681E-2</v>
      </c>
      <c r="W5" s="827">
        <f>T5-S5</f>
        <v>0.1548286601788052</v>
      </c>
      <c r="X5" s="827">
        <f>U5-T5</f>
        <v>0.28653864259497941</v>
      </c>
      <c r="Y5" s="755">
        <f t="shared" ref="Y5:Y12" si="4">1-U5</f>
        <v>0.48669512429041872</v>
      </c>
      <c r="Z5" s="751">
        <f>V5*$O5</f>
        <v>3.8846289385330208</v>
      </c>
      <c r="AA5" s="827">
        <f t="shared" ref="AA5:AC12" si="5">W5*$O5</f>
        <v>8.3607476496554813</v>
      </c>
      <c r="AB5" s="827">
        <f t="shared" si="5"/>
        <v>15.473086700128889</v>
      </c>
      <c r="AC5" s="755">
        <f t="shared" si="5"/>
        <v>26.281536711682612</v>
      </c>
      <c r="AD5" s="7">
        <f>SUMPRODUCT(K5:N5,LN(V5:Y5))</f>
        <v>-64.465486310781188</v>
      </c>
      <c r="AE5">
        <f>GAMMALN(O5+1)-SUMPRODUCT(GAMMALN(K5:N5+1))</f>
        <v>58.546350707740302</v>
      </c>
      <c r="AG5" s="751">
        <f>AG9</f>
        <v>-2.5573003007080963</v>
      </c>
      <c r="AH5" s="831">
        <f>AG10</f>
        <v>-1.2266617411912726</v>
      </c>
      <c r="AI5" s="755">
        <f>AG11</f>
        <v>5.3232069379439778E-2</v>
      </c>
      <c r="AK5" t="s">
        <v>1252</v>
      </c>
      <c r="AL5" s="820">
        <f>SUMPRODUCT(K13:N13,LN(K13:N13/O13))+AE13</f>
        <v>-57.376375275960925</v>
      </c>
    </row>
    <row r="6" spans="1:38" x14ac:dyDescent="0.25">
      <c r="A6" s="532">
        <v>0</v>
      </c>
      <c r="B6" s="7">
        <v>1</v>
      </c>
      <c r="C6" s="532">
        <v>6</v>
      </c>
      <c r="D6" s="7">
        <v>13</v>
      </c>
      <c r="E6" s="7">
        <v>16</v>
      </c>
      <c r="F6" s="533">
        <v>28</v>
      </c>
      <c r="G6" s="503">
        <f t="shared" ref="G6:G13" si="6">SUM(C6:F6)</f>
        <v>63</v>
      </c>
      <c r="I6">
        <f t="shared" ref="I6:J12" si="7">A6</f>
        <v>0</v>
      </c>
      <c r="J6">
        <f t="shared" si="7"/>
        <v>1</v>
      </c>
      <c r="K6" s="532">
        <f t="shared" si="0"/>
        <v>6</v>
      </c>
      <c r="L6" s="7">
        <f t="shared" si="0"/>
        <v>13</v>
      </c>
      <c r="M6" s="7">
        <f t="shared" si="0"/>
        <v>16</v>
      </c>
      <c r="N6" s="7">
        <f t="shared" si="0"/>
        <v>28</v>
      </c>
      <c r="O6" s="503">
        <f t="shared" ref="O6:O12" si="8">SUM(K6:N6)</f>
        <v>63</v>
      </c>
      <c r="P6" s="532">
        <f t="shared" ref="P6:P12" si="9">EXP(AG$5+MMULT($I6:$J6,AG$6:AG$7))</f>
        <v>9.9664477531013942E-2</v>
      </c>
      <c r="Q6" s="7">
        <f t="shared" si="1"/>
        <v>0.37707642262072066</v>
      </c>
      <c r="R6" s="533">
        <f t="shared" si="1"/>
        <v>1.3560640338615102</v>
      </c>
      <c r="S6" s="532">
        <f t="shared" si="2"/>
        <v>9.0631715007092328E-2</v>
      </c>
      <c r="T6" s="7">
        <f t="shared" si="2"/>
        <v>0.27382388981949507</v>
      </c>
      <c r="U6" s="533">
        <f t="shared" si="2"/>
        <v>0.57556331847185271</v>
      </c>
      <c r="V6" s="532">
        <f t="shared" si="3"/>
        <v>9.0631715007092328E-2</v>
      </c>
      <c r="W6" s="7">
        <f t="shared" ref="W6:X12" si="10">T6-S6</f>
        <v>0.18319217481240274</v>
      </c>
      <c r="X6" s="7">
        <f t="shared" si="10"/>
        <v>0.30173942865235764</v>
      </c>
      <c r="Y6" s="533">
        <f t="shared" si="4"/>
        <v>0.42443668152814729</v>
      </c>
      <c r="Z6" s="532">
        <f t="shared" ref="Z6:Z12" si="11">V6*$O6</f>
        <v>5.7097980454468171</v>
      </c>
      <c r="AA6" s="7">
        <f t="shared" si="5"/>
        <v>11.541107013181373</v>
      </c>
      <c r="AB6" s="7">
        <f t="shared" si="5"/>
        <v>19.009584005098532</v>
      </c>
      <c r="AC6" s="533">
        <f t="shared" si="5"/>
        <v>26.73951093627328</v>
      </c>
      <c r="AD6" s="7">
        <f t="shared" ref="AD6:AD12" si="12">SUMPRODUCT(K6:N6,LN(V6:Y6))</f>
        <v>-79.636412166522845</v>
      </c>
      <c r="AE6">
        <f t="shared" ref="AE6:AE12" si="13">GAMMALN(O6+1)-SUMPRODUCT(GAMMALN(K6:N6+1))</f>
        <v>73.31629809088578</v>
      </c>
      <c r="AG6" s="532">
        <f>AG12</f>
        <v>0.359829201031168</v>
      </c>
      <c r="AH6" s="503">
        <f>AG6</f>
        <v>0.359829201031168</v>
      </c>
      <c r="AI6" s="533">
        <f>AG6</f>
        <v>0.359829201031168</v>
      </c>
      <c r="AK6" t="s">
        <v>1315</v>
      </c>
      <c r="AL6" s="757">
        <f>AD13+AE13</f>
        <v>-50.90825410028134</v>
      </c>
    </row>
    <row r="7" spans="1:38" x14ac:dyDescent="0.25">
      <c r="A7" s="532">
        <v>0</v>
      </c>
      <c r="B7" s="7">
        <v>2</v>
      </c>
      <c r="C7" s="532">
        <v>9</v>
      </c>
      <c r="D7" s="31">
        <v>13</v>
      </c>
      <c r="E7" s="31">
        <v>17</v>
      </c>
      <c r="F7" s="533">
        <v>20</v>
      </c>
      <c r="G7" s="503">
        <f t="shared" si="6"/>
        <v>59</v>
      </c>
      <c r="I7">
        <f t="shared" si="7"/>
        <v>0</v>
      </c>
      <c r="J7">
        <f t="shared" si="7"/>
        <v>2</v>
      </c>
      <c r="K7" s="532">
        <f t="shared" si="0"/>
        <v>9</v>
      </c>
      <c r="L7" s="7">
        <f t="shared" si="0"/>
        <v>13</v>
      </c>
      <c r="M7" s="7">
        <f t="shared" si="0"/>
        <v>17</v>
      </c>
      <c r="N7" s="7">
        <f t="shared" si="0"/>
        <v>20</v>
      </c>
      <c r="O7" s="503">
        <f t="shared" si="8"/>
        <v>59</v>
      </c>
      <c r="P7" s="532">
        <f t="shared" si="9"/>
        <v>0.12814515714090616</v>
      </c>
      <c r="Q7" s="7">
        <f t="shared" si="1"/>
        <v>0.48483189425065149</v>
      </c>
      <c r="R7" s="533">
        <f t="shared" si="1"/>
        <v>1.7435804914367705</v>
      </c>
      <c r="S7" s="532">
        <f t="shared" si="2"/>
        <v>0.11358924543510736</v>
      </c>
      <c r="T7" s="7">
        <f t="shared" si="2"/>
        <v>0.32652308731240653</v>
      </c>
      <c r="U7" s="533">
        <f t="shared" si="2"/>
        <v>0.63551278953863843</v>
      </c>
      <c r="V7" s="532">
        <f t="shared" si="3"/>
        <v>0.11358924543510736</v>
      </c>
      <c r="W7" s="7">
        <f t="shared" si="10"/>
        <v>0.21293384187729919</v>
      </c>
      <c r="X7" s="7">
        <f t="shared" si="10"/>
        <v>0.3089897022262319</v>
      </c>
      <c r="Y7" s="533">
        <f t="shared" si="4"/>
        <v>0.36448721046136157</v>
      </c>
      <c r="Z7" s="532">
        <f t="shared" si="11"/>
        <v>6.7017654806713338</v>
      </c>
      <c r="AA7" s="7">
        <f t="shared" si="5"/>
        <v>12.563096670760652</v>
      </c>
      <c r="AB7" s="7">
        <f t="shared" si="5"/>
        <v>18.230392431347681</v>
      </c>
      <c r="AC7" s="533">
        <f t="shared" si="5"/>
        <v>21.504745417220331</v>
      </c>
      <c r="AD7" s="7">
        <f t="shared" si="12"/>
        <v>-79.835437858220416</v>
      </c>
      <c r="AE7">
        <f t="shared" si="13"/>
        <v>73.339147617354215</v>
      </c>
      <c r="AG7" s="409">
        <f>AG13</f>
        <v>0.25135434163554471</v>
      </c>
      <c r="AH7" s="420">
        <f>AG7</f>
        <v>0.25135434163554471</v>
      </c>
      <c r="AI7" s="417">
        <f>AG7</f>
        <v>0.25135434163554471</v>
      </c>
    </row>
    <row r="8" spans="1:38" x14ac:dyDescent="0.25">
      <c r="A8" s="409">
        <v>0</v>
      </c>
      <c r="B8" s="762">
        <v>3</v>
      </c>
      <c r="C8" s="409">
        <v>5</v>
      </c>
      <c r="D8" s="846">
        <v>7</v>
      </c>
      <c r="E8" s="846">
        <v>16</v>
      </c>
      <c r="F8" s="417">
        <v>16</v>
      </c>
      <c r="G8" s="420">
        <f t="shared" si="6"/>
        <v>44</v>
      </c>
      <c r="I8">
        <f t="shared" si="7"/>
        <v>0</v>
      </c>
      <c r="J8">
        <f t="shared" si="7"/>
        <v>3</v>
      </c>
      <c r="K8" s="532">
        <f t="shared" si="0"/>
        <v>5</v>
      </c>
      <c r="L8" s="7">
        <f t="shared" si="0"/>
        <v>7</v>
      </c>
      <c r="M8" s="7">
        <f t="shared" si="0"/>
        <v>16</v>
      </c>
      <c r="N8" s="7">
        <f t="shared" si="0"/>
        <v>16</v>
      </c>
      <c r="O8" s="503">
        <f t="shared" si="8"/>
        <v>44</v>
      </c>
      <c r="P8" s="532">
        <f t="shared" si="9"/>
        <v>0.16476463535924846</v>
      </c>
      <c r="Q8" s="7">
        <f t="shared" si="1"/>
        <v>0.62338017330537299</v>
      </c>
      <c r="R8" s="533">
        <f t="shared" si="1"/>
        <v>2.2418358235355735</v>
      </c>
      <c r="S8" s="532">
        <f t="shared" si="2"/>
        <v>0.14145745016410985</v>
      </c>
      <c r="T8" s="7">
        <f t="shared" si="2"/>
        <v>0.38400134703881794</v>
      </c>
      <c r="U8" s="533">
        <f t="shared" si="2"/>
        <v>0.69153280596751765</v>
      </c>
      <c r="V8" s="532">
        <f t="shared" si="3"/>
        <v>0.14145745016410985</v>
      </c>
      <c r="W8" s="7">
        <f t="shared" si="10"/>
        <v>0.24254389687470809</v>
      </c>
      <c r="X8" s="7">
        <f t="shared" si="10"/>
        <v>0.30753145892869971</v>
      </c>
      <c r="Y8" s="533">
        <f t="shared" si="4"/>
        <v>0.30846719403248235</v>
      </c>
      <c r="Z8" s="532">
        <f t="shared" si="11"/>
        <v>6.2241278072208335</v>
      </c>
      <c r="AA8" s="7">
        <f t="shared" si="5"/>
        <v>10.671931462487157</v>
      </c>
      <c r="AB8" s="7">
        <f t="shared" si="5"/>
        <v>13.531384192862788</v>
      </c>
      <c r="AC8" s="533">
        <f t="shared" si="5"/>
        <v>13.572556537429223</v>
      </c>
      <c r="AD8" s="7">
        <f t="shared" si="12"/>
        <v>-57.379872300821063</v>
      </c>
      <c r="AE8">
        <f t="shared" si="13"/>
        <v>50.660897833348074</v>
      </c>
      <c r="AK8" t="s">
        <v>1328</v>
      </c>
      <c r="AL8" s="820">
        <f>2*(AL6-AL5)</f>
        <v>12.936242351359169</v>
      </c>
    </row>
    <row r="9" spans="1:38" x14ac:dyDescent="0.25">
      <c r="A9" s="532">
        <v>1</v>
      </c>
      <c r="B9" s="7">
        <v>0</v>
      </c>
      <c r="C9" s="532">
        <v>4</v>
      </c>
      <c r="D9" s="7">
        <v>8</v>
      </c>
      <c r="E9" s="7">
        <v>11</v>
      </c>
      <c r="F9" s="533">
        <v>25</v>
      </c>
      <c r="G9" s="503">
        <f t="shared" si="6"/>
        <v>48</v>
      </c>
      <c r="I9">
        <f t="shared" si="7"/>
        <v>1</v>
      </c>
      <c r="J9">
        <f t="shared" si="7"/>
        <v>0</v>
      </c>
      <c r="K9" s="532">
        <f t="shared" si="0"/>
        <v>4</v>
      </c>
      <c r="L9" s="7">
        <f t="shared" si="0"/>
        <v>8</v>
      </c>
      <c r="M9" s="7">
        <f t="shared" si="0"/>
        <v>11</v>
      </c>
      <c r="N9" s="7">
        <f t="shared" si="0"/>
        <v>25</v>
      </c>
      <c r="O9" s="503">
        <f t="shared" si="8"/>
        <v>48</v>
      </c>
      <c r="P9" s="532">
        <f t="shared" si="9"/>
        <v>0.11108372311593628</v>
      </c>
      <c r="Q9" s="7">
        <f t="shared" si="1"/>
        <v>0.42028066530437935</v>
      </c>
      <c r="R9" s="533">
        <f t="shared" si="1"/>
        <v>1.5114376295012031</v>
      </c>
      <c r="S9" s="532">
        <f t="shared" si="2"/>
        <v>9.9977815177070342E-2</v>
      </c>
      <c r="T9" s="7">
        <f t="shared" si="2"/>
        <v>0.2959138116650411</v>
      </c>
      <c r="U9" s="533">
        <f t="shared" si="2"/>
        <v>0.60182168641050027</v>
      </c>
      <c r="V9" s="532">
        <f t="shared" si="3"/>
        <v>9.9977815177070342E-2</v>
      </c>
      <c r="W9" s="7">
        <f t="shared" si="10"/>
        <v>0.19593599648797078</v>
      </c>
      <c r="X9" s="7">
        <f t="shared" si="10"/>
        <v>0.30590787474545916</v>
      </c>
      <c r="Y9" s="533">
        <f t="shared" si="4"/>
        <v>0.39817831358949973</v>
      </c>
      <c r="Z9" s="532">
        <f t="shared" si="11"/>
        <v>4.7989351284993766</v>
      </c>
      <c r="AA9" s="7">
        <f t="shared" si="5"/>
        <v>9.4049278314225973</v>
      </c>
      <c r="AB9" s="7">
        <f t="shared" si="5"/>
        <v>14.683577987782041</v>
      </c>
      <c r="AC9" s="533">
        <f t="shared" si="5"/>
        <v>19.112559052295985</v>
      </c>
      <c r="AD9" s="7">
        <f t="shared" si="12"/>
        <v>-58.30153352273453</v>
      </c>
      <c r="AE9">
        <f t="shared" si="13"/>
        <v>51.385353846286648</v>
      </c>
      <c r="AG9" s="831">
        <v>-2.5573003007080963</v>
      </c>
      <c r="AH9" t="s">
        <v>97</v>
      </c>
      <c r="AK9" t="s">
        <v>60</v>
      </c>
      <c r="AL9" s="680">
        <f>COUNT(M5:O5)</f>
        <v>3</v>
      </c>
    </row>
    <row r="10" spans="1:38" x14ac:dyDescent="0.25">
      <c r="A10" s="532">
        <v>1</v>
      </c>
      <c r="B10" s="7">
        <v>1</v>
      </c>
      <c r="C10" s="532">
        <v>8</v>
      </c>
      <c r="D10" s="31">
        <v>14</v>
      </c>
      <c r="E10" s="31">
        <v>20</v>
      </c>
      <c r="F10" s="533">
        <v>18</v>
      </c>
      <c r="G10" s="503">
        <f t="shared" si="6"/>
        <v>60</v>
      </c>
      <c r="I10">
        <f t="shared" si="7"/>
        <v>1</v>
      </c>
      <c r="J10">
        <f t="shared" si="7"/>
        <v>1</v>
      </c>
      <c r="K10" s="532">
        <f t="shared" si="0"/>
        <v>8</v>
      </c>
      <c r="L10" s="7">
        <f t="shared" si="0"/>
        <v>14</v>
      </c>
      <c r="M10" s="7">
        <f t="shared" si="0"/>
        <v>20</v>
      </c>
      <c r="N10" s="7">
        <f t="shared" si="0"/>
        <v>18</v>
      </c>
      <c r="O10" s="503">
        <f t="shared" si="8"/>
        <v>60</v>
      </c>
      <c r="P10" s="532">
        <f t="shared" si="9"/>
        <v>0.14282763033658519</v>
      </c>
      <c r="Q10" s="7">
        <f t="shared" si="1"/>
        <v>0.54038242343622256</v>
      </c>
      <c r="R10" s="533">
        <f t="shared" si="1"/>
        <v>1.9433545164659018</v>
      </c>
      <c r="S10" s="532">
        <f t="shared" si="2"/>
        <v>0.12497740389293847</v>
      </c>
      <c r="T10" s="7">
        <f t="shared" si="2"/>
        <v>0.35081056185434739</v>
      </c>
      <c r="U10" s="533">
        <f t="shared" si="2"/>
        <v>0.660251595787821</v>
      </c>
      <c r="V10" s="532">
        <f t="shared" si="3"/>
        <v>0.12497740389293847</v>
      </c>
      <c r="W10" s="7">
        <f t="shared" si="10"/>
        <v>0.2258331579614089</v>
      </c>
      <c r="X10" s="7">
        <f t="shared" si="10"/>
        <v>0.30944103393347361</v>
      </c>
      <c r="Y10" s="533">
        <f t="shared" si="4"/>
        <v>0.339748404212179</v>
      </c>
      <c r="Z10" s="532">
        <f t="shared" si="11"/>
        <v>7.4986442335763082</v>
      </c>
      <c r="AA10" s="7">
        <f t="shared" si="5"/>
        <v>13.549989477684534</v>
      </c>
      <c r="AB10" s="7">
        <f t="shared" si="5"/>
        <v>18.566462036008417</v>
      </c>
      <c r="AC10" s="533">
        <f t="shared" si="5"/>
        <v>20.384904252730742</v>
      </c>
      <c r="AD10" s="7">
        <f t="shared" si="12"/>
        <v>-80.360054816051502</v>
      </c>
      <c r="AE10">
        <f t="shared" si="13"/>
        <v>74.101287669401145</v>
      </c>
      <c r="AG10" s="503">
        <v>-1.2266617411912726</v>
      </c>
      <c r="AH10" t="s">
        <v>98</v>
      </c>
      <c r="AK10" t="s">
        <v>67</v>
      </c>
      <c r="AL10" s="680">
        <f>CHIDIST(AL8,AL9)</f>
        <v>4.7765334289079329E-3</v>
      </c>
    </row>
    <row r="11" spans="1:38" x14ac:dyDescent="0.25">
      <c r="A11" s="532">
        <v>1</v>
      </c>
      <c r="B11" s="7">
        <v>2</v>
      </c>
      <c r="C11" s="532">
        <v>10</v>
      </c>
      <c r="D11" s="31">
        <v>15</v>
      </c>
      <c r="E11" s="31">
        <v>16</v>
      </c>
      <c r="F11" s="533">
        <v>12</v>
      </c>
      <c r="G11" s="503">
        <f t="shared" si="6"/>
        <v>53</v>
      </c>
      <c r="I11">
        <f t="shared" si="7"/>
        <v>1</v>
      </c>
      <c r="J11">
        <f t="shared" si="7"/>
        <v>2</v>
      </c>
      <c r="K11" s="532">
        <f t="shared" si="0"/>
        <v>10</v>
      </c>
      <c r="L11" s="7">
        <f t="shared" si="0"/>
        <v>15</v>
      </c>
      <c r="M11" s="7">
        <f t="shared" si="0"/>
        <v>16</v>
      </c>
      <c r="N11" s="7">
        <f t="shared" si="0"/>
        <v>12</v>
      </c>
      <c r="O11" s="503">
        <f t="shared" si="8"/>
        <v>53</v>
      </c>
      <c r="P11" s="532">
        <f t="shared" si="9"/>
        <v>0.18364285437456362</v>
      </c>
      <c r="Q11" s="7">
        <f t="shared" si="1"/>
        <v>0.69480513301110491</v>
      </c>
      <c r="R11" s="533">
        <f t="shared" si="1"/>
        <v>2.4986983934724201</v>
      </c>
      <c r="S11" s="532">
        <f t="shared" si="2"/>
        <v>0.15515056226280385</v>
      </c>
      <c r="T11" s="7">
        <f t="shared" si="2"/>
        <v>0.40996166431043746</v>
      </c>
      <c r="U11" s="533">
        <f t="shared" si="2"/>
        <v>0.71417942116253386</v>
      </c>
      <c r="V11" s="532">
        <f t="shared" si="3"/>
        <v>0.15515056226280385</v>
      </c>
      <c r="W11" s="7">
        <f t="shared" si="10"/>
        <v>0.25481110204763358</v>
      </c>
      <c r="X11" s="7">
        <f t="shared" si="10"/>
        <v>0.3042177568520964</v>
      </c>
      <c r="Y11" s="533">
        <f t="shared" si="4"/>
        <v>0.28582057883746614</v>
      </c>
      <c r="Z11" s="532">
        <f t="shared" si="11"/>
        <v>8.2229797999286038</v>
      </c>
      <c r="AA11" s="7">
        <f t="shared" si="5"/>
        <v>13.504988408524579</v>
      </c>
      <c r="AB11" s="7">
        <f t="shared" si="5"/>
        <v>16.12354111316111</v>
      </c>
      <c r="AC11" s="533">
        <f t="shared" si="5"/>
        <v>15.148490678385706</v>
      </c>
      <c r="AD11" s="7">
        <f t="shared" si="12"/>
        <v>-73.21096100829746</v>
      </c>
      <c r="AE11">
        <f t="shared" si="13"/>
        <v>66.668369657971951</v>
      </c>
      <c r="AG11" s="420">
        <v>5.3232069379439778E-2</v>
      </c>
      <c r="AH11" t="s">
        <v>99</v>
      </c>
      <c r="AK11" t="s">
        <v>106</v>
      </c>
      <c r="AL11" s="680">
        <v>0.05</v>
      </c>
    </row>
    <row r="12" spans="1:38" x14ac:dyDescent="0.25">
      <c r="A12" s="409">
        <v>1</v>
      </c>
      <c r="B12" s="762">
        <v>3</v>
      </c>
      <c r="C12" s="409">
        <v>5</v>
      </c>
      <c r="D12" s="762">
        <v>14</v>
      </c>
      <c r="E12" s="762">
        <v>12</v>
      </c>
      <c r="F12" s="417">
        <v>8</v>
      </c>
      <c r="G12" s="420">
        <f t="shared" si="6"/>
        <v>39</v>
      </c>
      <c r="I12">
        <f>A11</f>
        <v>1</v>
      </c>
      <c r="J12">
        <f t="shared" si="7"/>
        <v>3</v>
      </c>
      <c r="K12" s="409">
        <f t="shared" si="0"/>
        <v>5</v>
      </c>
      <c r="L12" s="762">
        <v>11</v>
      </c>
      <c r="M12" s="762">
        <f t="shared" si="0"/>
        <v>12</v>
      </c>
      <c r="N12" s="762">
        <f t="shared" si="0"/>
        <v>8</v>
      </c>
      <c r="O12" s="420">
        <f t="shared" si="8"/>
        <v>36</v>
      </c>
      <c r="P12" s="409">
        <f t="shared" si="9"/>
        <v>0.23612166555842259</v>
      </c>
      <c r="Q12" s="762">
        <f t="shared" si="1"/>
        <v>0.89335654144486654</v>
      </c>
      <c r="R12" s="417">
        <f t="shared" si="1"/>
        <v>3.2127404488686877</v>
      </c>
      <c r="S12" s="409">
        <f t="shared" si="2"/>
        <v>0.19101814338943227</v>
      </c>
      <c r="T12" s="762">
        <f t="shared" si="2"/>
        <v>0.47183746002912075</v>
      </c>
      <c r="U12" s="417">
        <f t="shared" si="2"/>
        <v>0.76262482530378872</v>
      </c>
      <c r="V12" s="409">
        <f t="shared" si="3"/>
        <v>0.19101814338943227</v>
      </c>
      <c r="W12" s="762">
        <f t="shared" si="10"/>
        <v>0.28081931663968851</v>
      </c>
      <c r="X12" s="762">
        <f t="shared" si="10"/>
        <v>0.29078736527466797</v>
      </c>
      <c r="Y12" s="417">
        <f t="shared" si="4"/>
        <v>0.23737517469621128</v>
      </c>
      <c r="Z12" s="409">
        <f t="shared" si="11"/>
        <v>6.8766531620195614</v>
      </c>
      <c r="AA12" s="762">
        <f t="shared" si="5"/>
        <v>10.109495399028786</v>
      </c>
      <c r="AB12" s="762">
        <f t="shared" si="5"/>
        <v>10.468345149888048</v>
      </c>
      <c r="AC12" s="417">
        <f t="shared" si="5"/>
        <v>8.5455062890636064</v>
      </c>
      <c r="AD12" s="7">
        <f t="shared" si="12"/>
        <v>-48.574279094920605</v>
      </c>
      <c r="AE12">
        <f t="shared" si="13"/>
        <v>42.838077555080133</v>
      </c>
      <c r="AG12" s="831">
        <v>0.359829201031168</v>
      </c>
      <c r="AH12" t="s">
        <v>387</v>
      </c>
      <c r="AK12" t="s">
        <v>527</v>
      </c>
      <c r="AL12" s="758" t="str">
        <f>IF(AL10&lt;AL11,"yes","no")</f>
        <v>yes</v>
      </c>
    </row>
    <row r="13" spans="1:38" x14ac:dyDescent="0.25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827"/>
      <c r="J13" s="827"/>
      <c r="K13" s="827">
        <f>SUM(K5:K12)</f>
        <v>50</v>
      </c>
      <c r="L13" s="827">
        <f>SUM(L5:L12)</f>
        <v>90</v>
      </c>
      <c r="M13" s="827">
        <f>SUM(M5:M12)</f>
        <v>126</v>
      </c>
      <c r="N13" s="827">
        <f>SUM(N5:N12)</f>
        <v>151</v>
      </c>
      <c r="O13" s="827">
        <f>SUM(O5:O12)</f>
        <v>417</v>
      </c>
      <c r="S13" s="827"/>
      <c r="T13" s="7"/>
      <c r="Z13" s="827">
        <f t="shared" ref="Z13:AE13" si="14">SUM(Z5:Z12)</f>
        <v>49.91753259589585</v>
      </c>
      <c r="AA13" s="827">
        <f t="shared" si="14"/>
        <v>89.706283912745164</v>
      </c>
      <c r="AB13" s="827">
        <f t="shared" si="14"/>
        <v>126.08637361627751</v>
      </c>
      <c r="AC13" s="827">
        <f t="shared" si="14"/>
        <v>151.28980987508149</v>
      </c>
      <c r="AD13" s="827">
        <f t="shared" si="14"/>
        <v>-541.76403707834959</v>
      </c>
      <c r="AE13" s="827">
        <f t="shared" si="14"/>
        <v>490.85578297806825</v>
      </c>
      <c r="AG13" s="420">
        <v>0.25135434163554471</v>
      </c>
      <c r="AH13" t="s">
        <v>388</v>
      </c>
    </row>
    <row r="14" spans="1:38" x14ac:dyDescent="0.25">
      <c r="AK14" t="s">
        <v>1325</v>
      </c>
      <c r="AL14" s="820">
        <f>1-(AL6-AE13)/(AL5-AE13)</f>
        <v>1.1798142590319416E-2</v>
      </c>
    </row>
    <row r="15" spans="1:38" x14ac:dyDescent="0.25">
      <c r="AK15" t="s">
        <v>1326</v>
      </c>
      <c r="AL15" s="680">
        <f>1-EXP((-2/O13)*(AL6-AL5))</f>
        <v>3.0545914057269807E-2</v>
      </c>
    </row>
    <row r="16" spans="1:38" x14ac:dyDescent="0.25">
      <c r="AK16" t="s">
        <v>1327</v>
      </c>
      <c r="AL16" s="757">
        <f>AL15/(1-EXP(2*(AL5-AE13)/O13))</f>
        <v>3.2920145967219754E-2</v>
      </c>
    </row>
  </sheetData>
  <mergeCells count="8">
    <mergeCell ref="Z3:AC3"/>
    <mergeCell ref="AD3:AE3"/>
    <mergeCell ref="AG3:AI3"/>
    <mergeCell ref="I3:J3"/>
    <mergeCell ref="K3:O3"/>
    <mergeCell ref="P3:R3"/>
    <mergeCell ref="S3:U3"/>
    <mergeCell ref="V3:Y3"/>
  </mergeCells>
  <pageMargins left="0.7" right="0.7" top="0.75" bottom="0.75" header="0.3" footer="0.3"/>
  <ignoredErrors>
    <ignoredError sqref="G5:G12 C13:F1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U37"/>
  <sheetViews>
    <sheetView workbookViewId="0"/>
  </sheetViews>
  <sheetFormatPr defaultRowHeight="15" x14ac:dyDescent="0.25"/>
  <cols>
    <col min="1" max="1" width="11.140625" customWidth="1"/>
    <col min="5" max="5" width="6.5703125" customWidth="1"/>
    <col min="6" max="6" width="10.42578125" customWidth="1"/>
    <col min="12" max="12" width="8.85546875" customWidth="1"/>
    <col min="18" max="18" width="10" customWidth="1"/>
  </cols>
  <sheetData>
    <row r="1" spans="1:21" x14ac:dyDescent="0.25">
      <c r="A1" s="1" t="s">
        <v>803</v>
      </c>
    </row>
    <row r="3" spans="1:21" x14ac:dyDescent="0.25">
      <c r="A3" t="s">
        <v>902</v>
      </c>
      <c r="R3" t="s">
        <v>798</v>
      </c>
    </row>
    <row r="5" spans="1:21" x14ac:dyDescent="0.25">
      <c r="B5" s="13" t="s">
        <v>115</v>
      </c>
      <c r="C5" s="13" t="s">
        <v>116</v>
      </c>
      <c r="D5" s="13" t="s">
        <v>1</v>
      </c>
      <c r="F5" s="356" t="s">
        <v>544</v>
      </c>
      <c r="G5" s="356" t="s">
        <v>568</v>
      </c>
      <c r="H5" s="356" t="s">
        <v>569</v>
      </c>
      <c r="I5" s="356" t="s">
        <v>766</v>
      </c>
      <c r="J5" s="356" t="s">
        <v>767</v>
      </c>
      <c r="K5" s="356" t="s">
        <v>358</v>
      </c>
      <c r="S5" s="13" t="s">
        <v>115</v>
      </c>
      <c r="T5" s="13" t="s">
        <v>116</v>
      </c>
      <c r="U5" s="13" t="s">
        <v>778</v>
      </c>
    </row>
    <row r="6" spans="1:21" x14ac:dyDescent="0.25">
      <c r="A6" t="s">
        <v>117</v>
      </c>
      <c r="B6" s="3">
        <v>31</v>
      </c>
      <c r="C6" s="5">
        <v>57</v>
      </c>
      <c r="D6">
        <f>SUM(B6:C6)</f>
        <v>88</v>
      </c>
      <c r="F6" s="365">
        <v>1</v>
      </c>
      <c r="G6" s="365">
        <v>1</v>
      </c>
      <c r="H6" s="365">
        <v>1</v>
      </c>
      <c r="I6" s="365">
        <f>G6*H6</f>
        <v>1</v>
      </c>
      <c r="J6">
        <f>B6</f>
        <v>31</v>
      </c>
      <c r="K6">
        <f>LN(J6)</f>
        <v>3.4339872044851463</v>
      </c>
      <c r="M6" s="13" t="s">
        <v>389</v>
      </c>
      <c r="N6" s="358">
        <f>K10/4</f>
        <v>3.4516898444605983</v>
      </c>
      <c r="P6" s="358">
        <f>EXP(N6)</f>
        <v>31.553668073397692</v>
      </c>
      <c r="R6" t="s">
        <v>117</v>
      </c>
      <c r="S6" s="3">
        <v>31</v>
      </c>
      <c r="T6" s="5">
        <v>57</v>
      </c>
      <c r="U6">
        <f>GEOMEAN(S6:T6)</f>
        <v>42.035699113967404</v>
      </c>
    </row>
    <row r="7" spans="1:21" x14ac:dyDescent="0.25">
      <c r="A7" t="s">
        <v>118</v>
      </c>
      <c r="B7" s="9">
        <v>11</v>
      </c>
      <c r="C7" s="11">
        <v>51</v>
      </c>
      <c r="D7">
        <f>SUM(B7:C7)</f>
        <v>62</v>
      </c>
      <c r="F7" s="365">
        <f>F6+1</f>
        <v>2</v>
      </c>
      <c r="G7" s="365">
        <v>1</v>
      </c>
      <c r="H7" s="365">
        <v>-1</v>
      </c>
      <c r="I7" s="365">
        <f>G7*H7</f>
        <v>-1</v>
      </c>
      <c r="J7">
        <f>B7</f>
        <v>11</v>
      </c>
      <c r="K7">
        <f>LN(J7)</f>
        <v>2.3978952727983707</v>
      </c>
      <c r="M7" s="13" t="s">
        <v>387</v>
      </c>
      <c r="N7" s="272">
        <f>(K6+K7)/2-N6</f>
        <v>-0.53574860581883987</v>
      </c>
      <c r="P7" s="272">
        <f>EXP(N7)</f>
        <v>0.58523101877299288</v>
      </c>
      <c r="R7" t="s">
        <v>118</v>
      </c>
      <c r="S7" s="9">
        <v>11</v>
      </c>
      <c r="T7" s="11">
        <v>51</v>
      </c>
      <c r="U7">
        <f>GEOMEAN(S7:T7)</f>
        <v>23.685438564654024</v>
      </c>
    </row>
    <row r="8" spans="1:21" x14ac:dyDescent="0.25">
      <c r="A8" t="s">
        <v>1</v>
      </c>
      <c r="B8">
        <f>SUM(B6:B7)</f>
        <v>42</v>
      </c>
      <c r="C8">
        <f>SUM(C6:C7)</f>
        <v>108</v>
      </c>
      <c r="D8">
        <f>SUM(D6:D7)</f>
        <v>150</v>
      </c>
      <c r="F8" s="365">
        <f>F7+1</f>
        <v>3</v>
      </c>
      <c r="G8" s="365">
        <v>-1</v>
      </c>
      <c r="H8" s="365">
        <v>1</v>
      </c>
      <c r="I8" s="365">
        <f>G8*H8</f>
        <v>-1</v>
      </c>
      <c r="J8">
        <f>C6</f>
        <v>57</v>
      </c>
      <c r="K8">
        <f>LN(J8)</f>
        <v>4.0430512678345503</v>
      </c>
      <c r="M8" s="13" t="s">
        <v>388</v>
      </c>
      <c r="N8" s="272">
        <f>(K6+K8)/2-N6</f>
        <v>0.28682939169924992</v>
      </c>
      <c r="P8" s="272">
        <f>EXP(N8)</f>
        <v>1.3321969102351976</v>
      </c>
      <c r="R8" t="s">
        <v>778</v>
      </c>
      <c r="S8">
        <f>GEOMEAN(S6:S7)</f>
        <v>18.466185312619388</v>
      </c>
      <c r="T8">
        <f>GEOMEAN(T6:T7)</f>
        <v>53.916602266834289</v>
      </c>
      <c r="U8">
        <f>GEOMEAN(S6:T7)</f>
        <v>31.553668073397688</v>
      </c>
    </row>
    <row r="9" spans="1:21" x14ac:dyDescent="0.25">
      <c r="F9" s="366">
        <f>F8+1</f>
        <v>4</v>
      </c>
      <c r="G9" s="366">
        <v>-1</v>
      </c>
      <c r="H9" s="366">
        <v>-1</v>
      </c>
      <c r="I9" s="366">
        <f>G9*H9</f>
        <v>1</v>
      </c>
      <c r="J9" s="10">
        <f>C7</f>
        <v>51</v>
      </c>
      <c r="K9" s="10">
        <f>LN(J9)</f>
        <v>3.9318256327243257</v>
      </c>
      <c r="M9" s="13" t="s">
        <v>401</v>
      </c>
      <c r="N9" s="168">
        <f>(K6+K9)/2-N6</f>
        <v>0.23121657414413743</v>
      </c>
      <c r="P9" s="168">
        <f>EXP(N9)</f>
        <v>1.2601321219343276</v>
      </c>
    </row>
    <row r="10" spans="1:21" x14ac:dyDescent="0.25">
      <c r="A10" t="s">
        <v>903</v>
      </c>
      <c r="F10" s="50"/>
      <c r="G10" s="50"/>
      <c r="H10" s="50"/>
      <c r="I10" s="50"/>
      <c r="J10" s="7"/>
      <c r="K10" s="31">
        <f>SUM(K6:K9)</f>
        <v>13.806759377842393</v>
      </c>
      <c r="M10" s="13"/>
      <c r="N10" s="7"/>
      <c r="P10" s="7"/>
      <c r="R10" t="s">
        <v>799</v>
      </c>
    </row>
    <row r="12" spans="1:21" x14ac:dyDescent="0.25">
      <c r="B12" s="13" t="s">
        <v>115</v>
      </c>
      <c r="C12" s="13" t="s">
        <v>116</v>
      </c>
      <c r="D12" s="13" t="s">
        <v>1</v>
      </c>
      <c r="F12" s="50"/>
      <c r="G12" s="50"/>
      <c r="H12" s="50"/>
      <c r="I12" s="50"/>
      <c r="J12" s="7"/>
      <c r="K12" s="7"/>
      <c r="M12" s="13"/>
      <c r="N12" s="7"/>
      <c r="P12" s="7"/>
      <c r="S12" s="13" t="s">
        <v>115</v>
      </c>
      <c r="T12" s="13" t="s">
        <v>116</v>
      </c>
      <c r="U12" s="13" t="s">
        <v>778</v>
      </c>
    </row>
    <row r="13" spans="1:21" x14ac:dyDescent="0.25">
      <c r="A13" t="s">
        <v>117</v>
      </c>
      <c r="B13" s="3">
        <f>LN(B6)</f>
        <v>3.4339872044851463</v>
      </c>
      <c r="C13" s="5">
        <f>LN(C6)</f>
        <v>4.0430512678345503</v>
      </c>
      <c r="D13">
        <f>SUM(B13:C13)</f>
        <v>7.4770384723196965</v>
      </c>
      <c r="F13" s="50"/>
      <c r="G13" s="50"/>
      <c r="H13" s="50"/>
      <c r="I13" s="50"/>
      <c r="J13" s="7"/>
      <c r="K13" s="7"/>
      <c r="M13" s="13"/>
      <c r="N13" s="7"/>
      <c r="P13" s="7"/>
      <c r="R13" t="s">
        <v>117</v>
      </c>
      <c r="S13" s="3">
        <f>LN(S6)</f>
        <v>3.4339872044851463</v>
      </c>
      <c r="T13" s="5">
        <f>LN(T6)</f>
        <v>4.0430512678345503</v>
      </c>
      <c r="U13">
        <f>AVERAGE(S13:T13)</f>
        <v>3.7385192361598483</v>
      </c>
    </row>
    <row r="14" spans="1:21" x14ac:dyDescent="0.25">
      <c r="A14" t="s">
        <v>118</v>
      </c>
      <c r="B14" s="9">
        <f>LN(B7)</f>
        <v>2.3978952727983707</v>
      </c>
      <c r="C14" s="11">
        <f>LN(C7)</f>
        <v>3.9318256327243257</v>
      </c>
      <c r="D14">
        <f>SUM(B14:C14)</f>
        <v>6.3297209055226968</v>
      </c>
      <c r="F14" s="50"/>
      <c r="G14" s="50"/>
      <c r="H14" s="50"/>
      <c r="I14" s="50"/>
      <c r="J14" s="7"/>
      <c r="K14" s="7"/>
      <c r="M14" s="13"/>
      <c r="N14" s="7"/>
      <c r="P14" s="7"/>
      <c r="R14" t="s">
        <v>118</v>
      </c>
      <c r="S14" s="9">
        <f>LN(S7)</f>
        <v>2.3978952727983707</v>
      </c>
      <c r="T14" s="11">
        <f>LN(T7)</f>
        <v>3.9318256327243257</v>
      </c>
      <c r="U14">
        <f>AVERAGE(S14:T14)</f>
        <v>3.1648604527613484</v>
      </c>
    </row>
    <row r="15" spans="1:21" x14ac:dyDescent="0.25">
      <c r="A15" t="s">
        <v>1</v>
      </c>
      <c r="B15">
        <f>SUM(B13:B14)</f>
        <v>5.8318824772835169</v>
      </c>
      <c r="C15">
        <f>SUM(C13:C14)</f>
        <v>7.9748769005588755</v>
      </c>
      <c r="D15">
        <f>SUM(D13:D14)</f>
        <v>13.806759377842393</v>
      </c>
      <c r="F15" s="50"/>
      <c r="G15" s="50"/>
      <c r="H15" s="50"/>
      <c r="I15" s="50"/>
      <c r="J15" s="7"/>
      <c r="K15" s="7"/>
      <c r="M15" s="13"/>
      <c r="N15" s="7"/>
      <c r="P15" s="7"/>
      <c r="R15" t="s">
        <v>778</v>
      </c>
      <c r="S15">
        <f>AVERAGE(S13:S14)</f>
        <v>2.9159412386417585</v>
      </c>
      <c r="T15">
        <f>AVERAGE(T13:T14)</f>
        <v>3.9874384502794378</v>
      </c>
      <c r="U15">
        <f>AVERAGE(S13:T14)</f>
        <v>3.4516898444605983</v>
      </c>
    </row>
    <row r="16" spans="1:21" x14ac:dyDescent="0.25">
      <c r="G16" s="50"/>
      <c r="H16" s="50"/>
      <c r="I16" s="50"/>
    </row>
    <row r="17" spans="1:19" x14ac:dyDescent="0.25">
      <c r="A17" t="s">
        <v>901</v>
      </c>
      <c r="F17" s="13"/>
    </row>
    <row r="19" spans="1:19" x14ac:dyDescent="0.25">
      <c r="B19" s="13" t="s">
        <v>115</v>
      </c>
      <c r="C19" s="13" t="s">
        <v>116</v>
      </c>
      <c r="D19" s="13" t="s">
        <v>1</v>
      </c>
      <c r="F19" s="356" t="s">
        <v>544</v>
      </c>
      <c r="G19" s="356" t="s">
        <v>568</v>
      </c>
      <c r="H19" s="356" t="s">
        <v>569</v>
      </c>
      <c r="I19" s="356" t="s">
        <v>766</v>
      </c>
      <c r="J19" s="356" t="s">
        <v>767</v>
      </c>
      <c r="K19" s="356" t="s">
        <v>358</v>
      </c>
    </row>
    <row r="20" spans="1:19" x14ac:dyDescent="0.25">
      <c r="A20" t="s">
        <v>117</v>
      </c>
      <c r="B20" s="354">
        <f>B8*D6/D8</f>
        <v>24.64</v>
      </c>
      <c r="C20" s="355">
        <f>C8*D6/D8</f>
        <v>63.36</v>
      </c>
      <c r="D20">
        <f>B20+C20</f>
        <v>88</v>
      </c>
      <c r="F20" s="415">
        <v>1</v>
      </c>
      <c r="G20" s="415">
        <v>1</v>
      </c>
      <c r="H20" s="415">
        <v>1</v>
      </c>
      <c r="I20" s="415">
        <f>G20*H20</f>
        <v>1</v>
      </c>
      <c r="J20">
        <f>B20</f>
        <v>24.64</v>
      </c>
      <c r="K20">
        <f>LN(J20)</f>
        <v>3.2043711386653189</v>
      </c>
      <c r="M20" s="13" t="s">
        <v>389</v>
      </c>
      <c r="N20" s="358">
        <f>K24/4</f>
        <v>3.5015007283691872</v>
      </c>
      <c r="P20" s="358">
        <f>EXP(N20)</f>
        <v>33.16518656663942</v>
      </c>
    </row>
    <row r="21" spans="1:19" x14ac:dyDescent="0.25">
      <c r="A21" t="s">
        <v>118</v>
      </c>
      <c r="B21" s="9">
        <f>B8*D7/D8</f>
        <v>17.36</v>
      </c>
      <c r="C21" s="11">
        <f>C8*D7/D8</f>
        <v>44.64</v>
      </c>
      <c r="D21">
        <f>SUM(B21:C21)</f>
        <v>62</v>
      </c>
      <c r="F21" s="415">
        <f>F20+1</f>
        <v>2</v>
      </c>
      <c r="G21" s="415">
        <v>1</v>
      </c>
      <c r="H21" s="415">
        <v>-1</v>
      </c>
      <c r="I21" s="415">
        <f>G21*H21</f>
        <v>-1</v>
      </c>
      <c r="J21">
        <f>B21</f>
        <v>17.36</v>
      </c>
      <c r="K21">
        <f>LN(J21)</f>
        <v>2.8541687092322041</v>
      </c>
      <c r="M21" s="13" t="s">
        <v>387</v>
      </c>
      <c r="N21" s="272">
        <f>(K20+K21)/2-N20</f>
        <v>-0.47223080442042598</v>
      </c>
      <c r="P21" s="272">
        <f>EXP(N21)</f>
        <v>0.62360956446232341</v>
      </c>
    </row>
    <row r="22" spans="1:19" x14ac:dyDescent="0.25">
      <c r="A22" t="s">
        <v>1</v>
      </c>
      <c r="B22">
        <f>SUM(B20:B21)</f>
        <v>42</v>
      </c>
      <c r="C22">
        <f>SUM(C20:C21)</f>
        <v>108</v>
      </c>
      <c r="D22">
        <f>SUM(D20:D21)</f>
        <v>150</v>
      </c>
      <c r="F22" s="415">
        <f>F21+1</f>
        <v>3</v>
      </c>
      <c r="G22" s="415">
        <v>-1</v>
      </c>
      <c r="H22" s="415">
        <v>1</v>
      </c>
      <c r="I22" s="415">
        <f>G22*H22</f>
        <v>-1</v>
      </c>
      <c r="J22">
        <f>C20</f>
        <v>63.36</v>
      </c>
      <c r="K22">
        <f>LN(J22)</f>
        <v>4.1488327475061704</v>
      </c>
      <c r="M22" s="13" t="s">
        <v>388</v>
      </c>
      <c r="N22" s="272">
        <f>(K20+K22)/2-N20</f>
        <v>0.17510121471655715</v>
      </c>
      <c r="P22" s="272">
        <f>EXP(N22)</f>
        <v>1.1913667943625408</v>
      </c>
    </row>
    <row r="23" spans="1:19" x14ac:dyDescent="0.25">
      <c r="F23" s="416">
        <f>F22+1</f>
        <v>4</v>
      </c>
      <c r="G23" s="416">
        <v>-1</v>
      </c>
      <c r="H23" s="416">
        <v>-1</v>
      </c>
      <c r="I23" s="416">
        <f>G23*H23</f>
        <v>1</v>
      </c>
      <c r="J23" s="10">
        <f>C21</f>
        <v>44.64</v>
      </c>
      <c r="K23" s="10">
        <f>LN(J23)</f>
        <v>3.7986303180730556</v>
      </c>
      <c r="M23" s="13" t="s">
        <v>401</v>
      </c>
      <c r="N23" s="168">
        <f>(K20+K23)/2-N20</f>
        <v>0</v>
      </c>
      <c r="P23" s="168">
        <f>EXP(N23)</f>
        <v>1</v>
      </c>
    </row>
    <row r="24" spans="1:19" x14ac:dyDescent="0.25">
      <c r="F24" s="415"/>
      <c r="G24" s="415"/>
      <c r="H24" s="415"/>
      <c r="I24" s="415"/>
      <c r="K24" s="31">
        <f>SUM(K20:K23)</f>
        <v>14.006002913476749</v>
      </c>
    </row>
    <row r="25" spans="1:19" x14ac:dyDescent="0.25">
      <c r="F25" s="415"/>
      <c r="G25" s="415"/>
      <c r="H25" s="415"/>
      <c r="I25" s="415"/>
      <c r="K25" s="31"/>
    </row>
    <row r="26" spans="1:19" x14ac:dyDescent="0.25">
      <c r="F26" s="53" t="s">
        <v>904</v>
      </c>
      <c r="G26" s="415"/>
      <c r="H26" s="415"/>
      <c r="I26" s="415"/>
      <c r="K26" s="31"/>
    </row>
    <row r="28" spans="1:19" x14ac:dyDescent="0.25">
      <c r="H28" s="1324" t="s">
        <v>302</v>
      </c>
      <c r="I28" s="1325"/>
      <c r="J28" s="1326"/>
      <c r="K28" s="1324" t="s">
        <v>793</v>
      </c>
      <c r="L28" s="1325"/>
      <c r="M28" s="1326"/>
      <c r="N28" s="1324" t="s">
        <v>303</v>
      </c>
      <c r="O28" s="1326"/>
      <c r="R28" s="89" t="s">
        <v>109</v>
      </c>
      <c r="S28" s="399">
        <f>P34</f>
        <v>5.7250138911498212</v>
      </c>
    </row>
    <row r="29" spans="1:19" x14ac:dyDescent="0.25">
      <c r="F29" s="392" t="s">
        <v>801</v>
      </c>
      <c r="G29" s="405" t="s">
        <v>800</v>
      </c>
      <c r="H29" s="381" t="s">
        <v>791</v>
      </c>
      <c r="I29" s="382" t="s">
        <v>790</v>
      </c>
      <c r="J29" s="383" t="s">
        <v>358</v>
      </c>
      <c r="K29" s="381" t="s">
        <v>792</v>
      </c>
      <c r="L29" s="382" t="s">
        <v>790</v>
      </c>
      <c r="M29" s="383" t="s">
        <v>783</v>
      </c>
      <c r="N29" s="402" t="s">
        <v>303</v>
      </c>
      <c r="O29" s="403" t="s">
        <v>802</v>
      </c>
      <c r="P29" s="387" t="s">
        <v>109</v>
      </c>
      <c r="R29" t="s">
        <v>60</v>
      </c>
      <c r="S29" s="272">
        <f>(COUNTA(A20:A21)-1)*(COUNTA(B19:C19)-1)</f>
        <v>1</v>
      </c>
    </row>
    <row r="30" spans="1:19" x14ac:dyDescent="0.25">
      <c r="F30" s="398" t="s">
        <v>117</v>
      </c>
      <c r="G30" s="399" t="s">
        <v>115</v>
      </c>
      <c r="H30" s="398">
        <f>J6</f>
        <v>31</v>
      </c>
      <c r="I30" s="401">
        <f>H30/$H$34</f>
        <v>0.20666666666666667</v>
      </c>
      <c r="J30" s="400">
        <f>LN(H30)</f>
        <v>3.4339872044851463</v>
      </c>
      <c r="K30" s="398">
        <f>J20</f>
        <v>24.64</v>
      </c>
      <c r="L30" s="401">
        <f>K30/$H$34</f>
        <v>0.16426666666666667</v>
      </c>
      <c r="M30" s="400">
        <f>LN(K30)</f>
        <v>3.2043711386653189</v>
      </c>
      <c r="N30" s="398">
        <f>H30-K30</f>
        <v>6.3599999999999994</v>
      </c>
      <c r="O30" s="400">
        <f>N30/SQRT(K30)</f>
        <v>1.2812585128003544</v>
      </c>
      <c r="P30" s="272">
        <f>2*H30*(J30-M30)</f>
        <v>14.236196080829298</v>
      </c>
      <c r="R30" s="30" t="s">
        <v>48</v>
      </c>
      <c r="S30" s="272">
        <v>0.05</v>
      </c>
    </row>
    <row r="31" spans="1:19" x14ac:dyDescent="0.25">
      <c r="F31" s="6" t="s">
        <v>118</v>
      </c>
      <c r="G31" s="272" t="s">
        <v>115</v>
      </c>
      <c r="H31" s="6">
        <f>J7</f>
        <v>11</v>
      </c>
      <c r="I31" s="384">
        <f>H31/$H$34</f>
        <v>7.3333333333333334E-2</v>
      </c>
      <c r="J31" s="8">
        <f>LN(H31)</f>
        <v>2.3978952727983707</v>
      </c>
      <c r="K31" s="6">
        <f>J21</f>
        <v>17.36</v>
      </c>
      <c r="L31" s="384">
        <f>K31/$H$34</f>
        <v>0.11573333333333333</v>
      </c>
      <c r="M31" s="8">
        <f>LN(K31)</f>
        <v>2.8541687092322041</v>
      </c>
      <c r="N31" s="6">
        <f>H31-K31</f>
        <v>-6.3599999999999994</v>
      </c>
      <c r="O31" s="8">
        <f>N31/SQRT(K31)</f>
        <v>-1.5264488471446753</v>
      </c>
      <c r="P31" s="272">
        <f>2*H31*(J31-M31)</f>
        <v>-10.038015601544336</v>
      </c>
      <c r="R31" s="89" t="s">
        <v>110</v>
      </c>
      <c r="S31" s="272">
        <f>CHIINV(S30,S29)</f>
        <v>3.8414588206941236</v>
      </c>
    </row>
    <row r="32" spans="1:19" x14ac:dyDescent="0.25">
      <c r="F32" s="6" t="s">
        <v>117</v>
      </c>
      <c r="G32" s="272" t="s">
        <v>116</v>
      </c>
      <c r="H32" s="6">
        <f>J8</f>
        <v>57</v>
      </c>
      <c r="I32" s="384">
        <f>H32/$H$34</f>
        <v>0.38</v>
      </c>
      <c r="J32" s="8">
        <f>LN(H32)</f>
        <v>4.0430512678345503</v>
      </c>
      <c r="K32" s="6">
        <f>J22</f>
        <v>63.36</v>
      </c>
      <c r="L32" s="384">
        <f>K32/$H$34</f>
        <v>0.4224</v>
      </c>
      <c r="M32" s="8">
        <f>LN(K32)</f>
        <v>4.1488327475061704</v>
      </c>
      <c r="N32" s="6">
        <f>H32-K32</f>
        <v>-6.3599999999999994</v>
      </c>
      <c r="O32" s="8">
        <f>N32/SQRT(K32)</f>
        <v>-0.79900506313107356</v>
      </c>
      <c r="P32" s="272">
        <f>2*H32*(J32-M32)</f>
        <v>-12.059088682564692</v>
      </c>
      <c r="R32" s="372" t="s">
        <v>67</v>
      </c>
      <c r="S32" s="272">
        <f>CHIDIST(S28,S29)</f>
        <v>1.6724904294501547E-2</v>
      </c>
    </row>
    <row r="33" spans="6:19" x14ac:dyDescent="0.25">
      <c r="F33" s="9" t="s">
        <v>118</v>
      </c>
      <c r="G33" s="168" t="s">
        <v>116</v>
      </c>
      <c r="H33" s="9">
        <f>J9</f>
        <v>51</v>
      </c>
      <c r="I33" s="385">
        <f>H33/$H$34</f>
        <v>0.34</v>
      </c>
      <c r="J33" s="11">
        <f>LN(H33)</f>
        <v>3.9318256327243257</v>
      </c>
      <c r="K33" s="9">
        <f>J23</f>
        <v>44.64</v>
      </c>
      <c r="L33" s="385">
        <f>K33/$H$34</f>
        <v>0.29760000000000003</v>
      </c>
      <c r="M33" s="11">
        <f>LN(K33)</f>
        <v>3.7986303180730556</v>
      </c>
      <c r="N33" s="9">
        <f>H33-K33</f>
        <v>6.3599999999999994</v>
      </c>
      <c r="O33" s="11">
        <f>N33/SQRT(K33)</f>
        <v>0.9519081007419069</v>
      </c>
      <c r="P33" s="168">
        <f>2*H33*(J33-M33)</f>
        <v>13.58592209442955</v>
      </c>
      <c r="R33" s="372" t="s">
        <v>527</v>
      </c>
      <c r="S33" s="166" t="str">
        <f>IF(S32&lt;S30,"yes","no")</f>
        <v>yes</v>
      </c>
    </row>
    <row r="34" spans="6:19" x14ac:dyDescent="0.25">
      <c r="G34" s="397"/>
      <c r="H34" s="31">
        <f>SUM(H30:H33)</f>
        <v>150</v>
      </c>
      <c r="I34" s="394"/>
      <c r="J34" s="404"/>
      <c r="O34" s="7"/>
      <c r="P34" s="404">
        <f>SUM(P30:P33)</f>
        <v>5.7250138911498212</v>
      </c>
    </row>
    <row r="36" spans="6:19" x14ac:dyDescent="0.25">
      <c r="H36" s="7"/>
      <c r="I36" s="7"/>
      <c r="K36" s="7"/>
      <c r="L36" s="406"/>
    </row>
    <row r="37" spans="6:19" x14ac:dyDescent="0.25">
      <c r="H37" s="7"/>
      <c r="I37" s="7"/>
    </row>
  </sheetData>
  <mergeCells count="3">
    <mergeCell ref="H28:J28"/>
    <mergeCell ref="K28:M28"/>
    <mergeCell ref="N28:O28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P24"/>
  <sheetViews>
    <sheetView workbookViewId="0"/>
  </sheetViews>
  <sheetFormatPr defaultRowHeight="15" x14ac:dyDescent="0.25"/>
  <cols>
    <col min="1" max="1" width="11.140625" customWidth="1"/>
    <col min="5" max="5" width="6.28515625" customWidth="1"/>
    <col min="12" max="12" width="8.85546875" customWidth="1"/>
  </cols>
  <sheetData>
    <row r="1" spans="1:16" x14ac:dyDescent="0.25">
      <c r="A1" s="1" t="s">
        <v>804</v>
      </c>
    </row>
    <row r="3" spans="1:16" x14ac:dyDescent="0.25">
      <c r="A3" t="s">
        <v>902</v>
      </c>
    </row>
    <row r="5" spans="1:16" x14ac:dyDescent="0.25">
      <c r="B5" s="13" t="s">
        <v>115</v>
      </c>
      <c r="C5" s="13" t="s">
        <v>116</v>
      </c>
      <c r="D5" s="13" t="s">
        <v>1</v>
      </c>
      <c r="F5" s="356" t="s">
        <v>544</v>
      </c>
      <c r="G5" s="356" t="s">
        <v>568</v>
      </c>
      <c r="H5" s="356" t="s">
        <v>569</v>
      </c>
      <c r="I5" s="356" t="s">
        <v>766</v>
      </c>
      <c r="J5" s="356" t="s">
        <v>767</v>
      </c>
      <c r="K5" s="356" t="s">
        <v>358</v>
      </c>
    </row>
    <row r="6" spans="1:16" x14ac:dyDescent="0.25">
      <c r="A6" t="s">
        <v>117</v>
      </c>
      <c r="B6" s="3">
        <v>31</v>
      </c>
      <c r="C6" s="5">
        <v>57</v>
      </c>
      <c r="D6">
        <f>SUM(B6:C6)</f>
        <v>88</v>
      </c>
      <c r="F6" s="352">
        <v>1</v>
      </c>
      <c r="G6" s="352">
        <v>0</v>
      </c>
      <c r="H6" s="352">
        <v>1</v>
      </c>
      <c r="I6" s="352">
        <f>G6*H6</f>
        <v>0</v>
      </c>
      <c r="J6">
        <f>B6</f>
        <v>31</v>
      </c>
      <c r="K6">
        <f>LN(J6)</f>
        <v>3.4339872044851463</v>
      </c>
      <c r="M6" s="13" t="s">
        <v>389</v>
      </c>
      <c r="N6" s="358">
        <f>K7</f>
        <v>2.3978952727983707</v>
      </c>
      <c r="P6" s="358">
        <f>EXP(N6)</f>
        <v>11.000000000000002</v>
      </c>
    </row>
    <row r="7" spans="1:16" x14ac:dyDescent="0.25">
      <c r="A7" t="s">
        <v>118</v>
      </c>
      <c r="B7" s="9">
        <v>11</v>
      </c>
      <c r="C7" s="11">
        <v>51</v>
      </c>
      <c r="D7">
        <f>SUM(B7:C7)</f>
        <v>62</v>
      </c>
      <c r="F7" s="352">
        <f>F6+1</f>
        <v>2</v>
      </c>
      <c r="G7" s="352">
        <v>0</v>
      </c>
      <c r="H7" s="352">
        <v>0</v>
      </c>
      <c r="I7" s="352">
        <f>G7*H7</f>
        <v>0</v>
      </c>
      <c r="J7">
        <f>B7</f>
        <v>11</v>
      </c>
      <c r="K7">
        <f>LN(J7)</f>
        <v>2.3978952727983707</v>
      </c>
      <c r="M7" s="13" t="s">
        <v>387</v>
      </c>
      <c r="N7" s="272">
        <f>K9-N6</f>
        <v>1.5339303599259551</v>
      </c>
      <c r="P7" s="272">
        <f>EXP(N7)</f>
        <v>4.6363636363636358</v>
      </c>
    </row>
    <row r="8" spans="1:16" x14ac:dyDescent="0.25">
      <c r="A8" t="s">
        <v>1</v>
      </c>
      <c r="B8">
        <f>SUM(B6:B7)</f>
        <v>42</v>
      </c>
      <c r="C8">
        <f>SUM(C6:C7)</f>
        <v>108</v>
      </c>
      <c r="D8">
        <f>SUM(D6:D7)</f>
        <v>150</v>
      </c>
      <c r="F8" s="352">
        <f>F7+1</f>
        <v>3</v>
      </c>
      <c r="G8" s="352">
        <v>1</v>
      </c>
      <c r="H8" s="352">
        <v>1</v>
      </c>
      <c r="I8" s="352">
        <f>G8*H8</f>
        <v>1</v>
      </c>
      <c r="J8">
        <f>C6</f>
        <v>57</v>
      </c>
      <c r="K8">
        <f>LN(J8)</f>
        <v>4.0430512678345503</v>
      </c>
      <c r="M8" s="13" t="s">
        <v>388</v>
      </c>
      <c r="N8" s="272">
        <f>K6-N6</f>
        <v>1.0360919316867756</v>
      </c>
      <c r="P8" s="272">
        <f>EXP(N8)</f>
        <v>2.8181818181818179</v>
      </c>
    </row>
    <row r="9" spans="1:16" x14ac:dyDescent="0.25">
      <c r="F9" s="353">
        <f>F8+1</f>
        <v>4</v>
      </c>
      <c r="G9" s="353">
        <v>1</v>
      </c>
      <c r="H9" s="353">
        <v>0</v>
      </c>
      <c r="I9" s="353">
        <f>G9*H9</f>
        <v>0</v>
      </c>
      <c r="J9" s="10">
        <f>C7</f>
        <v>51</v>
      </c>
      <c r="K9" s="10">
        <f>LN(J9)</f>
        <v>3.9318256327243257</v>
      </c>
      <c r="M9" s="13" t="s">
        <v>401</v>
      </c>
      <c r="N9" s="168">
        <f>K8-N6-N7-N8</f>
        <v>-0.92486629657655106</v>
      </c>
      <c r="P9" s="168">
        <f>EXP(N9)</f>
        <v>0.39658444022770412</v>
      </c>
    </row>
    <row r="11" spans="1:16" x14ac:dyDescent="0.25">
      <c r="A11" t="s">
        <v>901</v>
      </c>
      <c r="F11" s="13"/>
    </row>
    <row r="13" spans="1:16" x14ac:dyDescent="0.25">
      <c r="B13" s="13" t="s">
        <v>115</v>
      </c>
      <c r="C13" s="13" t="s">
        <v>116</v>
      </c>
      <c r="D13" s="13" t="s">
        <v>1</v>
      </c>
      <c r="F13" s="356" t="s">
        <v>544</v>
      </c>
      <c r="G13" s="356" t="s">
        <v>568</v>
      </c>
      <c r="H13" s="356" t="s">
        <v>569</v>
      </c>
      <c r="I13" s="356" t="s">
        <v>766</v>
      </c>
      <c r="J13" s="356" t="s">
        <v>767</v>
      </c>
      <c r="K13" s="356" t="s">
        <v>358</v>
      </c>
    </row>
    <row r="14" spans="1:16" x14ac:dyDescent="0.25">
      <c r="A14" t="s">
        <v>117</v>
      </c>
      <c r="B14" s="354">
        <f>B8*D6/D8</f>
        <v>24.64</v>
      </c>
      <c r="C14" s="355">
        <f>C8*D6/D8</f>
        <v>63.36</v>
      </c>
      <c r="D14">
        <f>B14+C14</f>
        <v>88</v>
      </c>
      <c r="F14" s="352">
        <v>1</v>
      </c>
      <c r="G14" s="352">
        <v>0</v>
      </c>
      <c r="H14" s="352">
        <v>1</v>
      </c>
      <c r="I14" s="352">
        <f>G14*H14</f>
        <v>0</v>
      </c>
      <c r="J14">
        <f>B14</f>
        <v>24.64</v>
      </c>
      <c r="K14">
        <f>LN(J14)</f>
        <v>3.2043711386653189</v>
      </c>
      <c r="M14" s="13" t="s">
        <v>389</v>
      </c>
      <c r="N14" s="358">
        <f>K15</f>
        <v>2.8541687092322041</v>
      </c>
      <c r="P14" s="358">
        <f>EXP(N14)</f>
        <v>17.36</v>
      </c>
    </row>
    <row r="15" spans="1:16" x14ac:dyDescent="0.25">
      <c r="A15" t="s">
        <v>118</v>
      </c>
      <c r="B15" s="9">
        <f>B8*D7/D8</f>
        <v>17.36</v>
      </c>
      <c r="C15" s="11">
        <f>C8*D7/D8</f>
        <v>44.64</v>
      </c>
      <c r="D15">
        <f>SUM(B15:C15)</f>
        <v>62</v>
      </c>
      <c r="F15" s="352">
        <f>F14+1</f>
        <v>2</v>
      </c>
      <c r="G15" s="352">
        <v>0</v>
      </c>
      <c r="H15" s="352">
        <v>0</v>
      </c>
      <c r="I15" s="352">
        <f>G15*H15</f>
        <v>0</v>
      </c>
      <c r="J15">
        <f>B15</f>
        <v>17.36</v>
      </c>
      <c r="K15">
        <f>LN(J15)</f>
        <v>2.8541687092322041</v>
      </c>
      <c r="M15" s="13" t="s">
        <v>387</v>
      </c>
      <c r="N15" s="272">
        <f>K17-N14</f>
        <v>0.94446160884085151</v>
      </c>
      <c r="P15" s="272">
        <f>EXP(N15)</f>
        <v>2.5714285714285716</v>
      </c>
    </row>
    <row r="16" spans="1:16" x14ac:dyDescent="0.25">
      <c r="A16" t="s">
        <v>1</v>
      </c>
      <c r="B16">
        <f>SUM(B14:B15)</f>
        <v>42</v>
      </c>
      <c r="C16">
        <f>SUM(C14:C15)</f>
        <v>108</v>
      </c>
      <c r="D16">
        <f>SUM(D14:D15)</f>
        <v>150</v>
      </c>
      <c r="F16" s="352">
        <f>F15+1</f>
        <v>3</v>
      </c>
      <c r="G16" s="352">
        <v>1</v>
      </c>
      <c r="H16" s="352">
        <v>1</v>
      </c>
      <c r="I16" s="352">
        <f>G16*H16</f>
        <v>1</v>
      </c>
      <c r="J16">
        <f>C14</f>
        <v>63.36</v>
      </c>
      <c r="K16">
        <f>LN(J16)</f>
        <v>4.1488327475061704</v>
      </c>
      <c r="M16" s="13" t="s">
        <v>388</v>
      </c>
      <c r="N16" s="272">
        <f>K14-N14</f>
        <v>0.35020242943311475</v>
      </c>
      <c r="P16" s="272">
        <f>EXP(N16)</f>
        <v>1.4193548387096773</v>
      </c>
    </row>
    <row r="17" spans="6:16" x14ac:dyDescent="0.25">
      <c r="F17" s="353">
        <f>F16+1</f>
        <v>4</v>
      </c>
      <c r="G17" s="353">
        <v>1</v>
      </c>
      <c r="H17" s="353">
        <v>0</v>
      </c>
      <c r="I17" s="353">
        <f>G17*H17</f>
        <v>0</v>
      </c>
      <c r="J17" s="10">
        <f>C15</f>
        <v>44.64</v>
      </c>
      <c r="K17" s="10">
        <f>LN(J17)</f>
        <v>3.7986303180730556</v>
      </c>
      <c r="M17" s="13" t="s">
        <v>401</v>
      </c>
      <c r="N17" s="168">
        <f>K16-N14-N15-N16</f>
        <v>0</v>
      </c>
      <c r="P17" s="168">
        <f>EXP(N17)</f>
        <v>1</v>
      </c>
    </row>
    <row r="18" spans="6:16" x14ac:dyDescent="0.25">
      <c r="F18" s="352"/>
      <c r="G18" s="352"/>
      <c r="H18" s="352"/>
      <c r="I18" s="352"/>
    </row>
    <row r="19" spans="6:16" x14ac:dyDescent="0.25">
      <c r="F19" s="415"/>
      <c r="G19" s="415"/>
      <c r="H19" s="415"/>
      <c r="I19" s="415"/>
    </row>
    <row r="20" spans="6:16" x14ac:dyDescent="0.25">
      <c r="F20" s="415"/>
      <c r="G20" s="415"/>
      <c r="H20" s="415"/>
      <c r="I20" s="415"/>
    </row>
    <row r="21" spans="6:16" x14ac:dyDescent="0.25">
      <c r="F21" s="415"/>
      <c r="G21" s="415"/>
      <c r="H21" s="415"/>
      <c r="I21" s="415"/>
    </row>
    <row r="22" spans="6:16" x14ac:dyDescent="0.25">
      <c r="F22" s="415"/>
      <c r="G22" s="415"/>
      <c r="H22" s="415"/>
      <c r="I22" s="415"/>
    </row>
    <row r="23" spans="6:16" x14ac:dyDescent="0.25">
      <c r="F23" s="415"/>
      <c r="G23" s="415"/>
      <c r="H23" s="415"/>
      <c r="I23" s="415"/>
    </row>
    <row r="24" spans="6:16" x14ac:dyDescent="0.25">
      <c r="F24" s="415"/>
      <c r="G24" s="415"/>
      <c r="H24" s="415"/>
      <c r="I24" s="415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O22"/>
  <sheetViews>
    <sheetView workbookViewId="0"/>
  </sheetViews>
  <sheetFormatPr defaultRowHeight="15" x14ac:dyDescent="0.25"/>
  <cols>
    <col min="7" max="7" width="20.28515625" customWidth="1"/>
    <col min="8" max="8" width="12.7109375" customWidth="1"/>
    <col min="9" max="9" width="14.42578125" customWidth="1"/>
    <col min="12" max="13" width="12.140625" customWidth="1"/>
  </cols>
  <sheetData>
    <row r="1" spans="1:12" x14ac:dyDescent="0.25">
      <c r="A1" s="1" t="s">
        <v>805</v>
      </c>
    </row>
    <row r="3" spans="1:12" x14ac:dyDescent="0.25">
      <c r="A3" s="356" t="s">
        <v>568</v>
      </c>
      <c r="B3" s="356" t="s">
        <v>569</v>
      </c>
      <c r="C3" s="356" t="s">
        <v>766</v>
      </c>
      <c r="D3" s="356" t="s">
        <v>767</v>
      </c>
      <c r="E3" s="356" t="s">
        <v>358</v>
      </c>
      <c r="G3" t="s">
        <v>290</v>
      </c>
    </row>
    <row r="4" spans="1:12" ht="15.75" thickBot="1" x14ac:dyDescent="0.3">
      <c r="A4" s="388">
        <v>1</v>
      </c>
      <c r="B4" s="388">
        <v>1</v>
      </c>
      <c r="C4" s="388">
        <v>1</v>
      </c>
      <c r="D4">
        <v>24.64</v>
      </c>
      <c r="E4">
        <f>LN(D4)</f>
        <v>3.2043711386653189</v>
      </c>
    </row>
    <row r="5" spans="1:12" x14ac:dyDescent="0.25">
      <c r="A5" s="388">
        <v>1</v>
      </c>
      <c r="B5" s="388">
        <v>-1</v>
      </c>
      <c r="C5" s="388">
        <v>-1</v>
      </c>
      <c r="D5">
        <v>17.36</v>
      </c>
      <c r="E5">
        <f>LN(D5)</f>
        <v>2.8541687092322041</v>
      </c>
      <c r="G5" s="21" t="s">
        <v>291</v>
      </c>
      <c r="H5" s="21"/>
    </row>
    <row r="6" spans="1:12" x14ac:dyDescent="0.25">
      <c r="A6" s="388">
        <v>-1</v>
      </c>
      <c r="B6" s="388">
        <v>1</v>
      </c>
      <c r="C6" s="388">
        <v>-1</v>
      </c>
      <c r="D6">
        <v>63.36</v>
      </c>
      <c r="E6">
        <f>LN(D6)</f>
        <v>4.1488327475061704</v>
      </c>
      <c r="G6" s="19" t="s">
        <v>292</v>
      </c>
      <c r="H6" s="19">
        <v>1</v>
      </c>
    </row>
    <row r="7" spans="1:12" x14ac:dyDescent="0.25">
      <c r="A7" s="390">
        <v>-1</v>
      </c>
      <c r="B7" s="390">
        <v>-1</v>
      </c>
      <c r="C7" s="390">
        <v>1</v>
      </c>
      <c r="D7" s="10">
        <v>44.64</v>
      </c>
      <c r="E7" s="10">
        <f>LN(D7)</f>
        <v>3.7986303180730556</v>
      </c>
      <c r="G7" s="19" t="s">
        <v>285</v>
      </c>
      <c r="H7" s="19">
        <v>1</v>
      </c>
    </row>
    <row r="8" spans="1:12" x14ac:dyDescent="0.25">
      <c r="G8" s="19" t="s">
        <v>293</v>
      </c>
      <c r="H8" s="19">
        <v>65535</v>
      </c>
    </row>
    <row r="9" spans="1:12" x14ac:dyDescent="0.25">
      <c r="G9" s="19" t="s">
        <v>11</v>
      </c>
      <c r="H9" s="19">
        <v>0</v>
      </c>
    </row>
    <row r="10" spans="1:12" ht="15.75" thickBot="1" x14ac:dyDescent="0.3">
      <c r="G10" s="20" t="s">
        <v>81</v>
      </c>
      <c r="H10" s="20">
        <v>4</v>
      </c>
    </row>
    <row r="12" spans="1:12" ht="15.75" thickBot="1" x14ac:dyDescent="0.3">
      <c r="G12" t="s">
        <v>294</v>
      </c>
    </row>
    <row r="13" spans="1:12" x14ac:dyDescent="0.25">
      <c r="G13" s="389"/>
      <c r="H13" s="389" t="s">
        <v>60</v>
      </c>
      <c r="I13" s="389" t="s">
        <v>219</v>
      </c>
      <c r="J13" s="389" t="s">
        <v>240</v>
      </c>
      <c r="K13" s="389" t="s">
        <v>135</v>
      </c>
      <c r="L13" s="389" t="s">
        <v>297</v>
      </c>
    </row>
    <row r="14" spans="1:12" x14ac:dyDescent="0.25">
      <c r="G14" s="19" t="s">
        <v>222</v>
      </c>
      <c r="H14" s="19">
        <v>3</v>
      </c>
      <c r="I14" s="19">
        <v>1.0146494721551051</v>
      </c>
      <c r="J14" s="19">
        <v>0.3382164907183684</v>
      </c>
      <c r="K14" s="19" t="e">
        <v>#NUM!</v>
      </c>
      <c r="L14" s="19" t="e">
        <v>#NUM!</v>
      </c>
    </row>
    <row r="15" spans="1:12" x14ac:dyDescent="0.25">
      <c r="G15" s="19" t="s">
        <v>295</v>
      </c>
      <c r="H15" s="19">
        <v>0</v>
      </c>
      <c r="I15" s="19">
        <v>0</v>
      </c>
      <c r="J15" s="19">
        <v>65535</v>
      </c>
      <c r="K15" s="19"/>
      <c r="L15" s="19"/>
    </row>
    <row r="16" spans="1:12" ht="15.75" thickBot="1" x14ac:dyDescent="0.3">
      <c r="G16" s="20" t="s">
        <v>1</v>
      </c>
      <c r="H16" s="20">
        <v>3</v>
      </c>
      <c r="I16" s="20">
        <v>1.0146494721551051</v>
      </c>
      <c r="J16" s="20"/>
      <c r="K16" s="20"/>
      <c r="L16" s="20"/>
    </row>
    <row r="17" spans="7:15" ht="15.75" thickBot="1" x14ac:dyDescent="0.3"/>
    <row r="18" spans="7:15" x14ac:dyDescent="0.25">
      <c r="G18" s="389"/>
      <c r="H18" s="389" t="s">
        <v>298</v>
      </c>
      <c r="I18" s="389" t="s">
        <v>11</v>
      </c>
      <c r="J18" s="389" t="s">
        <v>85</v>
      </c>
      <c r="K18" s="389" t="s">
        <v>119</v>
      </c>
      <c r="L18" s="389" t="s">
        <v>299</v>
      </c>
      <c r="M18" s="389" t="s">
        <v>300</v>
      </c>
      <c r="N18" s="389" t="s">
        <v>409</v>
      </c>
      <c r="O18" s="389" t="s">
        <v>410</v>
      </c>
    </row>
    <row r="19" spans="7:15" x14ac:dyDescent="0.25">
      <c r="G19" s="19" t="s">
        <v>296</v>
      </c>
      <c r="H19" s="19">
        <v>3.5015007283691872</v>
      </c>
      <c r="I19" s="19">
        <v>0</v>
      </c>
      <c r="J19" s="19">
        <v>65535</v>
      </c>
      <c r="K19" s="19" t="e">
        <v>#NUM!</v>
      </c>
      <c r="L19" s="19">
        <v>3.5015007283691872</v>
      </c>
      <c r="M19" s="19">
        <v>3.5015007283691872</v>
      </c>
      <c r="N19" s="19">
        <v>3.5015007283691872</v>
      </c>
      <c r="O19" s="19">
        <v>3.5015007283691872</v>
      </c>
    </row>
    <row r="20" spans="7:15" x14ac:dyDescent="0.25">
      <c r="G20" s="19" t="s">
        <v>568</v>
      </c>
      <c r="H20" s="19">
        <v>-0.47223080442042575</v>
      </c>
      <c r="I20" s="19">
        <v>0</v>
      </c>
      <c r="J20" s="19">
        <v>65535</v>
      </c>
      <c r="K20" s="19" t="e">
        <v>#NUM!</v>
      </c>
      <c r="L20" s="19">
        <v>-0.47223080442042575</v>
      </c>
      <c r="M20" s="19">
        <v>-0.47223080442042575</v>
      </c>
      <c r="N20" s="19">
        <v>-0.47223080442042575</v>
      </c>
      <c r="O20" s="19">
        <v>-0.47223080442042575</v>
      </c>
    </row>
    <row r="21" spans="7:15" x14ac:dyDescent="0.25">
      <c r="G21" s="19" t="s">
        <v>569</v>
      </c>
      <c r="H21" s="19">
        <v>0.17510121471655743</v>
      </c>
      <c r="I21" s="19">
        <v>0</v>
      </c>
      <c r="J21" s="19">
        <v>65535</v>
      </c>
      <c r="K21" s="19" t="e">
        <v>#NUM!</v>
      </c>
      <c r="L21" s="19">
        <v>0.17510121471655743</v>
      </c>
      <c r="M21" s="19">
        <v>0.17510121471655743</v>
      </c>
      <c r="N21" s="19">
        <v>0.17510121471655743</v>
      </c>
      <c r="O21" s="19">
        <v>0.17510121471655743</v>
      </c>
    </row>
    <row r="22" spans="7:15" ht="15.75" thickBot="1" x14ac:dyDescent="0.3">
      <c r="G22" s="20" t="s">
        <v>766</v>
      </c>
      <c r="H22" s="20">
        <v>3.0830000307762447E-18</v>
      </c>
      <c r="I22" s="20">
        <v>0</v>
      </c>
      <c r="J22" s="20">
        <v>65535</v>
      </c>
      <c r="K22" s="20" t="e">
        <v>#NUM!</v>
      </c>
      <c r="L22" s="20">
        <v>3.0830000307762447E-18</v>
      </c>
      <c r="M22" s="20">
        <v>3.0830000307762447E-18</v>
      </c>
      <c r="N22" s="20">
        <v>3.0830000307762447E-18</v>
      </c>
      <c r="O22" s="20">
        <v>3.0830000307762447E-18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AP95"/>
  <sheetViews>
    <sheetView workbookViewId="0"/>
  </sheetViews>
  <sheetFormatPr defaultRowHeight="15" x14ac:dyDescent="0.25"/>
  <cols>
    <col min="1" max="1" width="10.140625" customWidth="1"/>
    <col min="3" max="3" width="10.140625" customWidth="1"/>
    <col min="5" max="5" width="8.85546875" customWidth="1"/>
    <col min="6" max="6" width="10.28515625" customWidth="1"/>
    <col min="9" max="9" width="9.42578125" customWidth="1"/>
    <col min="10" max="10" width="5.28515625" customWidth="1"/>
    <col min="11" max="11" width="10.140625" customWidth="1"/>
    <col min="14" max="14" width="9.140625" customWidth="1"/>
    <col min="17" max="17" width="10.28515625" customWidth="1"/>
    <col min="21" max="21" width="5.28515625" customWidth="1"/>
    <col min="22" max="22" width="14.28515625" customWidth="1"/>
    <col min="29" max="29" width="10.42578125" customWidth="1"/>
    <col min="34" max="34" width="10.140625" customWidth="1"/>
    <col min="39" max="39" width="10.28515625" customWidth="1"/>
  </cols>
  <sheetData>
    <row r="1" spans="1:42" x14ac:dyDescent="0.25">
      <c r="A1" s="1" t="s">
        <v>806</v>
      </c>
    </row>
    <row r="2" spans="1:42" x14ac:dyDescent="0.25">
      <c r="A2" s="1"/>
    </row>
    <row r="3" spans="1:42" s="1" customFormat="1" x14ac:dyDescent="0.25">
      <c r="A3" s="1" t="s">
        <v>807</v>
      </c>
      <c r="F3" s="375"/>
      <c r="G3" s="375"/>
      <c r="H3" s="375"/>
      <c r="I3" s="375"/>
      <c r="J3" s="376"/>
      <c r="K3" s="376"/>
      <c r="AC3" s="1" t="s">
        <v>813</v>
      </c>
      <c r="AD3"/>
      <c r="AE3"/>
      <c r="AF3"/>
      <c r="AG3"/>
      <c r="AH3" s="1" t="s">
        <v>816</v>
      </c>
      <c r="AI3"/>
      <c r="AJ3"/>
      <c r="AK3"/>
      <c r="AL3"/>
      <c r="AM3" s="1" t="s">
        <v>809</v>
      </c>
      <c r="AN3"/>
      <c r="AO3"/>
      <c r="AP3"/>
    </row>
    <row r="4" spans="1:42" x14ac:dyDescent="0.25">
      <c r="F4" s="50"/>
      <c r="G4" s="50"/>
      <c r="H4" s="50"/>
      <c r="I4" s="50"/>
      <c r="J4" s="7"/>
      <c r="K4" s="7"/>
    </row>
    <row r="5" spans="1:42" x14ac:dyDescent="0.25">
      <c r="A5" t="s">
        <v>765</v>
      </c>
      <c r="F5" t="s">
        <v>779</v>
      </c>
      <c r="G5" s="50"/>
      <c r="H5" s="50"/>
      <c r="I5" t="s">
        <v>780</v>
      </c>
      <c r="J5" s="7"/>
      <c r="K5" s="7"/>
      <c r="AD5" s="13" t="s">
        <v>115</v>
      </c>
      <c r="AE5" s="13" t="s">
        <v>116</v>
      </c>
      <c r="AF5" s="13" t="s">
        <v>1</v>
      </c>
      <c r="AI5" s="13" t="s">
        <v>115</v>
      </c>
      <c r="AJ5" s="13" t="s">
        <v>116</v>
      </c>
      <c r="AK5" s="13" t="s">
        <v>1</v>
      </c>
      <c r="AN5" s="13" t="s">
        <v>115</v>
      </c>
      <c r="AO5" s="13" t="s">
        <v>116</v>
      </c>
      <c r="AP5" s="13" t="s">
        <v>1</v>
      </c>
    </row>
    <row r="6" spans="1:42" x14ac:dyDescent="0.25">
      <c r="Q6" t="s">
        <v>114</v>
      </c>
      <c r="V6" t="s">
        <v>104</v>
      </c>
      <c r="AC6" t="s">
        <v>117</v>
      </c>
      <c r="AD6" s="3">
        <v>21</v>
      </c>
      <c r="AE6" s="5">
        <v>54</v>
      </c>
      <c r="AF6">
        <v>75</v>
      </c>
      <c r="AH6" t="s">
        <v>117</v>
      </c>
      <c r="AI6" s="3">
        <v>44</v>
      </c>
      <c r="AJ6" s="5">
        <v>44</v>
      </c>
      <c r="AK6">
        <v>88</v>
      </c>
      <c r="AM6" t="s">
        <v>117</v>
      </c>
      <c r="AN6" s="354">
        <v>37.5</v>
      </c>
      <c r="AO6" s="355">
        <v>37.5</v>
      </c>
      <c r="AP6">
        <v>75</v>
      </c>
    </row>
    <row r="7" spans="1:42" x14ac:dyDescent="0.25">
      <c r="B7" s="13" t="s">
        <v>115</v>
      </c>
      <c r="C7" s="13" t="s">
        <v>116</v>
      </c>
      <c r="D7" s="13" t="s">
        <v>1</v>
      </c>
      <c r="F7" s="356" t="s">
        <v>544</v>
      </c>
      <c r="G7" s="356" t="s">
        <v>568</v>
      </c>
      <c r="H7" s="356" t="s">
        <v>569</v>
      </c>
      <c r="I7" s="356" t="s">
        <v>766</v>
      </c>
      <c r="J7" s="356" t="s">
        <v>782</v>
      </c>
      <c r="K7" s="356" t="s">
        <v>783</v>
      </c>
      <c r="AC7" t="s">
        <v>118</v>
      </c>
      <c r="AD7" s="9">
        <v>21</v>
      </c>
      <c r="AE7" s="11">
        <v>54</v>
      </c>
      <c r="AF7">
        <v>75</v>
      </c>
      <c r="AH7" t="s">
        <v>118</v>
      </c>
      <c r="AI7" s="9">
        <v>31</v>
      </c>
      <c r="AJ7" s="11">
        <v>31</v>
      </c>
      <c r="AK7">
        <v>62</v>
      </c>
      <c r="AM7" t="s">
        <v>118</v>
      </c>
      <c r="AN7" s="9">
        <v>37.5</v>
      </c>
      <c r="AO7" s="11">
        <v>37.5</v>
      </c>
      <c r="AP7">
        <v>75</v>
      </c>
    </row>
    <row r="8" spans="1:42" ht="15.75" thickBot="1" x14ac:dyDescent="0.3">
      <c r="A8" t="s">
        <v>117</v>
      </c>
      <c r="B8" s="3">
        <v>31</v>
      </c>
      <c r="C8" s="5">
        <v>57</v>
      </c>
      <c r="D8">
        <f>SUM(B8:C8)</f>
        <v>88</v>
      </c>
      <c r="F8" s="352">
        <v>1</v>
      </c>
      <c r="G8" s="352">
        <v>1</v>
      </c>
      <c r="H8" s="352">
        <v>1</v>
      </c>
      <c r="I8" s="352">
        <f>G8*H8</f>
        <v>1</v>
      </c>
      <c r="J8">
        <f>B16</f>
        <v>24.64</v>
      </c>
      <c r="K8">
        <f>LN(J8)</f>
        <v>3.2043711386653189</v>
      </c>
      <c r="L8" s="13" t="s">
        <v>389</v>
      </c>
      <c r="M8" s="358">
        <f>AVERAGE(K8:K11)</f>
        <v>3.5015007283691872</v>
      </c>
      <c r="O8" s="358">
        <f>EXP(M8)</f>
        <v>33.16518656663942</v>
      </c>
      <c r="R8" t="str">
        <f>B7</f>
        <v>Therapy 1</v>
      </c>
      <c r="S8" t="str">
        <f>C7</f>
        <v>Therapy 2</v>
      </c>
      <c r="T8" t="s">
        <v>1</v>
      </c>
      <c r="V8" t="s">
        <v>62</v>
      </c>
      <c r="X8" t="s">
        <v>34</v>
      </c>
      <c r="Y8">
        <v>0.05</v>
      </c>
      <c r="AC8" t="s">
        <v>1</v>
      </c>
      <c r="AD8">
        <v>42</v>
      </c>
      <c r="AE8">
        <v>108</v>
      </c>
      <c r="AF8">
        <v>150</v>
      </c>
      <c r="AH8" t="s">
        <v>1</v>
      </c>
      <c r="AI8">
        <v>75</v>
      </c>
      <c r="AJ8">
        <v>75</v>
      </c>
      <c r="AK8">
        <v>150</v>
      </c>
      <c r="AM8" t="s">
        <v>1</v>
      </c>
      <c r="AN8">
        <v>75</v>
      </c>
      <c r="AO8">
        <v>75</v>
      </c>
      <c r="AP8">
        <v>150</v>
      </c>
    </row>
    <row r="9" spans="1:42" ht="15.75" thickTop="1" x14ac:dyDescent="0.25">
      <c r="A9" t="s">
        <v>118</v>
      </c>
      <c r="B9" s="9">
        <v>11</v>
      </c>
      <c r="C9" s="11">
        <v>51</v>
      </c>
      <c r="D9">
        <f>SUM(B9:C9)</f>
        <v>62</v>
      </c>
      <c r="F9" s="352">
        <f>F8+1</f>
        <v>2</v>
      </c>
      <c r="G9" s="352">
        <v>-1</v>
      </c>
      <c r="H9" s="352">
        <v>1</v>
      </c>
      <c r="I9" s="352">
        <f>G9*H9</f>
        <v>-1</v>
      </c>
      <c r="J9">
        <f>B17</f>
        <v>17.36</v>
      </c>
      <c r="K9">
        <f>LN(J9)</f>
        <v>2.8541687092322041</v>
      </c>
      <c r="L9" s="13" t="s">
        <v>387</v>
      </c>
      <c r="M9" s="272">
        <f>(K8+K10)/2-M8</f>
        <v>0.17510121471655715</v>
      </c>
      <c r="O9" s="272">
        <f>EXP(M9)</f>
        <v>1.1913667943625408</v>
      </c>
      <c r="Q9" t="str">
        <f>A8</f>
        <v>Cured</v>
      </c>
      <c r="R9" s="55">
        <f t="array" ref="R9:S10">MMULT(T9:T10,R11:S11)/T11</f>
        <v>24.64</v>
      </c>
      <c r="S9" s="56">
        <v>63.36</v>
      </c>
      <c r="T9">
        <f>SUM(A8:C8)</f>
        <v>88</v>
      </c>
      <c r="V9" s="32" t="s">
        <v>22</v>
      </c>
      <c r="W9" s="32" t="s">
        <v>136</v>
      </c>
      <c r="X9" s="32" t="s">
        <v>137</v>
      </c>
      <c r="Y9" s="32" t="s">
        <v>60</v>
      </c>
    </row>
    <row r="10" spans="1:42" x14ac:dyDescent="0.25">
      <c r="A10" t="s">
        <v>1</v>
      </c>
      <c r="B10">
        <f>SUM(B8:B9)</f>
        <v>42</v>
      </c>
      <c r="C10">
        <f>SUM(C8:C9)</f>
        <v>108</v>
      </c>
      <c r="D10">
        <f>SUM(D8:D9)</f>
        <v>150</v>
      </c>
      <c r="F10" s="352">
        <f>F9+1</f>
        <v>3</v>
      </c>
      <c r="G10" s="352">
        <v>1</v>
      </c>
      <c r="H10" s="352">
        <v>-1</v>
      </c>
      <c r="I10" s="352">
        <f>G10*H10</f>
        <v>-1</v>
      </c>
      <c r="J10">
        <f>C16</f>
        <v>63.36</v>
      </c>
      <c r="K10">
        <f>LN(J10)</f>
        <v>4.1488327475061704</v>
      </c>
      <c r="L10" s="13" t="s">
        <v>388</v>
      </c>
      <c r="M10" s="272">
        <f>(K8+K9)/2-M8</f>
        <v>-0.47223080442042598</v>
      </c>
      <c r="O10" s="272">
        <f>EXP(M10)</f>
        <v>0.62360956446232341</v>
      </c>
      <c r="Q10" t="str">
        <f>A9</f>
        <v>Not Cured</v>
      </c>
      <c r="R10" s="373">
        <v>17.36</v>
      </c>
      <c r="S10" s="374">
        <v>44.64</v>
      </c>
      <c r="T10">
        <f>SUM(A9:C9)</f>
        <v>62</v>
      </c>
      <c r="V10">
        <f>T11</f>
        <v>150</v>
      </c>
      <c r="W10">
        <f>COUNT(B8:B9)</f>
        <v>2</v>
      </c>
      <c r="X10">
        <f>COUNT(B8:C8)</f>
        <v>2</v>
      </c>
      <c r="Y10">
        <f>(W10-1)*(X10-1)</f>
        <v>1</v>
      </c>
      <c r="AC10" s="89" t="s">
        <v>109</v>
      </c>
      <c r="AD10" s="399">
        <f>[1]!CHI_MAX2($B$8:$C$9,AD6:AE7)</f>
        <v>10.254522924012374</v>
      </c>
      <c r="AH10" s="89" t="s">
        <v>109</v>
      </c>
      <c r="AI10" s="399">
        <f>[1]!CHI_MAX2($B$8:$C$9,AI6:AJ7)</f>
        <v>35.783172824891068</v>
      </c>
      <c r="AM10" s="89" t="s">
        <v>109</v>
      </c>
      <c r="AN10" s="399">
        <f>[1]!CHI_MAX2($B$8:$C$9,AN6:AO7)</f>
        <v>40.312681857753645</v>
      </c>
    </row>
    <row r="11" spans="1:42" x14ac:dyDescent="0.25">
      <c r="F11" s="353">
        <f>F10+1</f>
        <v>4</v>
      </c>
      <c r="G11" s="353">
        <v>-1</v>
      </c>
      <c r="H11" s="353">
        <v>-1</v>
      </c>
      <c r="I11" s="353">
        <f>G11*H11</f>
        <v>1</v>
      </c>
      <c r="J11" s="10">
        <f>C17</f>
        <v>44.64</v>
      </c>
      <c r="K11" s="10">
        <f>LN(J11)</f>
        <v>3.7986303180730556</v>
      </c>
      <c r="L11" s="13" t="s">
        <v>401</v>
      </c>
      <c r="M11" s="168">
        <f>(K8+K11)/2-M8</f>
        <v>0</v>
      </c>
      <c r="O11" s="168">
        <f>EXP(M11)</f>
        <v>1</v>
      </c>
      <c r="Q11" t="s">
        <v>1</v>
      </c>
      <c r="R11">
        <f>SUM(B7:B9)</f>
        <v>42</v>
      </c>
      <c r="S11">
        <f>SUM(C7:C9)</f>
        <v>108</v>
      </c>
      <c r="T11">
        <f>SUM(T9:T10)</f>
        <v>150</v>
      </c>
      <c r="AC11" s="7" t="s">
        <v>60</v>
      </c>
      <c r="AD11" s="272">
        <v>2</v>
      </c>
      <c r="AH11" s="7" t="s">
        <v>60</v>
      </c>
      <c r="AI11" s="272">
        <v>2</v>
      </c>
      <c r="AM11" s="7" t="s">
        <v>60</v>
      </c>
      <c r="AN11" s="272">
        <v>3</v>
      </c>
    </row>
    <row r="12" spans="1:42" ht="15.75" thickBot="1" x14ac:dyDescent="0.3">
      <c r="F12" s="352"/>
      <c r="G12" s="352"/>
      <c r="H12" s="352"/>
      <c r="I12" s="352"/>
      <c r="V12" t="s">
        <v>138</v>
      </c>
      <c r="AC12" s="413" t="s">
        <v>48</v>
      </c>
      <c r="AD12" s="272">
        <v>0.05</v>
      </c>
      <c r="AH12" s="7" t="s">
        <v>48</v>
      </c>
      <c r="AI12" s="272">
        <v>0.05</v>
      </c>
      <c r="AM12" s="7" t="s">
        <v>48</v>
      </c>
      <c r="AN12" s="272">
        <v>0.05</v>
      </c>
    </row>
    <row r="13" spans="1:42" ht="15.75" thickTop="1" x14ac:dyDescent="0.25">
      <c r="A13" t="s">
        <v>768</v>
      </c>
      <c r="F13" s="352"/>
      <c r="G13" s="352"/>
      <c r="H13" s="352"/>
      <c r="I13" s="352"/>
      <c r="V13" s="32" t="s">
        <v>66</v>
      </c>
      <c r="W13" s="32" t="s">
        <v>107</v>
      </c>
      <c r="X13" s="32" t="s">
        <v>67</v>
      </c>
      <c r="Y13" s="32" t="s">
        <v>111</v>
      </c>
      <c r="Z13" s="32" t="s">
        <v>69</v>
      </c>
      <c r="AA13" s="32" t="s">
        <v>140</v>
      </c>
      <c r="AC13" s="372" t="s">
        <v>67</v>
      </c>
      <c r="AD13" s="272">
        <f>CHIDIST(AD10,AD11)</f>
        <v>5.9327854054877982E-3</v>
      </c>
      <c r="AH13" s="372" t="s">
        <v>67</v>
      </c>
      <c r="AI13" s="272">
        <f>CHIDIST(AI10,AI11)</f>
        <v>1.6973943357065388E-8</v>
      </c>
      <c r="AM13" s="372" t="s">
        <v>67</v>
      </c>
      <c r="AN13" s="272">
        <f>CHIDIST(AN10,AN11)</f>
        <v>9.146848117851807E-9</v>
      </c>
    </row>
    <row r="14" spans="1:42" x14ac:dyDescent="0.25">
      <c r="F14" s="388"/>
      <c r="G14" s="388"/>
      <c r="H14" s="388"/>
      <c r="I14" s="388"/>
      <c r="V14" t="s">
        <v>139</v>
      </c>
      <c r="W14">
        <f>[1]!CHI_STAT2(B8:C9,R9:S10)</f>
        <v>5.51620758273984</v>
      </c>
      <c r="X14">
        <f>CHIDIST(W14,Y10)</f>
        <v>1.8841061611125618E-2</v>
      </c>
      <c r="Y14">
        <f>CHIINV(Y8,Y10)</f>
        <v>3.8414588206941236</v>
      </c>
      <c r="Z14" t="str">
        <f>IF(Y14&lt;W14,"Yes","No")</f>
        <v>Yes</v>
      </c>
      <c r="AA14">
        <f>SQRT(W14/(V10*(MIN(W10,X10)-1)))</f>
        <v>0.19176735180490342</v>
      </c>
      <c r="AC14" s="372" t="s">
        <v>527</v>
      </c>
      <c r="AD14" s="414" t="str">
        <f>IF(AD13&lt;AD12,"yes","no")</f>
        <v>yes</v>
      </c>
      <c r="AH14" s="372" t="s">
        <v>527</v>
      </c>
      <c r="AI14" s="414" t="str">
        <f>IF(AI13&lt;AI12,"yes","no")</f>
        <v>yes</v>
      </c>
      <c r="AM14" s="372" t="s">
        <v>527</v>
      </c>
      <c r="AN14" s="414" t="str">
        <f>IF(AN13&lt;AN12,"yes","no")</f>
        <v>yes</v>
      </c>
    </row>
    <row r="15" spans="1:42" x14ac:dyDescent="0.25">
      <c r="B15" s="13" t="s">
        <v>115</v>
      </c>
      <c r="C15" s="13" t="s">
        <v>116</v>
      </c>
      <c r="D15" s="13" t="s">
        <v>1</v>
      </c>
      <c r="F15" s="388"/>
      <c r="G15" s="388"/>
      <c r="H15" s="388"/>
      <c r="I15" s="388"/>
      <c r="V15" t="s">
        <v>141</v>
      </c>
      <c r="W15">
        <f>[1]!CHI_MAX2(B8:C9,R9:S10)</f>
        <v>5.7250138911498212</v>
      </c>
      <c r="X15">
        <f>CHIDIST(W15,Y10)</f>
        <v>1.6724904294501547E-2</v>
      </c>
      <c r="Y15">
        <f>CHIINV(Y8,Y10)</f>
        <v>3.8414588206941236</v>
      </c>
      <c r="Z15" t="str">
        <f>IF(Y15&lt;W15,"Yes","No")</f>
        <v>Yes</v>
      </c>
      <c r="AA15">
        <f>SQRT(W15/(V10*(MIN(W10,X10)-1)))</f>
        <v>0.19536314717554112</v>
      </c>
    </row>
    <row r="16" spans="1:42" x14ac:dyDescent="0.25">
      <c r="A16" t="s">
        <v>776</v>
      </c>
      <c r="B16" s="354">
        <f>B10*D8/D10</f>
        <v>24.64</v>
      </c>
      <c r="C16" s="355">
        <f>C10*D8/D10</f>
        <v>63.36</v>
      </c>
      <c r="D16">
        <f>B16+C16</f>
        <v>88</v>
      </c>
      <c r="F16" s="388"/>
      <c r="G16" s="388"/>
      <c r="H16" s="388"/>
      <c r="I16" s="388"/>
    </row>
    <row r="17" spans="1:27" x14ac:dyDescent="0.25">
      <c r="A17" t="s">
        <v>777</v>
      </c>
      <c r="B17" s="9">
        <f>B10*D9/D10</f>
        <v>17.36</v>
      </c>
      <c r="C17" s="11">
        <f>C10*D9/D10</f>
        <v>44.64</v>
      </c>
      <c r="D17">
        <f>SUM(B17:C17)</f>
        <v>62</v>
      </c>
      <c r="F17" s="388"/>
      <c r="G17" s="388"/>
      <c r="H17" s="388"/>
      <c r="I17" s="388"/>
    </row>
    <row r="18" spans="1:27" x14ac:dyDescent="0.25">
      <c r="A18" t="s">
        <v>1</v>
      </c>
      <c r="B18">
        <f>SUM(B16:B17)</f>
        <v>42</v>
      </c>
      <c r="C18">
        <f>SUM(C16:C17)</f>
        <v>108</v>
      </c>
      <c r="D18">
        <f>SUM(D16:D17)</f>
        <v>150</v>
      </c>
      <c r="F18" s="388"/>
      <c r="G18" s="388"/>
      <c r="H18" s="388"/>
      <c r="I18" s="388"/>
    </row>
    <row r="19" spans="1:27" x14ac:dyDescent="0.25">
      <c r="F19" s="388"/>
      <c r="G19" s="388"/>
      <c r="H19" s="388"/>
      <c r="I19" s="388"/>
    </row>
    <row r="21" spans="1:27" x14ac:dyDescent="0.25">
      <c r="A21" s="1" t="s">
        <v>815</v>
      </c>
    </row>
    <row r="23" spans="1:27" x14ac:dyDescent="0.25">
      <c r="A23" t="s">
        <v>765</v>
      </c>
      <c r="F23" t="s">
        <v>779</v>
      </c>
      <c r="G23" s="50"/>
      <c r="H23" s="50"/>
      <c r="I23" t="s">
        <v>780</v>
      </c>
      <c r="J23" s="7"/>
      <c r="K23" s="7"/>
    </row>
    <row r="24" spans="1:27" x14ac:dyDescent="0.25">
      <c r="Q24" t="s">
        <v>114</v>
      </c>
      <c r="V24" t="s">
        <v>104</v>
      </c>
    </row>
    <row r="25" spans="1:27" x14ac:dyDescent="0.25">
      <c r="B25" s="13" t="s">
        <v>115</v>
      </c>
      <c r="C25" s="13" t="s">
        <v>116</v>
      </c>
      <c r="D25" s="13" t="s">
        <v>1</v>
      </c>
      <c r="F25" s="356" t="s">
        <v>544</v>
      </c>
      <c r="G25" s="356" t="s">
        <v>568</v>
      </c>
      <c r="H25" s="356" t="s">
        <v>569</v>
      </c>
      <c r="I25" s="356" t="s">
        <v>766</v>
      </c>
      <c r="J25" s="356" t="s">
        <v>782</v>
      </c>
      <c r="K25" s="356" t="s">
        <v>783</v>
      </c>
    </row>
    <row r="26" spans="1:27" ht="15.75" thickBot="1" x14ac:dyDescent="0.3">
      <c r="A26" t="s">
        <v>117</v>
      </c>
      <c r="B26" s="3">
        <v>31</v>
      </c>
      <c r="C26" s="5">
        <v>57</v>
      </c>
      <c r="D26">
        <f>SUM(B26:C26)</f>
        <v>88</v>
      </c>
      <c r="F26" s="352">
        <v>1</v>
      </c>
      <c r="G26" s="352">
        <v>1</v>
      </c>
      <c r="H26" s="352">
        <v>1</v>
      </c>
      <c r="I26" s="352">
        <f>G26*H26</f>
        <v>1</v>
      </c>
      <c r="J26">
        <f>B34</f>
        <v>21</v>
      </c>
      <c r="K26">
        <f>LN(J26)</f>
        <v>3.044522437723423</v>
      </c>
      <c r="L26" s="13" t="s">
        <v>389</v>
      </c>
      <c r="M26" s="358">
        <f>AVERAGE(K26:K29)</f>
        <v>3.516753242143849</v>
      </c>
      <c r="O26" s="358">
        <f>EXP(M26)</f>
        <v>33.674916480965486</v>
      </c>
      <c r="R26" t="str">
        <f>B25</f>
        <v>Therapy 1</v>
      </c>
      <c r="S26" t="str">
        <f>C25</f>
        <v>Therapy 2</v>
      </c>
      <c r="T26" t="s">
        <v>1</v>
      </c>
      <c r="V26" t="s">
        <v>62</v>
      </c>
      <c r="X26" t="s">
        <v>34</v>
      </c>
      <c r="Y26">
        <v>0.05</v>
      </c>
    </row>
    <row r="27" spans="1:27" ht="15.75" thickTop="1" x14ac:dyDescent="0.25">
      <c r="A27" t="s">
        <v>118</v>
      </c>
      <c r="B27" s="9">
        <v>11</v>
      </c>
      <c r="C27" s="11">
        <v>51</v>
      </c>
      <c r="D27">
        <f>SUM(B27:C27)</f>
        <v>62</v>
      </c>
      <c r="F27" s="352">
        <f>F26+1</f>
        <v>2</v>
      </c>
      <c r="G27" s="352">
        <v>-1</v>
      </c>
      <c r="H27" s="352">
        <v>1</v>
      </c>
      <c r="I27" s="352">
        <f>G27*H27</f>
        <v>-1</v>
      </c>
      <c r="J27">
        <f>B35</f>
        <v>21</v>
      </c>
      <c r="K27">
        <f>LN(J27)</f>
        <v>3.044522437723423</v>
      </c>
      <c r="L27" s="13" t="s">
        <v>387</v>
      </c>
      <c r="M27" s="272">
        <f>(K26+K28)/2-M26</f>
        <v>0</v>
      </c>
      <c r="O27" s="272">
        <f>EXP(M27)</f>
        <v>1</v>
      </c>
      <c r="Q27" t="str">
        <f>A26</f>
        <v>Cured</v>
      </c>
      <c r="R27" s="55">
        <f t="array" ref="R27:S28">B34:C35</f>
        <v>21</v>
      </c>
      <c r="S27" s="56">
        <v>54</v>
      </c>
      <c r="T27">
        <f>SUM(A26:C26)</f>
        <v>88</v>
      </c>
      <c r="V27" s="32" t="s">
        <v>22</v>
      </c>
      <c r="W27" s="32" t="s">
        <v>136</v>
      </c>
      <c r="X27" s="32" t="s">
        <v>137</v>
      </c>
      <c r="Y27" s="32" t="s">
        <v>60</v>
      </c>
    </row>
    <row r="28" spans="1:27" x14ac:dyDescent="0.25">
      <c r="A28" t="s">
        <v>1</v>
      </c>
      <c r="B28">
        <f>SUM(B26:B27)</f>
        <v>42</v>
      </c>
      <c r="C28">
        <f>SUM(C26:C27)</f>
        <v>108</v>
      </c>
      <c r="D28">
        <f>SUM(D26:D27)</f>
        <v>150</v>
      </c>
      <c r="F28" s="352">
        <f>F27+1</f>
        <v>3</v>
      </c>
      <c r="G28" s="352">
        <v>1</v>
      </c>
      <c r="H28" s="352">
        <v>-1</v>
      </c>
      <c r="I28" s="352">
        <f>G28*H28</f>
        <v>-1</v>
      </c>
      <c r="J28">
        <f>C34</f>
        <v>54</v>
      </c>
      <c r="K28">
        <f>LN(J28)</f>
        <v>3.9889840465642745</v>
      </c>
      <c r="L28" s="13" t="s">
        <v>388</v>
      </c>
      <c r="M28" s="272">
        <f>(K26+K27)/2-M26</f>
        <v>-0.47223080442042598</v>
      </c>
      <c r="O28" s="272">
        <f>EXP(M28)</f>
        <v>0.62360956446232341</v>
      </c>
      <c r="Q28" t="str">
        <f>A27</f>
        <v>Not Cured</v>
      </c>
      <c r="R28" s="373">
        <v>21</v>
      </c>
      <c r="S28" s="374">
        <v>54</v>
      </c>
      <c r="T28">
        <f>SUM(A27:C27)</f>
        <v>62</v>
      </c>
      <c r="V28">
        <f>T29</f>
        <v>150</v>
      </c>
      <c r="W28">
        <f>COUNT(B26:B27)</f>
        <v>2</v>
      </c>
      <c r="X28">
        <f>COUNT(B26:C26)</f>
        <v>2</v>
      </c>
      <c r="Y28">
        <f>2</f>
        <v>2</v>
      </c>
    </row>
    <row r="29" spans="1:27" x14ac:dyDescent="0.25">
      <c r="F29" s="353">
        <f>F28+1</f>
        <v>4</v>
      </c>
      <c r="G29" s="353">
        <v>-1</v>
      </c>
      <c r="H29" s="353">
        <v>-1</v>
      </c>
      <c r="I29" s="353">
        <f>G29*H29</f>
        <v>1</v>
      </c>
      <c r="J29" s="10">
        <f>C35</f>
        <v>54</v>
      </c>
      <c r="K29" s="10">
        <f>LN(J29)</f>
        <v>3.9889840465642745</v>
      </c>
      <c r="L29" s="13" t="s">
        <v>401</v>
      </c>
      <c r="M29" s="168">
        <f>(K26+K29)/2-M26</f>
        <v>0</v>
      </c>
      <c r="O29" s="168">
        <f>EXP(M29)</f>
        <v>1</v>
      </c>
      <c r="Q29" t="s">
        <v>1</v>
      </c>
      <c r="R29">
        <f>SUM(B25:B27)</f>
        <v>42</v>
      </c>
      <c r="S29">
        <f>SUM(C25:C27)</f>
        <v>108</v>
      </c>
      <c r="T29">
        <f>SUM(T27:T28)</f>
        <v>150</v>
      </c>
    </row>
    <row r="30" spans="1:27" ht="15.75" thickBot="1" x14ac:dyDescent="0.3">
      <c r="F30" s="352"/>
      <c r="G30" s="352"/>
      <c r="H30" s="352"/>
      <c r="I30" s="352"/>
      <c r="V30" t="s">
        <v>138</v>
      </c>
    </row>
    <row r="31" spans="1:27" ht="15.75" thickTop="1" x14ac:dyDescent="0.25">
      <c r="A31" t="s">
        <v>768</v>
      </c>
      <c r="F31" s="352"/>
      <c r="G31" s="352"/>
      <c r="H31" s="352"/>
      <c r="I31" s="352"/>
      <c r="V31" s="32" t="s">
        <v>66</v>
      </c>
      <c r="W31" s="32" t="s">
        <v>107</v>
      </c>
      <c r="X31" s="32" t="s">
        <v>67</v>
      </c>
      <c r="Y31" s="32" t="s">
        <v>111</v>
      </c>
      <c r="Z31" s="32" t="s">
        <v>69</v>
      </c>
      <c r="AA31" s="32" t="s">
        <v>140</v>
      </c>
    </row>
    <row r="32" spans="1:27" x14ac:dyDescent="0.25">
      <c r="F32" s="388"/>
      <c r="G32" s="388"/>
      <c r="H32" s="388"/>
      <c r="I32" s="388"/>
      <c r="V32" t="s">
        <v>139</v>
      </c>
      <c r="W32">
        <f>[1]!CHI_STAT2(B26:C27,R27:S28)</f>
        <v>9.8571428571428559</v>
      </c>
      <c r="X32">
        <f>CHIDIST(W32,Y28)</f>
        <v>7.2368342349883319E-3</v>
      </c>
      <c r="Y32">
        <f>CHIINV(Y26,Y28)</f>
        <v>5.9914645471079817</v>
      </c>
      <c r="Z32" t="str">
        <f>IF(Y32&lt;W32,"Yes","No")</f>
        <v>Yes</v>
      </c>
      <c r="AA32">
        <f>SQRT(W32/(V28*(MIN(W28,X28)-1)))</f>
        <v>0.25634797778466228</v>
      </c>
    </row>
    <row r="33" spans="1:27" x14ac:dyDescent="0.25">
      <c r="B33" s="13" t="s">
        <v>115</v>
      </c>
      <c r="C33" s="13" t="s">
        <v>116</v>
      </c>
      <c r="D33" s="13" t="s">
        <v>1</v>
      </c>
      <c r="F33" s="388"/>
      <c r="G33" s="388"/>
      <c r="H33" s="388"/>
      <c r="I33" s="388"/>
      <c r="V33" t="s">
        <v>141</v>
      </c>
      <c r="W33">
        <f>[1]!CHI_MAX2(B26:C27,R27:S28)</f>
        <v>10.254522924012374</v>
      </c>
      <c r="X33">
        <f>CHIDIST(W33,Y28)</f>
        <v>5.9327854054877982E-3</v>
      </c>
      <c r="Y33">
        <f>CHIINV(Y26,Y28)</f>
        <v>5.9914645471079817</v>
      </c>
      <c r="Z33" t="str">
        <f>IF(Y33&lt;W33,"Yes","No")</f>
        <v>Yes</v>
      </c>
      <c r="AA33">
        <f>SQRT(W33/(V28*(MIN(W28,X28)-1)))</f>
        <v>0.26146412021553261</v>
      </c>
    </row>
    <row r="34" spans="1:27" x14ac:dyDescent="0.25">
      <c r="A34" t="s">
        <v>117</v>
      </c>
      <c r="B34" s="354">
        <f>B28/2</f>
        <v>21</v>
      </c>
      <c r="C34" s="355">
        <f>C28/2</f>
        <v>54</v>
      </c>
      <c r="D34">
        <f>B34+C34</f>
        <v>75</v>
      </c>
      <c r="F34" s="388"/>
      <c r="G34" s="388"/>
      <c r="H34" s="388"/>
      <c r="I34" s="388"/>
    </row>
    <row r="35" spans="1:27" x14ac:dyDescent="0.25">
      <c r="A35" t="s">
        <v>118</v>
      </c>
      <c r="B35" s="9">
        <f>B28/2</f>
        <v>21</v>
      </c>
      <c r="C35" s="11">
        <f>C28/2</f>
        <v>54</v>
      </c>
      <c r="D35">
        <f>SUM(B35:C35)</f>
        <v>75</v>
      </c>
      <c r="F35" s="388"/>
      <c r="G35" s="388"/>
      <c r="H35" s="388"/>
      <c r="I35" s="388"/>
    </row>
    <row r="36" spans="1:27" x14ac:dyDescent="0.25">
      <c r="A36" t="s">
        <v>1</v>
      </c>
      <c r="B36">
        <f>SUM(B34:B35)</f>
        <v>42</v>
      </c>
      <c r="C36">
        <f>SUM(C34:C35)</f>
        <v>108</v>
      </c>
      <c r="D36">
        <f>SUM(D34:D35)</f>
        <v>150</v>
      </c>
      <c r="F36" s="388"/>
      <c r="G36" s="388"/>
      <c r="H36" s="388"/>
      <c r="I36" s="388"/>
    </row>
    <row r="38" spans="1:27" x14ac:dyDescent="0.25">
      <c r="A38" s="1" t="s">
        <v>814</v>
      </c>
    </row>
    <row r="40" spans="1:27" x14ac:dyDescent="0.25">
      <c r="A40" t="s">
        <v>765</v>
      </c>
      <c r="F40" t="s">
        <v>779</v>
      </c>
      <c r="G40" s="50"/>
      <c r="H40" s="50"/>
      <c r="I40" t="s">
        <v>780</v>
      </c>
      <c r="J40" s="7"/>
      <c r="K40" s="7"/>
    </row>
    <row r="41" spans="1:27" x14ac:dyDescent="0.25">
      <c r="Q41" t="s">
        <v>114</v>
      </c>
      <c r="V41" t="s">
        <v>104</v>
      </c>
    </row>
    <row r="42" spans="1:27" x14ac:dyDescent="0.25">
      <c r="B42" s="13" t="s">
        <v>115</v>
      </c>
      <c r="C42" s="13" t="s">
        <v>116</v>
      </c>
      <c r="D42" s="13" t="s">
        <v>1</v>
      </c>
      <c r="F42" s="356" t="s">
        <v>544</v>
      </c>
      <c r="G42" s="356" t="s">
        <v>568</v>
      </c>
      <c r="H42" s="356" t="s">
        <v>569</v>
      </c>
      <c r="I42" s="356" t="s">
        <v>766</v>
      </c>
      <c r="J42" s="356" t="s">
        <v>782</v>
      </c>
      <c r="K42" s="356" t="s">
        <v>783</v>
      </c>
    </row>
    <row r="43" spans="1:27" ht="15.75" thickBot="1" x14ac:dyDescent="0.3">
      <c r="A43" t="s">
        <v>117</v>
      </c>
      <c r="B43" s="3">
        <v>31</v>
      </c>
      <c r="C43" s="5">
        <v>57</v>
      </c>
      <c r="D43">
        <f>SUM(B43:C43)</f>
        <v>88</v>
      </c>
      <c r="F43" s="352">
        <v>1</v>
      </c>
      <c r="G43" s="352">
        <v>1</v>
      </c>
      <c r="H43" s="352">
        <v>1</v>
      </c>
      <c r="I43" s="352">
        <f>G43*H43</f>
        <v>1</v>
      </c>
      <c r="J43">
        <f>B51</f>
        <v>44</v>
      </c>
      <c r="K43">
        <f>LN(J43)</f>
        <v>3.784189633918261</v>
      </c>
      <c r="L43" s="13" t="s">
        <v>389</v>
      </c>
      <c r="M43" s="358">
        <f>AVERAGE(K43:K46)</f>
        <v>3.6090884192017034</v>
      </c>
      <c r="O43" s="358">
        <f>EXP(M43)</f>
        <v>36.932370625238768</v>
      </c>
      <c r="R43" t="str">
        <f>B42</f>
        <v>Therapy 1</v>
      </c>
      <c r="S43" t="str">
        <f>C42</f>
        <v>Therapy 2</v>
      </c>
      <c r="T43" t="s">
        <v>1</v>
      </c>
      <c r="V43" t="s">
        <v>62</v>
      </c>
      <c r="X43" t="s">
        <v>34</v>
      </c>
      <c r="Y43">
        <v>0.05</v>
      </c>
    </row>
    <row r="44" spans="1:27" ht="15.75" thickTop="1" x14ac:dyDescent="0.25">
      <c r="A44" t="s">
        <v>118</v>
      </c>
      <c r="B44" s="9">
        <v>11</v>
      </c>
      <c r="C44" s="11">
        <v>51</v>
      </c>
      <c r="D44">
        <f>SUM(B44:C44)</f>
        <v>62</v>
      </c>
      <c r="F44" s="352">
        <f>F43+1</f>
        <v>2</v>
      </c>
      <c r="G44" s="352">
        <v>-1</v>
      </c>
      <c r="H44" s="352">
        <v>1</v>
      </c>
      <c r="I44" s="352">
        <f>G44*H44</f>
        <v>-1</v>
      </c>
      <c r="J44">
        <f>B52</f>
        <v>31</v>
      </c>
      <c r="K44">
        <f>LN(J44)</f>
        <v>3.4339872044851463</v>
      </c>
      <c r="L44" s="13" t="s">
        <v>387</v>
      </c>
      <c r="M44" s="272">
        <f>(K43+K45)/2-M43</f>
        <v>0.1751012147165576</v>
      </c>
      <c r="O44" s="272">
        <f>EXP(M44)</f>
        <v>1.1913667943625412</v>
      </c>
      <c r="Q44" t="str">
        <f>A43</f>
        <v>Cured</v>
      </c>
      <c r="R44" s="55">
        <f t="array" ref="R44:S45">B51:C52</f>
        <v>44</v>
      </c>
      <c r="S44" s="56">
        <v>44</v>
      </c>
      <c r="T44">
        <f>SUM(A43:C43)</f>
        <v>88</v>
      </c>
      <c r="V44" s="32" t="s">
        <v>22</v>
      </c>
      <c r="W44" s="32" t="s">
        <v>136</v>
      </c>
      <c r="X44" s="32" t="s">
        <v>137</v>
      </c>
      <c r="Y44" s="32" t="s">
        <v>60</v>
      </c>
    </row>
    <row r="45" spans="1:27" x14ac:dyDescent="0.25">
      <c r="A45" t="s">
        <v>1</v>
      </c>
      <c r="B45">
        <f>SUM(B43:B44)</f>
        <v>42</v>
      </c>
      <c r="C45">
        <f>SUM(C43:C44)</f>
        <v>108</v>
      </c>
      <c r="D45">
        <f>SUM(D43:D44)</f>
        <v>150</v>
      </c>
      <c r="F45" s="352">
        <f>F44+1</f>
        <v>3</v>
      </c>
      <c r="G45" s="352">
        <v>1</v>
      </c>
      <c r="H45" s="352">
        <v>-1</v>
      </c>
      <c r="I45" s="352">
        <f>G45*H45</f>
        <v>-1</v>
      </c>
      <c r="J45">
        <f>C51</f>
        <v>44</v>
      </c>
      <c r="K45">
        <f>LN(J45)</f>
        <v>3.784189633918261</v>
      </c>
      <c r="L45" s="13" t="s">
        <v>388</v>
      </c>
      <c r="M45" s="272">
        <f>(K43+K44)/2-M43</f>
        <v>0</v>
      </c>
      <c r="O45" s="272">
        <f>EXP(M45)</f>
        <v>1</v>
      </c>
      <c r="Q45" t="str">
        <f>A44</f>
        <v>Not Cured</v>
      </c>
      <c r="R45" s="373">
        <v>31</v>
      </c>
      <c r="S45" s="374">
        <v>31</v>
      </c>
      <c r="T45">
        <f>SUM(A44:C44)</f>
        <v>62</v>
      </c>
      <c r="V45">
        <f>T46</f>
        <v>150</v>
      </c>
      <c r="W45">
        <f>COUNT(B43:B44)</f>
        <v>2</v>
      </c>
      <c r="X45">
        <f>COUNT(B43:C43)</f>
        <v>2</v>
      </c>
      <c r="Y45">
        <f>2</f>
        <v>2</v>
      </c>
    </row>
    <row r="46" spans="1:27" x14ac:dyDescent="0.25">
      <c r="F46" s="353">
        <f>F45+1</f>
        <v>4</v>
      </c>
      <c r="G46" s="353">
        <v>-1</v>
      </c>
      <c r="H46" s="353">
        <v>-1</v>
      </c>
      <c r="I46" s="353">
        <f>G46*H46</f>
        <v>1</v>
      </c>
      <c r="J46" s="10">
        <f>C52</f>
        <v>31</v>
      </c>
      <c r="K46" s="10">
        <f>LN(J46)</f>
        <v>3.4339872044851463</v>
      </c>
      <c r="L46" s="13" t="s">
        <v>401</v>
      </c>
      <c r="M46" s="168">
        <f>(K43+K46)/2-M43</f>
        <v>0</v>
      </c>
      <c r="O46" s="168">
        <f>EXP(M46)</f>
        <v>1</v>
      </c>
      <c r="Q46" t="s">
        <v>1</v>
      </c>
      <c r="R46">
        <f>SUM(B42:B44)</f>
        <v>42</v>
      </c>
      <c r="S46">
        <f>SUM(C42:C44)</f>
        <v>108</v>
      </c>
      <c r="T46">
        <f>SUM(T44:T45)</f>
        <v>150</v>
      </c>
    </row>
    <row r="47" spans="1:27" ht="15.75" thickBot="1" x14ac:dyDescent="0.3">
      <c r="F47" s="352"/>
      <c r="G47" s="352"/>
      <c r="H47" s="352"/>
      <c r="I47" s="352"/>
      <c r="V47" t="s">
        <v>138</v>
      </c>
    </row>
    <row r="48" spans="1:27" ht="15.75" thickTop="1" x14ac:dyDescent="0.25">
      <c r="A48" t="s">
        <v>768</v>
      </c>
      <c r="F48" s="352"/>
      <c r="G48" s="352"/>
      <c r="H48" s="352"/>
      <c r="I48" s="352"/>
      <c r="V48" s="32" t="s">
        <v>66</v>
      </c>
      <c r="W48" s="32" t="s">
        <v>107</v>
      </c>
      <c r="X48" s="32" t="s">
        <v>67</v>
      </c>
      <c r="Y48" s="32" t="s">
        <v>111</v>
      </c>
      <c r="Z48" s="32" t="s">
        <v>69</v>
      </c>
      <c r="AA48" s="32" t="s">
        <v>140</v>
      </c>
    </row>
    <row r="49" spans="1:27" x14ac:dyDescent="0.25">
      <c r="F49" s="388"/>
      <c r="G49" s="388"/>
      <c r="H49" s="388"/>
      <c r="I49" s="388"/>
      <c r="V49" t="s">
        <v>139</v>
      </c>
      <c r="W49">
        <f>[1]!CHI_STAT2(B43:C44,R44:S45)</f>
        <v>33.488269794721404</v>
      </c>
      <c r="X49">
        <f>CHIDIST(W49,Y45)</f>
        <v>5.3470544895498845E-8</v>
      </c>
      <c r="Y49">
        <f>CHIINV(Y43,Y45)</f>
        <v>5.9914645471079817</v>
      </c>
      <c r="Z49" t="str">
        <f>IF(Y49&lt;W49,"Yes","No")</f>
        <v>Yes</v>
      </c>
      <c r="AA49">
        <f>SQRT(W49/(V45*(MIN(W45,X45)-1)))</f>
        <v>0.47249881689249695</v>
      </c>
    </row>
    <row r="50" spans="1:27" x14ac:dyDescent="0.25">
      <c r="B50" s="13" t="s">
        <v>115</v>
      </c>
      <c r="C50" s="13" t="s">
        <v>116</v>
      </c>
      <c r="D50" s="13" t="s">
        <v>1</v>
      </c>
      <c r="F50" s="388"/>
      <c r="G50" s="388"/>
      <c r="H50" s="388"/>
      <c r="I50" s="388"/>
      <c r="V50" t="s">
        <v>141</v>
      </c>
      <c r="W50">
        <f>[1]!CHI_MAX2(B43:C44,R44:S45)</f>
        <v>35.783172824891068</v>
      </c>
      <c r="X50">
        <f>CHIDIST(W50,Y45)</f>
        <v>1.6973943357065388E-8</v>
      </c>
      <c r="Y50">
        <f>CHIINV(Y43,Y45)</f>
        <v>5.9914645471079817</v>
      </c>
      <c r="Z50" t="str">
        <f>IF(Y50&lt;W50,"Yes","No")</f>
        <v>Yes</v>
      </c>
      <c r="AA50">
        <f>SQRT(W50/(V45*(MIN(W45,X45)-1)))</f>
        <v>0.48842039832430606</v>
      </c>
    </row>
    <row r="51" spans="1:27" x14ac:dyDescent="0.25">
      <c r="A51" t="s">
        <v>776</v>
      </c>
      <c r="B51" s="354">
        <f>D43/2</f>
        <v>44</v>
      </c>
      <c r="C51" s="355">
        <f>D43/2</f>
        <v>44</v>
      </c>
      <c r="D51">
        <f>B51+C51</f>
        <v>88</v>
      </c>
      <c r="F51" s="388"/>
      <c r="G51" s="388"/>
      <c r="H51" s="388"/>
      <c r="I51" s="388"/>
    </row>
    <row r="52" spans="1:27" x14ac:dyDescent="0.25">
      <c r="A52" t="s">
        <v>777</v>
      </c>
      <c r="B52" s="9">
        <f>D44/2</f>
        <v>31</v>
      </c>
      <c r="C52" s="11">
        <f>D44/2</f>
        <v>31</v>
      </c>
      <c r="D52">
        <f>SUM(B52:C52)</f>
        <v>62</v>
      </c>
      <c r="F52" s="388"/>
      <c r="G52" s="388"/>
      <c r="H52" s="388"/>
      <c r="I52" s="388"/>
    </row>
    <row r="53" spans="1:27" x14ac:dyDescent="0.25">
      <c r="A53" t="s">
        <v>1</v>
      </c>
      <c r="B53">
        <f>SUM(B51:B52)</f>
        <v>75</v>
      </c>
      <c r="C53">
        <f>SUM(C51:C52)</f>
        <v>75</v>
      </c>
      <c r="D53">
        <f>SUM(D51:D52)</f>
        <v>150</v>
      </c>
      <c r="F53" s="388"/>
      <c r="G53" s="388"/>
      <c r="H53" s="388"/>
      <c r="I53" s="388"/>
    </row>
    <row r="54" spans="1:27" x14ac:dyDescent="0.25">
      <c r="F54" s="388"/>
      <c r="G54" s="388"/>
      <c r="H54" s="388"/>
      <c r="I54" s="388"/>
    </row>
    <row r="55" spans="1:27" x14ac:dyDescent="0.25">
      <c r="A55" s="1" t="s">
        <v>809</v>
      </c>
    </row>
    <row r="57" spans="1:27" x14ac:dyDescent="0.25">
      <c r="A57" t="s">
        <v>765</v>
      </c>
      <c r="F57" t="s">
        <v>779</v>
      </c>
      <c r="G57" s="50"/>
      <c r="H57" s="50"/>
      <c r="I57" t="s">
        <v>780</v>
      </c>
      <c r="J57" s="7"/>
      <c r="K57" s="7"/>
    </row>
    <row r="58" spans="1:27" x14ac:dyDescent="0.25">
      <c r="Q58" t="s">
        <v>114</v>
      </c>
      <c r="V58" t="s">
        <v>104</v>
      </c>
    </row>
    <row r="59" spans="1:27" x14ac:dyDescent="0.25">
      <c r="B59" s="13" t="s">
        <v>115</v>
      </c>
      <c r="C59" s="13" t="s">
        <v>116</v>
      </c>
      <c r="D59" s="13" t="s">
        <v>1</v>
      </c>
      <c r="F59" s="356" t="s">
        <v>544</v>
      </c>
      <c r="G59" s="356" t="s">
        <v>568</v>
      </c>
      <c r="H59" s="356" t="s">
        <v>569</v>
      </c>
      <c r="I59" s="356" t="s">
        <v>766</v>
      </c>
      <c r="J59" s="356" t="s">
        <v>782</v>
      </c>
      <c r="K59" s="356" t="s">
        <v>783</v>
      </c>
    </row>
    <row r="60" spans="1:27" ht="15.75" thickBot="1" x14ac:dyDescent="0.3">
      <c r="A60" t="s">
        <v>117</v>
      </c>
      <c r="B60" s="3">
        <v>31</v>
      </c>
      <c r="C60" s="5">
        <v>57</v>
      </c>
      <c r="D60">
        <f>SUM(B60:C60)</f>
        <v>88</v>
      </c>
      <c r="F60" s="352">
        <v>1</v>
      </c>
      <c r="G60" s="352">
        <v>1</v>
      </c>
      <c r="H60" s="352">
        <v>1</v>
      </c>
      <c r="I60" s="352">
        <f>G60*H60</f>
        <v>1</v>
      </c>
      <c r="J60">
        <f>B68</f>
        <v>37.5</v>
      </c>
      <c r="K60">
        <f>LN(J60)</f>
        <v>3.6243409329763652</v>
      </c>
      <c r="L60" s="13" t="s">
        <v>389</v>
      </c>
      <c r="M60" s="358">
        <f>AVERAGE(K60:K63)</f>
        <v>3.6243409329763652</v>
      </c>
      <c r="O60" s="358">
        <f>EXP(M60)</f>
        <v>37.5</v>
      </c>
      <c r="R60" t="str">
        <f>B59</f>
        <v>Therapy 1</v>
      </c>
      <c r="S60" t="str">
        <f>C59</f>
        <v>Therapy 2</v>
      </c>
      <c r="T60" t="s">
        <v>1</v>
      </c>
      <c r="V60" t="s">
        <v>62</v>
      </c>
      <c r="X60" t="s">
        <v>34</v>
      </c>
      <c r="Y60">
        <v>0.05</v>
      </c>
    </row>
    <row r="61" spans="1:27" ht="15.75" thickTop="1" x14ac:dyDescent="0.25">
      <c r="A61" t="s">
        <v>118</v>
      </c>
      <c r="B61" s="9">
        <v>11</v>
      </c>
      <c r="C61" s="11">
        <v>51</v>
      </c>
      <c r="D61">
        <f>SUM(B61:C61)</f>
        <v>62</v>
      </c>
      <c r="F61" s="352">
        <f>F60+1</f>
        <v>2</v>
      </c>
      <c r="G61" s="352">
        <v>-1</v>
      </c>
      <c r="H61" s="352">
        <v>1</v>
      </c>
      <c r="I61" s="352">
        <f>G61*H61</f>
        <v>-1</v>
      </c>
      <c r="J61">
        <f>B69</f>
        <v>37.5</v>
      </c>
      <c r="K61">
        <f>LN(J61)</f>
        <v>3.6243409329763652</v>
      </c>
      <c r="L61" s="13" t="s">
        <v>387</v>
      </c>
      <c r="M61" s="272">
        <f>(K60+K62)/2-M60</f>
        <v>0</v>
      </c>
      <c r="O61" s="272">
        <f>EXP(M61)</f>
        <v>1</v>
      </c>
      <c r="Q61" t="str">
        <f>A60</f>
        <v>Cured</v>
      </c>
      <c r="R61" s="55">
        <f t="array" ref="R61:S62">B68:C69</f>
        <v>37.5</v>
      </c>
      <c r="S61" s="56">
        <v>37.5</v>
      </c>
      <c r="T61">
        <f>SUM(A60:C60)</f>
        <v>88</v>
      </c>
      <c r="V61" s="32" t="s">
        <v>22</v>
      </c>
      <c r="W61" s="32" t="s">
        <v>136</v>
      </c>
      <c r="X61" s="32" t="s">
        <v>137</v>
      </c>
      <c r="Y61" s="32" t="s">
        <v>60</v>
      </c>
    </row>
    <row r="62" spans="1:27" x14ac:dyDescent="0.25">
      <c r="A62" t="s">
        <v>1</v>
      </c>
      <c r="B62">
        <f>SUM(B60:B61)</f>
        <v>42</v>
      </c>
      <c r="C62">
        <f>SUM(C60:C61)</f>
        <v>108</v>
      </c>
      <c r="D62">
        <f>SUM(D60:D61)</f>
        <v>150</v>
      </c>
      <c r="F62" s="352">
        <f>F61+1</f>
        <v>3</v>
      </c>
      <c r="G62" s="352">
        <v>1</v>
      </c>
      <c r="H62" s="352">
        <v>-1</v>
      </c>
      <c r="I62" s="352">
        <f>G62*H62</f>
        <v>-1</v>
      </c>
      <c r="J62">
        <f>C68</f>
        <v>37.5</v>
      </c>
      <c r="K62">
        <f>LN(J62)</f>
        <v>3.6243409329763652</v>
      </c>
      <c r="L62" s="13" t="s">
        <v>388</v>
      </c>
      <c r="M62" s="272">
        <f>(K60+K61)/2-M60</f>
        <v>0</v>
      </c>
      <c r="O62" s="272">
        <f>EXP(M62)</f>
        <v>1</v>
      </c>
      <c r="Q62" t="str">
        <f>A61</f>
        <v>Not Cured</v>
      </c>
      <c r="R62" s="373">
        <v>37.5</v>
      </c>
      <c r="S62" s="374">
        <v>37.5</v>
      </c>
      <c r="T62">
        <f>SUM(A61:C61)</f>
        <v>62</v>
      </c>
      <c r="V62">
        <f>T63</f>
        <v>150</v>
      </c>
      <c r="W62">
        <f>COUNT(B60:B61)</f>
        <v>2</v>
      </c>
      <c r="X62">
        <f>COUNT(B60:C60)</f>
        <v>2</v>
      </c>
      <c r="Y62">
        <v>3</v>
      </c>
    </row>
    <row r="63" spans="1:27" x14ac:dyDescent="0.25">
      <c r="F63" s="353">
        <f>F62+1</f>
        <v>4</v>
      </c>
      <c r="G63" s="353">
        <v>-1</v>
      </c>
      <c r="H63" s="353">
        <v>-1</v>
      </c>
      <c r="I63" s="353">
        <f>G63*H63</f>
        <v>1</v>
      </c>
      <c r="J63" s="10">
        <f>C69</f>
        <v>37.5</v>
      </c>
      <c r="K63" s="10">
        <f>LN(J63)</f>
        <v>3.6243409329763652</v>
      </c>
      <c r="L63" s="13" t="s">
        <v>401</v>
      </c>
      <c r="M63" s="168">
        <f>(K60+K63)/2-M60</f>
        <v>0</v>
      </c>
      <c r="O63" s="168">
        <f>EXP(M63)</f>
        <v>1</v>
      </c>
      <c r="Q63" t="s">
        <v>1</v>
      </c>
      <c r="R63">
        <f>SUM(B59:B61)</f>
        <v>42</v>
      </c>
      <c r="S63">
        <f>SUM(C59:C61)</f>
        <v>108</v>
      </c>
      <c r="T63">
        <f>SUM(T61:T62)</f>
        <v>150</v>
      </c>
    </row>
    <row r="64" spans="1:27" ht="15.75" thickBot="1" x14ac:dyDescent="0.3">
      <c r="F64" s="352"/>
      <c r="G64" s="352"/>
      <c r="H64" s="352"/>
      <c r="I64" s="352"/>
      <c r="V64" t="s">
        <v>138</v>
      </c>
    </row>
    <row r="65" spans="1:27" ht="15.75" thickTop="1" x14ac:dyDescent="0.25">
      <c r="A65" t="s">
        <v>768</v>
      </c>
      <c r="F65" s="352"/>
      <c r="G65" s="352"/>
      <c r="H65" s="352"/>
      <c r="I65" s="352"/>
      <c r="V65" s="32" t="s">
        <v>66</v>
      </c>
      <c r="W65" s="32" t="s">
        <v>107</v>
      </c>
      <c r="X65" s="32" t="s">
        <v>67</v>
      </c>
      <c r="Y65" s="32" t="s">
        <v>111</v>
      </c>
      <c r="Z65" s="32" t="s">
        <v>69</v>
      </c>
      <c r="AA65" s="32" t="s">
        <v>140</v>
      </c>
    </row>
    <row r="66" spans="1:27" x14ac:dyDescent="0.25">
      <c r="F66" s="388"/>
      <c r="G66" s="388"/>
      <c r="H66" s="388"/>
      <c r="I66" s="388"/>
      <c r="V66" t="s">
        <v>139</v>
      </c>
      <c r="W66">
        <f>[1]!CHI_STAT2(B60:C61,R61:S62)</f>
        <v>34.853333333333332</v>
      </c>
      <c r="X66">
        <f>CHIDIST(W66,Y62)</f>
        <v>1.3083409061740933E-7</v>
      </c>
      <c r="Y66">
        <f>CHIINV(Y60,Y62)</f>
        <v>7.8147279032511792</v>
      </c>
      <c r="Z66" t="str">
        <f>IF(Y66&lt;W66,"Yes","No")</f>
        <v>Yes</v>
      </c>
      <c r="AA66">
        <f>SQRT(W66/(V62*(MIN(W62,X62)-1)))</f>
        <v>0.48203273286733916</v>
      </c>
    </row>
    <row r="67" spans="1:27" x14ac:dyDescent="0.25">
      <c r="B67" s="13" t="s">
        <v>115</v>
      </c>
      <c r="C67" s="13" t="s">
        <v>116</v>
      </c>
      <c r="D67" s="13" t="s">
        <v>1</v>
      </c>
      <c r="F67" s="388"/>
      <c r="G67" s="388"/>
      <c r="H67" s="388"/>
      <c r="I67" s="388"/>
      <c r="V67" t="s">
        <v>141</v>
      </c>
      <c r="W67">
        <f>[1]!CHI_MAX2(B60:C61,R61:S62)</f>
        <v>40.312681857753645</v>
      </c>
      <c r="X67">
        <f>CHIDIST(W67,Y62)</f>
        <v>9.146848117851807E-9</v>
      </c>
      <c r="Y67">
        <f>CHIINV(Y60,Y62)</f>
        <v>7.8147279032511792</v>
      </c>
      <c r="Z67" t="str">
        <f>IF(Y67&lt;W67,"Yes","No")</f>
        <v>Yes</v>
      </c>
      <c r="AA67">
        <f>SQRT(W67/(V62*(MIN(W62,X62)-1)))</f>
        <v>0.51841220315982561</v>
      </c>
    </row>
    <row r="68" spans="1:27" x14ac:dyDescent="0.25">
      <c r="A68" t="s">
        <v>776</v>
      </c>
      <c r="B68" s="354">
        <f>D62/4</f>
        <v>37.5</v>
      </c>
      <c r="C68" s="355">
        <f>D62/4</f>
        <v>37.5</v>
      </c>
      <c r="D68">
        <f>B68+C68</f>
        <v>75</v>
      </c>
      <c r="F68" s="388"/>
      <c r="G68" s="388"/>
      <c r="H68" s="388"/>
      <c r="I68" s="388"/>
    </row>
    <row r="69" spans="1:27" x14ac:dyDescent="0.25">
      <c r="A69" t="s">
        <v>777</v>
      </c>
      <c r="B69" s="9">
        <f>D62/4</f>
        <v>37.5</v>
      </c>
      <c r="C69" s="11">
        <f>D62/4</f>
        <v>37.5</v>
      </c>
      <c r="D69">
        <f>SUM(B69:C69)</f>
        <v>75</v>
      </c>
      <c r="F69" s="388"/>
      <c r="G69" s="388"/>
      <c r="H69" s="388"/>
      <c r="I69" s="388"/>
    </row>
    <row r="70" spans="1:27" x14ac:dyDescent="0.25">
      <c r="A70" t="s">
        <v>1</v>
      </c>
      <c r="B70">
        <f>SUM(B68:B69)</f>
        <v>75</v>
      </c>
      <c r="C70">
        <f>SUM(C68:C69)</f>
        <v>75</v>
      </c>
      <c r="D70">
        <f>SUM(D68:D69)</f>
        <v>150</v>
      </c>
      <c r="F70" s="388"/>
      <c r="G70" s="388"/>
      <c r="H70" s="388"/>
      <c r="I70" s="388"/>
    </row>
    <row r="71" spans="1:27" x14ac:dyDescent="0.25">
      <c r="F71" s="388"/>
      <c r="G71" s="388"/>
      <c r="H71" s="388"/>
      <c r="I71" s="388"/>
    </row>
    <row r="72" spans="1:27" s="1" customFormat="1" x14ac:dyDescent="0.25">
      <c r="A72" s="1" t="s">
        <v>808</v>
      </c>
      <c r="F72" s="375"/>
      <c r="G72" s="375"/>
      <c r="H72" s="375"/>
      <c r="I72" s="375"/>
      <c r="J72" s="376"/>
      <c r="K72" s="376"/>
    </row>
    <row r="73" spans="1:27" x14ac:dyDescent="0.25">
      <c r="F73" s="50"/>
      <c r="G73" s="50"/>
      <c r="H73" s="50"/>
      <c r="I73" s="50"/>
      <c r="J73" s="7"/>
      <c r="K73" s="7"/>
    </row>
    <row r="74" spans="1:27" x14ac:dyDescent="0.25">
      <c r="A74" t="s">
        <v>765</v>
      </c>
      <c r="F74" t="s">
        <v>779</v>
      </c>
      <c r="G74" s="50"/>
      <c r="H74" s="50"/>
      <c r="I74" t="s">
        <v>780</v>
      </c>
      <c r="J74" s="7"/>
      <c r="K74" s="7"/>
    </row>
    <row r="75" spans="1:27" x14ac:dyDescent="0.25">
      <c r="Q75" t="s">
        <v>114</v>
      </c>
      <c r="V75" t="s">
        <v>104</v>
      </c>
    </row>
    <row r="76" spans="1:27" x14ac:dyDescent="0.25">
      <c r="B76" s="13" t="s">
        <v>115</v>
      </c>
      <c r="C76" s="13" t="s">
        <v>116</v>
      </c>
      <c r="D76" s="13" t="s">
        <v>1</v>
      </c>
      <c r="F76" s="356" t="s">
        <v>544</v>
      </c>
      <c r="G76" s="356" t="s">
        <v>568</v>
      </c>
      <c r="H76" s="356" t="s">
        <v>569</v>
      </c>
      <c r="I76" s="356" t="s">
        <v>766</v>
      </c>
      <c r="J76" s="356" t="s">
        <v>781</v>
      </c>
      <c r="K76" s="356" t="s">
        <v>358</v>
      </c>
    </row>
    <row r="77" spans="1:27" ht="15.75" thickBot="1" x14ac:dyDescent="0.3">
      <c r="A77" t="s">
        <v>117</v>
      </c>
      <c r="B77" s="3">
        <v>31</v>
      </c>
      <c r="C77" s="5">
        <v>57</v>
      </c>
      <c r="D77">
        <f>SUM(B77:C77)</f>
        <v>88</v>
      </c>
      <c r="F77" s="352">
        <v>1</v>
      </c>
      <c r="G77" s="352">
        <v>1</v>
      </c>
      <c r="H77" s="352">
        <v>1</v>
      </c>
      <c r="I77" s="352">
        <f>G77*H77</f>
        <v>1</v>
      </c>
      <c r="J77">
        <f>B77</f>
        <v>31</v>
      </c>
      <c r="K77">
        <f>LN(J77)</f>
        <v>3.4339872044851463</v>
      </c>
      <c r="L77" s="13" t="s">
        <v>389</v>
      </c>
      <c r="M77" s="358">
        <f>AVERAGE(K77:K80)</f>
        <v>3.4516898444605983</v>
      </c>
      <c r="O77" s="358">
        <f>EXP(M77)</f>
        <v>31.553668073397692</v>
      </c>
      <c r="R77" t="str">
        <f>B76</f>
        <v>Therapy 1</v>
      </c>
      <c r="S77" t="str">
        <f>C76</f>
        <v>Therapy 2</v>
      </c>
      <c r="T77" t="s">
        <v>1</v>
      </c>
      <c r="V77" t="s">
        <v>62</v>
      </c>
      <c r="X77" t="s">
        <v>34</v>
      </c>
      <c r="Y77">
        <v>0.05</v>
      </c>
    </row>
    <row r="78" spans="1:27" ht="15.75" thickTop="1" x14ac:dyDescent="0.25">
      <c r="A78" t="s">
        <v>118</v>
      </c>
      <c r="B78" s="9">
        <v>11</v>
      </c>
      <c r="C78" s="11">
        <v>51</v>
      </c>
      <c r="D78">
        <f>SUM(B78:C78)</f>
        <v>62</v>
      </c>
      <c r="F78" s="352">
        <f>F77+1</f>
        <v>2</v>
      </c>
      <c r="G78" s="352">
        <v>-1</v>
      </c>
      <c r="H78" s="352">
        <v>1</v>
      </c>
      <c r="I78" s="352">
        <f>G78*H78</f>
        <v>-1</v>
      </c>
      <c r="J78">
        <f>B78</f>
        <v>11</v>
      </c>
      <c r="K78">
        <f>LN(J78)</f>
        <v>2.3978952727983707</v>
      </c>
      <c r="L78" s="13" t="s">
        <v>387</v>
      </c>
      <c r="M78" s="272">
        <f>(K77+K79)/2-M77</f>
        <v>0.28682939169924992</v>
      </c>
      <c r="O78" s="272">
        <f>EXP(M78)</f>
        <v>1.3321969102351976</v>
      </c>
      <c r="Q78" t="str">
        <f>A77</f>
        <v>Cured</v>
      </c>
      <c r="R78" s="55">
        <f t="array" ref="R78:S79">B85:C86</f>
        <v>31</v>
      </c>
      <c r="S78" s="56">
        <v>57</v>
      </c>
      <c r="T78">
        <f>SUM(A77:C77)</f>
        <v>88</v>
      </c>
      <c r="V78" s="32" t="s">
        <v>22</v>
      </c>
      <c r="W78" s="32" t="s">
        <v>136</v>
      </c>
      <c r="X78" s="32" t="s">
        <v>137</v>
      </c>
      <c r="Y78" s="32" t="s">
        <v>60</v>
      </c>
    </row>
    <row r="79" spans="1:27" x14ac:dyDescent="0.25">
      <c r="A79" t="s">
        <v>1</v>
      </c>
      <c r="B79">
        <f>SUM(B77:B78)</f>
        <v>42</v>
      </c>
      <c r="C79">
        <f>SUM(C77:C78)</f>
        <v>108</v>
      </c>
      <c r="D79">
        <f>SUM(D77:D78)</f>
        <v>150</v>
      </c>
      <c r="F79" s="352">
        <f>F78+1</f>
        <v>3</v>
      </c>
      <c r="G79" s="352">
        <v>1</v>
      </c>
      <c r="H79" s="352">
        <v>-1</v>
      </c>
      <c r="I79" s="352">
        <f>G79*H79</f>
        <v>-1</v>
      </c>
      <c r="J79">
        <f>C77</f>
        <v>57</v>
      </c>
      <c r="K79">
        <f>LN(J79)</f>
        <v>4.0430512678345503</v>
      </c>
      <c r="L79" s="13" t="s">
        <v>388</v>
      </c>
      <c r="M79" s="272">
        <f>(K77+K78)/2-M77</f>
        <v>-0.53574860581883987</v>
      </c>
      <c r="O79" s="272">
        <f>EXP(M79)</f>
        <v>0.58523101877299288</v>
      </c>
      <c r="Q79" t="str">
        <f>A78</f>
        <v>Not Cured</v>
      </c>
      <c r="R79" s="373">
        <v>11</v>
      </c>
      <c r="S79" s="374">
        <v>51</v>
      </c>
      <c r="T79">
        <f>SUM(A78:C78)</f>
        <v>62</v>
      </c>
      <c r="V79">
        <f>T80</f>
        <v>150</v>
      </c>
      <c r="W79">
        <f>COUNT(B77:B78)</f>
        <v>2</v>
      </c>
      <c r="X79">
        <f>COUNT(B77:C77)</f>
        <v>2</v>
      </c>
      <c r="Y79">
        <v>0</v>
      </c>
    </row>
    <row r="80" spans="1:27" x14ac:dyDescent="0.25">
      <c r="F80" s="353">
        <f>F79+1</f>
        <v>4</v>
      </c>
      <c r="G80" s="353">
        <v>-1</v>
      </c>
      <c r="H80" s="353">
        <v>-1</v>
      </c>
      <c r="I80" s="353">
        <f>G80*H80</f>
        <v>1</v>
      </c>
      <c r="J80" s="10">
        <f>C78</f>
        <v>51</v>
      </c>
      <c r="K80" s="10">
        <f>LN(J80)</f>
        <v>3.9318256327243257</v>
      </c>
      <c r="L80" s="13" t="s">
        <v>401</v>
      </c>
      <c r="M80" s="168">
        <f>(K77+K80)/2-M77</f>
        <v>0.23121657414413743</v>
      </c>
      <c r="O80" s="168">
        <f>EXP(M80)</f>
        <v>1.2601321219343276</v>
      </c>
      <c r="Q80" t="s">
        <v>1</v>
      </c>
      <c r="R80">
        <f>SUM(B76:B78)</f>
        <v>42</v>
      </c>
      <c r="S80">
        <f>SUM(C76:C78)</f>
        <v>108</v>
      </c>
      <c r="T80">
        <f>SUM(T78:T79)</f>
        <v>150</v>
      </c>
    </row>
    <row r="81" spans="1:27" ht="15.75" thickBot="1" x14ac:dyDescent="0.3">
      <c r="F81" s="352"/>
      <c r="G81" s="352"/>
      <c r="H81" s="352"/>
      <c r="I81" s="352"/>
      <c r="V81" t="s">
        <v>138</v>
      </c>
    </row>
    <row r="82" spans="1:27" ht="15.75" thickTop="1" x14ac:dyDescent="0.25">
      <c r="A82" t="s">
        <v>768</v>
      </c>
      <c r="F82" s="352"/>
      <c r="G82" s="352"/>
      <c r="H82" s="352"/>
      <c r="I82" s="352"/>
      <c r="V82" s="32" t="s">
        <v>66</v>
      </c>
      <c r="W82" s="32" t="s">
        <v>107</v>
      </c>
      <c r="X82" s="32" t="s">
        <v>67</v>
      </c>
      <c r="Y82" s="32" t="s">
        <v>111</v>
      </c>
      <c r="Z82" s="32" t="s">
        <v>69</v>
      </c>
      <c r="AA82" s="32" t="s">
        <v>140</v>
      </c>
    </row>
    <row r="83" spans="1:27" x14ac:dyDescent="0.25">
      <c r="F83" s="388"/>
      <c r="G83" s="388"/>
      <c r="H83" s="388"/>
      <c r="I83" s="388"/>
      <c r="V83" t="s">
        <v>139</v>
      </c>
      <c r="W83">
        <f>[1]!CHI_STAT2(B77:C78,R78:S79)</f>
        <v>0</v>
      </c>
      <c r="X83" t="e">
        <f>CHIDIST(W83,Y79)</f>
        <v>#NUM!</v>
      </c>
      <c r="Y83" t="e">
        <f>CHIINV(Y77,Y79)</f>
        <v>#NUM!</v>
      </c>
      <c r="Z83" t="e">
        <f>IF(Y83&lt;W83,"Yes","No")</f>
        <v>#NUM!</v>
      </c>
      <c r="AA83">
        <f>SQRT(W83/(V79*(MIN(W79,X79)-1)))</f>
        <v>0</v>
      </c>
    </row>
    <row r="84" spans="1:27" x14ac:dyDescent="0.25">
      <c r="B84" s="13" t="s">
        <v>115</v>
      </c>
      <c r="C84" s="13" t="s">
        <v>116</v>
      </c>
      <c r="D84" s="13" t="s">
        <v>1</v>
      </c>
      <c r="F84" s="388"/>
      <c r="G84" s="388"/>
      <c r="H84" s="388"/>
      <c r="I84" s="388"/>
      <c r="V84" t="s">
        <v>141</v>
      </c>
      <c r="W84">
        <f>[1]!CHI_MAX2(B77:C78,R78:S79)</f>
        <v>0</v>
      </c>
      <c r="X84" t="e">
        <f>CHIDIST(W84,Y79)</f>
        <v>#NUM!</v>
      </c>
      <c r="Y84" t="e">
        <f>CHIINV(Y77,Y79)</f>
        <v>#NUM!</v>
      </c>
      <c r="Z84" t="e">
        <f>IF(Y84&lt;W84,"Yes","No")</f>
        <v>#NUM!</v>
      </c>
      <c r="AA84">
        <f>SQRT(W84/(V79*(MIN(W79,X79)-1)))</f>
        <v>0</v>
      </c>
    </row>
    <row r="85" spans="1:27" x14ac:dyDescent="0.25">
      <c r="A85" t="s">
        <v>776</v>
      </c>
      <c r="B85" s="354">
        <f t="array" ref="B85:C86">B77:C78</f>
        <v>31</v>
      </c>
      <c r="C85" s="355">
        <v>57</v>
      </c>
      <c r="D85">
        <f>B85+C85</f>
        <v>88</v>
      </c>
      <c r="F85" s="388"/>
      <c r="G85" s="388"/>
      <c r="H85" s="388"/>
      <c r="I85" s="388"/>
    </row>
    <row r="86" spans="1:27" x14ac:dyDescent="0.25">
      <c r="A86" t="s">
        <v>777</v>
      </c>
      <c r="B86" s="9">
        <v>11</v>
      </c>
      <c r="C86" s="11">
        <v>51</v>
      </c>
      <c r="D86">
        <f>SUM(B86:C86)</f>
        <v>62</v>
      </c>
      <c r="F86" s="388"/>
      <c r="G86" s="388"/>
      <c r="H86" s="388"/>
      <c r="I86" s="388"/>
    </row>
    <row r="87" spans="1:27" x14ac:dyDescent="0.25">
      <c r="A87" t="s">
        <v>1</v>
      </c>
      <c r="B87">
        <f>SUM(B85:B86)</f>
        <v>42</v>
      </c>
      <c r="C87">
        <f>SUM(C85:C86)</f>
        <v>108</v>
      </c>
      <c r="D87">
        <f>SUM(D85:D86)</f>
        <v>150</v>
      </c>
      <c r="F87" s="388"/>
      <c r="G87" s="388"/>
      <c r="H87" s="388"/>
      <c r="I87" s="388"/>
    </row>
    <row r="88" spans="1:27" x14ac:dyDescent="0.25">
      <c r="F88" s="388"/>
      <c r="G88" s="388"/>
      <c r="H88" s="388"/>
      <c r="I88" s="388"/>
    </row>
    <row r="89" spans="1:27" x14ac:dyDescent="0.25">
      <c r="A89" s="1" t="s">
        <v>701</v>
      </c>
      <c r="F89" s="388"/>
      <c r="G89" s="388"/>
    </row>
    <row r="90" spans="1:27" x14ac:dyDescent="0.25">
      <c r="B90" s="40" t="s">
        <v>109</v>
      </c>
      <c r="C90" s="13" t="s">
        <v>60</v>
      </c>
      <c r="D90" s="13" t="s">
        <v>67</v>
      </c>
      <c r="E90" s="388" t="s">
        <v>527</v>
      </c>
      <c r="G90" s="388"/>
    </row>
    <row r="91" spans="1:27" x14ac:dyDescent="0.25">
      <c r="A91" t="s">
        <v>784</v>
      </c>
      <c r="B91" s="398">
        <f>W67</f>
        <v>40.312681857753645</v>
      </c>
      <c r="C91" s="397">
        <f>Y62</f>
        <v>3</v>
      </c>
      <c r="D91" s="397">
        <f>X67</f>
        <v>9.146848117851807E-9</v>
      </c>
      <c r="E91" s="411" t="str">
        <f>Z67</f>
        <v>Yes</v>
      </c>
    </row>
    <row r="92" spans="1:27" x14ac:dyDescent="0.25">
      <c r="A92" t="s">
        <v>810</v>
      </c>
      <c r="B92" s="6">
        <f>W33</f>
        <v>10.254522924012374</v>
      </c>
      <c r="C92" s="7">
        <f>Y28</f>
        <v>2</v>
      </c>
      <c r="D92" s="7">
        <f>X33</f>
        <v>5.9327854054877982E-3</v>
      </c>
      <c r="E92" s="36" t="str">
        <f>Z33</f>
        <v>Yes</v>
      </c>
    </row>
    <row r="93" spans="1:27" x14ac:dyDescent="0.25">
      <c r="A93" t="s">
        <v>811</v>
      </c>
      <c r="B93" s="6">
        <f>W50</f>
        <v>35.783172824891068</v>
      </c>
      <c r="C93" s="7">
        <f>Y45</f>
        <v>2</v>
      </c>
      <c r="D93" s="7">
        <f>X50</f>
        <v>1.6973943357065388E-8</v>
      </c>
      <c r="E93" s="36" t="str">
        <f>Z50</f>
        <v>Yes</v>
      </c>
    </row>
    <row r="94" spans="1:27" x14ac:dyDescent="0.25">
      <c r="A94" t="s">
        <v>812</v>
      </c>
      <c r="B94" s="6">
        <f>W15</f>
        <v>5.7250138911498212</v>
      </c>
      <c r="C94" s="7">
        <f>Y10</f>
        <v>1</v>
      </c>
      <c r="D94" s="7">
        <f>X15</f>
        <v>1.6724904294501547E-2</v>
      </c>
      <c r="E94" s="36" t="str">
        <f>Z15</f>
        <v>Yes</v>
      </c>
    </row>
    <row r="95" spans="1:27" x14ac:dyDescent="0.25">
      <c r="A95" t="s">
        <v>785</v>
      </c>
      <c r="B95" s="409">
        <f>W84</f>
        <v>0</v>
      </c>
      <c r="C95" s="410">
        <f>Y79</f>
        <v>0</v>
      </c>
      <c r="D95" s="410"/>
      <c r="E95" s="412" t="s">
        <v>797</v>
      </c>
      <c r="F95" s="7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L27"/>
  <sheetViews>
    <sheetView workbookViewId="0"/>
  </sheetViews>
  <sheetFormatPr defaultRowHeight="15" x14ac:dyDescent="0.25"/>
  <sheetData>
    <row r="1" spans="1:12" x14ac:dyDescent="0.25">
      <c r="A1" s="1" t="s">
        <v>817</v>
      </c>
    </row>
    <row r="3" spans="1:12" x14ac:dyDescent="0.25">
      <c r="C3" s="13" t="s">
        <v>115</v>
      </c>
      <c r="D3" s="13" t="s">
        <v>116</v>
      </c>
      <c r="E3" s="13" t="s">
        <v>818</v>
      </c>
      <c r="I3" s="379" t="s">
        <v>819</v>
      </c>
      <c r="J3" s="379" t="s">
        <v>620</v>
      </c>
      <c r="K3" s="379" t="s">
        <v>800</v>
      </c>
      <c r="L3" s="380" t="s">
        <v>112</v>
      </c>
    </row>
    <row r="4" spans="1:12" x14ac:dyDescent="0.25">
      <c r="A4" t="s">
        <v>820</v>
      </c>
      <c r="B4" t="s">
        <v>130</v>
      </c>
      <c r="C4" s="398">
        <v>59</v>
      </c>
      <c r="D4" s="424">
        <v>55</v>
      </c>
      <c r="E4" s="419">
        <v>107</v>
      </c>
      <c r="F4">
        <f>SUM(C4:E4)</f>
        <v>221</v>
      </c>
      <c r="I4" t="s">
        <v>820</v>
      </c>
      <c r="J4" t="s">
        <v>130</v>
      </c>
      <c r="K4" t="s">
        <v>115</v>
      </c>
      <c r="L4">
        <f>C4</f>
        <v>59</v>
      </c>
    </row>
    <row r="5" spans="1:12" x14ac:dyDescent="0.25">
      <c r="A5" t="s">
        <v>820</v>
      </c>
      <c r="B5" t="s">
        <v>108</v>
      </c>
      <c r="C5" s="6">
        <v>32</v>
      </c>
      <c r="D5" s="7">
        <v>24</v>
      </c>
      <c r="E5" s="8">
        <v>80</v>
      </c>
      <c r="F5">
        <f t="shared" ref="F5:F14" si="0">SUM(C5:E5)</f>
        <v>136</v>
      </c>
      <c r="I5" t="s">
        <v>820</v>
      </c>
      <c r="J5" t="s">
        <v>130</v>
      </c>
      <c r="K5" t="s">
        <v>116</v>
      </c>
      <c r="L5">
        <f>D4</f>
        <v>55</v>
      </c>
    </row>
    <row r="6" spans="1:12" x14ac:dyDescent="0.25">
      <c r="A6" t="s">
        <v>821</v>
      </c>
      <c r="B6" t="s">
        <v>130</v>
      </c>
      <c r="C6" s="6">
        <v>9</v>
      </c>
      <c r="D6" s="7">
        <v>12</v>
      </c>
      <c r="E6" s="8">
        <v>17</v>
      </c>
      <c r="F6">
        <f t="shared" si="0"/>
        <v>38</v>
      </c>
      <c r="I6" t="s">
        <v>820</v>
      </c>
      <c r="J6" t="s">
        <v>130</v>
      </c>
      <c r="K6" t="s">
        <v>818</v>
      </c>
      <c r="L6">
        <f>E4</f>
        <v>107</v>
      </c>
    </row>
    <row r="7" spans="1:12" x14ac:dyDescent="0.25">
      <c r="A7" t="s">
        <v>821</v>
      </c>
      <c r="B7" t="s">
        <v>108</v>
      </c>
      <c r="C7" s="409">
        <v>16</v>
      </c>
      <c r="D7" s="10">
        <v>33</v>
      </c>
      <c r="E7" s="417">
        <v>56</v>
      </c>
      <c r="F7">
        <f t="shared" si="0"/>
        <v>105</v>
      </c>
      <c r="I7" t="s">
        <v>820</v>
      </c>
      <c r="J7" t="s">
        <v>108</v>
      </c>
      <c r="K7" t="s">
        <v>115</v>
      </c>
      <c r="L7">
        <f>C5</f>
        <v>32</v>
      </c>
    </row>
    <row r="8" spans="1:12" x14ac:dyDescent="0.25">
      <c r="C8">
        <f>SUM(C4:C7)</f>
        <v>116</v>
      </c>
      <c r="D8">
        <f>SUM(D4:D7)</f>
        <v>124</v>
      </c>
      <c r="E8">
        <f>SUM(E4:E7)</f>
        <v>260</v>
      </c>
      <c r="F8">
        <f t="shared" si="0"/>
        <v>500</v>
      </c>
      <c r="I8" t="s">
        <v>820</v>
      </c>
      <c r="J8" t="s">
        <v>108</v>
      </c>
      <c r="K8" t="s">
        <v>116</v>
      </c>
      <c r="L8">
        <f>D5</f>
        <v>24</v>
      </c>
    </row>
    <row r="9" spans="1:12" x14ac:dyDescent="0.25">
      <c r="I9" t="s">
        <v>820</v>
      </c>
      <c r="J9" t="s">
        <v>108</v>
      </c>
      <c r="K9" t="s">
        <v>818</v>
      </c>
      <c r="L9">
        <f>E5</f>
        <v>80</v>
      </c>
    </row>
    <row r="10" spans="1:12" x14ac:dyDescent="0.25">
      <c r="A10" t="s">
        <v>820</v>
      </c>
      <c r="C10" s="393">
        <f>SUM(C4:C5)</f>
        <v>91</v>
      </c>
      <c r="D10" s="395">
        <f>SUM(D4:D5)</f>
        <v>79</v>
      </c>
      <c r="E10" s="396">
        <f>SUM(E4:E5)</f>
        <v>187</v>
      </c>
      <c r="F10">
        <f t="shared" si="0"/>
        <v>357</v>
      </c>
      <c r="I10" t="s">
        <v>821</v>
      </c>
      <c r="J10" t="s">
        <v>130</v>
      </c>
      <c r="K10" t="s">
        <v>115</v>
      </c>
      <c r="L10">
        <f>C6</f>
        <v>9</v>
      </c>
    </row>
    <row r="11" spans="1:12" x14ac:dyDescent="0.25">
      <c r="A11" t="s">
        <v>821</v>
      </c>
      <c r="C11" s="9">
        <f>SUM(C6:C7)</f>
        <v>25</v>
      </c>
      <c r="D11" s="10">
        <f>SUM(D6:D7)</f>
        <v>45</v>
      </c>
      <c r="E11" s="11">
        <f>SUM(E6:E7)</f>
        <v>73</v>
      </c>
      <c r="F11">
        <f t="shared" si="0"/>
        <v>143</v>
      </c>
      <c r="I11" t="s">
        <v>821</v>
      </c>
      <c r="J11" t="s">
        <v>130</v>
      </c>
      <c r="K11" t="s">
        <v>116</v>
      </c>
      <c r="L11">
        <f>D6</f>
        <v>12</v>
      </c>
    </row>
    <row r="12" spans="1:12" x14ac:dyDescent="0.25">
      <c r="I12" t="s">
        <v>821</v>
      </c>
      <c r="J12" t="s">
        <v>130</v>
      </c>
      <c r="K12" t="s">
        <v>818</v>
      </c>
      <c r="L12">
        <f>E6</f>
        <v>17</v>
      </c>
    </row>
    <row r="13" spans="1:12" x14ac:dyDescent="0.25">
      <c r="B13" t="s">
        <v>130</v>
      </c>
      <c r="C13" s="393">
        <f t="shared" ref="C13:E14" si="1">C4+C6</f>
        <v>68</v>
      </c>
      <c r="D13" s="395">
        <f t="shared" si="1"/>
        <v>67</v>
      </c>
      <c r="E13" s="396">
        <f t="shared" si="1"/>
        <v>124</v>
      </c>
      <c r="F13">
        <f t="shared" si="0"/>
        <v>259</v>
      </c>
      <c r="I13" t="s">
        <v>821</v>
      </c>
      <c r="J13" t="s">
        <v>108</v>
      </c>
      <c r="K13" t="s">
        <v>115</v>
      </c>
      <c r="L13">
        <f>C7</f>
        <v>16</v>
      </c>
    </row>
    <row r="14" spans="1:12" x14ac:dyDescent="0.25">
      <c r="B14" t="s">
        <v>108</v>
      </c>
      <c r="C14" s="9">
        <f t="shared" si="1"/>
        <v>48</v>
      </c>
      <c r="D14" s="10">
        <f t="shared" si="1"/>
        <v>57</v>
      </c>
      <c r="E14" s="11">
        <f t="shared" si="1"/>
        <v>136</v>
      </c>
      <c r="F14">
        <f t="shared" si="0"/>
        <v>241</v>
      </c>
      <c r="I14" t="s">
        <v>821</v>
      </c>
      <c r="J14" t="s">
        <v>108</v>
      </c>
      <c r="K14" t="s">
        <v>116</v>
      </c>
      <c r="L14">
        <f>D7</f>
        <v>33</v>
      </c>
    </row>
    <row r="15" spans="1:12" x14ac:dyDescent="0.25">
      <c r="I15" s="10" t="s">
        <v>821</v>
      </c>
      <c r="J15" s="10" t="s">
        <v>108</v>
      </c>
      <c r="K15" s="10" t="s">
        <v>818</v>
      </c>
      <c r="L15" s="10">
        <f>E7</f>
        <v>56</v>
      </c>
    </row>
    <row r="16" spans="1:12" x14ac:dyDescent="0.25">
      <c r="I16" s="7"/>
      <c r="J16" s="7"/>
      <c r="K16" s="7"/>
      <c r="L16" s="7">
        <f>SUM(L4:L15)</f>
        <v>500</v>
      </c>
    </row>
    <row r="18" spans="1:11" x14ac:dyDescent="0.25">
      <c r="A18" t="s">
        <v>897</v>
      </c>
    </row>
    <row r="19" spans="1:11" x14ac:dyDescent="0.25">
      <c r="C19" s="13" t="s">
        <v>115</v>
      </c>
      <c r="D19" s="13" t="s">
        <v>116</v>
      </c>
      <c r="E19" s="13" t="s">
        <v>818</v>
      </c>
    </row>
    <row r="20" spans="1:11" x14ac:dyDescent="0.25">
      <c r="A20" t="s">
        <v>820</v>
      </c>
      <c r="C20" s="429">
        <f t="shared" ref="C20:E21" si="2">C10</f>
        <v>91</v>
      </c>
      <c r="D20" s="433">
        <f t="shared" si="2"/>
        <v>79</v>
      </c>
      <c r="E20" s="428">
        <f t="shared" si="2"/>
        <v>187</v>
      </c>
      <c r="G20" t="s">
        <v>898</v>
      </c>
      <c r="K20">
        <f>C22/D22</f>
        <v>2.0734177215189873</v>
      </c>
    </row>
    <row r="21" spans="1:11" x14ac:dyDescent="0.25">
      <c r="A21" t="s">
        <v>821</v>
      </c>
      <c r="C21" s="409">
        <f t="shared" si="2"/>
        <v>25</v>
      </c>
      <c r="D21" s="10">
        <f t="shared" si="2"/>
        <v>45</v>
      </c>
      <c r="E21" s="11">
        <f t="shared" si="2"/>
        <v>73</v>
      </c>
      <c r="G21" t="s">
        <v>899</v>
      </c>
      <c r="K21">
        <f>LN(K20)</f>
        <v>0.72919831895194753</v>
      </c>
    </row>
    <row r="22" spans="1:11" x14ac:dyDescent="0.25">
      <c r="A22" t="s">
        <v>129</v>
      </c>
      <c r="C22">
        <f>C20/C21</f>
        <v>3.64</v>
      </c>
      <c r="D22">
        <f>D20/D21</f>
        <v>1.7555555555555555</v>
      </c>
      <c r="E22">
        <f>E20/E21</f>
        <v>2.5616438356164384</v>
      </c>
    </row>
    <row r="24" spans="1:11" x14ac:dyDescent="0.25">
      <c r="C24" s="13" t="s">
        <v>130</v>
      </c>
      <c r="D24" s="13" t="s">
        <v>108</v>
      </c>
    </row>
    <row r="25" spans="1:11" x14ac:dyDescent="0.25">
      <c r="A25" t="s">
        <v>820</v>
      </c>
      <c r="C25" s="429">
        <f>F4</f>
        <v>221</v>
      </c>
      <c r="D25" s="428">
        <f>F5</f>
        <v>136</v>
      </c>
      <c r="G25" t="s">
        <v>900</v>
      </c>
      <c r="K25">
        <f>C27/D27</f>
        <v>4.4901315789473681</v>
      </c>
    </row>
    <row r="26" spans="1:11" x14ac:dyDescent="0.25">
      <c r="A26" t="s">
        <v>821</v>
      </c>
      <c r="C26" s="409">
        <f>F6</f>
        <v>38</v>
      </c>
      <c r="D26" s="11">
        <f>F7</f>
        <v>105</v>
      </c>
      <c r="G26" t="s">
        <v>899</v>
      </c>
      <c r="K26">
        <f>LN(K25)</f>
        <v>1.5018820062128384</v>
      </c>
    </row>
    <row r="27" spans="1:11" x14ac:dyDescent="0.25">
      <c r="A27" t="s">
        <v>129</v>
      </c>
      <c r="C27">
        <f>C25/C26</f>
        <v>5.8157894736842106</v>
      </c>
      <c r="D27">
        <f>D25/D26</f>
        <v>1.2952380952380953</v>
      </c>
    </row>
  </sheetData>
  <pageMargins left="0.7" right="0.7" top="0.75" bottom="0.75" header="0.3" footer="0.3"/>
  <ignoredErrors>
    <ignoredError sqref="C10:E11" formulaRange="1"/>
  </ignoredError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Y341"/>
  <sheetViews>
    <sheetView workbookViewId="0"/>
  </sheetViews>
  <sheetFormatPr defaultRowHeight="15" x14ac:dyDescent="0.25"/>
  <cols>
    <col min="1" max="1" width="11.42578125" customWidth="1"/>
    <col min="3" max="3" width="9.28515625" customWidth="1"/>
    <col min="6" max="6" width="6" customWidth="1"/>
    <col min="13" max="13" width="9.140625" customWidth="1"/>
  </cols>
  <sheetData>
    <row r="1" spans="1:21" x14ac:dyDescent="0.25">
      <c r="A1" s="1" t="s">
        <v>817</v>
      </c>
    </row>
    <row r="3" spans="1:21" x14ac:dyDescent="0.25">
      <c r="A3" t="s">
        <v>81</v>
      </c>
    </row>
    <row r="5" spans="1:21" x14ac:dyDescent="0.25">
      <c r="A5" s="379" t="s">
        <v>819</v>
      </c>
      <c r="B5" s="379" t="s">
        <v>620</v>
      </c>
      <c r="C5" s="379" t="s">
        <v>800</v>
      </c>
      <c r="D5" s="380" t="s">
        <v>112</v>
      </c>
      <c r="G5" s="1" t="s">
        <v>822</v>
      </c>
    </row>
    <row r="6" spans="1:21" x14ac:dyDescent="0.25">
      <c r="A6" t="s">
        <v>820</v>
      </c>
      <c r="B6" t="s">
        <v>130</v>
      </c>
      <c r="C6" t="s">
        <v>115</v>
      </c>
      <c r="D6">
        <f>'Log Lin 2.1'!L4</f>
        <v>59</v>
      </c>
      <c r="J6" s="1327" t="s">
        <v>302</v>
      </c>
      <c r="K6" s="1328"/>
      <c r="L6" s="1329"/>
      <c r="M6" s="1327" t="s">
        <v>793</v>
      </c>
      <c r="N6" s="1328"/>
      <c r="O6" s="1329"/>
      <c r="P6" s="1324" t="s">
        <v>303</v>
      </c>
      <c r="Q6" s="1330"/>
    </row>
    <row r="7" spans="1:21" x14ac:dyDescent="0.25">
      <c r="A7" t="s">
        <v>820</v>
      </c>
      <c r="B7" t="s">
        <v>130</v>
      </c>
      <c r="C7" t="s">
        <v>116</v>
      </c>
      <c r="D7">
        <f>'Log Lin 2.1'!L5</f>
        <v>55</v>
      </c>
      <c r="G7" s="392" t="str">
        <f>$A$5</f>
        <v>Cure</v>
      </c>
      <c r="H7" s="379" t="str">
        <f>$B$5</f>
        <v>Gender</v>
      </c>
      <c r="I7" s="379" t="str">
        <f>$C$5</f>
        <v>Therapy</v>
      </c>
      <c r="J7" s="381" t="s">
        <v>791</v>
      </c>
      <c r="K7" s="382" t="s">
        <v>790</v>
      </c>
      <c r="L7" s="383" t="s">
        <v>358</v>
      </c>
      <c r="M7" s="381" t="s">
        <v>792</v>
      </c>
      <c r="N7" s="382" t="s">
        <v>790</v>
      </c>
      <c r="O7" s="383" t="s">
        <v>783</v>
      </c>
      <c r="P7" s="430" t="s">
        <v>243</v>
      </c>
      <c r="Q7" s="432" t="s">
        <v>802</v>
      </c>
      <c r="R7" s="386" t="s">
        <v>109</v>
      </c>
      <c r="T7" s="89" t="s">
        <v>109</v>
      </c>
      <c r="U7" s="391">
        <f>R20</f>
        <v>0</v>
      </c>
    </row>
    <row r="8" spans="1:21" x14ac:dyDescent="0.25">
      <c r="A8" t="s">
        <v>820</v>
      </c>
      <c r="B8" t="s">
        <v>130</v>
      </c>
      <c r="C8" t="s">
        <v>818</v>
      </c>
      <c r="D8">
        <f>'Log Lin 2.1'!L6</f>
        <v>107</v>
      </c>
      <c r="G8" s="6" t="str">
        <f>$A$6</f>
        <v>Positive</v>
      </c>
      <c r="H8" t="str">
        <f>$B$6</f>
        <v>Male</v>
      </c>
      <c r="I8" t="str">
        <f>$C$6</f>
        <v>Therapy 1</v>
      </c>
      <c r="J8" s="6">
        <f>$D$6</f>
        <v>59</v>
      </c>
      <c r="K8" s="384">
        <f>J8/$D$18</f>
        <v>0.11799999999999999</v>
      </c>
      <c r="L8" s="8">
        <f>LN(J8)</f>
        <v>4.0775374439057197</v>
      </c>
      <c r="M8" s="6">
        <f>J8</f>
        <v>59</v>
      </c>
      <c r="N8" s="384">
        <f>M8/$D$18</f>
        <v>0.11799999999999999</v>
      </c>
      <c r="O8" s="8">
        <f>LN(M8)</f>
        <v>4.0775374439057197</v>
      </c>
      <c r="P8" s="429">
        <f>J8-M8</f>
        <v>0</v>
      </c>
      <c r="Q8" s="428">
        <f>P8/SQRT(M8)</f>
        <v>0</v>
      </c>
      <c r="R8" s="272">
        <f>2*J8*(L8-O8)</f>
        <v>0</v>
      </c>
      <c r="T8" t="s">
        <v>60</v>
      </c>
      <c r="U8" s="272">
        <v>0</v>
      </c>
    </row>
    <row r="9" spans="1:21" x14ac:dyDescent="0.25">
      <c r="A9" t="s">
        <v>820</v>
      </c>
      <c r="B9" t="s">
        <v>108</v>
      </c>
      <c r="C9" t="s">
        <v>115</v>
      </c>
      <c r="D9">
        <f>'Log Lin 2.1'!L7</f>
        <v>32</v>
      </c>
      <c r="G9" s="6" t="str">
        <f>$A$7</f>
        <v>Positive</v>
      </c>
      <c r="H9" t="str">
        <f>$B$7</f>
        <v>Male</v>
      </c>
      <c r="I9" t="str">
        <f>$C$7</f>
        <v>Therapy 2</v>
      </c>
      <c r="J9" s="6">
        <f>$D$7</f>
        <v>55</v>
      </c>
      <c r="K9" s="384">
        <f t="shared" ref="K9:K19" si="0">J9/$D$18</f>
        <v>0.11</v>
      </c>
      <c r="L9" s="8">
        <f t="shared" ref="L9:L19" si="1">LN(J9)</f>
        <v>4.0073331852324712</v>
      </c>
      <c r="M9" s="6">
        <f t="shared" ref="M9:M19" si="2">J9</f>
        <v>55</v>
      </c>
      <c r="N9" s="384">
        <f t="shared" ref="N9:N19" si="3">M9/$D$18</f>
        <v>0.11</v>
      </c>
      <c r="O9" s="8">
        <f t="shared" ref="O9:O19" si="4">LN(M9)</f>
        <v>4.0073331852324712</v>
      </c>
      <c r="P9" s="6">
        <f t="shared" ref="P9:P19" si="5">J9-M9</f>
        <v>0</v>
      </c>
      <c r="Q9" s="8">
        <f t="shared" ref="Q9:Q19" si="6">P9/SQRT(M9)</f>
        <v>0</v>
      </c>
      <c r="R9" s="272">
        <f t="shared" ref="R9:R19" si="7">2*J9*(L9-O9)</f>
        <v>0</v>
      </c>
      <c r="T9" s="30" t="s">
        <v>48</v>
      </c>
      <c r="U9" s="272">
        <v>0.05</v>
      </c>
    </row>
    <row r="10" spans="1:21" x14ac:dyDescent="0.25">
      <c r="A10" t="s">
        <v>820</v>
      </c>
      <c r="B10" t="s">
        <v>108</v>
      </c>
      <c r="C10" t="s">
        <v>116</v>
      </c>
      <c r="D10">
        <f>'Log Lin 2.1'!L8</f>
        <v>24</v>
      </c>
      <c r="G10" s="6" t="str">
        <f>$A$8</f>
        <v>Positive</v>
      </c>
      <c r="H10" t="str">
        <f>$B$8</f>
        <v>Male</v>
      </c>
      <c r="I10" t="str">
        <f>$C$8</f>
        <v>Therapy 3</v>
      </c>
      <c r="J10" s="6">
        <f>$D$8</f>
        <v>107</v>
      </c>
      <c r="K10" s="384">
        <f t="shared" si="0"/>
        <v>0.214</v>
      </c>
      <c r="L10" s="8">
        <f t="shared" si="1"/>
        <v>4.6728288344619058</v>
      </c>
      <c r="M10" s="6">
        <f t="shared" si="2"/>
        <v>107</v>
      </c>
      <c r="N10" s="384">
        <f t="shared" si="3"/>
        <v>0.214</v>
      </c>
      <c r="O10" s="8">
        <f t="shared" si="4"/>
        <v>4.6728288344619058</v>
      </c>
      <c r="P10" s="6">
        <f t="shared" si="5"/>
        <v>0</v>
      </c>
      <c r="Q10" s="8">
        <f t="shared" si="6"/>
        <v>0</v>
      </c>
      <c r="R10" s="272">
        <f t="shared" si="7"/>
        <v>0</v>
      </c>
      <c r="T10" s="372" t="s">
        <v>67</v>
      </c>
      <c r="U10" s="272"/>
    </row>
    <row r="11" spans="1:21" x14ac:dyDescent="0.25">
      <c r="A11" t="s">
        <v>820</v>
      </c>
      <c r="B11" t="s">
        <v>108</v>
      </c>
      <c r="C11" t="s">
        <v>818</v>
      </c>
      <c r="D11">
        <f>'Log Lin 2.1'!L9</f>
        <v>80</v>
      </c>
      <c r="G11" s="6" t="str">
        <f>$A$9</f>
        <v>Positive</v>
      </c>
      <c r="H11" t="str">
        <f>$B$9</f>
        <v>Female</v>
      </c>
      <c r="I11" t="str">
        <f>$C$9</f>
        <v>Therapy 1</v>
      </c>
      <c r="J11" s="6">
        <f>$D$9</f>
        <v>32</v>
      </c>
      <c r="K11" s="384">
        <f t="shared" si="0"/>
        <v>6.4000000000000001E-2</v>
      </c>
      <c r="L11" s="8">
        <f t="shared" si="1"/>
        <v>3.4657359027997265</v>
      </c>
      <c r="M11" s="6">
        <f t="shared" si="2"/>
        <v>32</v>
      </c>
      <c r="N11" s="384">
        <f t="shared" si="3"/>
        <v>6.4000000000000001E-2</v>
      </c>
      <c r="O11" s="8">
        <f t="shared" si="4"/>
        <v>3.4657359027997265</v>
      </c>
      <c r="P11" s="6">
        <f t="shared" si="5"/>
        <v>0</v>
      </c>
      <c r="Q11" s="8">
        <f t="shared" si="6"/>
        <v>0</v>
      </c>
      <c r="R11" s="272">
        <f t="shared" si="7"/>
        <v>0</v>
      </c>
      <c r="T11" s="89" t="s">
        <v>110</v>
      </c>
      <c r="U11" s="272"/>
    </row>
    <row r="12" spans="1:21" x14ac:dyDescent="0.25">
      <c r="A12" t="s">
        <v>821</v>
      </c>
      <c r="B12" t="s">
        <v>130</v>
      </c>
      <c r="C12" t="s">
        <v>115</v>
      </c>
      <c r="D12">
        <f>'Log Lin 2.1'!L10</f>
        <v>9</v>
      </c>
      <c r="G12" s="6" t="str">
        <f>$A$10</f>
        <v>Positive</v>
      </c>
      <c r="H12" t="str">
        <f>$B$10</f>
        <v>Female</v>
      </c>
      <c r="I12" t="str">
        <f>$C$10</f>
        <v>Therapy 2</v>
      </c>
      <c r="J12" s="6">
        <f>$D$10</f>
        <v>24</v>
      </c>
      <c r="K12" s="384">
        <f t="shared" si="0"/>
        <v>4.8000000000000001E-2</v>
      </c>
      <c r="L12" s="8">
        <f t="shared" si="1"/>
        <v>3.1780538303479458</v>
      </c>
      <c r="M12" s="6">
        <f t="shared" si="2"/>
        <v>24</v>
      </c>
      <c r="N12" s="384">
        <f t="shared" si="3"/>
        <v>4.8000000000000001E-2</v>
      </c>
      <c r="O12" s="8">
        <f t="shared" si="4"/>
        <v>3.1780538303479458</v>
      </c>
      <c r="P12" s="6">
        <f t="shared" si="5"/>
        <v>0</v>
      </c>
      <c r="Q12" s="8">
        <f t="shared" si="6"/>
        <v>0</v>
      </c>
      <c r="R12" s="272">
        <f t="shared" si="7"/>
        <v>0</v>
      </c>
      <c r="T12" s="372" t="s">
        <v>527</v>
      </c>
      <c r="U12" s="166" t="s">
        <v>796</v>
      </c>
    </row>
    <row r="13" spans="1:21" x14ac:dyDescent="0.25">
      <c r="A13" t="s">
        <v>821</v>
      </c>
      <c r="B13" t="s">
        <v>130</v>
      </c>
      <c r="C13" t="s">
        <v>116</v>
      </c>
      <c r="D13">
        <f>'Log Lin 2.1'!L11</f>
        <v>12</v>
      </c>
      <c r="G13" s="6" t="str">
        <f>$A$11</f>
        <v>Positive</v>
      </c>
      <c r="H13" t="str">
        <f>$B$11</f>
        <v>Female</v>
      </c>
      <c r="I13" t="str">
        <f>$C$11</f>
        <v>Therapy 3</v>
      </c>
      <c r="J13" s="6">
        <f>$D$11</f>
        <v>80</v>
      </c>
      <c r="K13" s="384">
        <f t="shared" si="0"/>
        <v>0.16</v>
      </c>
      <c r="L13" s="8">
        <f t="shared" si="1"/>
        <v>4.3820266346738812</v>
      </c>
      <c r="M13" s="6">
        <f t="shared" si="2"/>
        <v>80</v>
      </c>
      <c r="N13" s="384">
        <f t="shared" si="3"/>
        <v>0.16</v>
      </c>
      <c r="O13" s="8">
        <f t="shared" si="4"/>
        <v>4.3820266346738812</v>
      </c>
      <c r="P13" s="6">
        <f t="shared" si="5"/>
        <v>0</v>
      </c>
      <c r="Q13" s="8">
        <f t="shared" si="6"/>
        <v>0</v>
      </c>
      <c r="R13" s="272">
        <f t="shared" si="7"/>
        <v>0</v>
      </c>
    </row>
    <row r="14" spans="1:21" x14ac:dyDescent="0.25">
      <c r="A14" t="s">
        <v>821</v>
      </c>
      <c r="B14" t="s">
        <v>130</v>
      </c>
      <c r="C14" t="s">
        <v>818</v>
      </c>
      <c r="D14">
        <f>'Log Lin 2.1'!L12</f>
        <v>17</v>
      </c>
      <c r="G14" s="6" t="str">
        <f>$A$12</f>
        <v>Negative</v>
      </c>
      <c r="H14" t="str">
        <f>$B$12</f>
        <v>Male</v>
      </c>
      <c r="I14" t="str">
        <f>$C$12</f>
        <v>Therapy 1</v>
      </c>
      <c r="J14" s="6">
        <f>$D$12</f>
        <v>9</v>
      </c>
      <c r="K14" s="384">
        <f t="shared" si="0"/>
        <v>1.7999999999999999E-2</v>
      </c>
      <c r="L14" s="8">
        <f t="shared" si="1"/>
        <v>2.1972245773362196</v>
      </c>
      <c r="M14" s="6">
        <f t="shared" si="2"/>
        <v>9</v>
      </c>
      <c r="N14" s="384">
        <f t="shared" si="3"/>
        <v>1.7999999999999999E-2</v>
      </c>
      <c r="O14" s="8">
        <f t="shared" si="4"/>
        <v>2.1972245773362196</v>
      </c>
      <c r="P14" s="6">
        <f t="shared" si="5"/>
        <v>0</v>
      </c>
      <c r="Q14" s="8">
        <f t="shared" si="6"/>
        <v>0</v>
      </c>
      <c r="R14" s="272">
        <f t="shared" si="7"/>
        <v>0</v>
      </c>
    </row>
    <row r="15" spans="1:21" x14ac:dyDescent="0.25">
      <c r="A15" t="s">
        <v>821</v>
      </c>
      <c r="B15" t="s">
        <v>108</v>
      </c>
      <c r="C15" t="s">
        <v>115</v>
      </c>
      <c r="D15">
        <f>'Log Lin 2.1'!L13</f>
        <v>16</v>
      </c>
      <c r="G15" s="6" t="str">
        <f>$A$13</f>
        <v>Negative</v>
      </c>
      <c r="H15" t="str">
        <f>$B$13</f>
        <v>Male</v>
      </c>
      <c r="I15" t="str">
        <f>$C$13</f>
        <v>Therapy 2</v>
      </c>
      <c r="J15" s="6">
        <f>$D$13</f>
        <v>12</v>
      </c>
      <c r="K15" s="384">
        <f t="shared" si="0"/>
        <v>2.4E-2</v>
      </c>
      <c r="L15" s="8">
        <f t="shared" si="1"/>
        <v>2.4849066497880004</v>
      </c>
      <c r="M15" s="6">
        <f t="shared" si="2"/>
        <v>12</v>
      </c>
      <c r="N15" s="384">
        <f t="shared" si="3"/>
        <v>2.4E-2</v>
      </c>
      <c r="O15" s="8">
        <f t="shared" si="4"/>
        <v>2.4849066497880004</v>
      </c>
      <c r="P15" s="6">
        <f t="shared" si="5"/>
        <v>0</v>
      </c>
      <c r="Q15" s="8">
        <f t="shared" si="6"/>
        <v>0</v>
      </c>
      <c r="R15" s="272">
        <f t="shared" si="7"/>
        <v>0</v>
      </c>
    </row>
    <row r="16" spans="1:21" x14ac:dyDescent="0.25">
      <c r="A16" t="s">
        <v>821</v>
      </c>
      <c r="B16" t="s">
        <v>108</v>
      </c>
      <c r="C16" t="s">
        <v>116</v>
      </c>
      <c r="D16">
        <f>'Log Lin 2.1'!L14</f>
        <v>33</v>
      </c>
      <c r="G16" s="6" t="str">
        <f>$A$14</f>
        <v>Negative</v>
      </c>
      <c r="H16" t="str">
        <f>$B$14</f>
        <v>Male</v>
      </c>
      <c r="I16" t="str">
        <f>$C$14</f>
        <v>Therapy 3</v>
      </c>
      <c r="J16" s="6">
        <f>$D$14</f>
        <v>17</v>
      </c>
      <c r="K16" s="384">
        <f t="shared" si="0"/>
        <v>3.4000000000000002E-2</v>
      </c>
      <c r="L16" s="8">
        <f t="shared" si="1"/>
        <v>2.8332133440562162</v>
      </c>
      <c r="M16" s="6">
        <f t="shared" si="2"/>
        <v>17</v>
      </c>
      <c r="N16" s="384">
        <f t="shared" si="3"/>
        <v>3.4000000000000002E-2</v>
      </c>
      <c r="O16" s="8">
        <f t="shared" si="4"/>
        <v>2.8332133440562162</v>
      </c>
      <c r="P16" s="6">
        <f t="shared" si="5"/>
        <v>0</v>
      </c>
      <c r="Q16" s="8">
        <f t="shared" si="6"/>
        <v>0</v>
      </c>
      <c r="R16" s="272">
        <f t="shared" si="7"/>
        <v>0</v>
      </c>
    </row>
    <row r="17" spans="1:21" x14ac:dyDescent="0.25">
      <c r="A17" s="10" t="s">
        <v>821</v>
      </c>
      <c r="B17" s="10" t="s">
        <v>108</v>
      </c>
      <c r="C17" s="10" t="s">
        <v>818</v>
      </c>
      <c r="D17" s="10">
        <f>'Log Lin 2.1'!L15</f>
        <v>56</v>
      </c>
      <c r="G17" s="6" t="str">
        <f>$A$15</f>
        <v>Negative</v>
      </c>
      <c r="H17" t="str">
        <f>$B$15</f>
        <v>Female</v>
      </c>
      <c r="I17" t="str">
        <f>$C$15</f>
        <v>Therapy 1</v>
      </c>
      <c r="J17" s="6">
        <f>$D$15</f>
        <v>16</v>
      </c>
      <c r="K17" s="384">
        <f t="shared" si="0"/>
        <v>3.2000000000000001E-2</v>
      </c>
      <c r="L17" s="8">
        <f t="shared" si="1"/>
        <v>2.7725887222397811</v>
      </c>
      <c r="M17" s="6">
        <f t="shared" si="2"/>
        <v>16</v>
      </c>
      <c r="N17" s="384">
        <f t="shared" si="3"/>
        <v>3.2000000000000001E-2</v>
      </c>
      <c r="O17" s="8">
        <f t="shared" si="4"/>
        <v>2.7725887222397811</v>
      </c>
      <c r="P17" s="6">
        <f t="shared" si="5"/>
        <v>0</v>
      </c>
      <c r="Q17" s="8">
        <f t="shared" si="6"/>
        <v>0</v>
      </c>
      <c r="R17" s="272">
        <f t="shared" si="7"/>
        <v>0</v>
      </c>
    </row>
    <row r="18" spans="1:21" x14ac:dyDescent="0.25">
      <c r="A18" s="7"/>
      <c r="B18" s="7"/>
      <c r="C18" s="7"/>
      <c r="D18" s="7">
        <f>SUM(D6:D17)</f>
        <v>500</v>
      </c>
      <c r="G18" s="6" t="str">
        <f>$A$16</f>
        <v>Negative</v>
      </c>
      <c r="H18" t="str">
        <f>$B$16</f>
        <v>Female</v>
      </c>
      <c r="I18" t="str">
        <f>$C$16</f>
        <v>Therapy 2</v>
      </c>
      <c r="J18" s="6">
        <f>$D$16</f>
        <v>33</v>
      </c>
      <c r="K18" s="384">
        <f t="shared" si="0"/>
        <v>6.6000000000000003E-2</v>
      </c>
      <c r="L18" s="8">
        <f t="shared" si="1"/>
        <v>3.4965075614664802</v>
      </c>
      <c r="M18" s="6">
        <f t="shared" si="2"/>
        <v>33</v>
      </c>
      <c r="N18" s="384">
        <f t="shared" si="3"/>
        <v>6.6000000000000003E-2</v>
      </c>
      <c r="O18" s="8">
        <f t="shared" si="4"/>
        <v>3.4965075614664802</v>
      </c>
      <c r="P18" s="6">
        <f t="shared" si="5"/>
        <v>0</v>
      </c>
      <c r="Q18" s="8">
        <f t="shared" si="6"/>
        <v>0</v>
      </c>
      <c r="R18" s="272">
        <f t="shared" si="7"/>
        <v>0</v>
      </c>
    </row>
    <row r="19" spans="1:21" x14ac:dyDescent="0.25">
      <c r="A19" t="s">
        <v>786</v>
      </c>
      <c r="G19" s="9" t="str">
        <f>$A$17</f>
        <v>Negative</v>
      </c>
      <c r="H19" s="10" t="str">
        <f>$B$17</f>
        <v>Female</v>
      </c>
      <c r="I19" s="10" t="str">
        <f>$C$17</f>
        <v>Therapy 3</v>
      </c>
      <c r="J19" s="9">
        <f>$D$17</f>
        <v>56</v>
      </c>
      <c r="K19" s="385">
        <f t="shared" si="0"/>
        <v>0.112</v>
      </c>
      <c r="L19" s="11">
        <f t="shared" si="1"/>
        <v>4.0253516907351496</v>
      </c>
      <c r="M19" s="9">
        <f t="shared" si="2"/>
        <v>56</v>
      </c>
      <c r="N19" s="385">
        <f t="shared" si="3"/>
        <v>0.112</v>
      </c>
      <c r="O19" s="11">
        <f t="shared" si="4"/>
        <v>4.0253516907351496</v>
      </c>
      <c r="P19" s="409">
        <f t="shared" si="5"/>
        <v>0</v>
      </c>
      <c r="Q19" s="11">
        <f t="shared" si="6"/>
        <v>0</v>
      </c>
      <c r="R19" s="168">
        <f t="shared" si="7"/>
        <v>0</v>
      </c>
    </row>
    <row r="20" spans="1:21" x14ac:dyDescent="0.25">
      <c r="A20" t="s">
        <v>787</v>
      </c>
      <c r="R20">
        <f>SUM(R8:R19)</f>
        <v>0</v>
      </c>
    </row>
    <row r="21" spans="1:21" x14ac:dyDescent="0.25">
      <c r="A21" t="s">
        <v>788</v>
      </c>
    </row>
    <row r="22" spans="1:21" x14ac:dyDescent="0.25">
      <c r="A22" t="s">
        <v>789</v>
      </c>
      <c r="G22" s="1" t="s">
        <v>853</v>
      </c>
    </row>
    <row r="23" spans="1:21" x14ac:dyDescent="0.25">
      <c r="J23" s="1327" t="s">
        <v>302</v>
      </c>
      <c r="K23" s="1328"/>
      <c r="L23" s="1329"/>
      <c r="M23" s="1327" t="s">
        <v>793</v>
      </c>
      <c r="N23" s="1328"/>
      <c r="O23" s="1329"/>
      <c r="P23" s="1324" t="s">
        <v>303</v>
      </c>
      <c r="Q23" s="1330"/>
    </row>
    <row r="24" spans="1:21" x14ac:dyDescent="0.25">
      <c r="A24" t="s">
        <v>652</v>
      </c>
      <c r="G24" s="392" t="str">
        <f>$A$5</f>
        <v>Cure</v>
      </c>
      <c r="H24" s="379" t="str">
        <f>$B$5</f>
        <v>Gender</v>
      </c>
      <c r="I24" s="379" t="str">
        <f>$C$5</f>
        <v>Therapy</v>
      </c>
      <c r="J24" s="381" t="s">
        <v>791</v>
      </c>
      <c r="K24" s="382" t="s">
        <v>790</v>
      </c>
      <c r="L24" s="383" t="s">
        <v>358</v>
      </c>
      <c r="M24" s="381" t="s">
        <v>792</v>
      </c>
      <c r="N24" s="382" t="s">
        <v>790</v>
      </c>
      <c r="O24" s="383" t="s">
        <v>783</v>
      </c>
      <c r="P24" s="430" t="s">
        <v>243</v>
      </c>
      <c r="Q24" s="432" t="s">
        <v>802</v>
      </c>
      <c r="R24" s="387" t="s">
        <v>109</v>
      </c>
      <c r="T24" s="89" t="s">
        <v>109</v>
      </c>
      <c r="U24" s="391">
        <f>R37</f>
        <v>58.032898940132199</v>
      </c>
    </row>
    <row r="25" spans="1:21" x14ac:dyDescent="0.25">
      <c r="G25" s="6" t="str">
        <f>$A$6</f>
        <v>Positive</v>
      </c>
      <c r="H25" t="str">
        <f>$B$6</f>
        <v>Male</v>
      </c>
      <c r="I25" t="str">
        <f>$C$6</f>
        <v>Therapy 1</v>
      </c>
      <c r="J25" s="6">
        <f>$D$6</f>
        <v>59</v>
      </c>
      <c r="K25" s="384">
        <f>J25/$D$18</f>
        <v>0.11799999999999999</v>
      </c>
      <c r="L25" s="8">
        <f>LN(J25)</f>
        <v>4.0775374439057197</v>
      </c>
      <c r="M25" s="393">
        <f>D54*D77/D18</f>
        <v>47.137999999999998</v>
      </c>
      <c r="N25" s="427">
        <f>M25/$D$18</f>
        <v>9.4275999999999999E-2</v>
      </c>
      <c r="O25" s="428">
        <f>LN(M25)</f>
        <v>3.8530794697941961</v>
      </c>
      <c r="P25" s="429">
        <f>J25-M25</f>
        <v>11.862000000000002</v>
      </c>
      <c r="Q25" s="428">
        <f>P25/SQRT(M25)</f>
        <v>1.7277159542097742</v>
      </c>
      <c r="R25" s="272">
        <f>2*J25*(L25-O25)</f>
        <v>26.486040945159782</v>
      </c>
      <c r="T25" t="s">
        <v>60</v>
      </c>
      <c r="U25" s="272">
        <f>(B27-1)*(A27*C27-1)</f>
        <v>5</v>
      </c>
    </row>
    <row r="26" spans="1:21" x14ac:dyDescent="0.25">
      <c r="A26" s="423" t="str">
        <f>A5</f>
        <v>Cure</v>
      </c>
      <c r="B26" s="423" t="str">
        <f>B5</f>
        <v>Gender</v>
      </c>
      <c r="C26" s="423" t="str">
        <f>C5</f>
        <v>Therapy</v>
      </c>
      <c r="G26" s="6" t="str">
        <f>$A$7</f>
        <v>Positive</v>
      </c>
      <c r="H26" t="str">
        <f>$B$7</f>
        <v>Male</v>
      </c>
      <c r="I26" t="str">
        <f>$C$7</f>
        <v>Therapy 2</v>
      </c>
      <c r="J26" s="6">
        <f>$D$7</f>
        <v>55</v>
      </c>
      <c r="K26" s="384">
        <f t="shared" ref="K26:K36" si="8">J26/$D$18</f>
        <v>0.11</v>
      </c>
      <c r="L26" s="8">
        <f t="shared" ref="L26:L36" si="9">LN(J26)</f>
        <v>4.0073331852324712</v>
      </c>
      <c r="M26" s="6">
        <f>D55*D77/D18</f>
        <v>40.921999999999997</v>
      </c>
      <c r="N26" s="384">
        <f t="shared" ref="N26:N36" si="10">M26/$D$18</f>
        <v>8.1844E-2</v>
      </c>
      <c r="O26" s="8">
        <f t="shared" ref="O26:O36" si="11">LN(M26)</f>
        <v>3.7116678157443674</v>
      </c>
      <c r="P26" s="6">
        <f t="shared" ref="P26:P36" si="12">J26-M26</f>
        <v>14.078000000000003</v>
      </c>
      <c r="Q26" s="8">
        <f t="shared" ref="Q26:Q36" si="13">P26/SQRT(M26)</f>
        <v>2.2007085733726068</v>
      </c>
      <c r="R26" s="272">
        <f t="shared" ref="R26:R36" si="14">2*J26*(L26-O26)</f>
        <v>32.523190643691407</v>
      </c>
      <c r="T26" s="30" t="s">
        <v>48</v>
      </c>
      <c r="U26" s="272">
        <v>0.05</v>
      </c>
    </row>
    <row r="27" spans="1:21" x14ac:dyDescent="0.25">
      <c r="A27" s="10">
        <v>2</v>
      </c>
      <c r="B27" s="10">
        <v>2</v>
      </c>
      <c r="C27" s="10">
        <v>3</v>
      </c>
      <c r="G27" s="6" t="str">
        <f>$A$8</f>
        <v>Positive</v>
      </c>
      <c r="H27" t="str">
        <f>$B$8</f>
        <v>Male</v>
      </c>
      <c r="I27" t="str">
        <f>$C$8</f>
        <v>Therapy 3</v>
      </c>
      <c r="J27" s="6">
        <f>$D$8</f>
        <v>107</v>
      </c>
      <c r="K27" s="384">
        <f t="shared" si="8"/>
        <v>0.214</v>
      </c>
      <c r="L27" s="8">
        <f t="shared" si="9"/>
        <v>4.6728288344619058</v>
      </c>
      <c r="M27" s="6">
        <f>D56*D77/D18</f>
        <v>96.866</v>
      </c>
      <c r="N27" s="384">
        <f t="shared" si="10"/>
        <v>0.19373199999999999</v>
      </c>
      <c r="O27" s="8">
        <f t="shared" si="11"/>
        <v>4.5733285801319328</v>
      </c>
      <c r="P27" s="6">
        <f t="shared" si="12"/>
        <v>10.134</v>
      </c>
      <c r="Q27" s="8">
        <f t="shared" si="13"/>
        <v>1.0296632602460609</v>
      </c>
      <c r="R27" s="272">
        <f t="shared" si="14"/>
        <v>21.293054426614223</v>
      </c>
      <c r="T27" s="372" t="s">
        <v>67</v>
      </c>
      <c r="U27" s="272">
        <f>CHIDIST(U24,U25)</f>
        <v>3.0966898390729441E-11</v>
      </c>
    </row>
    <row r="28" spans="1:21" x14ac:dyDescent="0.25">
      <c r="G28" s="6" t="str">
        <f>$A$9</f>
        <v>Positive</v>
      </c>
      <c r="H28" t="str">
        <f>$B$9</f>
        <v>Female</v>
      </c>
      <c r="I28" t="str">
        <f>$C$9</f>
        <v>Therapy 1</v>
      </c>
      <c r="J28" s="6">
        <f>$D$9</f>
        <v>32</v>
      </c>
      <c r="K28" s="384">
        <f t="shared" si="8"/>
        <v>6.4000000000000001E-2</v>
      </c>
      <c r="L28" s="8">
        <f t="shared" si="9"/>
        <v>3.4657359027997265</v>
      </c>
      <c r="M28" s="6">
        <f>D54*D78/D18</f>
        <v>43.862000000000002</v>
      </c>
      <c r="N28" s="384">
        <f t="shared" si="10"/>
        <v>8.772400000000001E-2</v>
      </c>
      <c r="O28" s="8">
        <f t="shared" si="11"/>
        <v>3.7810483415853136</v>
      </c>
      <c r="P28" s="6">
        <f t="shared" si="12"/>
        <v>-11.862000000000002</v>
      </c>
      <c r="Q28" s="8">
        <f t="shared" si="13"/>
        <v>-1.7910747212642966</v>
      </c>
      <c r="R28" s="272">
        <f t="shared" si="14"/>
        <v>-20.179996082277569</v>
      </c>
      <c r="T28" s="89" t="s">
        <v>110</v>
      </c>
      <c r="U28" s="272">
        <f>CHIINV(U26,U25)</f>
        <v>11.070497693516353</v>
      </c>
    </row>
    <row r="29" spans="1:21" x14ac:dyDescent="0.25">
      <c r="A29" t="s">
        <v>81</v>
      </c>
      <c r="G29" s="6" t="str">
        <f>$A$10</f>
        <v>Positive</v>
      </c>
      <c r="H29" t="str">
        <f>$B$10</f>
        <v>Female</v>
      </c>
      <c r="I29" t="str">
        <f>$C$10</f>
        <v>Therapy 2</v>
      </c>
      <c r="J29" s="6">
        <f>$D$10</f>
        <v>24</v>
      </c>
      <c r="K29" s="384">
        <f t="shared" si="8"/>
        <v>4.8000000000000001E-2</v>
      </c>
      <c r="L29" s="8">
        <f t="shared" si="9"/>
        <v>3.1780538303479458</v>
      </c>
      <c r="M29" s="6">
        <f>D55*D78/D18</f>
        <v>38.078000000000003</v>
      </c>
      <c r="N29" s="384">
        <f t="shared" si="10"/>
        <v>7.6156000000000001E-2</v>
      </c>
      <c r="O29" s="8">
        <f t="shared" si="11"/>
        <v>3.6396366875354849</v>
      </c>
      <c r="P29" s="6">
        <f t="shared" si="12"/>
        <v>-14.078000000000003</v>
      </c>
      <c r="Q29" s="8">
        <f t="shared" si="13"/>
        <v>-2.2814129168820001</v>
      </c>
      <c r="R29" s="272">
        <f t="shared" si="14"/>
        <v>-22.155977145001877</v>
      </c>
      <c r="T29" s="372" t="s">
        <v>527</v>
      </c>
      <c r="U29" s="166" t="str">
        <f>IF(U27&lt;U26,"yes","no")</f>
        <v>yes</v>
      </c>
    </row>
    <row r="30" spans="1:21" x14ac:dyDescent="0.25">
      <c r="G30" s="6" t="str">
        <f>$A$11</f>
        <v>Positive</v>
      </c>
      <c r="H30" t="str">
        <f>$B$11</f>
        <v>Female</v>
      </c>
      <c r="I30" t="str">
        <f>$C$11</f>
        <v>Therapy 3</v>
      </c>
      <c r="J30" s="6">
        <f>$D$11</f>
        <v>80</v>
      </c>
      <c r="K30" s="384">
        <f t="shared" si="8"/>
        <v>0.16</v>
      </c>
      <c r="L30" s="8">
        <f t="shared" si="9"/>
        <v>4.3820266346738812</v>
      </c>
      <c r="M30" s="6">
        <f>D56*D78/D18</f>
        <v>90.134</v>
      </c>
      <c r="N30" s="384">
        <f t="shared" si="10"/>
        <v>0.18026800000000001</v>
      </c>
      <c r="O30" s="8">
        <f t="shared" si="11"/>
        <v>4.5012974519230502</v>
      </c>
      <c r="P30" s="6">
        <f t="shared" si="12"/>
        <v>-10.134</v>
      </c>
      <c r="Q30" s="8">
        <f t="shared" si="13"/>
        <v>-1.0674230520055628</v>
      </c>
      <c r="R30" s="272">
        <f t="shared" si="14"/>
        <v>-19.083330759867039</v>
      </c>
    </row>
    <row r="31" spans="1:21" x14ac:dyDescent="0.25">
      <c r="A31" s="392" t="str">
        <f>$A$5</f>
        <v>Cure</v>
      </c>
      <c r="B31" s="379" t="str">
        <f>$B$5</f>
        <v>Gender</v>
      </c>
      <c r="C31" s="379" t="str">
        <f>$C$5</f>
        <v>Therapy</v>
      </c>
      <c r="D31" s="380" t="str">
        <f>$D$5</f>
        <v>Obs</v>
      </c>
      <c r="G31" s="6" t="str">
        <f>$A$12</f>
        <v>Negative</v>
      </c>
      <c r="H31" t="str">
        <f>$B$12</f>
        <v>Male</v>
      </c>
      <c r="I31" t="str">
        <f>$C$12</f>
        <v>Therapy 1</v>
      </c>
      <c r="J31" s="6">
        <f>$D$12</f>
        <v>9</v>
      </c>
      <c r="K31" s="384">
        <f t="shared" si="8"/>
        <v>1.7999999999999999E-2</v>
      </c>
      <c r="L31" s="8">
        <f t="shared" si="9"/>
        <v>2.1972245773362196</v>
      </c>
      <c r="M31" s="6">
        <f>D57*D77/D18</f>
        <v>12.95</v>
      </c>
      <c r="N31" s="384">
        <f t="shared" si="10"/>
        <v>2.5899999999999999E-2</v>
      </c>
      <c r="O31" s="8">
        <f t="shared" si="11"/>
        <v>2.5610957881455465</v>
      </c>
      <c r="P31" s="6">
        <f t="shared" si="12"/>
        <v>-3.9499999999999993</v>
      </c>
      <c r="Q31" s="8">
        <f t="shared" si="13"/>
        <v>-1.0976457783940385</v>
      </c>
      <c r="R31" s="272">
        <f t="shared" si="14"/>
        <v>-6.5496817945678849</v>
      </c>
    </row>
    <row r="32" spans="1:21" x14ac:dyDescent="0.25">
      <c r="A32" s="6" t="str">
        <f>$A$6</f>
        <v>Positive</v>
      </c>
      <c r="B32" t="str">
        <f>$B$6</f>
        <v>Male</v>
      </c>
      <c r="C32" t="str">
        <f>$C$6</f>
        <v>Therapy 1</v>
      </c>
      <c r="D32" s="424">
        <f>$D$6</f>
        <v>59</v>
      </c>
      <c r="G32" s="6" t="str">
        <f>$A$13</f>
        <v>Negative</v>
      </c>
      <c r="H32" t="str">
        <f>$B$13</f>
        <v>Male</v>
      </c>
      <c r="I32" t="str">
        <f>$C$13</f>
        <v>Therapy 2</v>
      </c>
      <c r="J32" s="6">
        <f>$D$13</f>
        <v>12</v>
      </c>
      <c r="K32" s="384">
        <f t="shared" si="8"/>
        <v>2.4E-2</v>
      </c>
      <c r="L32" s="8">
        <f t="shared" si="9"/>
        <v>2.4849066497880004</v>
      </c>
      <c r="M32" s="6">
        <f>D58*D77/D18</f>
        <v>23.31</v>
      </c>
      <c r="N32" s="384">
        <f t="shared" si="10"/>
        <v>4.6619999999999995E-2</v>
      </c>
      <c r="O32" s="8">
        <f t="shared" si="11"/>
        <v>3.1488824530476656</v>
      </c>
      <c r="P32" s="6">
        <f t="shared" si="12"/>
        <v>-11.309999999999999</v>
      </c>
      <c r="Q32" s="8">
        <f t="shared" si="13"/>
        <v>-2.3425640178245239</v>
      </c>
      <c r="R32" s="272">
        <f t="shared" si="14"/>
        <v>-15.935419278231965</v>
      </c>
    </row>
    <row r="33" spans="1:21" x14ac:dyDescent="0.25">
      <c r="A33" s="6" t="str">
        <f>$A$7</f>
        <v>Positive</v>
      </c>
      <c r="B33" t="str">
        <f>$B$7</f>
        <v>Male</v>
      </c>
      <c r="C33" t="str">
        <f>$C$7</f>
        <v>Therapy 2</v>
      </c>
      <c r="D33" s="7">
        <f>$D$7</f>
        <v>55</v>
      </c>
      <c r="G33" s="6" t="str">
        <f>$A$14</f>
        <v>Negative</v>
      </c>
      <c r="H33" t="str">
        <f>$B$14</f>
        <v>Male</v>
      </c>
      <c r="I33" t="str">
        <f>$C$14</f>
        <v>Therapy 3</v>
      </c>
      <c r="J33" s="6">
        <f>$D$14</f>
        <v>17</v>
      </c>
      <c r="K33" s="384">
        <f t="shared" si="8"/>
        <v>3.4000000000000002E-2</v>
      </c>
      <c r="L33" s="8">
        <f t="shared" si="9"/>
        <v>2.8332133440562162</v>
      </c>
      <c r="M33" s="6">
        <f>D59*D77/D18</f>
        <v>37.814</v>
      </c>
      <c r="N33" s="384">
        <f t="shared" si="10"/>
        <v>7.5628000000000001E-2</v>
      </c>
      <c r="O33" s="8">
        <f t="shared" si="11"/>
        <v>3.6326794044257373</v>
      </c>
      <c r="P33" s="6">
        <f t="shared" si="12"/>
        <v>-20.814</v>
      </c>
      <c r="Q33" s="8">
        <f t="shared" si="13"/>
        <v>-3.384770601714933</v>
      </c>
      <c r="R33" s="272">
        <f t="shared" si="14"/>
        <v>-27.181846052563721</v>
      </c>
    </row>
    <row r="34" spans="1:21" x14ac:dyDescent="0.25">
      <c r="A34" s="6" t="str">
        <f>$A$8</f>
        <v>Positive</v>
      </c>
      <c r="B34" t="str">
        <f>$B$8</f>
        <v>Male</v>
      </c>
      <c r="C34" t="str">
        <f>$C$8</f>
        <v>Therapy 3</v>
      </c>
      <c r="D34" s="7">
        <f>$D$8</f>
        <v>107</v>
      </c>
      <c r="G34" s="6" t="str">
        <f>$A$15</f>
        <v>Negative</v>
      </c>
      <c r="H34" t="str">
        <f>$B$15</f>
        <v>Female</v>
      </c>
      <c r="I34" t="str">
        <f>$C$15</f>
        <v>Therapy 1</v>
      </c>
      <c r="J34" s="6">
        <f>$D$15</f>
        <v>16</v>
      </c>
      <c r="K34" s="384">
        <f t="shared" si="8"/>
        <v>3.2000000000000001E-2</v>
      </c>
      <c r="L34" s="8">
        <f t="shared" si="9"/>
        <v>2.7725887222397811</v>
      </c>
      <c r="M34" s="6">
        <f>D57*D78/D18</f>
        <v>12.05</v>
      </c>
      <c r="N34" s="384">
        <f t="shared" si="10"/>
        <v>2.41E-2</v>
      </c>
      <c r="O34" s="8">
        <f t="shared" si="11"/>
        <v>2.4890646599366639</v>
      </c>
      <c r="P34" s="6">
        <f t="shared" si="12"/>
        <v>3.9499999999999993</v>
      </c>
      <c r="Q34" s="8">
        <f t="shared" si="13"/>
        <v>1.1378986237834625</v>
      </c>
      <c r="R34" s="272">
        <f t="shared" si="14"/>
        <v>9.072769993699751</v>
      </c>
    </row>
    <row r="35" spans="1:21" x14ac:dyDescent="0.25">
      <c r="A35" s="6" t="str">
        <f>$A$9</f>
        <v>Positive</v>
      </c>
      <c r="B35" t="str">
        <f>$B$9</f>
        <v>Female</v>
      </c>
      <c r="C35" t="str">
        <f>$C$9</f>
        <v>Therapy 1</v>
      </c>
      <c r="D35" s="7">
        <f>$D$9</f>
        <v>32</v>
      </c>
      <c r="G35" s="6" t="str">
        <f>$A$16</f>
        <v>Negative</v>
      </c>
      <c r="H35" t="str">
        <f>$B$16</f>
        <v>Female</v>
      </c>
      <c r="I35" t="str">
        <f>$C$16</f>
        <v>Therapy 2</v>
      </c>
      <c r="J35" s="6">
        <f>$D$16</f>
        <v>33</v>
      </c>
      <c r="K35" s="384">
        <f t="shared" si="8"/>
        <v>6.6000000000000003E-2</v>
      </c>
      <c r="L35" s="8">
        <f t="shared" si="9"/>
        <v>3.4965075614664802</v>
      </c>
      <c r="M35" s="6">
        <f>D58*D78/D18</f>
        <v>21.69</v>
      </c>
      <c r="N35" s="384">
        <f t="shared" si="10"/>
        <v>4.3380000000000002E-2</v>
      </c>
      <c r="O35" s="8">
        <f t="shared" si="11"/>
        <v>3.076851324838783</v>
      </c>
      <c r="P35" s="6">
        <f t="shared" si="12"/>
        <v>11.309999999999999</v>
      </c>
      <c r="Q35" s="8">
        <f t="shared" si="13"/>
        <v>2.4284704815311318</v>
      </c>
      <c r="R35" s="272">
        <f t="shared" si="14"/>
        <v>27.697311617428017</v>
      </c>
    </row>
    <row r="36" spans="1:21" x14ac:dyDescent="0.25">
      <c r="A36" s="6" t="str">
        <f>$A$10</f>
        <v>Positive</v>
      </c>
      <c r="B36" t="str">
        <f>$B$10</f>
        <v>Female</v>
      </c>
      <c r="C36" t="str">
        <f>$C$10</f>
        <v>Therapy 2</v>
      </c>
      <c r="D36" s="7">
        <f>$D$10</f>
        <v>24</v>
      </c>
      <c r="G36" s="9" t="str">
        <f>$A$17</f>
        <v>Negative</v>
      </c>
      <c r="H36" s="10" t="str">
        <f>$B$17</f>
        <v>Female</v>
      </c>
      <c r="I36" s="10" t="str">
        <f>$C$17</f>
        <v>Therapy 3</v>
      </c>
      <c r="J36" s="9">
        <f>$D$17</f>
        <v>56</v>
      </c>
      <c r="K36" s="385">
        <f t="shared" si="8"/>
        <v>0.112</v>
      </c>
      <c r="L36" s="11">
        <f t="shared" si="9"/>
        <v>4.0253516907351496</v>
      </c>
      <c r="M36" s="9">
        <f>D59*D78/D18</f>
        <v>35.186</v>
      </c>
      <c r="N36" s="385">
        <f t="shared" si="10"/>
        <v>7.0372000000000004E-2</v>
      </c>
      <c r="O36" s="11">
        <f t="shared" si="11"/>
        <v>3.5606482762168543</v>
      </c>
      <c r="P36" s="409">
        <f t="shared" si="12"/>
        <v>20.814</v>
      </c>
      <c r="Q36" s="11">
        <f t="shared" si="13"/>
        <v>3.5088968457103702</v>
      </c>
      <c r="R36" s="168">
        <f t="shared" si="14"/>
        <v>52.046782426049077</v>
      </c>
    </row>
    <row r="37" spans="1:21" x14ac:dyDescent="0.25">
      <c r="A37" s="6" t="str">
        <f>$A$11</f>
        <v>Positive</v>
      </c>
      <c r="B37" t="str">
        <f>$B$11</f>
        <v>Female</v>
      </c>
      <c r="C37" t="str">
        <f>$C$11</f>
        <v>Therapy 3</v>
      </c>
      <c r="D37" s="7">
        <f>$D$11</f>
        <v>80</v>
      </c>
      <c r="R37">
        <f>SUM(R25:R36)</f>
        <v>58.032898940132199</v>
      </c>
    </row>
    <row r="38" spans="1:21" x14ac:dyDescent="0.25">
      <c r="A38" s="6" t="str">
        <f>$A$12</f>
        <v>Negative</v>
      </c>
      <c r="B38" t="str">
        <f>$B$12</f>
        <v>Male</v>
      </c>
      <c r="C38" t="str">
        <f>$C$12</f>
        <v>Therapy 1</v>
      </c>
      <c r="D38" s="7">
        <f>$D$12</f>
        <v>9</v>
      </c>
    </row>
    <row r="39" spans="1:21" x14ac:dyDescent="0.25">
      <c r="A39" s="6" t="str">
        <f>$A$13</f>
        <v>Negative</v>
      </c>
      <c r="B39" t="str">
        <f>$B$13</f>
        <v>Male</v>
      </c>
      <c r="C39" t="str">
        <f>$C$13</f>
        <v>Therapy 2</v>
      </c>
      <c r="D39" s="7">
        <f>$D$13</f>
        <v>12</v>
      </c>
      <c r="G39" s="1" t="s">
        <v>854</v>
      </c>
    </row>
    <row r="40" spans="1:21" x14ac:dyDescent="0.25">
      <c r="A40" s="6" t="str">
        <f>$A$14</f>
        <v>Negative</v>
      </c>
      <c r="B40" t="str">
        <f>$B$14</f>
        <v>Male</v>
      </c>
      <c r="C40" t="str">
        <f>$C$14</f>
        <v>Therapy 3</v>
      </c>
      <c r="D40" s="7">
        <f>$D$14</f>
        <v>17</v>
      </c>
      <c r="J40" s="1327" t="s">
        <v>302</v>
      </c>
      <c r="K40" s="1328"/>
      <c r="L40" s="1329"/>
      <c r="M40" s="1327" t="s">
        <v>793</v>
      </c>
      <c r="N40" s="1328"/>
      <c r="O40" s="1329"/>
      <c r="P40" s="1324" t="s">
        <v>303</v>
      </c>
      <c r="Q40" s="1330"/>
    </row>
    <row r="41" spans="1:21" x14ac:dyDescent="0.25">
      <c r="A41" s="6" t="str">
        <f>$A$15</f>
        <v>Negative</v>
      </c>
      <c r="B41" t="str">
        <f>$B$15</f>
        <v>Female</v>
      </c>
      <c r="C41" t="str">
        <f>$C$15</f>
        <v>Therapy 1</v>
      </c>
      <c r="D41" s="7">
        <f>$D$15</f>
        <v>16</v>
      </c>
      <c r="G41" s="392" t="str">
        <f>$A$5</f>
        <v>Cure</v>
      </c>
      <c r="H41" s="379" t="str">
        <f>$B$5</f>
        <v>Gender</v>
      </c>
      <c r="I41" s="379" t="str">
        <f>$C$5</f>
        <v>Therapy</v>
      </c>
      <c r="J41" s="381" t="s">
        <v>791</v>
      </c>
      <c r="K41" s="382" t="s">
        <v>790</v>
      </c>
      <c r="L41" s="383" t="s">
        <v>358</v>
      </c>
      <c r="M41" s="381" t="s">
        <v>792</v>
      </c>
      <c r="N41" s="382" t="s">
        <v>790</v>
      </c>
      <c r="O41" s="383" t="s">
        <v>783</v>
      </c>
      <c r="P41" s="430" t="s">
        <v>243</v>
      </c>
      <c r="Q41" s="432" t="s">
        <v>802</v>
      </c>
      <c r="R41" s="387" t="s">
        <v>109</v>
      </c>
      <c r="T41" s="89" t="s">
        <v>109</v>
      </c>
      <c r="U41" s="391">
        <f>R54</f>
        <v>60.302394034976658</v>
      </c>
    </row>
    <row r="42" spans="1:21" x14ac:dyDescent="0.25">
      <c r="A42" s="6" t="str">
        <f>$A$16</f>
        <v>Negative</v>
      </c>
      <c r="B42" t="str">
        <f>$B$16</f>
        <v>Female</v>
      </c>
      <c r="C42" t="str">
        <f>$C$16</f>
        <v>Therapy 2</v>
      </c>
      <c r="D42" s="7">
        <f>$D$16</f>
        <v>33</v>
      </c>
      <c r="G42" s="6" t="str">
        <f>$A$6</f>
        <v>Positive</v>
      </c>
      <c r="H42" t="str">
        <f>$B$6</f>
        <v>Male</v>
      </c>
      <c r="I42" t="str">
        <f>$C$6</f>
        <v>Therapy 1</v>
      </c>
      <c r="J42" s="6">
        <f>$D$6</f>
        <v>59</v>
      </c>
      <c r="K42" s="384">
        <f>J42/$D$18</f>
        <v>0.11799999999999999</v>
      </c>
      <c r="L42" s="8">
        <f>LN(J42)</f>
        <v>4.0775374439057197</v>
      </c>
      <c r="M42" s="393">
        <f>D63*D72/$D$18</f>
        <v>48.552</v>
      </c>
      <c r="N42" s="427">
        <f>M42/$D$18</f>
        <v>9.7103999999999996E-2</v>
      </c>
      <c r="O42" s="428">
        <f>LN(M42)</f>
        <v>3.8826353885335538</v>
      </c>
      <c r="P42" s="429">
        <f>J42-M42</f>
        <v>10.448</v>
      </c>
      <c r="Q42" s="428">
        <f>P42/SQRT(M42)</f>
        <v>1.4994417591420992</v>
      </c>
      <c r="R42" s="272">
        <f>2*J42*(L42-O42)</f>
        <v>22.998442533915572</v>
      </c>
      <c r="T42" t="s">
        <v>60</v>
      </c>
      <c r="U42" s="272">
        <f>(A27-1)*(B27*C27-1)</f>
        <v>5</v>
      </c>
    </row>
    <row r="43" spans="1:21" x14ac:dyDescent="0.25">
      <c r="A43" s="9" t="str">
        <f>$A$17</f>
        <v>Negative</v>
      </c>
      <c r="B43" s="10" t="str">
        <f>$B$17</f>
        <v>Female</v>
      </c>
      <c r="C43" s="10" t="str">
        <f>$C$17</f>
        <v>Therapy 3</v>
      </c>
      <c r="D43" s="10">
        <f>$D$17</f>
        <v>56</v>
      </c>
      <c r="G43" s="6" t="str">
        <f>$A$7</f>
        <v>Positive</v>
      </c>
      <c r="H43" t="str">
        <f>$B$7</f>
        <v>Male</v>
      </c>
      <c r="I43" t="str">
        <f>$C$7</f>
        <v>Therapy 2</v>
      </c>
      <c r="J43" s="6">
        <f>$D$7</f>
        <v>55</v>
      </c>
      <c r="K43" s="384">
        <f t="shared" ref="K43:K53" si="15">J43/$D$18</f>
        <v>0.11</v>
      </c>
      <c r="L43" s="8">
        <f t="shared" ref="L43:L53" si="16">LN(J43)</f>
        <v>4.0073331852324712</v>
      </c>
      <c r="M43" s="6">
        <f>D64*D72/$D$18</f>
        <v>47.838000000000001</v>
      </c>
      <c r="N43" s="384">
        <f t="shared" ref="N43:N53" si="17">M43/$D$18</f>
        <v>9.5675999999999997E-2</v>
      </c>
      <c r="O43" s="8">
        <f t="shared" ref="O43:O53" si="18">LN(M43)</f>
        <v>3.8678203027484135</v>
      </c>
      <c r="P43" s="6">
        <f t="shared" ref="P43:P53" si="19">J43-M43</f>
        <v>7.161999999999999</v>
      </c>
      <c r="Q43" s="8">
        <f t="shared" ref="Q43:Q53" si="20">P43/SQRT(M43)</f>
        <v>1.0354945308643482</v>
      </c>
      <c r="R43" s="272">
        <f t="shared" ref="R43:R53" si="21">2*J43*(L43-O43)</f>
        <v>15.346417073246347</v>
      </c>
      <c r="T43" s="30" t="s">
        <v>48</v>
      </c>
      <c r="U43" s="272">
        <v>0.05</v>
      </c>
    </row>
    <row r="44" spans="1:21" x14ac:dyDescent="0.25">
      <c r="A44" s="7"/>
      <c r="B44" s="7"/>
      <c r="C44" s="7"/>
      <c r="D44" s="7">
        <f>SUM(D32:D43)</f>
        <v>500</v>
      </c>
      <c r="G44" s="6" t="str">
        <f>$A$8</f>
        <v>Positive</v>
      </c>
      <c r="H44" t="str">
        <f>$B$8</f>
        <v>Male</v>
      </c>
      <c r="I44" t="str">
        <f>$C$8</f>
        <v>Therapy 3</v>
      </c>
      <c r="J44" s="6">
        <f>$D$8</f>
        <v>107</v>
      </c>
      <c r="K44" s="384">
        <f t="shared" si="15"/>
        <v>0.214</v>
      </c>
      <c r="L44" s="8">
        <f t="shared" si="16"/>
        <v>4.6728288344619058</v>
      </c>
      <c r="M44" s="6">
        <f>D65*D72/$D$18</f>
        <v>88.536000000000001</v>
      </c>
      <c r="N44" s="384">
        <f t="shared" si="17"/>
        <v>0.17707200000000001</v>
      </c>
      <c r="O44" s="8">
        <f t="shared" si="18"/>
        <v>4.4834092489624844</v>
      </c>
      <c r="P44" s="6">
        <f t="shared" si="19"/>
        <v>18.463999999999999</v>
      </c>
      <c r="Q44" s="8">
        <f t="shared" si="20"/>
        <v>1.9623019842617053</v>
      </c>
      <c r="R44" s="272">
        <f t="shared" si="21"/>
        <v>40.535791296876177</v>
      </c>
      <c r="T44" s="372" t="s">
        <v>67</v>
      </c>
      <c r="U44" s="272">
        <f>CHIDIST(U41,U42)</f>
        <v>1.0525518854310249E-11</v>
      </c>
    </row>
    <row r="45" spans="1:21" x14ac:dyDescent="0.25">
      <c r="G45" s="6" t="str">
        <f>$A$9</f>
        <v>Positive</v>
      </c>
      <c r="H45" t="str">
        <f>$B$9</f>
        <v>Female</v>
      </c>
      <c r="I45" t="str">
        <f>$C$9</f>
        <v>Therapy 1</v>
      </c>
      <c r="J45" s="6">
        <f>$D$9</f>
        <v>32</v>
      </c>
      <c r="K45" s="384">
        <f t="shared" si="15"/>
        <v>6.4000000000000001E-2</v>
      </c>
      <c r="L45" s="8">
        <f t="shared" si="16"/>
        <v>3.4657359027997265</v>
      </c>
      <c r="M45" s="6">
        <f>D66*D72/$D$18</f>
        <v>34.271999999999998</v>
      </c>
      <c r="N45" s="384">
        <f t="shared" si="17"/>
        <v>6.8543999999999994E-2</v>
      </c>
      <c r="O45" s="8">
        <f t="shared" si="18"/>
        <v>3.534328694265338</v>
      </c>
      <c r="P45" s="6">
        <f t="shared" si="19"/>
        <v>-2.2719999999999985</v>
      </c>
      <c r="Q45" s="8">
        <f t="shared" si="20"/>
        <v>-0.38809549586697262</v>
      </c>
      <c r="R45" s="272">
        <f t="shared" si="21"/>
        <v>-4.3899386537991347</v>
      </c>
      <c r="T45" s="89" t="s">
        <v>110</v>
      </c>
      <c r="U45" s="272">
        <f>CHIINV(U43,U42)</f>
        <v>11.070497693516353</v>
      </c>
    </row>
    <row r="46" spans="1:21" x14ac:dyDescent="0.25">
      <c r="A46" s="392" t="str">
        <f>$A$5</f>
        <v>Cure</v>
      </c>
      <c r="B46" s="379" t="str">
        <f>$B$5</f>
        <v>Gender</v>
      </c>
      <c r="C46" s="379" t="str">
        <f>$C$5</f>
        <v>Therapy</v>
      </c>
      <c r="D46" s="380" t="str">
        <f>$D$5</f>
        <v>Obs</v>
      </c>
      <c r="E46" s="380" t="s">
        <v>794</v>
      </c>
      <c r="G46" s="6" t="str">
        <f>$A$10</f>
        <v>Positive</v>
      </c>
      <c r="H46" t="str">
        <f>$B$10</f>
        <v>Female</v>
      </c>
      <c r="I46" t="str">
        <f>$C$10</f>
        <v>Therapy 2</v>
      </c>
      <c r="J46" s="6">
        <f>$D$10</f>
        <v>24</v>
      </c>
      <c r="K46" s="384">
        <f t="shared" si="15"/>
        <v>4.8000000000000001E-2</v>
      </c>
      <c r="L46" s="8">
        <f t="shared" si="16"/>
        <v>3.1780538303479458</v>
      </c>
      <c r="M46" s="6">
        <f>D67*D72/$D$18</f>
        <v>40.698</v>
      </c>
      <c r="N46" s="384">
        <f t="shared" si="17"/>
        <v>8.1395999999999996E-2</v>
      </c>
      <c r="O46" s="8">
        <f t="shared" si="18"/>
        <v>3.7061789511919976</v>
      </c>
      <c r="P46" s="6">
        <f t="shared" si="19"/>
        <v>-16.698</v>
      </c>
      <c r="Q46" s="8">
        <f t="shared" si="20"/>
        <v>-2.6174471595250579</v>
      </c>
      <c r="R46" s="272">
        <f t="shared" si="21"/>
        <v>-25.350005800514488</v>
      </c>
      <c r="T46" s="372" t="s">
        <v>527</v>
      </c>
      <c r="U46" s="166" t="str">
        <f>IF(U44&lt;U43,"yes","no")</f>
        <v>yes</v>
      </c>
    </row>
    <row r="47" spans="1:21" x14ac:dyDescent="0.25">
      <c r="A47" t="str">
        <f>A6</f>
        <v>Positive</v>
      </c>
      <c r="B47" t="str">
        <f>B6</f>
        <v>Male</v>
      </c>
      <c r="D47">
        <f>SUMIFS($D$32:$D$43,$A$32:$A$43,A47,$B$32:$B$43,B47)</f>
        <v>221</v>
      </c>
      <c r="E47" s="54">
        <f>D47/$D$51</f>
        <v>0.442</v>
      </c>
      <c r="G47" s="6" t="str">
        <f>$A$11</f>
        <v>Positive</v>
      </c>
      <c r="H47" t="str">
        <f>$B$11</f>
        <v>Female</v>
      </c>
      <c r="I47" t="str">
        <f>$C$11</f>
        <v>Therapy 3</v>
      </c>
      <c r="J47" s="6">
        <f>$D$11</f>
        <v>80</v>
      </c>
      <c r="K47" s="384">
        <f t="shared" si="15"/>
        <v>0.16</v>
      </c>
      <c r="L47" s="8">
        <f t="shared" si="16"/>
        <v>4.3820266346738812</v>
      </c>
      <c r="M47" s="6">
        <f>D68*D72/$D$18</f>
        <v>97.103999999999999</v>
      </c>
      <c r="N47" s="384">
        <f t="shared" si="17"/>
        <v>0.19420799999999999</v>
      </c>
      <c r="O47" s="8">
        <f t="shared" si="18"/>
        <v>4.5757825690934997</v>
      </c>
      <c r="P47" s="6">
        <f t="shared" si="19"/>
        <v>-17.103999999999999</v>
      </c>
      <c r="Q47" s="8">
        <f t="shared" si="20"/>
        <v>-1.7357178422046509</v>
      </c>
      <c r="R47" s="272">
        <f t="shared" si="21"/>
        <v>-31.000949507138955</v>
      </c>
    </row>
    <row r="48" spans="1:21" x14ac:dyDescent="0.25">
      <c r="A48" t="str">
        <f>A47</f>
        <v>Positive</v>
      </c>
      <c r="B48" t="str">
        <f>B9</f>
        <v>Female</v>
      </c>
      <c r="D48">
        <f>SUMIFS($D$32:$D$43,$A$32:$A$43,A48,$B$32:$B$43,B48)</f>
        <v>136</v>
      </c>
      <c r="E48" s="54">
        <f>D48/$D$51</f>
        <v>0.27200000000000002</v>
      </c>
      <c r="G48" s="6" t="str">
        <f>$A$12</f>
        <v>Negative</v>
      </c>
      <c r="H48" t="str">
        <f>$B$12</f>
        <v>Male</v>
      </c>
      <c r="I48" t="str">
        <f>$C$12</f>
        <v>Therapy 1</v>
      </c>
      <c r="J48" s="6">
        <f>$D$12</f>
        <v>9</v>
      </c>
      <c r="K48" s="384">
        <f t="shared" si="15"/>
        <v>1.7999999999999999E-2</v>
      </c>
      <c r="L48" s="8">
        <f t="shared" si="16"/>
        <v>2.1972245773362196</v>
      </c>
      <c r="M48" s="6">
        <f>D63*D73/$D$18</f>
        <v>19.448</v>
      </c>
      <c r="N48" s="384">
        <f t="shared" si="17"/>
        <v>3.8896E-2</v>
      </c>
      <c r="O48" s="8">
        <f t="shared" si="18"/>
        <v>2.9677442370138221</v>
      </c>
      <c r="P48" s="6">
        <f t="shared" si="19"/>
        <v>-10.448</v>
      </c>
      <c r="Q48" s="8">
        <f t="shared" si="20"/>
        <v>-2.3691670887390908</v>
      </c>
      <c r="R48" s="272">
        <f t="shared" si="21"/>
        <v>-13.869353874196845</v>
      </c>
    </row>
    <row r="49" spans="1:21" x14ac:dyDescent="0.25">
      <c r="A49" t="str">
        <f>A12</f>
        <v>Negative</v>
      </c>
      <c r="B49" t="str">
        <f>B47</f>
        <v>Male</v>
      </c>
      <c r="D49">
        <f>SUMIFS($D$32:$D$43,$A$32:$A$43,A49,$B$32:$B$43,B49)</f>
        <v>38</v>
      </c>
      <c r="E49" s="54">
        <f>D49/$D$51</f>
        <v>7.5999999999999998E-2</v>
      </c>
      <c r="G49" s="6" t="str">
        <f>$A$13</f>
        <v>Negative</v>
      </c>
      <c r="H49" t="str">
        <f>$B$13</f>
        <v>Male</v>
      </c>
      <c r="I49" t="str">
        <f>$C$13</f>
        <v>Therapy 2</v>
      </c>
      <c r="J49" s="6">
        <f>$D$13</f>
        <v>12</v>
      </c>
      <c r="K49" s="384">
        <f t="shared" si="15"/>
        <v>2.4E-2</v>
      </c>
      <c r="L49" s="8">
        <f t="shared" si="16"/>
        <v>2.4849066497880004</v>
      </c>
      <c r="M49" s="6">
        <f>D64*D73/$D$18</f>
        <v>19.161999999999999</v>
      </c>
      <c r="N49" s="384">
        <f t="shared" si="17"/>
        <v>3.8323999999999997E-2</v>
      </c>
      <c r="O49" s="8">
        <f t="shared" si="18"/>
        <v>2.9529291512286817</v>
      </c>
      <c r="P49" s="6">
        <f t="shared" si="19"/>
        <v>-7.161999999999999</v>
      </c>
      <c r="Q49" s="8">
        <f t="shared" si="20"/>
        <v>-1.6361152729911719</v>
      </c>
      <c r="R49" s="272">
        <f t="shared" si="21"/>
        <v>-11.232540034576353</v>
      </c>
    </row>
    <row r="50" spans="1:21" x14ac:dyDescent="0.25">
      <c r="A50" s="10" t="str">
        <f>A49</f>
        <v>Negative</v>
      </c>
      <c r="B50" s="10" t="str">
        <f>B48</f>
        <v>Female</v>
      </c>
      <c r="C50" s="10"/>
      <c r="D50" s="10">
        <f>SUMIFS($D$32:$D$43,$A$32:$A$43,A50,$B$32:$B$43,B50)</f>
        <v>105</v>
      </c>
      <c r="E50" s="385">
        <f>D50/$D$51</f>
        <v>0.21</v>
      </c>
      <c r="G50" s="6" t="str">
        <f>$A$14</f>
        <v>Negative</v>
      </c>
      <c r="H50" t="str">
        <f>$B$14</f>
        <v>Male</v>
      </c>
      <c r="I50" t="str">
        <f>$C$14</f>
        <v>Therapy 3</v>
      </c>
      <c r="J50" s="6">
        <f>$D$14</f>
        <v>17</v>
      </c>
      <c r="K50" s="384">
        <f t="shared" si="15"/>
        <v>3.4000000000000002E-2</v>
      </c>
      <c r="L50" s="8">
        <f t="shared" si="16"/>
        <v>2.8332133440562162</v>
      </c>
      <c r="M50" s="6">
        <f>D65*D73/$D$18</f>
        <v>35.463999999999999</v>
      </c>
      <c r="N50" s="384">
        <f t="shared" si="17"/>
        <v>7.0927999999999991E-2</v>
      </c>
      <c r="O50" s="8">
        <f t="shared" si="18"/>
        <v>3.5685180974427522</v>
      </c>
      <c r="P50" s="6">
        <f t="shared" si="19"/>
        <v>-18.463999999999999</v>
      </c>
      <c r="Q50" s="8">
        <f t="shared" si="20"/>
        <v>-3.1005014038959193</v>
      </c>
      <c r="R50" s="272">
        <f t="shared" si="21"/>
        <v>-25.000361615142225</v>
      </c>
    </row>
    <row r="51" spans="1:21" x14ac:dyDescent="0.25">
      <c r="A51" s="7"/>
      <c r="B51" s="7"/>
      <c r="C51" s="7"/>
      <c r="D51" s="7">
        <f>SUM(D47:D50)</f>
        <v>500</v>
      </c>
      <c r="G51" s="6" t="str">
        <f>$A$15</f>
        <v>Negative</v>
      </c>
      <c r="H51" t="str">
        <f>$B$15</f>
        <v>Female</v>
      </c>
      <c r="I51" t="str">
        <f>$C$15</f>
        <v>Therapy 1</v>
      </c>
      <c r="J51" s="6">
        <f>$D$15</f>
        <v>16</v>
      </c>
      <c r="K51" s="384">
        <f t="shared" si="15"/>
        <v>3.2000000000000001E-2</v>
      </c>
      <c r="L51" s="8">
        <f t="shared" si="16"/>
        <v>2.7725887222397811</v>
      </c>
      <c r="M51" s="6">
        <f>D66*D73/$D$18</f>
        <v>13.728</v>
      </c>
      <c r="N51" s="384">
        <f t="shared" si="17"/>
        <v>2.7456000000000001E-2</v>
      </c>
      <c r="O51" s="8">
        <f t="shared" si="18"/>
        <v>2.6194375427456063</v>
      </c>
      <c r="P51" s="6">
        <f t="shared" si="19"/>
        <v>2.2720000000000002</v>
      </c>
      <c r="Q51" s="8">
        <f t="shared" si="20"/>
        <v>0.61320359426429338</v>
      </c>
      <c r="R51" s="272">
        <f t="shared" si="21"/>
        <v>4.9008377438135966</v>
      </c>
    </row>
    <row r="52" spans="1:21" x14ac:dyDescent="0.25">
      <c r="G52" s="6" t="str">
        <f>$A$16</f>
        <v>Negative</v>
      </c>
      <c r="H52" t="str">
        <f>$B$16</f>
        <v>Female</v>
      </c>
      <c r="I52" t="str">
        <f>$C$16</f>
        <v>Therapy 2</v>
      </c>
      <c r="J52" s="6">
        <f>$D$16</f>
        <v>33</v>
      </c>
      <c r="K52" s="384">
        <f t="shared" si="15"/>
        <v>6.6000000000000003E-2</v>
      </c>
      <c r="L52" s="8">
        <f t="shared" si="16"/>
        <v>3.4965075614664802</v>
      </c>
      <c r="M52" s="6">
        <f>D67*D73/$D$18</f>
        <v>16.302</v>
      </c>
      <c r="N52" s="384">
        <f t="shared" si="17"/>
        <v>3.2604000000000001E-2</v>
      </c>
      <c r="O52" s="8">
        <f t="shared" si="18"/>
        <v>2.7912877996722658</v>
      </c>
      <c r="P52" s="6">
        <f t="shared" si="19"/>
        <v>16.698</v>
      </c>
      <c r="Q52" s="8">
        <f t="shared" si="20"/>
        <v>4.1356522379424483</v>
      </c>
      <c r="R52" s="272">
        <f t="shared" si="21"/>
        <v>46.544504278418152</v>
      </c>
    </row>
    <row r="53" spans="1:21" x14ac:dyDescent="0.25">
      <c r="A53" s="392" t="str">
        <f>$A$5</f>
        <v>Cure</v>
      </c>
      <c r="B53" s="379" t="str">
        <f>$B$5</f>
        <v>Gender</v>
      </c>
      <c r="C53" s="379" t="str">
        <f>$C$5</f>
        <v>Therapy</v>
      </c>
      <c r="D53" s="380" t="str">
        <f>$D$5</f>
        <v>Obs</v>
      </c>
      <c r="E53" s="380" t="str">
        <f>$E$46</f>
        <v>Prob</v>
      </c>
      <c r="G53" s="9" t="str">
        <f>$A$17</f>
        <v>Negative</v>
      </c>
      <c r="H53" s="10" t="str">
        <f>$B$17</f>
        <v>Female</v>
      </c>
      <c r="I53" s="10" t="str">
        <f>$C$17</f>
        <v>Therapy 3</v>
      </c>
      <c r="J53" s="9">
        <f>$D$17</f>
        <v>56</v>
      </c>
      <c r="K53" s="385">
        <f t="shared" si="15"/>
        <v>0.112</v>
      </c>
      <c r="L53" s="11">
        <f t="shared" si="16"/>
        <v>4.0253516907351496</v>
      </c>
      <c r="M53" s="9">
        <f>D68*D73/$D$18</f>
        <v>38.896000000000001</v>
      </c>
      <c r="N53" s="385">
        <f t="shared" si="17"/>
        <v>7.7792E-2</v>
      </c>
      <c r="O53" s="11">
        <f t="shared" si="18"/>
        <v>3.6608914175737675</v>
      </c>
      <c r="P53" s="409">
        <f t="shared" si="19"/>
        <v>17.103999999999999</v>
      </c>
      <c r="Q53" s="11">
        <f t="shared" si="20"/>
        <v>2.7424910384257104</v>
      </c>
      <c r="R53" s="168">
        <f t="shared" si="21"/>
        <v>40.819550594074805</v>
      </c>
    </row>
    <row r="54" spans="1:21" x14ac:dyDescent="0.25">
      <c r="A54" t="str">
        <f>A6</f>
        <v>Positive</v>
      </c>
      <c r="C54" t="str">
        <f>C6</f>
        <v>Therapy 1</v>
      </c>
      <c r="D54">
        <f t="shared" ref="D54:D59" si="22">SUMIFS($D$32:$D$43,$A$32:$A$43,A54,$C$32:$C$43,C54)</f>
        <v>91</v>
      </c>
      <c r="E54" s="54">
        <f t="shared" ref="E54:E59" si="23">D54/$D$60</f>
        <v>0.182</v>
      </c>
      <c r="R54">
        <f>SUM(R42:R53)</f>
        <v>60.302394034976658</v>
      </c>
    </row>
    <row r="55" spans="1:21" x14ac:dyDescent="0.25">
      <c r="A55" t="str">
        <f>A54</f>
        <v>Positive</v>
      </c>
      <c r="C55" t="str">
        <f>C7</f>
        <v>Therapy 2</v>
      </c>
      <c r="D55">
        <f t="shared" si="22"/>
        <v>79</v>
      </c>
      <c r="E55" s="54">
        <f t="shared" si="23"/>
        <v>0.158</v>
      </c>
    </row>
    <row r="56" spans="1:21" x14ac:dyDescent="0.25">
      <c r="A56" t="str">
        <f>A55</f>
        <v>Positive</v>
      </c>
      <c r="C56" t="str">
        <f>C8</f>
        <v>Therapy 3</v>
      </c>
      <c r="D56">
        <f t="shared" si="22"/>
        <v>187</v>
      </c>
      <c r="E56" s="54">
        <f t="shared" si="23"/>
        <v>0.374</v>
      </c>
      <c r="G56" s="1" t="s">
        <v>855</v>
      </c>
    </row>
    <row r="57" spans="1:21" x14ac:dyDescent="0.25">
      <c r="A57" t="str">
        <f>A12</f>
        <v>Negative</v>
      </c>
      <c r="C57" t="str">
        <f>C54</f>
        <v>Therapy 1</v>
      </c>
      <c r="D57">
        <f t="shared" si="22"/>
        <v>25</v>
      </c>
      <c r="E57" s="54">
        <f t="shared" si="23"/>
        <v>0.05</v>
      </c>
      <c r="J57" s="1327" t="s">
        <v>302</v>
      </c>
      <c r="K57" s="1328"/>
      <c r="L57" s="1329"/>
      <c r="M57" s="1327" t="s">
        <v>793</v>
      </c>
      <c r="N57" s="1328"/>
      <c r="O57" s="1329"/>
      <c r="P57" s="1324" t="s">
        <v>303</v>
      </c>
      <c r="Q57" s="1330"/>
    </row>
    <row r="58" spans="1:21" x14ac:dyDescent="0.25">
      <c r="A58" t="str">
        <f>A57</f>
        <v>Negative</v>
      </c>
      <c r="C58" t="str">
        <f>C55</f>
        <v>Therapy 2</v>
      </c>
      <c r="D58">
        <f t="shared" si="22"/>
        <v>45</v>
      </c>
      <c r="E58" s="54">
        <f t="shared" si="23"/>
        <v>0.09</v>
      </c>
      <c r="G58" s="392" t="str">
        <f>$A$5</f>
        <v>Cure</v>
      </c>
      <c r="H58" s="379" t="str">
        <f>$B$5</f>
        <v>Gender</v>
      </c>
      <c r="I58" s="379" t="str">
        <f>$C$5</f>
        <v>Therapy</v>
      </c>
      <c r="J58" s="381" t="s">
        <v>791</v>
      </c>
      <c r="K58" s="382" t="s">
        <v>790</v>
      </c>
      <c r="L58" s="383" t="s">
        <v>358</v>
      </c>
      <c r="M58" s="381" t="s">
        <v>792</v>
      </c>
      <c r="N58" s="382" t="s">
        <v>790</v>
      </c>
      <c r="O58" s="383" t="s">
        <v>783</v>
      </c>
      <c r="P58" s="430" t="s">
        <v>243</v>
      </c>
      <c r="Q58" s="432" t="s">
        <v>802</v>
      </c>
      <c r="R58" s="387" t="s">
        <v>109</v>
      </c>
      <c r="T58" s="89" t="s">
        <v>109</v>
      </c>
      <c r="U58" s="391">
        <f>R71</f>
        <v>12.040798754725822</v>
      </c>
    </row>
    <row r="59" spans="1:21" x14ac:dyDescent="0.25">
      <c r="A59" s="10" t="str">
        <f>A58</f>
        <v>Negative</v>
      </c>
      <c r="B59" s="10"/>
      <c r="C59" s="10" t="str">
        <f>C56</f>
        <v>Therapy 3</v>
      </c>
      <c r="D59" s="10">
        <f t="shared" si="22"/>
        <v>73</v>
      </c>
      <c r="E59" s="385">
        <f t="shared" si="23"/>
        <v>0.14599999999999999</v>
      </c>
      <c r="G59" s="6" t="str">
        <f>$A$6</f>
        <v>Positive</v>
      </c>
      <c r="H59" t="str">
        <f>$B$6</f>
        <v>Male</v>
      </c>
      <c r="I59" t="str">
        <f>$C$6</f>
        <v>Therapy 1</v>
      </c>
      <c r="J59" s="6">
        <f>$D$6</f>
        <v>59</v>
      </c>
      <c r="K59" s="384">
        <f>J59/$D$18</f>
        <v>0.11799999999999999</v>
      </c>
      <c r="L59" s="8">
        <f>LN(J59)</f>
        <v>4.0775374439057197</v>
      </c>
      <c r="M59" s="393">
        <f>D47*D82/$D$18</f>
        <v>51.271999999999998</v>
      </c>
      <c r="N59" s="427">
        <f>M59/$D$18</f>
        <v>0.102544</v>
      </c>
      <c r="O59" s="428">
        <f>LN(M59)</f>
        <v>3.9371447942019255</v>
      </c>
      <c r="P59" s="429">
        <f>J59-M59</f>
        <v>7.7280000000000015</v>
      </c>
      <c r="Q59" s="428">
        <f>P59/SQRT(M59)</f>
        <v>1.0792622434654489</v>
      </c>
      <c r="R59" s="272">
        <f>2*J59*(L59-O59)</f>
        <v>16.56633266504771</v>
      </c>
      <c r="T59" t="s">
        <v>60</v>
      </c>
      <c r="U59" s="272">
        <f>(C27-1)*(A27*B27-1)</f>
        <v>6</v>
      </c>
    </row>
    <row r="60" spans="1:21" x14ac:dyDescent="0.25">
      <c r="A60" s="7"/>
      <c r="B60" s="7"/>
      <c r="C60" s="7"/>
      <c r="D60" s="7">
        <f>SUM(D54:D59)</f>
        <v>500</v>
      </c>
      <c r="G60" s="6" t="str">
        <f>$A$7</f>
        <v>Positive</v>
      </c>
      <c r="H60" t="str">
        <f>$B$7</f>
        <v>Male</v>
      </c>
      <c r="I60" t="str">
        <f>$C$7</f>
        <v>Therapy 2</v>
      </c>
      <c r="J60" s="6">
        <f>$D$7</f>
        <v>55</v>
      </c>
      <c r="K60" s="384">
        <f t="shared" ref="K60:K70" si="24">J60/$D$18</f>
        <v>0.11</v>
      </c>
      <c r="L60" s="8">
        <f t="shared" ref="L60:L70" si="25">LN(J60)</f>
        <v>4.0073331852324712</v>
      </c>
      <c r="M60" s="6">
        <f>D47*D83/$D$18</f>
        <v>54.808</v>
      </c>
      <c r="N60" s="384">
        <f t="shared" ref="N60:N70" si="26">M60/$D$18</f>
        <v>0.10961600000000001</v>
      </c>
      <c r="O60" s="8">
        <f t="shared" ref="O60:O70" si="27">LN(M60)</f>
        <v>4.0038361687005981</v>
      </c>
      <c r="P60" s="6">
        <f t="shared" ref="P60:P70" si="28">J60-M60</f>
        <v>0.19200000000000017</v>
      </c>
      <c r="Q60" s="8">
        <f t="shared" ref="Q60:Q70" si="29">P60/SQRT(M60)</f>
        <v>2.5934581927904998E-2</v>
      </c>
      <c r="R60" s="272">
        <f t="shared" ref="R60:R70" si="30">2*J60*(L60-O60)</f>
        <v>0.38467181850603716</v>
      </c>
      <c r="T60" s="30" t="s">
        <v>48</v>
      </c>
      <c r="U60" s="272">
        <v>0.05</v>
      </c>
    </row>
    <row r="61" spans="1:21" x14ac:dyDescent="0.25">
      <c r="G61" s="6" t="str">
        <f>$A$8</f>
        <v>Positive</v>
      </c>
      <c r="H61" t="str">
        <f>$B$8</f>
        <v>Male</v>
      </c>
      <c r="I61" t="str">
        <f>$C$8</f>
        <v>Therapy 3</v>
      </c>
      <c r="J61" s="6">
        <f>$D$8</f>
        <v>107</v>
      </c>
      <c r="K61" s="384">
        <f t="shared" si="24"/>
        <v>0.214</v>
      </c>
      <c r="L61" s="8">
        <f t="shared" si="25"/>
        <v>4.6728288344619058</v>
      </c>
      <c r="M61" s="6">
        <f>D47*D84/$D$18</f>
        <v>114.92</v>
      </c>
      <c r="N61" s="384">
        <f t="shared" si="26"/>
        <v>0.22984000000000002</v>
      </c>
      <c r="O61" s="8">
        <f t="shared" si="27"/>
        <v>4.7442362341110886</v>
      </c>
      <c r="P61" s="6">
        <f t="shared" si="28"/>
        <v>-7.9200000000000017</v>
      </c>
      <c r="Q61" s="8">
        <f t="shared" si="29"/>
        <v>-0.73880082703375294</v>
      </c>
      <c r="R61" s="272">
        <f t="shared" si="30"/>
        <v>-15.281183524925131</v>
      </c>
      <c r="T61" s="372" t="s">
        <v>67</v>
      </c>
      <c r="U61" s="272">
        <f>CHIDIST(U58,U59)</f>
        <v>6.1064798869981202E-2</v>
      </c>
    </row>
    <row r="62" spans="1:21" x14ac:dyDescent="0.25">
      <c r="A62" s="392" t="str">
        <f>$A$5</f>
        <v>Cure</v>
      </c>
      <c r="B62" s="379" t="str">
        <f>$B$5</f>
        <v>Gender</v>
      </c>
      <c r="C62" s="379" t="str">
        <f>$C$5</f>
        <v>Therapy</v>
      </c>
      <c r="D62" s="380" t="str">
        <f>$D$5</f>
        <v>Obs</v>
      </c>
      <c r="E62" s="380" t="str">
        <f>$E$46</f>
        <v>Prob</v>
      </c>
      <c r="G62" s="6" t="str">
        <f>$A$9</f>
        <v>Positive</v>
      </c>
      <c r="H62" t="str">
        <f>$B$9</f>
        <v>Female</v>
      </c>
      <c r="I62" t="str">
        <f>$C$9</f>
        <v>Therapy 1</v>
      </c>
      <c r="J62" s="6">
        <f>$D$9</f>
        <v>32</v>
      </c>
      <c r="K62" s="384">
        <f t="shared" si="24"/>
        <v>6.4000000000000001E-2</v>
      </c>
      <c r="L62" s="8">
        <f t="shared" si="25"/>
        <v>3.4657359027997265</v>
      </c>
      <c r="M62" s="6">
        <f>D48*D82/$D$18</f>
        <v>31.552</v>
      </c>
      <c r="N62" s="384">
        <f t="shared" si="26"/>
        <v>6.3103999999999993E-2</v>
      </c>
      <c r="O62" s="8">
        <f t="shared" si="27"/>
        <v>3.451636978420225</v>
      </c>
      <c r="P62" s="6">
        <f t="shared" si="28"/>
        <v>0.4480000000000004</v>
      </c>
      <c r="Q62" s="8">
        <f t="shared" si="29"/>
        <v>7.9756220865423971E-2</v>
      </c>
      <c r="R62" s="272">
        <f t="shared" si="30"/>
        <v>0.90233116028809945</v>
      </c>
      <c r="T62" s="89" t="s">
        <v>110</v>
      </c>
      <c r="U62" s="272">
        <f>CHIINV(U60,U59)</f>
        <v>12.591587243743978</v>
      </c>
    </row>
    <row r="63" spans="1:21" x14ac:dyDescent="0.25">
      <c r="B63" t="str">
        <f t="shared" ref="B63:C68" si="31">B6</f>
        <v>Male</v>
      </c>
      <c r="C63" t="str">
        <f t="shared" si="31"/>
        <v>Therapy 1</v>
      </c>
      <c r="D63">
        <f t="shared" ref="D63:D68" si="32">SUMIFS($D$32:$D$43,$B$32:$B$43,B63,$C$32:$C$43,C63)</f>
        <v>68</v>
      </c>
      <c r="E63" s="54">
        <f t="shared" ref="E63:E68" si="33">D63/$D$60</f>
        <v>0.13600000000000001</v>
      </c>
      <c r="G63" s="6" t="str">
        <f>$A$10</f>
        <v>Positive</v>
      </c>
      <c r="H63" t="str">
        <f>$B$10</f>
        <v>Female</v>
      </c>
      <c r="I63" t="str">
        <f>$C$10</f>
        <v>Therapy 2</v>
      </c>
      <c r="J63" s="6">
        <f>$D$10</f>
        <v>24</v>
      </c>
      <c r="K63" s="384">
        <f t="shared" si="24"/>
        <v>4.8000000000000001E-2</v>
      </c>
      <c r="L63" s="8">
        <f t="shared" si="25"/>
        <v>3.1780538303479458</v>
      </c>
      <c r="M63" s="6">
        <f>D48*D83/$D$18</f>
        <v>33.728000000000002</v>
      </c>
      <c r="N63" s="384">
        <f t="shared" si="26"/>
        <v>6.7456000000000002E-2</v>
      </c>
      <c r="O63" s="8">
        <f t="shared" si="27"/>
        <v>3.5183283529188971</v>
      </c>
      <c r="P63" s="6">
        <f t="shared" si="28"/>
        <v>-9.7280000000000015</v>
      </c>
      <c r="Q63" s="8">
        <f t="shared" si="29"/>
        <v>-1.6750518981452713</v>
      </c>
      <c r="R63" s="272">
        <f t="shared" si="30"/>
        <v>-16.333177083405666</v>
      </c>
      <c r="T63" s="372" t="s">
        <v>527</v>
      </c>
      <c r="U63" s="166" t="str">
        <f>IF(U61&lt;U60,"yes","no")</f>
        <v>no</v>
      </c>
    </row>
    <row r="64" spans="1:21" x14ac:dyDescent="0.25">
      <c r="B64" t="str">
        <f t="shared" si="31"/>
        <v>Male</v>
      </c>
      <c r="C64" t="str">
        <f t="shared" si="31"/>
        <v>Therapy 2</v>
      </c>
      <c r="D64">
        <f t="shared" si="32"/>
        <v>67</v>
      </c>
      <c r="E64" s="54">
        <f t="shared" si="33"/>
        <v>0.13400000000000001</v>
      </c>
      <c r="G64" s="6" t="str">
        <f>$A$11</f>
        <v>Positive</v>
      </c>
      <c r="H64" t="str">
        <f>$B$11</f>
        <v>Female</v>
      </c>
      <c r="I64" t="str">
        <f>$C$11</f>
        <v>Therapy 3</v>
      </c>
      <c r="J64" s="6">
        <f>$D$11</f>
        <v>80</v>
      </c>
      <c r="K64" s="384">
        <f t="shared" si="24"/>
        <v>0.16</v>
      </c>
      <c r="L64" s="8">
        <f t="shared" si="25"/>
        <v>4.3820266346738812</v>
      </c>
      <c r="M64" s="6">
        <f>D48*D84/$D$18</f>
        <v>70.72</v>
      </c>
      <c r="N64" s="384">
        <f t="shared" si="26"/>
        <v>0.14144000000000001</v>
      </c>
      <c r="O64" s="8">
        <f t="shared" si="27"/>
        <v>4.2587284183293876</v>
      </c>
      <c r="P64" s="6">
        <f t="shared" si="28"/>
        <v>9.2800000000000011</v>
      </c>
      <c r="Q64" s="8">
        <f t="shared" si="29"/>
        <v>1.1035114664384265</v>
      </c>
      <c r="R64" s="272">
        <f t="shared" si="30"/>
        <v>19.72771461511897</v>
      </c>
    </row>
    <row r="65" spans="1:21" x14ac:dyDescent="0.25">
      <c r="B65" t="str">
        <f t="shared" si="31"/>
        <v>Male</v>
      </c>
      <c r="C65" t="str">
        <f t="shared" si="31"/>
        <v>Therapy 3</v>
      </c>
      <c r="D65">
        <f t="shared" si="32"/>
        <v>124</v>
      </c>
      <c r="E65" s="54">
        <f t="shared" si="33"/>
        <v>0.248</v>
      </c>
      <c r="G65" s="6" t="str">
        <f>$A$12</f>
        <v>Negative</v>
      </c>
      <c r="H65" t="str">
        <f>$B$12</f>
        <v>Male</v>
      </c>
      <c r="I65" t="str">
        <f>$C$12</f>
        <v>Therapy 1</v>
      </c>
      <c r="J65" s="6">
        <f>$D$12</f>
        <v>9</v>
      </c>
      <c r="K65" s="384">
        <f t="shared" si="24"/>
        <v>1.7999999999999999E-2</v>
      </c>
      <c r="L65" s="8">
        <f t="shared" si="25"/>
        <v>2.1972245773362196</v>
      </c>
      <c r="M65" s="6">
        <f>D49*D82/$D$18</f>
        <v>8.8160000000000007</v>
      </c>
      <c r="N65" s="384">
        <f t="shared" si="26"/>
        <v>1.7632000000000002E-2</v>
      </c>
      <c r="O65" s="8">
        <f t="shared" si="27"/>
        <v>2.1765682524105587</v>
      </c>
      <c r="P65" s="6">
        <f t="shared" si="28"/>
        <v>0.18399999999999928</v>
      </c>
      <c r="Q65" s="8">
        <f t="shared" si="29"/>
        <v>6.1970076497654868E-2</v>
      </c>
      <c r="R65" s="272">
        <f t="shared" si="30"/>
        <v>0.37181384866189493</v>
      </c>
    </row>
    <row r="66" spans="1:21" x14ac:dyDescent="0.25">
      <c r="B66" t="str">
        <f t="shared" si="31"/>
        <v>Female</v>
      </c>
      <c r="C66" t="str">
        <f t="shared" si="31"/>
        <v>Therapy 1</v>
      </c>
      <c r="D66">
        <f t="shared" si="32"/>
        <v>48</v>
      </c>
      <c r="E66" s="54">
        <f t="shared" si="33"/>
        <v>9.6000000000000002E-2</v>
      </c>
      <c r="G66" s="6" t="str">
        <f>$A$13</f>
        <v>Negative</v>
      </c>
      <c r="H66" t="str">
        <f>$B$13</f>
        <v>Male</v>
      </c>
      <c r="I66" t="str">
        <f>$C$13</f>
        <v>Therapy 2</v>
      </c>
      <c r="J66" s="6">
        <f>$D$13</f>
        <v>12</v>
      </c>
      <c r="K66" s="384">
        <f t="shared" si="24"/>
        <v>2.4E-2</v>
      </c>
      <c r="L66" s="8">
        <f t="shared" si="25"/>
        <v>2.4849066497880004</v>
      </c>
      <c r="M66" s="6">
        <f>D49*D83/$D$18</f>
        <v>9.4239999999999995</v>
      </c>
      <c r="N66" s="384">
        <f t="shared" si="26"/>
        <v>1.8848E-2</v>
      </c>
      <c r="O66" s="8">
        <f t="shared" si="27"/>
        <v>2.2432596269092309</v>
      </c>
      <c r="P66" s="6">
        <f t="shared" si="28"/>
        <v>2.5760000000000005</v>
      </c>
      <c r="Q66" s="8">
        <f t="shared" si="29"/>
        <v>0.83912801373183932</v>
      </c>
      <c r="R66" s="272">
        <f t="shared" si="30"/>
        <v>5.7995285490904678</v>
      </c>
    </row>
    <row r="67" spans="1:21" x14ac:dyDescent="0.25">
      <c r="B67" t="str">
        <f t="shared" si="31"/>
        <v>Female</v>
      </c>
      <c r="C67" t="str">
        <f t="shared" si="31"/>
        <v>Therapy 2</v>
      </c>
      <c r="D67">
        <f t="shared" si="32"/>
        <v>57</v>
      </c>
      <c r="E67" s="54">
        <f t="shared" si="33"/>
        <v>0.114</v>
      </c>
      <c r="G67" s="6" t="str">
        <f>$A$14</f>
        <v>Negative</v>
      </c>
      <c r="H67" t="str">
        <f>$B$14</f>
        <v>Male</v>
      </c>
      <c r="I67" t="str">
        <f>$C$14</f>
        <v>Therapy 3</v>
      </c>
      <c r="J67" s="6">
        <f>$D$14</f>
        <v>17</v>
      </c>
      <c r="K67" s="384">
        <f t="shared" si="24"/>
        <v>3.4000000000000002E-2</v>
      </c>
      <c r="L67" s="8">
        <f t="shared" si="25"/>
        <v>2.8332133440562162</v>
      </c>
      <c r="M67" s="6">
        <f>D49*D84/$D$18</f>
        <v>19.760000000000002</v>
      </c>
      <c r="N67" s="384">
        <f t="shared" si="26"/>
        <v>3.9520000000000007E-2</v>
      </c>
      <c r="O67" s="8">
        <f t="shared" si="27"/>
        <v>2.9836596923197218</v>
      </c>
      <c r="P67" s="6">
        <f t="shared" si="28"/>
        <v>-2.7600000000000016</v>
      </c>
      <c r="Q67" s="8">
        <f t="shared" si="29"/>
        <v>-0.62089135351886993</v>
      </c>
      <c r="R67" s="272">
        <f t="shared" si="30"/>
        <v>-5.1151758409591928</v>
      </c>
    </row>
    <row r="68" spans="1:21" x14ac:dyDescent="0.25">
      <c r="A68" s="10"/>
      <c r="B68" s="10" t="str">
        <f t="shared" si="31"/>
        <v>Female</v>
      </c>
      <c r="C68" s="10" t="str">
        <f t="shared" si="31"/>
        <v>Therapy 3</v>
      </c>
      <c r="D68" s="10">
        <f t="shared" si="32"/>
        <v>136</v>
      </c>
      <c r="E68" s="385">
        <f t="shared" si="33"/>
        <v>0.27200000000000002</v>
      </c>
      <c r="G68" s="6" t="str">
        <f>$A$15</f>
        <v>Negative</v>
      </c>
      <c r="H68" t="str">
        <f>$B$15</f>
        <v>Female</v>
      </c>
      <c r="I68" t="str">
        <f>$C$15</f>
        <v>Therapy 1</v>
      </c>
      <c r="J68" s="6">
        <f>$D$15</f>
        <v>16</v>
      </c>
      <c r="K68" s="384">
        <f t="shared" si="24"/>
        <v>3.2000000000000001E-2</v>
      </c>
      <c r="L68" s="8">
        <f t="shared" si="25"/>
        <v>2.7725887222397811</v>
      </c>
      <c r="M68" s="6">
        <f>D50*D82/$D$18</f>
        <v>24.36</v>
      </c>
      <c r="N68" s="384">
        <f t="shared" si="26"/>
        <v>4.8719999999999999E-2</v>
      </c>
      <c r="O68" s="8">
        <f t="shared" si="27"/>
        <v>3.1929424428416961</v>
      </c>
      <c r="P68" s="6">
        <f t="shared" si="28"/>
        <v>-8.36</v>
      </c>
      <c r="Q68" s="8">
        <f t="shared" si="29"/>
        <v>-1.6938214778087952</v>
      </c>
      <c r="R68" s="272">
        <f t="shared" si="30"/>
        <v>-13.45131905926128</v>
      </c>
    </row>
    <row r="69" spans="1:21" x14ac:dyDescent="0.25">
      <c r="A69" s="7"/>
      <c r="B69" s="7"/>
      <c r="C69" s="7"/>
      <c r="D69" s="7">
        <f>SUM(D63:D68)</f>
        <v>500</v>
      </c>
      <c r="G69" s="6" t="str">
        <f>$A$16</f>
        <v>Negative</v>
      </c>
      <c r="H69" t="str">
        <f>$B$16</f>
        <v>Female</v>
      </c>
      <c r="I69" t="str">
        <f>$C$16</f>
        <v>Therapy 2</v>
      </c>
      <c r="J69" s="6">
        <f>$D$16</f>
        <v>33</v>
      </c>
      <c r="K69" s="384">
        <f t="shared" si="24"/>
        <v>6.6000000000000003E-2</v>
      </c>
      <c r="L69" s="8">
        <f t="shared" si="25"/>
        <v>3.4965075614664802</v>
      </c>
      <c r="M69" s="6">
        <f>D50*D83/$D$18</f>
        <v>26.04</v>
      </c>
      <c r="N69" s="384">
        <f t="shared" si="26"/>
        <v>5.2080000000000001E-2</v>
      </c>
      <c r="O69" s="8">
        <f t="shared" si="27"/>
        <v>3.2596338173403683</v>
      </c>
      <c r="P69" s="6">
        <f t="shared" si="28"/>
        <v>6.9600000000000009</v>
      </c>
      <c r="Q69" s="8">
        <f t="shared" si="29"/>
        <v>1.3639195349051401</v>
      </c>
      <c r="R69" s="272">
        <f t="shared" si="30"/>
        <v>15.633667112323389</v>
      </c>
    </row>
    <row r="70" spans="1:21" x14ac:dyDescent="0.25">
      <c r="G70" s="9" t="str">
        <f>$A$17</f>
        <v>Negative</v>
      </c>
      <c r="H70" s="10" t="str">
        <f>$B$17</f>
        <v>Female</v>
      </c>
      <c r="I70" s="10" t="str">
        <f>$C$17</f>
        <v>Therapy 3</v>
      </c>
      <c r="J70" s="9">
        <f>$D$17</f>
        <v>56</v>
      </c>
      <c r="K70" s="385">
        <f t="shared" si="24"/>
        <v>0.112</v>
      </c>
      <c r="L70" s="11">
        <f t="shared" si="25"/>
        <v>4.0253516907351496</v>
      </c>
      <c r="M70" s="9">
        <f>D50*D84/$D$18</f>
        <v>54.6</v>
      </c>
      <c r="N70" s="385">
        <f t="shared" si="26"/>
        <v>0.10920000000000001</v>
      </c>
      <c r="O70" s="11">
        <f t="shared" si="27"/>
        <v>4.0000338827508592</v>
      </c>
      <c r="P70" s="409">
        <f t="shared" si="28"/>
        <v>1.3999999999999986</v>
      </c>
      <c r="Q70" s="11">
        <f t="shared" si="29"/>
        <v>0.18946618668626816</v>
      </c>
      <c r="R70" s="168">
        <f t="shared" si="30"/>
        <v>2.8355944942405245</v>
      </c>
    </row>
    <row r="71" spans="1:21" x14ac:dyDescent="0.25">
      <c r="A71" s="392" t="str">
        <f>$A$5</f>
        <v>Cure</v>
      </c>
      <c r="B71" s="379" t="str">
        <f>$B$5</f>
        <v>Gender</v>
      </c>
      <c r="C71" s="379" t="str">
        <f>$C$5</f>
        <v>Therapy</v>
      </c>
      <c r="D71" s="380" t="str">
        <f>$D$5</f>
        <v>Obs</v>
      </c>
      <c r="E71" s="380" t="str">
        <f>$E$46</f>
        <v>Prob</v>
      </c>
      <c r="R71">
        <f>SUM(R59:R70)</f>
        <v>12.040798754725822</v>
      </c>
    </row>
    <row r="72" spans="1:21" x14ac:dyDescent="0.25">
      <c r="A72" t="str">
        <f>A6</f>
        <v>Positive</v>
      </c>
      <c r="D72">
        <f>SUMIF($A$32:$A$43,A72,$D$32:$D$43)</f>
        <v>357</v>
      </c>
      <c r="E72" s="54">
        <f>D72/$D$60</f>
        <v>0.71399999999999997</v>
      </c>
    </row>
    <row r="73" spans="1:21" x14ac:dyDescent="0.25">
      <c r="A73" s="10" t="str">
        <f>A12</f>
        <v>Negative</v>
      </c>
      <c r="B73" s="10"/>
      <c r="C73" s="10"/>
      <c r="D73" s="10">
        <f>SUMIF($A$32:$A$43,A73,$D$32:$D$43)</f>
        <v>143</v>
      </c>
      <c r="E73" s="385">
        <f>D73/$D$60</f>
        <v>0.28599999999999998</v>
      </c>
      <c r="G73" s="1" t="s">
        <v>856</v>
      </c>
    </row>
    <row r="74" spans="1:21" x14ac:dyDescent="0.25">
      <c r="D74">
        <f>SUM(D72:D73)</f>
        <v>500</v>
      </c>
    </row>
    <row r="75" spans="1:21" x14ac:dyDescent="0.25">
      <c r="J75" s="1327" t="s">
        <v>302</v>
      </c>
      <c r="K75" s="1328"/>
      <c r="L75" s="1329"/>
      <c r="M75" s="1327" t="s">
        <v>793</v>
      </c>
      <c r="N75" s="1328"/>
      <c r="O75" s="1329"/>
      <c r="P75" s="1324" t="s">
        <v>303</v>
      </c>
      <c r="Q75" s="1330"/>
    </row>
    <row r="76" spans="1:21" x14ac:dyDescent="0.25">
      <c r="A76" s="392" t="str">
        <f>$A$5</f>
        <v>Cure</v>
      </c>
      <c r="B76" s="379" t="str">
        <f>$B$5</f>
        <v>Gender</v>
      </c>
      <c r="C76" s="379" t="str">
        <f>$C$5</f>
        <v>Therapy</v>
      </c>
      <c r="D76" s="380" t="str">
        <f>$D$5</f>
        <v>Obs</v>
      </c>
      <c r="E76" s="380" t="str">
        <f>$E$46</f>
        <v>Prob</v>
      </c>
      <c r="G76" s="392" t="str">
        <f>$A$5</f>
        <v>Cure</v>
      </c>
      <c r="H76" s="379" t="str">
        <f>$B$5</f>
        <v>Gender</v>
      </c>
      <c r="I76" s="379" t="str">
        <f>$C$5</f>
        <v>Therapy</v>
      </c>
      <c r="J76" s="381" t="s">
        <v>791</v>
      </c>
      <c r="K76" s="382" t="s">
        <v>790</v>
      </c>
      <c r="L76" s="383" t="s">
        <v>358</v>
      </c>
      <c r="M76" s="381" t="s">
        <v>792</v>
      </c>
      <c r="N76" s="382" t="s">
        <v>790</v>
      </c>
      <c r="O76" s="383" t="s">
        <v>783</v>
      </c>
      <c r="P76" s="430" t="s">
        <v>243</v>
      </c>
      <c r="Q76" s="432" t="s">
        <v>802</v>
      </c>
      <c r="R76" s="387" t="s">
        <v>109</v>
      </c>
      <c r="T76" s="89" t="s">
        <v>109</v>
      </c>
      <c r="U76" s="391">
        <f>R89</f>
        <v>7.8620012972988071</v>
      </c>
    </row>
    <row r="77" spans="1:21" x14ac:dyDescent="0.25">
      <c r="B77" t="str">
        <f>B6</f>
        <v>Male</v>
      </c>
      <c r="D77">
        <f>SUMIF($B$32:$B$43,B77,$D$32:$D$43)</f>
        <v>259</v>
      </c>
      <c r="E77" s="54">
        <f>D77/$D$60</f>
        <v>0.51800000000000002</v>
      </c>
      <c r="G77" s="6" t="str">
        <f>$A$6</f>
        <v>Positive</v>
      </c>
      <c r="H77" t="str">
        <f>$B$6</f>
        <v>Male</v>
      </c>
      <c r="I77" t="str">
        <f>$C$6</f>
        <v>Therapy 1</v>
      </c>
      <c r="J77" s="6">
        <f>$D$6</f>
        <v>59</v>
      </c>
      <c r="K77" s="384">
        <f>J77/$D$18</f>
        <v>0.11799999999999999</v>
      </c>
      <c r="L77" s="8">
        <f>LN(J77)</f>
        <v>4.0775374439057197</v>
      </c>
      <c r="M77" s="6">
        <f>(D47*D63)/D77</f>
        <v>58.02316602316602</v>
      </c>
      <c r="N77" s="384">
        <f t="shared" ref="N77:N88" si="34">M77/D$44</f>
        <v>0.11604633204633204</v>
      </c>
      <c r="O77" s="8">
        <f>LN(M77)</f>
        <v>4.0608423449943221</v>
      </c>
      <c r="P77" s="429">
        <f>J77-M77</f>
        <v>0.97683397683397999</v>
      </c>
      <c r="Q77" s="428">
        <f>P77/SQRT(M77)</f>
        <v>0.1282389773172217</v>
      </c>
      <c r="R77" s="272">
        <f>2*J77*(L77-O77)</f>
        <v>1.9700216715449219</v>
      </c>
      <c r="T77" t="s">
        <v>60</v>
      </c>
      <c r="U77" s="272">
        <f>(A27-1)*B27*(C27-1)</f>
        <v>4</v>
      </c>
    </row>
    <row r="78" spans="1:21" x14ac:dyDescent="0.25">
      <c r="A78" s="10"/>
      <c r="B78" s="10" t="str">
        <f>B9</f>
        <v>Female</v>
      </c>
      <c r="C78" s="10"/>
      <c r="D78" s="10">
        <f>SUMIF($B$32:$B$43,B78,$D$32:$D$43)</f>
        <v>241</v>
      </c>
      <c r="E78" s="385">
        <f>D78/$D$60</f>
        <v>0.48199999999999998</v>
      </c>
      <c r="G78" s="6" t="str">
        <f>$A$7</f>
        <v>Positive</v>
      </c>
      <c r="H78" t="str">
        <f>$B$7</f>
        <v>Male</v>
      </c>
      <c r="I78" t="str">
        <f>$C$7</f>
        <v>Therapy 2</v>
      </c>
      <c r="J78" s="6">
        <f>$D$7</f>
        <v>55</v>
      </c>
      <c r="K78" s="384">
        <f t="shared" ref="K78:K88" si="35">J78/$D$18</f>
        <v>0.11</v>
      </c>
      <c r="L78" s="8">
        <f t="shared" ref="L78:L88" si="36">LN(J78)</f>
        <v>4.0073331852324712</v>
      </c>
      <c r="M78" s="6">
        <f>(D47*D64)/D77</f>
        <v>57.16988416988417</v>
      </c>
      <c r="N78" s="384">
        <f t="shared" si="34"/>
        <v>0.11433976833976835</v>
      </c>
      <c r="O78" s="8">
        <f t="shared" ref="O78:O88" si="37">LN(M78)</f>
        <v>4.0460272592091808</v>
      </c>
      <c r="P78" s="6">
        <f t="shared" ref="P78:P88" si="38">J78-M78</f>
        <v>-2.1698841698841704</v>
      </c>
      <c r="Q78" s="8">
        <f t="shared" ref="Q78:Q88" si="39">P78/SQRT(M78)</f>
        <v>-0.28698083529996576</v>
      </c>
      <c r="R78" s="272">
        <f t="shared" ref="R78:R88" si="40">2*J78*(L78-O78)</f>
        <v>-4.2563481374380618</v>
      </c>
      <c r="T78" s="30" t="s">
        <v>48</v>
      </c>
      <c r="U78" s="272">
        <v>0.05</v>
      </c>
    </row>
    <row r="79" spans="1:21" x14ac:dyDescent="0.25">
      <c r="D79">
        <f>SUM(D77:D78)</f>
        <v>500</v>
      </c>
      <c r="G79" s="6" t="str">
        <f>$A$8</f>
        <v>Positive</v>
      </c>
      <c r="H79" t="str">
        <f>$B$8</f>
        <v>Male</v>
      </c>
      <c r="I79" t="str">
        <f>$C$8</f>
        <v>Therapy 3</v>
      </c>
      <c r="J79" s="6">
        <f>$D$8</f>
        <v>107</v>
      </c>
      <c r="K79" s="384">
        <f t="shared" si="35"/>
        <v>0.214</v>
      </c>
      <c r="L79" s="8">
        <f t="shared" si="36"/>
        <v>4.6728288344619058</v>
      </c>
      <c r="M79" s="6">
        <f>(D47*D65)/D77</f>
        <v>105.8069498069498</v>
      </c>
      <c r="N79" s="384">
        <f t="shared" si="34"/>
        <v>0.21161389961389959</v>
      </c>
      <c r="O79" s="8">
        <f t="shared" si="37"/>
        <v>4.6616162054232522</v>
      </c>
      <c r="P79" s="6">
        <f t="shared" si="38"/>
        <v>1.1930501930501975</v>
      </c>
      <c r="Q79" s="8">
        <f t="shared" si="39"/>
        <v>0.1159849442191721</v>
      </c>
      <c r="R79" s="272">
        <f t="shared" si="40"/>
        <v>2.3995026142718725</v>
      </c>
      <c r="T79" s="372" t="s">
        <v>67</v>
      </c>
      <c r="U79" s="272">
        <f>CHIDIST(U76,U77)</f>
        <v>9.6766084786978152E-2</v>
      </c>
    </row>
    <row r="80" spans="1:21" x14ac:dyDescent="0.25">
      <c r="G80" s="6" t="str">
        <f>$A$9</f>
        <v>Positive</v>
      </c>
      <c r="H80" t="str">
        <f>$B$9</f>
        <v>Female</v>
      </c>
      <c r="I80" t="str">
        <f>$C$9</f>
        <v>Therapy 1</v>
      </c>
      <c r="J80" s="6">
        <f>$D$9</f>
        <v>32</v>
      </c>
      <c r="K80" s="384">
        <f t="shared" si="35"/>
        <v>6.4000000000000001E-2</v>
      </c>
      <c r="L80" s="8">
        <f t="shared" si="36"/>
        <v>3.4657359027997265</v>
      </c>
      <c r="M80" s="6">
        <f>(D48*D66)/D78</f>
        <v>27.087136929460581</v>
      </c>
      <c r="N80" s="384">
        <f t="shared" si="34"/>
        <v>5.4174273858921158E-2</v>
      </c>
      <c r="O80" s="8">
        <f t="shared" si="37"/>
        <v>3.2990589631532878</v>
      </c>
      <c r="P80" s="6">
        <f t="shared" si="38"/>
        <v>4.9128630705394194</v>
      </c>
      <c r="Q80" s="8">
        <f t="shared" si="39"/>
        <v>0.94395894936593083</v>
      </c>
      <c r="R80" s="272">
        <f t="shared" si="40"/>
        <v>10.667324137372077</v>
      </c>
      <c r="T80" s="89" t="s">
        <v>110</v>
      </c>
      <c r="U80" s="272">
        <f>CHIINV(U78,U77)</f>
        <v>9.4877290367811575</v>
      </c>
    </row>
    <row r="81" spans="1:21" x14ac:dyDescent="0.25">
      <c r="A81" s="392" t="str">
        <f>$A$5</f>
        <v>Cure</v>
      </c>
      <c r="B81" s="379" t="str">
        <f>$B$5</f>
        <v>Gender</v>
      </c>
      <c r="C81" s="379" t="str">
        <f>$C$5</f>
        <v>Therapy</v>
      </c>
      <c r="D81" s="380" t="str">
        <f>$D$5</f>
        <v>Obs</v>
      </c>
      <c r="E81" s="380" t="str">
        <f>$E$46</f>
        <v>Prob</v>
      </c>
      <c r="G81" s="6" t="str">
        <f>$A$10</f>
        <v>Positive</v>
      </c>
      <c r="H81" t="str">
        <f>$B$10</f>
        <v>Female</v>
      </c>
      <c r="I81" t="str">
        <f>$C$10</f>
        <v>Therapy 2</v>
      </c>
      <c r="J81" s="6">
        <f>$D$10</f>
        <v>24</v>
      </c>
      <c r="K81" s="384">
        <f t="shared" si="35"/>
        <v>4.8000000000000001E-2</v>
      </c>
      <c r="L81" s="8">
        <f t="shared" si="36"/>
        <v>3.1780538303479458</v>
      </c>
      <c r="M81" s="6">
        <f>(D48*D67)/D78</f>
        <v>32.165975103734439</v>
      </c>
      <c r="N81" s="384">
        <f t="shared" si="34"/>
        <v>6.4331950207468874E-2</v>
      </c>
      <c r="O81" s="8">
        <f t="shared" si="37"/>
        <v>3.470909220079947</v>
      </c>
      <c r="P81" s="6">
        <f t="shared" si="38"/>
        <v>-8.1659751037344392</v>
      </c>
      <c r="Q81" s="8">
        <f t="shared" si="39"/>
        <v>-1.4398249361531752</v>
      </c>
      <c r="R81" s="272">
        <f t="shared" si="40"/>
        <v>-14.057058707136058</v>
      </c>
      <c r="T81" s="372" t="s">
        <v>527</v>
      </c>
      <c r="U81" s="166" t="str">
        <f>IF(U79&lt;U78,"yes","no")</f>
        <v>no</v>
      </c>
    </row>
    <row r="82" spans="1:21" x14ac:dyDescent="0.25">
      <c r="C82" t="str">
        <f>C6</f>
        <v>Therapy 1</v>
      </c>
      <c r="D82">
        <f>SUMIF($C$32:$C$43,C82,$D$32:$D$43)</f>
        <v>116</v>
      </c>
      <c r="E82" s="54">
        <f>D82/$D$60</f>
        <v>0.23200000000000001</v>
      </c>
      <c r="G82" s="6" t="str">
        <f>$A$11</f>
        <v>Positive</v>
      </c>
      <c r="H82" t="str">
        <f>$B$11</f>
        <v>Female</v>
      </c>
      <c r="I82" t="str">
        <f>$C$11</f>
        <v>Therapy 3</v>
      </c>
      <c r="J82" s="6">
        <f>$D$11</f>
        <v>80</v>
      </c>
      <c r="K82" s="384">
        <f t="shared" si="35"/>
        <v>0.16</v>
      </c>
      <c r="L82" s="8">
        <f t="shared" si="36"/>
        <v>4.3820266346738812</v>
      </c>
      <c r="M82" s="6">
        <f>(D48*D68)/D78</f>
        <v>76.746887966804977</v>
      </c>
      <c r="N82" s="384">
        <f t="shared" si="34"/>
        <v>0.15349377593360997</v>
      </c>
      <c r="O82" s="8">
        <f t="shared" si="37"/>
        <v>4.340512837981449</v>
      </c>
      <c r="P82" s="6">
        <f t="shared" si="38"/>
        <v>3.2531120331950234</v>
      </c>
      <c r="Q82" s="8">
        <f t="shared" si="39"/>
        <v>0.37133734933694984</v>
      </c>
      <c r="R82" s="272">
        <f t="shared" si="40"/>
        <v>6.6422074707891454</v>
      </c>
    </row>
    <row r="83" spans="1:21" x14ac:dyDescent="0.25">
      <c r="C83" t="str">
        <f>C7</f>
        <v>Therapy 2</v>
      </c>
      <c r="D83">
        <f>SUMIF($C$32:$C$43,C83,$D$32:$D$43)</f>
        <v>124</v>
      </c>
      <c r="E83" s="54">
        <f>D83/$D$60</f>
        <v>0.248</v>
      </c>
      <c r="G83" s="6" t="str">
        <f>$A$12</f>
        <v>Negative</v>
      </c>
      <c r="H83" t="str">
        <f>$B$12</f>
        <v>Male</v>
      </c>
      <c r="I83" t="str">
        <f>$C$12</f>
        <v>Therapy 1</v>
      </c>
      <c r="J83" s="6">
        <f>$D$12</f>
        <v>9</v>
      </c>
      <c r="K83" s="384">
        <f t="shared" si="35"/>
        <v>1.7999999999999999E-2</v>
      </c>
      <c r="L83" s="8">
        <f t="shared" si="36"/>
        <v>2.1972245773362196</v>
      </c>
      <c r="M83" s="6">
        <f>(D49*D63)/D77</f>
        <v>9.9768339768339764</v>
      </c>
      <c r="N83" s="384">
        <f t="shared" si="34"/>
        <v>1.9953667953667951E-2</v>
      </c>
      <c r="O83" s="8">
        <f t="shared" si="37"/>
        <v>2.3002658032029548</v>
      </c>
      <c r="P83" s="6">
        <f t="shared" si="38"/>
        <v>-0.97683397683397644</v>
      </c>
      <c r="Q83" s="8">
        <f t="shared" si="39"/>
        <v>-0.30926045070390179</v>
      </c>
      <c r="R83" s="272">
        <f t="shared" si="40"/>
        <v>-1.8547420656012346</v>
      </c>
    </row>
    <row r="84" spans="1:21" x14ac:dyDescent="0.25">
      <c r="A84" s="10"/>
      <c r="B84" s="10"/>
      <c r="C84" s="10" t="str">
        <f>C8</f>
        <v>Therapy 3</v>
      </c>
      <c r="D84" s="10">
        <f>SUMIF($C$32:$C$43,C84,$D$32:$D$43)</f>
        <v>260</v>
      </c>
      <c r="E84" s="385">
        <f>D84/$D$60</f>
        <v>0.52</v>
      </c>
      <c r="G84" s="6" t="str">
        <f>$A$13</f>
        <v>Negative</v>
      </c>
      <c r="H84" t="str">
        <f>$B$13</f>
        <v>Male</v>
      </c>
      <c r="I84" t="str">
        <f>$C$13</f>
        <v>Therapy 2</v>
      </c>
      <c r="J84" s="6">
        <f>$D$13</f>
        <v>12</v>
      </c>
      <c r="K84" s="384">
        <f t="shared" si="35"/>
        <v>2.4E-2</v>
      </c>
      <c r="L84" s="8">
        <f t="shared" si="36"/>
        <v>2.4849066497880004</v>
      </c>
      <c r="M84" s="6">
        <f>(D49*D64)/D77</f>
        <v>9.8301158301158296</v>
      </c>
      <c r="N84" s="384">
        <f t="shared" si="34"/>
        <v>1.9660231660231658E-2</v>
      </c>
      <c r="O84" s="8">
        <f t="shared" si="37"/>
        <v>2.285450717417814</v>
      </c>
      <c r="P84" s="6">
        <f t="shared" si="38"/>
        <v>2.1698841698841704</v>
      </c>
      <c r="Q84" s="8">
        <f t="shared" si="39"/>
        <v>0.69208148976973427</v>
      </c>
      <c r="R84" s="272">
        <f t="shared" si="40"/>
        <v>4.7869423768844719</v>
      </c>
    </row>
    <row r="85" spans="1:21" x14ac:dyDescent="0.25">
      <c r="D85">
        <f>SUM(D82:D84)</f>
        <v>500</v>
      </c>
      <c r="G85" s="6" t="str">
        <f>$A$14</f>
        <v>Negative</v>
      </c>
      <c r="H85" t="str">
        <f>$B$14</f>
        <v>Male</v>
      </c>
      <c r="I85" t="str">
        <f>$C$14</f>
        <v>Therapy 3</v>
      </c>
      <c r="J85" s="6">
        <f>$D$14</f>
        <v>17</v>
      </c>
      <c r="K85" s="384">
        <f t="shared" si="35"/>
        <v>3.4000000000000002E-2</v>
      </c>
      <c r="L85" s="8">
        <f t="shared" si="36"/>
        <v>2.8332133440562162</v>
      </c>
      <c r="M85" s="6">
        <f>(D49*D65)/D77</f>
        <v>18.193050193050194</v>
      </c>
      <c r="N85" s="384">
        <f t="shared" si="34"/>
        <v>3.6386100386100385E-2</v>
      </c>
      <c r="O85" s="8">
        <f t="shared" si="37"/>
        <v>2.9010396636318849</v>
      </c>
      <c r="P85" s="6">
        <f t="shared" si="38"/>
        <v>-1.193050193050194</v>
      </c>
      <c r="Q85" s="8">
        <f t="shared" si="39"/>
        <v>-0.27970868822010669</v>
      </c>
      <c r="R85" s="272">
        <f t="shared" si="40"/>
        <v>-2.3060948655727378</v>
      </c>
    </row>
    <row r="86" spans="1:21" x14ac:dyDescent="0.25">
      <c r="G86" s="6" t="str">
        <f>$A$15</f>
        <v>Negative</v>
      </c>
      <c r="H86" t="str">
        <f>$B$15</f>
        <v>Female</v>
      </c>
      <c r="I86" t="str">
        <f>$C$15</f>
        <v>Therapy 1</v>
      </c>
      <c r="J86" s="6">
        <f>$D$15</f>
        <v>16</v>
      </c>
      <c r="K86" s="384">
        <f t="shared" si="35"/>
        <v>3.2000000000000001E-2</v>
      </c>
      <c r="L86" s="8">
        <f t="shared" si="36"/>
        <v>2.7725887222397811</v>
      </c>
      <c r="M86" s="6">
        <f>(D50*D66)/D78</f>
        <v>20.912863070539419</v>
      </c>
      <c r="N86" s="384">
        <f t="shared" si="34"/>
        <v>4.1825726141078837E-2</v>
      </c>
      <c r="O86" s="8">
        <f t="shared" si="37"/>
        <v>3.0403644275747594</v>
      </c>
      <c r="P86" s="6">
        <f t="shared" si="38"/>
        <v>-4.9128630705394194</v>
      </c>
      <c r="Q86" s="8">
        <f t="shared" si="39"/>
        <v>-1.0743057813347467</v>
      </c>
      <c r="R86" s="272">
        <f t="shared" si="40"/>
        <v>-8.5688225707193055</v>
      </c>
    </row>
    <row r="87" spans="1:21" x14ac:dyDescent="0.25">
      <c r="A87" s="1" t="s">
        <v>701</v>
      </c>
      <c r="G87" s="6" t="str">
        <f>$A$16</f>
        <v>Negative</v>
      </c>
      <c r="H87" t="str">
        <f>$B$16</f>
        <v>Female</v>
      </c>
      <c r="I87" t="str">
        <f>$C$16</f>
        <v>Therapy 2</v>
      </c>
      <c r="J87" s="6">
        <f>$D$16</f>
        <v>33</v>
      </c>
      <c r="K87" s="384">
        <f t="shared" si="35"/>
        <v>6.6000000000000003E-2</v>
      </c>
      <c r="L87" s="8">
        <f t="shared" si="36"/>
        <v>3.4965075614664802</v>
      </c>
      <c r="M87" s="6">
        <f>(D50*D67)/D78</f>
        <v>24.834024896265561</v>
      </c>
      <c r="N87" s="384">
        <f t="shared" si="34"/>
        <v>4.9668049792531123E-2</v>
      </c>
      <c r="O87" s="8">
        <f t="shared" si="37"/>
        <v>3.2122146845014186</v>
      </c>
      <c r="P87" s="6">
        <f t="shared" si="38"/>
        <v>8.1659751037344392</v>
      </c>
      <c r="Q87" s="8">
        <f t="shared" si="39"/>
        <v>1.6386435597207929</v>
      </c>
      <c r="R87" s="272">
        <f t="shared" si="40"/>
        <v>18.763329879694069</v>
      </c>
    </row>
    <row r="88" spans="1:21" x14ac:dyDescent="0.25">
      <c r="B88" s="82" t="s">
        <v>109</v>
      </c>
      <c r="C88" s="407" t="s">
        <v>60</v>
      </c>
      <c r="D88" s="407" t="s">
        <v>67</v>
      </c>
      <c r="E88" s="407" t="s">
        <v>527</v>
      </c>
      <c r="G88" s="9" t="str">
        <f>$A$17</f>
        <v>Negative</v>
      </c>
      <c r="H88" s="10" t="str">
        <f>$B$17</f>
        <v>Female</v>
      </c>
      <c r="I88" s="10" t="str">
        <f>$C$17</f>
        <v>Therapy 3</v>
      </c>
      <c r="J88" s="9">
        <f>$D$17</f>
        <v>56</v>
      </c>
      <c r="K88" s="385">
        <f t="shared" si="35"/>
        <v>0.112</v>
      </c>
      <c r="L88" s="11">
        <f t="shared" si="36"/>
        <v>4.0253516907351496</v>
      </c>
      <c r="M88" s="9">
        <f>(D50*D68)/D78</f>
        <v>59.253112033195023</v>
      </c>
      <c r="N88" s="385">
        <f t="shared" si="34"/>
        <v>0.11850622406639005</v>
      </c>
      <c r="O88" s="11">
        <f t="shared" si="37"/>
        <v>4.0818183024029207</v>
      </c>
      <c r="P88" s="409">
        <f t="shared" si="38"/>
        <v>-3.2531120331950234</v>
      </c>
      <c r="Q88" s="11">
        <f t="shared" si="39"/>
        <v>-0.42261356967500746</v>
      </c>
      <c r="R88" s="168">
        <f t="shared" si="40"/>
        <v>-6.3242605067903526</v>
      </c>
    </row>
    <row r="89" spans="1:21" x14ac:dyDescent="0.25">
      <c r="A89" t="s">
        <v>784</v>
      </c>
      <c r="B89" s="377">
        <f>U310</f>
        <v>233.56671709648069</v>
      </c>
      <c r="C89" s="422">
        <f>U311</f>
        <v>11</v>
      </c>
      <c r="D89" s="378">
        <f>U313</f>
        <v>7.6366473422312161E-44</v>
      </c>
      <c r="E89" s="421" t="str">
        <f>U315</f>
        <v>yes</v>
      </c>
      <c r="R89">
        <f>SUM(R77:R88)</f>
        <v>7.8620012972988071</v>
      </c>
    </row>
    <row r="90" spans="1:21" x14ac:dyDescent="0.25">
      <c r="A90" t="s">
        <v>132</v>
      </c>
      <c r="B90" s="6">
        <f>U148</f>
        <v>138.95072251373131</v>
      </c>
      <c r="C90" s="50">
        <f>U149</f>
        <v>10</v>
      </c>
      <c r="D90" s="7">
        <f>U151</f>
        <v>6.9136338267619402E-25</v>
      </c>
      <c r="E90" s="36" t="str">
        <f>U153</f>
        <v>yes</v>
      </c>
    </row>
    <row r="91" spans="1:21" x14ac:dyDescent="0.25">
      <c r="A91" t="s">
        <v>826</v>
      </c>
      <c r="B91" s="6">
        <f>U166</f>
        <v>232.91857705587103</v>
      </c>
      <c r="C91" s="50">
        <f>U167</f>
        <v>10</v>
      </c>
      <c r="D91" s="7">
        <f>U169</f>
        <v>2.0984703602669198E-44</v>
      </c>
      <c r="E91" s="36" t="str">
        <f>U171</f>
        <v>yes</v>
      </c>
      <c r="G91" s="1" t="s">
        <v>857</v>
      </c>
    </row>
    <row r="92" spans="1:21" x14ac:dyDescent="0.25">
      <c r="A92" t="s">
        <v>241</v>
      </c>
      <c r="B92" s="6">
        <f>U184</f>
        <v>159.74532611576285</v>
      </c>
      <c r="C92" s="50">
        <f>U185</f>
        <v>9</v>
      </c>
      <c r="D92" s="7">
        <f>U187</f>
        <v>8.3887848704672969E-30</v>
      </c>
      <c r="E92" s="36" t="str">
        <f>U189</f>
        <v>yes</v>
      </c>
    </row>
    <row r="93" spans="1:21" x14ac:dyDescent="0.25">
      <c r="A93" t="s">
        <v>827</v>
      </c>
      <c r="B93" s="6">
        <f>U256</f>
        <v>138.30258247312145</v>
      </c>
      <c r="C93" s="50">
        <f>U257</f>
        <v>9</v>
      </c>
      <c r="D93" s="7">
        <f>U259</f>
        <v>2.3112549398295275E-25</v>
      </c>
      <c r="E93" s="36" t="str">
        <f>U261</f>
        <v>yes</v>
      </c>
      <c r="J93" s="1327" t="s">
        <v>302</v>
      </c>
      <c r="K93" s="1328"/>
      <c r="L93" s="1329"/>
      <c r="M93" s="1327" t="s">
        <v>793</v>
      </c>
      <c r="N93" s="1328"/>
      <c r="O93" s="1329"/>
      <c r="P93" s="1324" t="s">
        <v>303</v>
      </c>
      <c r="Q93" s="1330"/>
    </row>
    <row r="94" spans="1:21" x14ac:dyDescent="0.25">
      <c r="A94" t="s">
        <v>828</v>
      </c>
      <c r="B94" s="6">
        <f>U274</f>
        <v>159.09718607515288</v>
      </c>
      <c r="C94" s="50">
        <f>U275</f>
        <v>8</v>
      </c>
      <c r="D94" s="7">
        <f>U277</f>
        <v>2.4700745086544901E-30</v>
      </c>
      <c r="E94" s="36" t="str">
        <f>U279</f>
        <v>yes</v>
      </c>
      <c r="G94" s="392" t="str">
        <f>$A$5</f>
        <v>Cure</v>
      </c>
      <c r="H94" s="379" t="str">
        <f>$B$5</f>
        <v>Gender</v>
      </c>
      <c r="I94" s="379" t="str">
        <f>$C$5</f>
        <v>Therapy</v>
      </c>
      <c r="J94" s="381" t="s">
        <v>791</v>
      </c>
      <c r="K94" s="382" t="s">
        <v>790</v>
      </c>
      <c r="L94" s="383" t="s">
        <v>358</v>
      </c>
      <c r="M94" s="381" t="s">
        <v>792</v>
      </c>
      <c r="N94" s="382" t="s">
        <v>790</v>
      </c>
      <c r="O94" s="383" t="s">
        <v>783</v>
      </c>
      <c r="P94" s="430" t="s">
        <v>243</v>
      </c>
      <c r="Q94" s="432" t="s">
        <v>802</v>
      </c>
      <c r="R94" s="387" t="s">
        <v>109</v>
      </c>
      <c r="T94" s="89" t="s">
        <v>109</v>
      </c>
      <c r="U94" s="391">
        <f>R107</f>
        <v>5.5925062024545165</v>
      </c>
    </row>
    <row r="95" spans="1:21" x14ac:dyDescent="0.25">
      <c r="A95" t="s">
        <v>829</v>
      </c>
      <c r="B95" s="6">
        <f>U292</f>
        <v>65.129331533013399</v>
      </c>
      <c r="C95" s="50">
        <f>U293</f>
        <v>8</v>
      </c>
      <c r="D95" s="7">
        <f>U295</f>
        <v>4.5500790504720033E-11</v>
      </c>
      <c r="E95" s="36" t="str">
        <f>U297</f>
        <v>yes</v>
      </c>
      <c r="G95" s="6" t="str">
        <f>$A$6</f>
        <v>Positive</v>
      </c>
      <c r="H95" t="str">
        <f>$B$6</f>
        <v>Male</v>
      </c>
      <c r="I95" t="str">
        <f>$C$6</f>
        <v>Therapy 1</v>
      </c>
      <c r="J95" s="6">
        <f>$D$6</f>
        <v>59</v>
      </c>
      <c r="K95" s="384">
        <f>J95/$D$18</f>
        <v>0.11799999999999999</v>
      </c>
      <c r="L95" s="8">
        <f>LN(J95)</f>
        <v>4.0775374439057197</v>
      </c>
      <c r="M95" s="6">
        <f>(D47*D54)/D72</f>
        <v>56.333333333333336</v>
      </c>
      <c r="N95" s="384">
        <f t="shared" ref="N95:N106" si="41">M95/D$44</f>
        <v>0.11266666666666666</v>
      </c>
      <c r="O95" s="8">
        <f>LN(M95)</f>
        <v>4.0312864262549635</v>
      </c>
      <c r="P95" s="429">
        <f>J95-M95</f>
        <v>2.6666666666666643</v>
      </c>
      <c r="Q95" s="428">
        <f>P95/SQRT(M95)</f>
        <v>0.35529247334746167</v>
      </c>
      <c r="R95" s="272">
        <f>2*J95*(L95-O95)</f>
        <v>5.4576200827892354</v>
      </c>
      <c r="T95" t="s">
        <v>60</v>
      </c>
      <c r="U95" s="272">
        <f>(B27-1)*A27*(C27-1)</f>
        <v>4</v>
      </c>
    </row>
    <row r="96" spans="1:21" x14ac:dyDescent="0.25">
      <c r="A96" t="s">
        <v>830</v>
      </c>
      <c r="B96" s="6">
        <f>U130</f>
        <v>64.481191492403582</v>
      </c>
      <c r="C96" s="50">
        <f>U131</f>
        <v>7</v>
      </c>
      <c r="D96" s="7">
        <f>U133</f>
        <v>1.9117300324482149E-11</v>
      </c>
      <c r="E96" s="36" t="str">
        <f>U135</f>
        <v>yes</v>
      </c>
      <c r="G96" s="6" t="str">
        <f>$A$7</f>
        <v>Positive</v>
      </c>
      <c r="H96" t="str">
        <f>$B$7</f>
        <v>Male</v>
      </c>
      <c r="I96" t="str">
        <f>$C$7</f>
        <v>Therapy 2</v>
      </c>
      <c r="J96" s="6">
        <f>$D$7</f>
        <v>55</v>
      </c>
      <c r="K96" s="384">
        <f t="shared" ref="K96:K106" si="42">J96/$D$18</f>
        <v>0.11</v>
      </c>
      <c r="L96" s="8">
        <f t="shared" ref="L96:L106" si="43">LN(J96)</f>
        <v>4.0073331852324712</v>
      </c>
      <c r="M96" s="6">
        <f>D47*D55/D72</f>
        <v>48.904761904761905</v>
      </c>
      <c r="N96" s="384">
        <f t="shared" si="41"/>
        <v>9.7809523809523805E-2</v>
      </c>
      <c r="O96" s="8">
        <f t="shared" ref="O96:O106" si="44">LN(M96)</f>
        <v>3.8898747722051352</v>
      </c>
      <c r="P96" s="6">
        <f t="shared" ref="P96:P106" si="45">J96-M96</f>
        <v>6.0952380952380949</v>
      </c>
      <c r="Q96" s="8">
        <f t="shared" ref="Q96:Q106" si="46">P96/SQRT(M96)</f>
        <v>0.87159574312061372</v>
      </c>
      <c r="R96" s="272">
        <f t="shared" ref="R96:R106" si="47">2*J96*(L96-O96)</f>
        <v>12.920425433006955</v>
      </c>
      <c r="T96" s="30" t="s">
        <v>48</v>
      </c>
      <c r="U96" s="272">
        <v>0.05</v>
      </c>
    </row>
    <row r="97" spans="1:21" x14ac:dyDescent="0.25">
      <c r="A97" t="s">
        <v>831</v>
      </c>
      <c r="B97" s="6">
        <f>U202</f>
        <v>85.862189735443735</v>
      </c>
      <c r="C97" s="50">
        <f>U203</f>
        <v>8</v>
      </c>
      <c r="D97" s="7">
        <f>U205</f>
        <v>3.2070964562435109E-15</v>
      </c>
      <c r="E97" s="36" t="str">
        <f>U207</f>
        <v>yes</v>
      </c>
      <c r="G97" s="6" t="str">
        <f>$A$8</f>
        <v>Positive</v>
      </c>
      <c r="H97" t="str">
        <f>$B$8</f>
        <v>Male</v>
      </c>
      <c r="I97" t="str">
        <f>$C$8</f>
        <v>Therapy 3</v>
      </c>
      <c r="J97" s="6">
        <f>$D$8</f>
        <v>107</v>
      </c>
      <c r="K97" s="384">
        <f t="shared" si="42"/>
        <v>0.214</v>
      </c>
      <c r="L97" s="8">
        <f t="shared" si="43"/>
        <v>4.6728288344619058</v>
      </c>
      <c r="M97" s="6">
        <f>(D47*D56)/D72</f>
        <v>115.76190476190476</v>
      </c>
      <c r="N97" s="384">
        <f t="shared" si="41"/>
        <v>0.23152380952380952</v>
      </c>
      <c r="O97" s="8">
        <f t="shared" si="44"/>
        <v>4.7515355365927006</v>
      </c>
      <c r="P97" s="6">
        <f t="shared" si="45"/>
        <v>-8.7619047619047592</v>
      </c>
      <c r="Q97" s="8">
        <f t="shared" si="46"/>
        <v>-0.81435861713228275</v>
      </c>
      <c r="R97" s="272">
        <f t="shared" si="47"/>
        <v>-16.843234255990083</v>
      </c>
      <c r="T97" s="372" t="s">
        <v>67</v>
      </c>
      <c r="U97" s="272">
        <f>CHIDIST(U94,U95)</f>
        <v>0.23171698437442412</v>
      </c>
    </row>
    <row r="98" spans="1:21" x14ac:dyDescent="0.25">
      <c r="A98" t="s">
        <v>832</v>
      </c>
      <c r="B98" s="6">
        <f>U220</f>
        <v>154.9183886177259</v>
      </c>
      <c r="C98" s="50">
        <f>U221</f>
        <v>6</v>
      </c>
      <c r="D98" s="7">
        <f>U223</f>
        <v>7.0506243364130613E-31</v>
      </c>
      <c r="E98" s="36" t="str">
        <f>U225</f>
        <v>yes</v>
      </c>
      <c r="G98" s="6" t="str">
        <f>$A$9</f>
        <v>Positive</v>
      </c>
      <c r="H98" t="str">
        <f>$B$9</f>
        <v>Female</v>
      </c>
      <c r="I98" t="str">
        <f>$C$9</f>
        <v>Therapy 1</v>
      </c>
      <c r="J98" s="6">
        <f>$D$9</f>
        <v>32</v>
      </c>
      <c r="K98" s="384">
        <f t="shared" si="42"/>
        <v>6.4000000000000001E-2</v>
      </c>
      <c r="L98" s="8">
        <f t="shared" si="43"/>
        <v>3.4657359027997265</v>
      </c>
      <c r="M98" s="6">
        <f>(D48*D54)/D72</f>
        <v>34.666666666666664</v>
      </c>
      <c r="N98" s="384">
        <f t="shared" si="41"/>
        <v>6.933333333333333E-2</v>
      </c>
      <c r="O98" s="8">
        <f t="shared" si="44"/>
        <v>3.5457786104732629</v>
      </c>
      <c r="P98" s="6">
        <f t="shared" si="45"/>
        <v>-2.6666666666666643</v>
      </c>
      <c r="Q98" s="8">
        <f t="shared" si="46"/>
        <v>-0.45291081365783792</v>
      </c>
      <c r="R98" s="272">
        <f t="shared" si="47"/>
        <v>-5.1227332911063286</v>
      </c>
      <c r="T98" s="89" t="s">
        <v>110</v>
      </c>
      <c r="U98" s="272">
        <f>CHIINV(U96,U95)</f>
        <v>9.4877290367811575</v>
      </c>
    </row>
    <row r="99" spans="1:21" x14ac:dyDescent="0.25">
      <c r="A99" t="s">
        <v>833</v>
      </c>
      <c r="B99" s="6">
        <f>U238</f>
        <v>58.681038980742066</v>
      </c>
      <c r="C99" s="50">
        <f>U239</f>
        <v>6</v>
      </c>
      <c r="D99" s="7">
        <f>U241</f>
        <v>8.3379990458365484E-11</v>
      </c>
      <c r="E99" s="36" t="str">
        <f>U243</f>
        <v>yes</v>
      </c>
      <c r="G99" s="6" t="str">
        <f>$A$10</f>
        <v>Positive</v>
      </c>
      <c r="H99" t="str">
        <f>$B$10</f>
        <v>Female</v>
      </c>
      <c r="I99" t="str">
        <f>$C$10</f>
        <v>Therapy 2</v>
      </c>
      <c r="J99" s="6">
        <f>$D$10</f>
        <v>24</v>
      </c>
      <c r="K99" s="384">
        <f t="shared" si="42"/>
        <v>4.8000000000000001E-2</v>
      </c>
      <c r="L99" s="8">
        <f t="shared" si="43"/>
        <v>3.1780538303479458</v>
      </c>
      <c r="M99" s="6">
        <f>(D48*D55)/D72</f>
        <v>30.095238095238095</v>
      </c>
      <c r="N99" s="384">
        <f t="shared" si="41"/>
        <v>6.019047619047619E-2</v>
      </c>
      <c r="O99" s="8">
        <f t="shared" si="44"/>
        <v>3.4043669564234342</v>
      </c>
      <c r="P99" s="6">
        <f t="shared" si="45"/>
        <v>-6.0952380952380949</v>
      </c>
      <c r="Q99" s="8">
        <f t="shared" si="46"/>
        <v>-1.1110709255341034</v>
      </c>
      <c r="R99" s="272">
        <f t="shared" si="47"/>
        <v>-10.863030051623447</v>
      </c>
      <c r="T99" s="372" t="s">
        <v>527</v>
      </c>
      <c r="U99" s="166" t="str">
        <f>IF(U97&lt;U96,"yes","no")</f>
        <v>no</v>
      </c>
    </row>
    <row r="100" spans="1:21" x14ac:dyDescent="0.25">
      <c r="A100" t="s">
        <v>834</v>
      </c>
      <c r="B100" s="6">
        <f>U41</f>
        <v>60.302394034976658</v>
      </c>
      <c r="C100" s="50">
        <f>U42</f>
        <v>5</v>
      </c>
      <c r="D100" s="7">
        <f>U44</f>
        <v>1.0525518854310249E-11</v>
      </c>
      <c r="E100" s="36" t="str">
        <f>U46</f>
        <v>yes</v>
      </c>
      <c r="G100" s="6" t="str">
        <f>$A$11</f>
        <v>Positive</v>
      </c>
      <c r="H100" t="str">
        <f>$B$11</f>
        <v>Female</v>
      </c>
      <c r="I100" t="str">
        <f>$C$11</f>
        <v>Therapy 3</v>
      </c>
      <c r="J100" s="6">
        <f>$D$11</f>
        <v>80</v>
      </c>
      <c r="K100" s="384">
        <f t="shared" si="42"/>
        <v>0.16</v>
      </c>
      <c r="L100" s="8">
        <f t="shared" si="43"/>
        <v>4.3820266346738812</v>
      </c>
      <c r="M100" s="6">
        <f>(D48*D56)/D72</f>
        <v>71.238095238095241</v>
      </c>
      <c r="N100" s="384">
        <f t="shared" si="41"/>
        <v>0.14247619047619048</v>
      </c>
      <c r="O100" s="8">
        <f t="shared" si="44"/>
        <v>4.2660277208109996</v>
      </c>
      <c r="P100" s="6">
        <f t="shared" si="45"/>
        <v>8.7619047619047592</v>
      </c>
      <c r="Q100" s="8">
        <f t="shared" si="46"/>
        <v>1.0381076199549863</v>
      </c>
      <c r="R100" s="272">
        <f t="shared" si="47"/>
        <v>18.559826218061062</v>
      </c>
    </row>
    <row r="101" spans="1:21" x14ac:dyDescent="0.25">
      <c r="A101" t="s">
        <v>835</v>
      </c>
      <c r="B101" s="6">
        <f>U24</f>
        <v>58.032898940132199</v>
      </c>
      <c r="C101" s="50">
        <f>U25</f>
        <v>5</v>
      </c>
      <c r="D101" s="7">
        <f>U27</f>
        <v>3.0966898390729441E-11</v>
      </c>
      <c r="E101" s="36" t="str">
        <f>U29</f>
        <v>yes</v>
      </c>
      <c r="G101" s="6" t="str">
        <f>$A$12</f>
        <v>Negative</v>
      </c>
      <c r="H101" t="str">
        <f>$B$12</f>
        <v>Male</v>
      </c>
      <c r="I101" t="str">
        <f>$C$12</f>
        <v>Therapy 1</v>
      </c>
      <c r="J101" s="6">
        <f>$D$12</f>
        <v>9</v>
      </c>
      <c r="K101" s="384">
        <f t="shared" si="42"/>
        <v>1.7999999999999999E-2</v>
      </c>
      <c r="L101" s="8">
        <f t="shared" si="43"/>
        <v>2.1972245773362196</v>
      </c>
      <c r="M101" s="6">
        <f>(D49*D57)/D73</f>
        <v>6.6433566433566433</v>
      </c>
      <c r="N101" s="384">
        <f t="shared" si="41"/>
        <v>1.3286713286713287E-2</v>
      </c>
      <c r="O101" s="8">
        <f t="shared" si="44"/>
        <v>1.8936173543346793</v>
      </c>
      <c r="P101" s="6">
        <f t="shared" si="45"/>
        <v>2.3566433566433567</v>
      </c>
      <c r="Q101" s="8">
        <f t="shared" si="46"/>
        <v>0.91432391541729441</v>
      </c>
      <c r="R101" s="272">
        <f t="shared" si="47"/>
        <v>5.4649300140277255</v>
      </c>
    </row>
    <row r="102" spans="1:21" x14ac:dyDescent="0.25">
      <c r="A102" t="s">
        <v>836</v>
      </c>
      <c r="B102" s="6">
        <f>U58</f>
        <v>12.040798754725822</v>
      </c>
      <c r="C102" s="50">
        <f>U59</f>
        <v>6</v>
      </c>
      <c r="D102" s="7">
        <f>U61</f>
        <v>6.1064798869981202E-2</v>
      </c>
      <c r="E102" s="36" t="str">
        <f>U63</f>
        <v>no</v>
      </c>
      <c r="G102" s="6" t="str">
        <f>$A$13</f>
        <v>Negative</v>
      </c>
      <c r="H102" t="str">
        <f>$B$13</f>
        <v>Male</v>
      </c>
      <c r="I102" t="str">
        <f>$C$13</f>
        <v>Therapy 2</v>
      </c>
      <c r="J102" s="6">
        <f>$D$13</f>
        <v>12</v>
      </c>
      <c r="K102" s="384">
        <f t="shared" si="42"/>
        <v>2.4E-2</v>
      </c>
      <c r="L102" s="8">
        <f t="shared" si="43"/>
        <v>2.4849066497880004</v>
      </c>
      <c r="M102" s="6">
        <f>(D49*D58)/D73</f>
        <v>11.958041958041958</v>
      </c>
      <c r="N102" s="384">
        <f t="shared" si="41"/>
        <v>2.3916083916083918E-2</v>
      </c>
      <c r="O102" s="8">
        <f t="shared" si="44"/>
        <v>2.4814040192367983</v>
      </c>
      <c r="P102" s="6">
        <f t="shared" si="45"/>
        <v>4.1958041958041647E-2</v>
      </c>
      <c r="Q102" s="8">
        <f t="shared" si="46"/>
        <v>1.2133474352087972E-2</v>
      </c>
      <c r="R102" s="272">
        <f t="shared" si="47"/>
        <v>8.4063133228848841E-2</v>
      </c>
    </row>
    <row r="103" spans="1:21" x14ac:dyDescent="0.25">
      <c r="A103" t="s">
        <v>837</v>
      </c>
      <c r="B103" s="6">
        <f>U94</f>
        <v>5.5925062024545165</v>
      </c>
      <c r="C103" s="50">
        <f>U95</f>
        <v>4</v>
      </c>
      <c r="D103" s="7">
        <f>U97</f>
        <v>0.23171698437442412</v>
      </c>
      <c r="E103" s="36" t="str">
        <f>U99</f>
        <v>no</v>
      </c>
      <c r="G103" s="6" t="str">
        <f>$A$14</f>
        <v>Negative</v>
      </c>
      <c r="H103" t="str">
        <f>$B$14</f>
        <v>Male</v>
      </c>
      <c r="I103" t="str">
        <f>$C$14</f>
        <v>Therapy 3</v>
      </c>
      <c r="J103" s="6">
        <f>$D$14</f>
        <v>17</v>
      </c>
      <c r="K103" s="384">
        <f t="shared" si="42"/>
        <v>3.4000000000000002E-2</v>
      </c>
      <c r="L103" s="8">
        <f t="shared" si="43"/>
        <v>2.8332133440562162</v>
      </c>
      <c r="M103" s="6">
        <f>(D49*D59)/D73</f>
        <v>19.3986013986014</v>
      </c>
      <c r="N103" s="384">
        <f t="shared" si="41"/>
        <v>3.87972027972028E-2</v>
      </c>
      <c r="O103" s="8">
        <f t="shared" si="44"/>
        <v>2.9652009706148696</v>
      </c>
      <c r="P103" s="6">
        <f t="shared" si="45"/>
        <v>-2.3986013986014001</v>
      </c>
      <c r="Q103" s="8">
        <f t="shared" si="46"/>
        <v>-0.54459402595651674</v>
      </c>
      <c r="R103" s="272">
        <f t="shared" si="47"/>
        <v>-4.4875793029942184</v>
      </c>
    </row>
    <row r="104" spans="1:21" x14ac:dyDescent="0.25">
      <c r="A104" t="s">
        <v>838</v>
      </c>
      <c r="B104" s="6">
        <f>U76</f>
        <v>7.8620012972988071</v>
      </c>
      <c r="C104" s="50">
        <f>U77</f>
        <v>4</v>
      </c>
      <c r="D104" s="7">
        <f>U79</f>
        <v>9.6766084786978152E-2</v>
      </c>
      <c r="E104" s="36" t="str">
        <f>U81</f>
        <v>no</v>
      </c>
      <c r="G104" s="6" t="str">
        <f>$A$15</f>
        <v>Negative</v>
      </c>
      <c r="H104" t="str">
        <f>$B$15</f>
        <v>Female</v>
      </c>
      <c r="I104" t="str">
        <f>$C$15</f>
        <v>Therapy 1</v>
      </c>
      <c r="J104" s="6">
        <f>$D$15</f>
        <v>16</v>
      </c>
      <c r="K104" s="384">
        <f t="shared" si="42"/>
        <v>3.2000000000000001E-2</v>
      </c>
      <c r="L104" s="8">
        <f t="shared" si="43"/>
        <v>2.7725887222397811</v>
      </c>
      <c r="M104" s="6">
        <f>(D50*D57)/D73</f>
        <v>18.356643356643357</v>
      </c>
      <c r="N104" s="384">
        <f t="shared" si="41"/>
        <v>3.6713286713286712E-2</v>
      </c>
      <c r="O104" s="8">
        <f t="shared" si="44"/>
        <v>2.9099915447658167</v>
      </c>
      <c r="P104" s="6">
        <f t="shared" si="45"/>
        <v>-2.3566433566433567</v>
      </c>
      <c r="Q104" s="8">
        <f t="shared" si="46"/>
        <v>-0.55004374239520126</v>
      </c>
      <c r="R104" s="272">
        <f t="shared" si="47"/>
        <v>-4.3968903208331369</v>
      </c>
    </row>
    <row r="105" spans="1:21" x14ac:dyDescent="0.25">
      <c r="A105" t="s">
        <v>839</v>
      </c>
      <c r="B105" s="6">
        <f>U112</f>
        <v>53.854101482705588</v>
      </c>
      <c r="C105" s="50">
        <f>U113</f>
        <v>3</v>
      </c>
      <c r="D105" s="7">
        <f>U115</f>
        <v>1.2053986552579523E-11</v>
      </c>
      <c r="E105" s="36" t="str">
        <f>U117</f>
        <v>yes</v>
      </c>
      <c r="G105" s="6" t="str">
        <f>$A$16</f>
        <v>Negative</v>
      </c>
      <c r="H105" t="str">
        <f>$B$16</f>
        <v>Female</v>
      </c>
      <c r="I105" t="str">
        <f>$C$16</f>
        <v>Therapy 2</v>
      </c>
      <c r="J105" s="6">
        <f>$D$16</f>
        <v>33</v>
      </c>
      <c r="K105" s="384">
        <f t="shared" si="42"/>
        <v>6.6000000000000003E-2</v>
      </c>
      <c r="L105" s="8">
        <f t="shared" si="43"/>
        <v>3.4965075614664802</v>
      </c>
      <c r="M105" s="6">
        <f>(D50*D58)/D73</f>
        <v>33.04195804195804</v>
      </c>
      <c r="N105" s="384">
        <f t="shared" si="41"/>
        <v>6.6083916083916075E-2</v>
      </c>
      <c r="O105" s="8">
        <f t="shared" si="44"/>
        <v>3.4977782096679357</v>
      </c>
      <c r="P105" s="6">
        <f t="shared" si="45"/>
        <v>-4.1958041958039871E-2</v>
      </c>
      <c r="Q105" s="8">
        <f t="shared" si="46"/>
        <v>-7.2993186860177564E-3</v>
      </c>
      <c r="R105" s="272">
        <f t="shared" si="47"/>
        <v>-8.3862781296063282E-2</v>
      </c>
    </row>
    <row r="106" spans="1:21" x14ac:dyDescent="0.25">
      <c r="A106" t="s">
        <v>840</v>
      </c>
      <c r="B106" s="6">
        <f>U328</f>
        <v>1.1104339218748036</v>
      </c>
      <c r="C106" s="50">
        <f>U329</f>
        <v>2</v>
      </c>
      <c r="D106" s="7">
        <f>U331</f>
        <v>0.57394772345091205</v>
      </c>
      <c r="E106" s="36" t="str">
        <f>U333</f>
        <v>no</v>
      </c>
      <c r="G106" s="9" t="str">
        <f>$A$17</f>
        <v>Negative</v>
      </c>
      <c r="H106" s="10" t="str">
        <f>$B$17</f>
        <v>Female</v>
      </c>
      <c r="I106" s="10" t="str">
        <f>$C$17</f>
        <v>Therapy 3</v>
      </c>
      <c r="J106" s="9">
        <f>$D$17</f>
        <v>56</v>
      </c>
      <c r="K106" s="385">
        <f t="shared" si="42"/>
        <v>0.112</v>
      </c>
      <c r="L106" s="11">
        <f t="shared" si="43"/>
        <v>4.0253516907351496</v>
      </c>
      <c r="M106" s="9">
        <f>(D50*D59)/D73</f>
        <v>53.6013986013986</v>
      </c>
      <c r="N106" s="385">
        <f t="shared" si="41"/>
        <v>0.1072027972027972</v>
      </c>
      <c r="O106" s="11">
        <f t="shared" si="44"/>
        <v>3.9815751610460071</v>
      </c>
      <c r="P106" s="409">
        <f t="shared" si="45"/>
        <v>2.3986013986014001</v>
      </c>
      <c r="Q106" s="11">
        <f t="shared" si="46"/>
        <v>0.32761971011824409</v>
      </c>
      <c r="R106" s="168">
        <f t="shared" si="47"/>
        <v>4.9029713251839695</v>
      </c>
    </row>
    <row r="107" spans="1:21" x14ac:dyDescent="0.25">
      <c r="A107" t="s">
        <v>841</v>
      </c>
      <c r="B107" s="9">
        <f>U7</f>
        <v>0</v>
      </c>
      <c r="C107" s="408">
        <f>U8</f>
        <v>0</v>
      </c>
      <c r="D107" s="10"/>
      <c r="E107" s="38" t="str">
        <f>U12</f>
        <v>no</v>
      </c>
      <c r="R107">
        <f>SUM(R95:R106)</f>
        <v>5.5925062024545165</v>
      </c>
    </row>
    <row r="109" spans="1:21" x14ac:dyDescent="0.25">
      <c r="G109" s="1" t="s">
        <v>858</v>
      </c>
    </row>
    <row r="111" spans="1:21" x14ac:dyDescent="0.25">
      <c r="A111" t="s">
        <v>891</v>
      </c>
      <c r="J111" s="1327" t="s">
        <v>302</v>
      </c>
      <c r="K111" s="1328"/>
      <c r="L111" s="1329"/>
      <c r="M111" s="1327" t="s">
        <v>793</v>
      </c>
      <c r="N111" s="1328"/>
      <c r="O111" s="1329"/>
      <c r="P111" s="1324" t="s">
        <v>303</v>
      </c>
      <c r="Q111" s="1330"/>
    </row>
    <row r="112" spans="1:21" x14ac:dyDescent="0.25">
      <c r="G112" s="392" t="str">
        <f>$A$5</f>
        <v>Cure</v>
      </c>
      <c r="H112" s="379" t="str">
        <f>$B$5</f>
        <v>Gender</v>
      </c>
      <c r="I112" s="379" t="str">
        <f>$C$5</f>
        <v>Therapy</v>
      </c>
      <c r="J112" s="381" t="s">
        <v>791</v>
      </c>
      <c r="K112" s="382" t="s">
        <v>790</v>
      </c>
      <c r="L112" s="383" t="s">
        <v>358</v>
      </c>
      <c r="M112" s="381" t="s">
        <v>792</v>
      </c>
      <c r="N112" s="382" t="s">
        <v>790</v>
      </c>
      <c r="O112" s="383" t="s">
        <v>783</v>
      </c>
      <c r="P112" s="430" t="s">
        <v>243</v>
      </c>
      <c r="Q112" s="432" t="s">
        <v>802</v>
      </c>
      <c r="R112" s="387" t="s">
        <v>109</v>
      </c>
      <c r="T112" s="89" t="s">
        <v>109</v>
      </c>
      <c r="U112" s="391">
        <f>R125</f>
        <v>53.854101482705588</v>
      </c>
    </row>
    <row r="113" spans="1:21" x14ac:dyDescent="0.25">
      <c r="B113" t="s">
        <v>892</v>
      </c>
      <c r="C113" t="s">
        <v>893</v>
      </c>
      <c r="D113" t="s">
        <v>758</v>
      </c>
      <c r="G113" s="6" t="str">
        <f>$A$6</f>
        <v>Positive</v>
      </c>
      <c r="H113" t="str">
        <f>$B$6</f>
        <v>Male</v>
      </c>
      <c r="I113" t="str">
        <f>$C$6</f>
        <v>Therapy 1</v>
      </c>
      <c r="J113" s="6">
        <f>$D$6</f>
        <v>59</v>
      </c>
      <c r="K113" s="384">
        <f>J113/$D$18</f>
        <v>0.11799999999999999</v>
      </c>
      <c r="L113" s="8">
        <f>LN(J113)</f>
        <v>4.0775374439057197</v>
      </c>
      <c r="M113" s="6">
        <f>(D54*D63)/D82</f>
        <v>53.344827586206897</v>
      </c>
      <c r="N113" s="384">
        <f t="shared" ref="N113:N124" si="48">M113/D$44</f>
        <v>0.1066896551724138</v>
      </c>
      <c r="O113" s="8">
        <f>LN(M113)</f>
        <v>3.9767770205865922</v>
      </c>
      <c r="P113" s="429">
        <f>J113-M113</f>
        <v>5.6551724137931032</v>
      </c>
      <c r="Q113" s="8">
        <f>P113/SQRT(M113)</f>
        <v>0.77428294323684033</v>
      </c>
      <c r="R113" s="272">
        <f>2*J113*(L113-O113)</f>
        <v>11.889729951657044</v>
      </c>
      <c r="T113" t="s">
        <v>60</v>
      </c>
      <c r="U113" s="272">
        <f>(A27-1)*C27*(B27-1)</f>
        <v>3</v>
      </c>
    </row>
    <row r="114" spans="1:21" x14ac:dyDescent="0.25">
      <c r="A114" s="89" t="s">
        <v>894</v>
      </c>
      <c r="B114" s="429">
        <f>B106</f>
        <v>1.1104339218748036</v>
      </c>
      <c r="C114" s="433">
        <f>B104</f>
        <v>7.8620012972988071</v>
      </c>
      <c r="D114" s="418">
        <f>C114-B114</f>
        <v>6.7515673754240035</v>
      </c>
      <c r="G114" s="6" t="str">
        <f>$A$7</f>
        <v>Positive</v>
      </c>
      <c r="H114" t="str">
        <f>$B$7</f>
        <v>Male</v>
      </c>
      <c r="I114" t="str">
        <f>$C$7</f>
        <v>Therapy 2</v>
      </c>
      <c r="J114" s="6">
        <f>$D$7</f>
        <v>55</v>
      </c>
      <c r="K114" s="384">
        <f t="shared" ref="K114:K124" si="49">J114/$D$18</f>
        <v>0.11</v>
      </c>
      <c r="L114" s="8">
        <f t="shared" ref="L114:L124" si="50">LN(J114)</f>
        <v>4.0073331852324712</v>
      </c>
      <c r="M114" s="6">
        <f>(D55*D64)/D83</f>
        <v>42.685483870967744</v>
      </c>
      <c r="N114" s="384">
        <f t="shared" si="48"/>
        <v>8.5370967741935491E-2</v>
      </c>
      <c r="O114" s="8">
        <f t="shared" ref="O114:O124" si="51">LN(M114)</f>
        <v>3.7538589062529506</v>
      </c>
      <c r="P114" s="6">
        <f t="shared" ref="P114:P124" si="52">J114-M114</f>
        <v>12.314516129032256</v>
      </c>
      <c r="Q114" s="8">
        <f t="shared" ref="Q114:Q124" si="53">P114/SQRT(M114)</f>
        <v>1.8848519684446319</v>
      </c>
      <c r="R114" s="272">
        <f t="shared" ref="R114:R124" si="54">2*J114*(L114-O114)</f>
        <v>27.882170687747262</v>
      </c>
      <c r="T114" s="30" t="s">
        <v>48</v>
      </c>
      <c r="U114" s="272">
        <v>0.05</v>
      </c>
    </row>
    <row r="115" spans="1:21" x14ac:dyDescent="0.25">
      <c r="A115" t="s">
        <v>60</v>
      </c>
      <c r="B115" s="409">
        <f>C106</f>
        <v>2</v>
      </c>
      <c r="C115" s="10">
        <f>C104</f>
        <v>4</v>
      </c>
      <c r="D115" s="420">
        <f>C115-B115</f>
        <v>2</v>
      </c>
      <c r="G115" s="6" t="str">
        <f>$A$8</f>
        <v>Positive</v>
      </c>
      <c r="H115" t="str">
        <f>$B$8</f>
        <v>Male</v>
      </c>
      <c r="I115" t="str">
        <f>$C$8</f>
        <v>Therapy 3</v>
      </c>
      <c r="J115" s="6">
        <f>$D$8</f>
        <v>107</v>
      </c>
      <c r="K115" s="384">
        <f t="shared" si="49"/>
        <v>0.214</v>
      </c>
      <c r="L115" s="8">
        <f t="shared" si="50"/>
        <v>4.6728288344619058</v>
      </c>
      <c r="M115" s="6">
        <f>(D56*D65)/D84</f>
        <v>89.184615384615384</v>
      </c>
      <c r="N115" s="384">
        <f t="shared" si="48"/>
        <v>0.17836923076923078</v>
      </c>
      <c r="O115" s="8">
        <f t="shared" si="51"/>
        <v>4.4907085514440954</v>
      </c>
      <c r="P115" s="6">
        <f t="shared" si="52"/>
        <v>17.815384615384616</v>
      </c>
      <c r="Q115" s="8">
        <f t="shared" si="53"/>
        <v>1.8864714236899325</v>
      </c>
      <c r="R115" s="272">
        <f t="shared" si="54"/>
        <v>38.973740565811418</v>
      </c>
      <c r="T115" s="372" t="s">
        <v>67</v>
      </c>
      <c r="U115" s="272">
        <f>CHIDIST(U112,U113)</f>
        <v>1.2053986552579523E-11</v>
      </c>
    </row>
    <row r="116" spans="1:21" x14ac:dyDescent="0.25">
      <c r="A116" s="30" t="s">
        <v>48</v>
      </c>
      <c r="D116" s="272">
        <v>0.05</v>
      </c>
      <c r="G116" s="6" t="str">
        <f>$A$9</f>
        <v>Positive</v>
      </c>
      <c r="H116" t="str">
        <f>$B$9</f>
        <v>Female</v>
      </c>
      <c r="I116" t="str">
        <f>$C$9</f>
        <v>Therapy 1</v>
      </c>
      <c r="J116" s="6">
        <f>$D$9</f>
        <v>32</v>
      </c>
      <c r="K116" s="384">
        <f t="shared" si="49"/>
        <v>6.4000000000000001E-2</v>
      </c>
      <c r="L116" s="8">
        <f t="shared" si="50"/>
        <v>3.4657359027997265</v>
      </c>
      <c r="M116" s="6">
        <f>(D54*D66)/D82</f>
        <v>37.655172413793103</v>
      </c>
      <c r="N116" s="384">
        <f t="shared" si="48"/>
        <v>7.5310344827586209E-2</v>
      </c>
      <c r="O116" s="8">
        <f t="shared" si="51"/>
        <v>3.6284703263183764</v>
      </c>
      <c r="P116" s="6">
        <f t="shared" si="52"/>
        <v>-5.6551724137931032</v>
      </c>
      <c r="Q116" s="8">
        <f t="shared" si="53"/>
        <v>-0.92158103709456685</v>
      </c>
      <c r="R116" s="272">
        <f t="shared" si="54"/>
        <v>-10.415003105193591</v>
      </c>
      <c r="T116" s="89" t="s">
        <v>110</v>
      </c>
      <c r="U116" s="272">
        <f>CHIINV(U114,U113)</f>
        <v>7.8147279032511792</v>
      </c>
    </row>
    <row r="117" spans="1:21" x14ac:dyDescent="0.25">
      <c r="A117" t="s">
        <v>67</v>
      </c>
      <c r="D117" s="272">
        <f>CHIDIST(D114,D115)</f>
        <v>3.419131249788273E-2</v>
      </c>
      <c r="G117" s="6" t="str">
        <f>$A$10</f>
        <v>Positive</v>
      </c>
      <c r="H117" t="str">
        <f>$B$10</f>
        <v>Female</v>
      </c>
      <c r="I117" t="str">
        <f>$C$10</f>
        <v>Therapy 2</v>
      </c>
      <c r="J117" s="6">
        <f>$D$10</f>
        <v>24</v>
      </c>
      <c r="K117" s="384">
        <f t="shared" si="49"/>
        <v>4.8000000000000001E-2</v>
      </c>
      <c r="L117" s="8">
        <f t="shared" si="50"/>
        <v>3.1780538303479458</v>
      </c>
      <c r="M117" s="6">
        <f>(D55*D67)/D83</f>
        <v>36.314516129032256</v>
      </c>
      <c r="N117" s="384">
        <f t="shared" si="48"/>
        <v>7.262903225806451E-2</v>
      </c>
      <c r="O117" s="8">
        <f t="shared" si="51"/>
        <v>3.5922175546965347</v>
      </c>
      <c r="P117" s="6">
        <f t="shared" si="52"/>
        <v>-12.314516129032256</v>
      </c>
      <c r="Q117" s="8">
        <f t="shared" si="53"/>
        <v>-2.043512134835872</v>
      </c>
      <c r="R117" s="272">
        <f t="shared" si="54"/>
        <v>-19.879858768732269</v>
      </c>
      <c r="T117" s="372" t="s">
        <v>527</v>
      </c>
      <c r="U117" s="166" t="str">
        <f>IF(U115&lt;U114,"yes","no")</f>
        <v>yes</v>
      </c>
    </row>
    <row r="118" spans="1:21" x14ac:dyDescent="0.25">
      <c r="A118" t="s">
        <v>527</v>
      </c>
      <c r="D118" s="414" t="str">
        <f>IF(D116&lt;D115,"yes","no")</f>
        <v>yes</v>
      </c>
      <c r="G118" s="6" t="str">
        <f>$A$11</f>
        <v>Positive</v>
      </c>
      <c r="H118" t="str">
        <f>$B$11</f>
        <v>Female</v>
      </c>
      <c r="I118" t="str">
        <f>$C$11</f>
        <v>Therapy 3</v>
      </c>
      <c r="J118" s="6">
        <f>$D$11</f>
        <v>80</v>
      </c>
      <c r="K118" s="384">
        <f t="shared" si="49"/>
        <v>0.16</v>
      </c>
      <c r="L118" s="8">
        <f t="shared" si="50"/>
        <v>4.3820266346738812</v>
      </c>
      <c r="M118" s="6">
        <f>(D56*D68)/D84</f>
        <v>97.815384615384616</v>
      </c>
      <c r="N118" s="384">
        <f t="shared" si="48"/>
        <v>0.19563076923076922</v>
      </c>
      <c r="O118" s="8">
        <f t="shared" si="51"/>
        <v>4.5830818715751107</v>
      </c>
      <c r="P118" s="6">
        <f t="shared" si="52"/>
        <v>-17.815384615384616</v>
      </c>
      <c r="Q118" s="8">
        <f t="shared" si="53"/>
        <v>-1.8013231036262367</v>
      </c>
      <c r="R118" s="272">
        <f t="shared" si="54"/>
        <v>-32.168837904196721</v>
      </c>
    </row>
    <row r="119" spans="1:21" x14ac:dyDescent="0.25">
      <c r="G119" s="6" t="str">
        <f>$A$12</f>
        <v>Negative</v>
      </c>
      <c r="H119" t="str">
        <f>$B$12</f>
        <v>Male</v>
      </c>
      <c r="I119" t="str">
        <f>$C$12</f>
        <v>Therapy 1</v>
      </c>
      <c r="J119" s="6">
        <f>$D$12</f>
        <v>9</v>
      </c>
      <c r="K119" s="384">
        <f t="shared" si="49"/>
        <v>1.7999999999999999E-2</v>
      </c>
      <c r="L119" s="8">
        <f t="shared" si="50"/>
        <v>2.1972245773362196</v>
      </c>
      <c r="M119" s="6">
        <f>(D57*D63)/D82</f>
        <v>14.655172413793103</v>
      </c>
      <c r="N119" s="384">
        <f t="shared" si="48"/>
        <v>2.9310344827586206E-2</v>
      </c>
      <c r="O119" s="8">
        <f t="shared" si="51"/>
        <v>2.6847933389379426</v>
      </c>
      <c r="P119" s="6">
        <f t="shared" si="52"/>
        <v>-5.6551724137931032</v>
      </c>
      <c r="Q119" s="8">
        <f t="shared" si="53"/>
        <v>-1.4772377050842276</v>
      </c>
      <c r="R119" s="272">
        <f t="shared" si="54"/>
        <v>-8.7762377088310153</v>
      </c>
    </row>
    <row r="120" spans="1:21" x14ac:dyDescent="0.25">
      <c r="A120" t="s">
        <v>895</v>
      </c>
      <c r="G120" s="6" t="str">
        <f>$A$13</f>
        <v>Negative</v>
      </c>
      <c r="H120" t="str">
        <f>$B$13</f>
        <v>Male</v>
      </c>
      <c r="I120" t="str">
        <f>$C$13</f>
        <v>Therapy 2</v>
      </c>
      <c r="J120" s="6">
        <f>$D$13</f>
        <v>12</v>
      </c>
      <c r="K120" s="384">
        <f t="shared" si="49"/>
        <v>2.4E-2</v>
      </c>
      <c r="L120" s="8">
        <f t="shared" si="50"/>
        <v>2.4849066497880004</v>
      </c>
      <c r="M120" s="6">
        <f>(D58*D64)/D83</f>
        <v>24.31451612903226</v>
      </c>
      <c r="N120" s="384">
        <f t="shared" si="48"/>
        <v>4.8629032258064517E-2</v>
      </c>
      <c r="O120" s="8">
        <f t="shared" si="51"/>
        <v>3.1910735435562492</v>
      </c>
      <c r="P120" s="6">
        <f t="shared" si="52"/>
        <v>-12.31451612903226</v>
      </c>
      <c r="Q120" s="8">
        <f t="shared" si="53"/>
        <v>-2.4973794643052849</v>
      </c>
      <c r="R120" s="272">
        <f t="shared" si="54"/>
        <v>-16.948005450437972</v>
      </c>
    </row>
    <row r="121" spans="1:21" x14ac:dyDescent="0.25">
      <c r="G121" s="6" t="str">
        <f>$A$14</f>
        <v>Negative</v>
      </c>
      <c r="H121" t="str">
        <f>$B$14</f>
        <v>Male</v>
      </c>
      <c r="I121" t="str">
        <f>$C$14</f>
        <v>Therapy 3</v>
      </c>
      <c r="J121" s="6">
        <f>$D$14</f>
        <v>17</v>
      </c>
      <c r="K121" s="384">
        <f t="shared" si="49"/>
        <v>3.4000000000000002E-2</v>
      </c>
      <c r="L121" s="8">
        <f t="shared" si="50"/>
        <v>2.8332133440562162</v>
      </c>
      <c r="M121" s="6">
        <f>(D59*D65)/D84</f>
        <v>34.815384615384616</v>
      </c>
      <c r="N121" s="384">
        <f t="shared" si="48"/>
        <v>6.9630769230769232E-2</v>
      </c>
      <c r="O121" s="8">
        <f t="shared" si="51"/>
        <v>3.5500593757379004</v>
      </c>
      <c r="P121" s="6">
        <f t="shared" si="52"/>
        <v>-17.815384615384616</v>
      </c>
      <c r="Q121" s="8">
        <f t="shared" si="53"/>
        <v>-3.0193232001731074</v>
      </c>
      <c r="R121" s="272">
        <f t="shared" si="54"/>
        <v>-24.372765077177263</v>
      </c>
    </row>
    <row r="122" spans="1:21" x14ac:dyDescent="0.25">
      <c r="B122" t="s">
        <v>892</v>
      </c>
      <c r="C122" t="s">
        <v>893</v>
      </c>
      <c r="D122" t="s">
        <v>758</v>
      </c>
      <c r="G122" s="6" t="str">
        <f>$A$15</f>
        <v>Negative</v>
      </c>
      <c r="H122" t="str">
        <f>$B$15</f>
        <v>Female</v>
      </c>
      <c r="I122" t="str">
        <f>$C$15</f>
        <v>Therapy 1</v>
      </c>
      <c r="J122" s="6">
        <f>$D$15</f>
        <v>16</v>
      </c>
      <c r="K122" s="384">
        <f t="shared" si="49"/>
        <v>3.2000000000000001E-2</v>
      </c>
      <c r="L122" s="8">
        <f t="shared" si="50"/>
        <v>2.7725887222397811</v>
      </c>
      <c r="M122" s="6">
        <f>(D57*D66)/D82</f>
        <v>10.344827586206897</v>
      </c>
      <c r="N122" s="384">
        <f t="shared" si="48"/>
        <v>2.0689655172413793E-2</v>
      </c>
      <c r="O122" s="8">
        <f t="shared" si="51"/>
        <v>2.3364866446697272</v>
      </c>
      <c r="P122" s="6">
        <f t="shared" si="52"/>
        <v>5.6551724137931032</v>
      </c>
      <c r="Q122" s="8">
        <f t="shared" si="53"/>
        <v>1.7582645571339834</v>
      </c>
      <c r="R122" s="272">
        <f t="shared" si="54"/>
        <v>13.955266482241726</v>
      </c>
    </row>
    <row r="123" spans="1:21" x14ac:dyDescent="0.25">
      <c r="A123" s="89" t="s">
        <v>894</v>
      </c>
      <c r="B123" s="429">
        <f>B106</f>
        <v>1.1104339218748036</v>
      </c>
      <c r="C123" s="433">
        <f>B103</f>
        <v>5.5925062024545165</v>
      </c>
      <c r="D123" s="418">
        <f>C123-B123</f>
        <v>4.4820722805797129</v>
      </c>
      <c r="G123" s="6" t="str">
        <f>$A$16</f>
        <v>Negative</v>
      </c>
      <c r="H123" t="str">
        <f>$B$16</f>
        <v>Female</v>
      </c>
      <c r="I123" t="str">
        <f>$C$16</f>
        <v>Therapy 2</v>
      </c>
      <c r="J123" s="6">
        <f>$D$16</f>
        <v>33</v>
      </c>
      <c r="K123" s="384">
        <f t="shared" si="49"/>
        <v>6.6000000000000003E-2</v>
      </c>
      <c r="L123" s="8">
        <f t="shared" si="50"/>
        <v>3.4965075614664802</v>
      </c>
      <c r="M123" s="6">
        <f>(D58*D67)/D83</f>
        <v>20.68548387096774</v>
      </c>
      <c r="N123" s="384">
        <f t="shared" si="48"/>
        <v>4.137096774193548E-2</v>
      </c>
      <c r="O123" s="8">
        <f t="shared" si="51"/>
        <v>3.0294321919998328</v>
      </c>
      <c r="P123" s="6">
        <f t="shared" si="52"/>
        <v>12.31451612903226</v>
      </c>
      <c r="Q123" s="8">
        <f t="shared" si="53"/>
        <v>2.7076000269713885</v>
      </c>
      <c r="R123" s="272">
        <f t="shared" si="54"/>
        <v>30.826974384798728</v>
      </c>
    </row>
    <row r="124" spans="1:21" x14ac:dyDescent="0.25">
      <c r="A124" t="s">
        <v>60</v>
      </c>
      <c r="B124" s="409">
        <f>C106</f>
        <v>2</v>
      </c>
      <c r="C124" s="10">
        <f>C104</f>
        <v>4</v>
      </c>
      <c r="D124" s="420">
        <f>C124-B124</f>
        <v>2</v>
      </c>
      <c r="G124" s="9" t="str">
        <f>$A$17</f>
        <v>Negative</v>
      </c>
      <c r="H124" s="10" t="str">
        <f>$B$17</f>
        <v>Female</v>
      </c>
      <c r="I124" s="10" t="str">
        <f>$C$17</f>
        <v>Therapy 3</v>
      </c>
      <c r="J124" s="9">
        <f>$D$17</f>
        <v>56</v>
      </c>
      <c r="K124" s="385">
        <f t="shared" si="49"/>
        <v>0.112</v>
      </c>
      <c r="L124" s="11">
        <f t="shared" si="50"/>
        <v>4.0253516907351496</v>
      </c>
      <c r="M124" s="9">
        <f>(D59*D68)/D84</f>
        <v>38.184615384615384</v>
      </c>
      <c r="N124" s="9">
        <f t="shared" si="48"/>
        <v>7.6369230769230773E-2</v>
      </c>
      <c r="O124" s="11">
        <f t="shared" si="51"/>
        <v>3.6424326958689153</v>
      </c>
      <c r="P124" s="409">
        <f t="shared" si="52"/>
        <v>17.815384615384616</v>
      </c>
      <c r="Q124" s="11">
        <f t="shared" si="53"/>
        <v>2.8830421545152753</v>
      </c>
      <c r="R124" s="168">
        <f t="shared" si="54"/>
        <v>42.88692742501825</v>
      </c>
    </row>
    <row r="125" spans="1:21" x14ac:dyDescent="0.25">
      <c r="A125" s="30" t="s">
        <v>48</v>
      </c>
      <c r="D125" s="272">
        <v>0.05</v>
      </c>
      <c r="R125">
        <f>SUM(R113:R124)</f>
        <v>53.854101482705588</v>
      </c>
    </row>
    <row r="126" spans="1:21" x14ac:dyDescent="0.25">
      <c r="A126" t="s">
        <v>67</v>
      </c>
      <c r="D126" s="272">
        <f>CHIDIST(D123,D124)</f>
        <v>0.10634825556015279</v>
      </c>
    </row>
    <row r="127" spans="1:21" x14ac:dyDescent="0.25">
      <c r="A127" t="s">
        <v>527</v>
      </c>
      <c r="D127" s="414" t="str">
        <f>IF(D125&lt;D124,"yes","no")</f>
        <v>yes</v>
      </c>
      <c r="G127" s="1" t="s">
        <v>852</v>
      </c>
    </row>
    <row r="129" spans="1:21" x14ac:dyDescent="0.25">
      <c r="A129" t="s">
        <v>896</v>
      </c>
      <c r="J129" s="1327" t="s">
        <v>302</v>
      </c>
      <c r="K129" s="1328"/>
      <c r="L129" s="1329"/>
      <c r="M129" s="1327" t="s">
        <v>793</v>
      </c>
      <c r="N129" s="1328"/>
      <c r="O129" s="1329"/>
      <c r="P129" s="1324" t="s">
        <v>303</v>
      </c>
      <c r="Q129" s="1330"/>
    </row>
    <row r="130" spans="1:21" x14ac:dyDescent="0.25">
      <c r="G130" s="392" t="str">
        <f>$A$5</f>
        <v>Cure</v>
      </c>
      <c r="H130" s="379" t="str">
        <f>$B$5</f>
        <v>Gender</v>
      </c>
      <c r="I130" s="379" t="str">
        <f>$C$5</f>
        <v>Therapy</v>
      </c>
      <c r="J130" s="381" t="s">
        <v>791</v>
      </c>
      <c r="K130" s="382" t="s">
        <v>790</v>
      </c>
      <c r="L130" s="383" t="s">
        <v>358</v>
      </c>
      <c r="M130" s="381" t="s">
        <v>792</v>
      </c>
      <c r="N130" s="382" t="s">
        <v>790</v>
      </c>
      <c r="O130" s="383" t="s">
        <v>783</v>
      </c>
      <c r="P130" s="430" t="s">
        <v>243</v>
      </c>
      <c r="Q130" s="432" t="s">
        <v>802</v>
      </c>
      <c r="R130" s="387" t="s">
        <v>109</v>
      </c>
      <c r="T130" s="89" t="s">
        <v>109</v>
      </c>
      <c r="U130" s="391">
        <f>R143</f>
        <v>64.481191492403582</v>
      </c>
    </row>
    <row r="131" spans="1:21" x14ac:dyDescent="0.25">
      <c r="B131" t="s">
        <v>892</v>
      </c>
      <c r="C131" t="s">
        <v>893</v>
      </c>
      <c r="D131" t="s">
        <v>758</v>
      </c>
      <c r="G131" s="6" t="str">
        <f>$A$6</f>
        <v>Positive</v>
      </c>
      <c r="H131" t="str">
        <f>$B$6</f>
        <v>Male</v>
      </c>
      <c r="I131" t="str">
        <f>$C$6</f>
        <v>Therapy 1</v>
      </c>
      <c r="J131" s="6">
        <f>$D$6</f>
        <v>59</v>
      </c>
      <c r="K131" s="384">
        <f>J131/$D$18</f>
        <v>0.11799999999999999</v>
      </c>
      <c r="L131" s="8">
        <f>LN(J131)</f>
        <v>4.0775374439057197</v>
      </c>
      <c r="M131" s="6">
        <f>D72*D77*D82/$D$44^2</f>
        <v>42.902831999999997</v>
      </c>
      <c r="N131" s="384">
        <f t="shared" ref="N131:N142" si="55">M131/D$44</f>
        <v>8.580566399999999E-2</v>
      </c>
      <c r="O131" s="8">
        <f>LN(M131)</f>
        <v>3.7589378377411578</v>
      </c>
      <c r="P131" s="429">
        <f>J131-M131</f>
        <v>16.097168000000003</v>
      </c>
      <c r="Q131" s="428">
        <f>P131/SQRT(M131)</f>
        <v>2.4575733918444431</v>
      </c>
      <c r="R131" s="272">
        <f>2*J131*(L131-O131)</f>
        <v>37.594753527418312</v>
      </c>
      <c r="T131" t="s">
        <v>60</v>
      </c>
      <c r="U131" s="272">
        <f>PRODUCT(A27:C27)-SUM(A27:C27)+2</f>
        <v>7</v>
      </c>
    </row>
    <row r="132" spans="1:21" x14ac:dyDescent="0.25">
      <c r="A132" s="89" t="s">
        <v>894</v>
      </c>
      <c r="B132" s="429">
        <f>B103</f>
        <v>5.5925062024545165</v>
      </c>
      <c r="C132" s="433">
        <f>B102</f>
        <v>12.040798754725822</v>
      </c>
      <c r="D132" s="418">
        <f>C132-B132</f>
        <v>6.4482925522713055</v>
      </c>
      <c r="G132" s="6" t="str">
        <f>$A$7</f>
        <v>Positive</v>
      </c>
      <c r="H132" t="str">
        <f>$B$7</f>
        <v>Male</v>
      </c>
      <c r="I132" t="str">
        <f>$C$7</f>
        <v>Therapy 2</v>
      </c>
      <c r="J132" s="6">
        <f>$D$7</f>
        <v>55</v>
      </c>
      <c r="K132" s="384">
        <f t="shared" ref="K132:K142" si="56">J132/$D$18</f>
        <v>0.11</v>
      </c>
      <c r="L132" s="8">
        <f t="shared" ref="L132:L142" si="57">LN(J132)</f>
        <v>4.0073331852324712</v>
      </c>
      <c r="M132" s="6">
        <f>D72*D77*D83/$D$44^2</f>
        <v>45.861648000000002</v>
      </c>
      <c r="N132" s="384">
        <f t="shared" si="55"/>
        <v>9.172329600000001E-2</v>
      </c>
      <c r="O132" s="8">
        <f t="shared" ref="O132:O142" si="58">LN(M132)</f>
        <v>3.8256292122398303</v>
      </c>
      <c r="P132" s="6">
        <f t="shared" ref="P132:P142" si="59">J132-M132</f>
        <v>9.1383519999999976</v>
      </c>
      <c r="Q132" s="8">
        <f t="shared" ref="Q132:Q142" si="60">P132/SQRT(M132)</f>
        <v>1.3494072969435165</v>
      </c>
      <c r="R132" s="272">
        <f t="shared" ref="R132:R142" si="61">2*J132*(L132-O132)</f>
        <v>19.987437029190495</v>
      </c>
      <c r="T132" s="30" t="s">
        <v>48</v>
      </c>
      <c r="U132" s="272">
        <v>0.05</v>
      </c>
    </row>
    <row r="133" spans="1:21" x14ac:dyDescent="0.25">
      <c r="A133" t="s">
        <v>60</v>
      </c>
      <c r="B133" s="409">
        <f>C103</f>
        <v>4</v>
      </c>
      <c r="C133" s="10">
        <f>C102</f>
        <v>6</v>
      </c>
      <c r="D133" s="420">
        <f>C133-B133</f>
        <v>2</v>
      </c>
      <c r="G133" s="6" t="str">
        <f>$A$8</f>
        <v>Positive</v>
      </c>
      <c r="H133" t="str">
        <f>$B$8</f>
        <v>Male</v>
      </c>
      <c r="I133" t="str">
        <f>$C$8</f>
        <v>Therapy 3</v>
      </c>
      <c r="J133" s="6">
        <f>$D$8</f>
        <v>107</v>
      </c>
      <c r="K133" s="384">
        <f t="shared" si="56"/>
        <v>0.214</v>
      </c>
      <c r="L133" s="8">
        <f t="shared" si="57"/>
        <v>4.6728288344619058</v>
      </c>
      <c r="M133" s="6">
        <f>D72*D77*D84/$D$44^2</f>
        <v>96.161519999999996</v>
      </c>
      <c r="N133" s="384">
        <f t="shared" si="55"/>
        <v>0.19232304</v>
      </c>
      <c r="O133" s="8">
        <f t="shared" si="58"/>
        <v>4.5660292776503209</v>
      </c>
      <c r="P133" s="6">
        <f t="shared" si="59"/>
        <v>10.838480000000004</v>
      </c>
      <c r="Q133" s="8">
        <f t="shared" si="60"/>
        <v>1.1052683166067374</v>
      </c>
      <c r="R133" s="272">
        <f t="shared" si="61"/>
        <v>22.855105157679176</v>
      </c>
      <c r="T133" s="372" t="s">
        <v>67</v>
      </c>
      <c r="U133" s="272">
        <f>CHIDIST(U130,U131)</f>
        <v>1.9117300324482149E-11</v>
      </c>
    </row>
    <row r="134" spans="1:21" x14ac:dyDescent="0.25">
      <c r="A134" s="30" t="s">
        <v>48</v>
      </c>
      <c r="D134" s="272">
        <v>0.05</v>
      </c>
      <c r="G134" s="6" t="str">
        <f>$A$9</f>
        <v>Positive</v>
      </c>
      <c r="H134" t="str">
        <f>$B$9</f>
        <v>Female</v>
      </c>
      <c r="I134" t="str">
        <f>$C$9</f>
        <v>Therapy 1</v>
      </c>
      <c r="J134" s="6">
        <f>$D$9</f>
        <v>32</v>
      </c>
      <c r="K134" s="384">
        <f t="shared" si="56"/>
        <v>6.4000000000000001E-2</v>
      </c>
      <c r="L134" s="8">
        <f t="shared" si="57"/>
        <v>3.4657359027997265</v>
      </c>
      <c r="M134" s="6">
        <f>D72*D78*D82/$D$44^2</f>
        <v>39.921168000000002</v>
      </c>
      <c r="N134" s="384">
        <f t="shared" si="55"/>
        <v>7.9842336E-2</v>
      </c>
      <c r="O134" s="8">
        <f t="shared" si="58"/>
        <v>3.6869067095322752</v>
      </c>
      <c r="P134" s="6">
        <f t="shared" si="59"/>
        <v>-7.9211680000000015</v>
      </c>
      <c r="Q134" s="8">
        <f t="shared" si="60"/>
        <v>-1.2536826185660521</v>
      </c>
      <c r="R134" s="272">
        <f t="shared" si="61"/>
        <v>-14.154931630883112</v>
      </c>
      <c r="T134" s="89" t="s">
        <v>110</v>
      </c>
      <c r="U134" s="272">
        <f>CHIINV(U132,U131)</f>
        <v>14.067140449340167</v>
      </c>
    </row>
    <row r="135" spans="1:21" x14ac:dyDescent="0.25">
      <c r="A135" t="s">
        <v>67</v>
      </c>
      <c r="D135" s="272">
        <f>CHIDIST(D132,D133)</f>
        <v>3.9789736527712581E-2</v>
      </c>
      <c r="G135" s="6" t="str">
        <f>$A$10</f>
        <v>Positive</v>
      </c>
      <c r="H135" t="str">
        <f>$B$10</f>
        <v>Female</v>
      </c>
      <c r="I135" t="str">
        <f>$C$10</f>
        <v>Therapy 2</v>
      </c>
      <c r="J135" s="6">
        <f>$D$10</f>
        <v>24</v>
      </c>
      <c r="K135" s="384">
        <f t="shared" si="56"/>
        <v>4.8000000000000001E-2</v>
      </c>
      <c r="L135" s="8">
        <f t="shared" si="57"/>
        <v>3.1780538303479458</v>
      </c>
      <c r="M135" s="6">
        <f>D72*D78*D83/$D$44^2</f>
        <v>42.674351999999999</v>
      </c>
      <c r="N135" s="384">
        <f t="shared" si="55"/>
        <v>8.5348703999999997E-2</v>
      </c>
      <c r="O135" s="8">
        <f t="shared" si="58"/>
        <v>3.7535980840309473</v>
      </c>
      <c r="P135" s="6">
        <f t="shared" si="59"/>
        <v>-18.674351999999999</v>
      </c>
      <c r="Q135" s="8">
        <f t="shared" si="60"/>
        <v>-2.8586571586024143</v>
      </c>
      <c r="R135" s="272">
        <f t="shared" si="61"/>
        <v>-27.626124176784074</v>
      </c>
      <c r="T135" s="372" t="s">
        <v>527</v>
      </c>
      <c r="U135" s="166" t="str">
        <f>IF(U133&lt;U132,"yes","no")</f>
        <v>yes</v>
      </c>
    </row>
    <row r="136" spans="1:21" x14ac:dyDescent="0.25">
      <c r="A136" t="s">
        <v>527</v>
      </c>
      <c r="D136" s="414" t="str">
        <f>IF(D134&lt;D133,"yes","no")</f>
        <v>yes</v>
      </c>
      <c r="G136" s="6" t="str">
        <f>$A$11</f>
        <v>Positive</v>
      </c>
      <c r="H136" t="str">
        <f>$B$11</f>
        <v>Female</v>
      </c>
      <c r="I136" t="str">
        <f>$C$11</f>
        <v>Therapy 3</v>
      </c>
      <c r="J136" s="6">
        <f>$D$11</f>
        <v>80</v>
      </c>
      <c r="K136" s="384">
        <f t="shared" si="56"/>
        <v>0.16</v>
      </c>
      <c r="L136" s="8">
        <f t="shared" si="57"/>
        <v>4.3820266346738812</v>
      </c>
      <c r="M136" s="6">
        <f>D72*D78*D84/$D$44^2</f>
        <v>89.478480000000005</v>
      </c>
      <c r="N136" s="384">
        <f t="shared" si="55"/>
        <v>0.17895696</v>
      </c>
      <c r="O136" s="8">
        <f t="shared" si="58"/>
        <v>4.4939981494414383</v>
      </c>
      <c r="P136" s="6">
        <f t="shared" si="59"/>
        <v>-9.4784800000000047</v>
      </c>
      <c r="Q136" s="8">
        <f t="shared" si="60"/>
        <v>-1.0020269426145285</v>
      </c>
      <c r="R136" s="272">
        <f t="shared" si="61"/>
        <v>-17.915442362809131</v>
      </c>
    </row>
    <row r="137" spans="1:21" x14ac:dyDescent="0.25">
      <c r="G137" s="6" t="str">
        <f>$A$12</f>
        <v>Negative</v>
      </c>
      <c r="H137" t="str">
        <f>$B$12</f>
        <v>Male</v>
      </c>
      <c r="I137" t="str">
        <f>$C$12</f>
        <v>Therapy 1</v>
      </c>
      <c r="J137" s="6">
        <f>$D$12</f>
        <v>9</v>
      </c>
      <c r="K137" s="384">
        <f t="shared" si="56"/>
        <v>1.7999999999999999E-2</v>
      </c>
      <c r="L137" s="8">
        <f t="shared" si="57"/>
        <v>2.1972245773362196</v>
      </c>
      <c r="M137" s="6">
        <f>D73*D77*D82/$D$44^2</f>
        <v>17.185168000000001</v>
      </c>
      <c r="N137" s="384">
        <f t="shared" si="55"/>
        <v>3.4370336000000001E-2</v>
      </c>
      <c r="O137" s="8">
        <f t="shared" si="58"/>
        <v>2.8440466862214264</v>
      </c>
      <c r="P137" s="6">
        <f t="shared" si="59"/>
        <v>-8.1851680000000009</v>
      </c>
      <c r="Q137" s="8">
        <f t="shared" si="60"/>
        <v>-1.9744707600600977</v>
      </c>
      <c r="R137" s="272">
        <f t="shared" si="61"/>
        <v>-11.642797959933723</v>
      </c>
    </row>
    <row r="138" spans="1:21" x14ac:dyDescent="0.25">
      <c r="G138" s="6" t="str">
        <f>$A$13</f>
        <v>Negative</v>
      </c>
      <c r="H138" t="str">
        <f>$B$13</f>
        <v>Male</v>
      </c>
      <c r="I138" t="str">
        <f>$C$13</f>
        <v>Therapy 2</v>
      </c>
      <c r="J138" s="6">
        <f>$D$13</f>
        <v>12</v>
      </c>
      <c r="K138" s="384">
        <f t="shared" si="56"/>
        <v>2.4E-2</v>
      </c>
      <c r="L138" s="8">
        <f t="shared" si="57"/>
        <v>2.4849066497880004</v>
      </c>
      <c r="M138" s="6">
        <f>D73*D77*D83/$D$44^2</f>
        <v>18.370352</v>
      </c>
      <c r="N138" s="384">
        <f t="shared" si="55"/>
        <v>3.6740703999999999E-2</v>
      </c>
      <c r="O138" s="8">
        <f t="shared" si="58"/>
        <v>2.9107380607200986</v>
      </c>
      <c r="P138" s="6">
        <f t="shared" si="59"/>
        <v>-6.3703520000000005</v>
      </c>
      <c r="Q138" s="8">
        <f t="shared" si="60"/>
        <v>-1.4862938861937338</v>
      </c>
      <c r="R138" s="272">
        <f t="shared" si="61"/>
        <v>-10.219953862370357</v>
      </c>
    </row>
    <row r="139" spans="1:21" x14ac:dyDescent="0.25">
      <c r="G139" s="6" t="str">
        <f>$A$14</f>
        <v>Negative</v>
      </c>
      <c r="H139" t="str">
        <f>$B$14</f>
        <v>Male</v>
      </c>
      <c r="I139" t="str">
        <f>$C$14</f>
        <v>Therapy 3</v>
      </c>
      <c r="J139" s="6">
        <f>$D$14</f>
        <v>17</v>
      </c>
      <c r="K139" s="384">
        <f t="shared" si="56"/>
        <v>3.4000000000000002E-2</v>
      </c>
      <c r="L139" s="8">
        <f t="shared" si="57"/>
        <v>2.8332133440562162</v>
      </c>
      <c r="M139" s="6">
        <f>D73*D77*D84/$D$44^2</f>
        <v>38.518479999999997</v>
      </c>
      <c r="N139" s="384">
        <f t="shared" si="55"/>
        <v>7.7036959999999988E-2</v>
      </c>
      <c r="O139" s="8">
        <f t="shared" si="58"/>
        <v>3.6511381261305891</v>
      </c>
      <c r="P139" s="6">
        <f t="shared" si="59"/>
        <v>-21.518479999999997</v>
      </c>
      <c r="Q139" s="8">
        <f t="shared" si="60"/>
        <v>-3.4671850424049668</v>
      </c>
      <c r="R139" s="272">
        <f t="shared" si="61"/>
        <v>-27.809442590528679</v>
      </c>
    </row>
    <row r="140" spans="1:21" x14ac:dyDescent="0.25">
      <c r="G140" s="6" t="str">
        <f>$A$15</f>
        <v>Negative</v>
      </c>
      <c r="H140" t="str">
        <f>$B$15</f>
        <v>Female</v>
      </c>
      <c r="I140" t="str">
        <f>$C$15</f>
        <v>Therapy 1</v>
      </c>
      <c r="J140" s="6">
        <f>$D$15</f>
        <v>16</v>
      </c>
      <c r="K140" s="384">
        <f t="shared" si="56"/>
        <v>3.2000000000000001E-2</v>
      </c>
      <c r="L140" s="8">
        <f t="shared" si="57"/>
        <v>2.7725887222397811</v>
      </c>
      <c r="M140" s="6">
        <f>D73*D78*D82/$D$44^2</f>
        <v>15.990831999999999</v>
      </c>
      <c r="N140" s="384">
        <f t="shared" si="55"/>
        <v>3.1981664E-2</v>
      </c>
      <c r="O140" s="8">
        <f t="shared" si="58"/>
        <v>2.7720155580125434</v>
      </c>
      <c r="P140" s="6">
        <f t="shared" si="59"/>
        <v>9.1680000000007311E-3</v>
      </c>
      <c r="Q140" s="8">
        <f t="shared" si="60"/>
        <v>2.2926569403337758E-3</v>
      </c>
      <c r="R140" s="272">
        <f t="shared" si="61"/>
        <v>1.8341255271607793E-2</v>
      </c>
    </row>
    <row r="141" spans="1:21" x14ac:dyDescent="0.25">
      <c r="G141" s="6" t="str">
        <f>$A$16</f>
        <v>Negative</v>
      </c>
      <c r="H141" t="str">
        <f>$B$16</f>
        <v>Female</v>
      </c>
      <c r="I141" t="str">
        <f>$C$16</f>
        <v>Therapy 2</v>
      </c>
      <c r="J141" s="6">
        <f>$D$16</f>
        <v>33</v>
      </c>
      <c r="K141" s="384">
        <f t="shared" si="56"/>
        <v>6.6000000000000003E-2</v>
      </c>
      <c r="L141" s="8">
        <f t="shared" si="57"/>
        <v>3.4965075614664802</v>
      </c>
      <c r="M141" s="6">
        <f>D73*D78*D83/$D$44^2</f>
        <v>17.093648000000002</v>
      </c>
      <c r="N141" s="384">
        <f t="shared" si="55"/>
        <v>3.4187296000000006E-2</v>
      </c>
      <c r="O141" s="8">
        <f t="shared" si="58"/>
        <v>2.838706932511216</v>
      </c>
      <c r="P141" s="6">
        <f t="shared" si="59"/>
        <v>15.906351999999998</v>
      </c>
      <c r="Q141" s="8">
        <f t="shared" si="60"/>
        <v>3.847274825178145</v>
      </c>
      <c r="R141" s="272">
        <f t="shared" si="61"/>
        <v>43.414841511047442</v>
      </c>
    </row>
    <row r="142" spans="1:21" x14ac:dyDescent="0.25">
      <c r="G142" s="9" t="str">
        <f>$A$17</f>
        <v>Negative</v>
      </c>
      <c r="H142" s="10" t="str">
        <f>$B$17</f>
        <v>Female</v>
      </c>
      <c r="I142" s="10" t="str">
        <f>$C$17</f>
        <v>Therapy 3</v>
      </c>
      <c r="J142" s="9">
        <f>$D$17</f>
        <v>56</v>
      </c>
      <c r="K142" s="385">
        <f t="shared" si="56"/>
        <v>0.112</v>
      </c>
      <c r="L142" s="11">
        <f t="shared" si="57"/>
        <v>4.0253516907351496</v>
      </c>
      <c r="M142" s="9">
        <f>D73*D78*D84/$D$44^2</f>
        <v>35.841520000000003</v>
      </c>
      <c r="N142" s="385">
        <f t="shared" si="55"/>
        <v>7.1683040000000003E-2</v>
      </c>
      <c r="O142" s="11">
        <f t="shared" si="58"/>
        <v>3.5791069979217065</v>
      </c>
      <c r="P142" s="409">
        <f t="shared" si="59"/>
        <v>20.158479999999997</v>
      </c>
      <c r="Q142" s="11">
        <f t="shared" si="60"/>
        <v>3.367166348708782</v>
      </c>
      <c r="R142" s="168">
        <f t="shared" si="61"/>
        <v>49.979405595105632</v>
      </c>
    </row>
    <row r="143" spans="1:21" x14ac:dyDescent="0.25">
      <c r="R143">
        <f>SUM(R131:R142)</f>
        <v>64.481191492403582</v>
      </c>
    </row>
    <row r="145" spans="7:21" x14ac:dyDescent="0.25">
      <c r="G145" s="1" t="s">
        <v>842</v>
      </c>
    </row>
    <row r="147" spans="7:21" x14ac:dyDescent="0.25">
      <c r="J147" s="1327" t="s">
        <v>302</v>
      </c>
      <c r="K147" s="1328"/>
      <c r="L147" s="1329"/>
      <c r="M147" s="1327" t="s">
        <v>793</v>
      </c>
      <c r="N147" s="1328"/>
      <c r="O147" s="1329"/>
      <c r="P147" s="1324" t="s">
        <v>303</v>
      </c>
      <c r="Q147" s="1330"/>
    </row>
    <row r="148" spans="7:21" x14ac:dyDescent="0.25">
      <c r="G148" s="392" t="str">
        <f>$A$5</f>
        <v>Cure</v>
      </c>
      <c r="H148" s="379" t="str">
        <f>$B$5</f>
        <v>Gender</v>
      </c>
      <c r="I148" s="379" t="str">
        <f>$C$5</f>
        <v>Therapy</v>
      </c>
      <c r="J148" s="381" t="s">
        <v>791</v>
      </c>
      <c r="K148" s="382" t="s">
        <v>790</v>
      </c>
      <c r="L148" s="383" t="s">
        <v>358</v>
      </c>
      <c r="M148" s="381" t="s">
        <v>792</v>
      </c>
      <c r="N148" s="382" t="s">
        <v>790</v>
      </c>
      <c r="O148" s="383" t="s">
        <v>783</v>
      </c>
      <c r="P148" s="430" t="s">
        <v>243</v>
      </c>
      <c r="Q148" s="432" t="s">
        <v>802</v>
      </c>
      <c r="R148" s="387" t="s">
        <v>109</v>
      </c>
      <c r="T148" s="89" t="s">
        <v>109</v>
      </c>
      <c r="U148" s="391">
        <f>R161</f>
        <v>138.95072251373131</v>
      </c>
    </row>
    <row r="149" spans="7:21" x14ac:dyDescent="0.25">
      <c r="G149" s="6" t="str">
        <f>$A$6</f>
        <v>Positive</v>
      </c>
      <c r="H149" t="str">
        <f>$B$6</f>
        <v>Male</v>
      </c>
      <c r="I149" t="str">
        <f>$C$6</f>
        <v>Therapy 1</v>
      </c>
      <c r="J149" s="6">
        <f>$D$6</f>
        <v>59</v>
      </c>
      <c r="K149" s="384">
        <f>J149/$D$18</f>
        <v>0.11799999999999999</v>
      </c>
      <c r="L149" s="8">
        <f>LN(J149)</f>
        <v>4.0775374439057197</v>
      </c>
      <c r="M149" s="6">
        <f>D72/(B27*C27)</f>
        <v>59.5</v>
      </c>
      <c r="N149" s="384">
        <f t="shared" ref="N149:N160" si="62">M149/D$44</f>
        <v>0.11899999999999999</v>
      </c>
      <c r="O149" s="8">
        <f>LN(M149)</f>
        <v>4.0859763125515842</v>
      </c>
      <c r="P149" s="429">
        <f>J149-M149</f>
        <v>-0.5</v>
      </c>
      <c r="Q149" s="428">
        <f>P149/SQRT(M149)</f>
        <v>-6.4820372355216441E-2</v>
      </c>
      <c r="R149" s="272">
        <f>2*J149*(L149-O149)</f>
        <v>-0.99578650021201298</v>
      </c>
      <c r="T149" t="s">
        <v>60</v>
      </c>
      <c r="U149" s="272">
        <f>A27*B27*C27-A27</f>
        <v>10</v>
      </c>
    </row>
    <row r="150" spans="7:21" x14ac:dyDescent="0.25">
      <c r="G150" s="6" t="str">
        <f>$A$7</f>
        <v>Positive</v>
      </c>
      <c r="H150" t="str">
        <f>$B$7</f>
        <v>Male</v>
      </c>
      <c r="I150" t="str">
        <f>$C$7</f>
        <v>Therapy 2</v>
      </c>
      <c r="J150" s="6">
        <f>$D$7</f>
        <v>55</v>
      </c>
      <c r="K150" s="384">
        <f t="shared" ref="K150:K160" si="63">J150/$D$18</f>
        <v>0.11</v>
      </c>
      <c r="L150" s="8">
        <f t="shared" ref="L150:L160" si="64">LN(J150)</f>
        <v>4.0073331852324712</v>
      </c>
      <c r="M150" s="6">
        <f>M149</f>
        <v>59.5</v>
      </c>
      <c r="N150" s="384">
        <f t="shared" si="62"/>
        <v>0.11899999999999999</v>
      </c>
      <c r="O150" s="8">
        <f t="shared" ref="O150:O160" si="65">LN(M150)</f>
        <v>4.0859763125515842</v>
      </c>
      <c r="P150" s="6">
        <f t="shared" ref="P150:P160" si="66">J150-M150</f>
        <v>-4.5</v>
      </c>
      <c r="Q150" s="8">
        <f t="shared" ref="Q150:Q160" si="67">P150/SQRT(M150)</f>
        <v>-0.58338335119694795</v>
      </c>
      <c r="R150" s="272">
        <f t="shared" ref="R150:R160" si="68">2*J150*(L150-O150)</f>
        <v>-8.6507440051024354</v>
      </c>
      <c r="T150" s="30" t="s">
        <v>48</v>
      </c>
      <c r="U150" s="272">
        <v>0.05</v>
      </c>
    </row>
    <row r="151" spans="7:21" x14ac:dyDescent="0.25">
      <c r="G151" s="6" t="str">
        <f>$A$8</f>
        <v>Positive</v>
      </c>
      <c r="H151" t="str">
        <f>$B$8</f>
        <v>Male</v>
      </c>
      <c r="I151" t="str">
        <f>$C$8</f>
        <v>Therapy 3</v>
      </c>
      <c r="J151" s="6">
        <f>$D$8</f>
        <v>107</v>
      </c>
      <c r="K151" s="384">
        <f t="shared" si="63"/>
        <v>0.214</v>
      </c>
      <c r="L151" s="8">
        <f t="shared" si="64"/>
        <v>4.6728288344619058</v>
      </c>
      <c r="M151" s="6">
        <f>M150</f>
        <v>59.5</v>
      </c>
      <c r="N151" s="384">
        <f t="shared" si="62"/>
        <v>0.11899999999999999</v>
      </c>
      <c r="O151" s="8">
        <f t="shared" si="65"/>
        <v>4.0859763125515842</v>
      </c>
      <c r="P151" s="6">
        <f t="shared" si="66"/>
        <v>47.5</v>
      </c>
      <c r="Q151" s="8">
        <f t="shared" si="67"/>
        <v>6.1579353737455618</v>
      </c>
      <c r="R151" s="272">
        <f t="shared" si="68"/>
        <v>125.58643968880881</v>
      </c>
      <c r="T151" s="372" t="s">
        <v>67</v>
      </c>
      <c r="U151" s="272">
        <f>CHIDIST(U148,U149)</f>
        <v>6.9136338267619402E-25</v>
      </c>
    </row>
    <row r="152" spans="7:21" x14ac:dyDescent="0.25">
      <c r="G152" s="6" t="str">
        <f>$A$9</f>
        <v>Positive</v>
      </c>
      <c r="H152" t="str">
        <f>$B$9</f>
        <v>Female</v>
      </c>
      <c r="I152" t="str">
        <f>$C$9</f>
        <v>Therapy 1</v>
      </c>
      <c r="J152" s="6">
        <f>$D$9</f>
        <v>32</v>
      </c>
      <c r="K152" s="384">
        <f t="shared" si="63"/>
        <v>6.4000000000000001E-2</v>
      </c>
      <c r="L152" s="8">
        <f t="shared" si="64"/>
        <v>3.4657359027997265</v>
      </c>
      <c r="M152" s="6">
        <f>M151</f>
        <v>59.5</v>
      </c>
      <c r="N152" s="384">
        <f t="shared" si="62"/>
        <v>0.11899999999999999</v>
      </c>
      <c r="O152" s="8">
        <f t="shared" si="65"/>
        <v>4.0859763125515842</v>
      </c>
      <c r="P152" s="6">
        <f t="shared" si="66"/>
        <v>-27.5</v>
      </c>
      <c r="Q152" s="8">
        <f t="shared" si="67"/>
        <v>-3.5651204795369043</v>
      </c>
      <c r="R152" s="272">
        <f t="shared" si="68"/>
        <v>-39.695386224118892</v>
      </c>
      <c r="T152" s="89" t="s">
        <v>110</v>
      </c>
      <c r="U152" s="272">
        <f>CHIINV(U150,U149)</f>
        <v>18.307038053275146</v>
      </c>
    </row>
    <row r="153" spans="7:21" x14ac:dyDescent="0.25">
      <c r="G153" s="6" t="str">
        <f>$A$10</f>
        <v>Positive</v>
      </c>
      <c r="H153" t="str">
        <f>$B$10</f>
        <v>Female</v>
      </c>
      <c r="I153" t="str">
        <f>$C$10</f>
        <v>Therapy 2</v>
      </c>
      <c r="J153" s="6">
        <f>$D$10</f>
        <v>24</v>
      </c>
      <c r="K153" s="384">
        <f t="shared" si="63"/>
        <v>4.8000000000000001E-2</v>
      </c>
      <c r="L153" s="8">
        <f t="shared" si="64"/>
        <v>3.1780538303479458</v>
      </c>
      <c r="M153" s="6">
        <f>M152</f>
        <v>59.5</v>
      </c>
      <c r="N153" s="384">
        <f t="shared" si="62"/>
        <v>0.11899999999999999</v>
      </c>
      <c r="O153" s="8">
        <f t="shared" si="65"/>
        <v>4.0859763125515842</v>
      </c>
      <c r="P153" s="6">
        <f t="shared" si="66"/>
        <v>-35.5</v>
      </c>
      <c r="Q153" s="8">
        <f t="shared" si="67"/>
        <v>-4.6022464372203675</v>
      </c>
      <c r="R153" s="272">
        <f t="shared" si="68"/>
        <v>-43.580279145774647</v>
      </c>
      <c r="T153" s="372" t="s">
        <v>527</v>
      </c>
      <c r="U153" s="166" t="str">
        <f>IF(U151&lt;U150,"yes","no")</f>
        <v>yes</v>
      </c>
    </row>
    <row r="154" spans="7:21" x14ac:dyDescent="0.25">
      <c r="G154" s="6" t="str">
        <f>$A$11</f>
        <v>Positive</v>
      </c>
      <c r="H154" t="str">
        <f>$B$11</f>
        <v>Female</v>
      </c>
      <c r="I154" t="str">
        <f>$C$11</f>
        <v>Therapy 3</v>
      </c>
      <c r="J154" s="6">
        <f>$D$11</f>
        <v>80</v>
      </c>
      <c r="K154" s="384">
        <f t="shared" si="63"/>
        <v>0.16</v>
      </c>
      <c r="L154" s="8">
        <f t="shared" si="64"/>
        <v>4.3820266346738812</v>
      </c>
      <c r="M154" s="6">
        <f>M153</f>
        <v>59.5</v>
      </c>
      <c r="N154" s="384">
        <f t="shared" si="62"/>
        <v>0.11899999999999999</v>
      </c>
      <c r="O154" s="8">
        <f t="shared" si="65"/>
        <v>4.0859763125515842</v>
      </c>
      <c r="P154" s="6">
        <f t="shared" si="66"/>
        <v>20.5</v>
      </c>
      <c r="Q154" s="8">
        <f t="shared" si="67"/>
        <v>2.6576352665638741</v>
      </c>
      <c r="R154" s="272">
        <f t="shared" si="68"/>
        <v>47.368051539567517</v>
      </c>
    </row>
    <row r="155" spans="7:21" x14ac:dyDescent="0.25">
      <c r="G155" s="6" t="str">
        <f>$A$12</f>
        <v>Negative</v>
      </c>
      <c r="H155" t="str">
        <f>$B$12</f>
        <v>Male</v>
      </c>
      <c r="I155" t="str">
        <f>$C$12</f>
        <v>Therapy 1</v>
      </c>
      <c r="J155" s="6">
        <f>$D$12</f>
        <v>9</v>
      </c>
      <c r="K155" s="384">
        <f t="shared" si="63"/>
        <v>1.7999999999999999E-2</v>
      </c>
      <c r="L155" s="8">
        <f t="shared" si="64"/>
        <v>2.1972245773362196</v>
      </c>
      <c r="M155" s="6">
        <f>D73/(B27*C27)</f>
        <v>23.833333333333332</v>
      </c>
      <c r="N155" s="384">
        <f t="shared" si="62"/>
        <v>4.7666666666666663E-2</v>
      </c>
      <c r="O155" s="8">
        <f t="shared" si="65"/>
        <v>3.1710851610318525</v>
      </c>
      <c r="P155" s="6">
        <f t="shared" si="66"/>
        <v>-14.833333333333332</v>
      </c>
      <c r="Q155" s="8">
        <f t="shared" si="67"/>
        <v>-3.0384099018951889</v>
      </c>
      <c r="R155" s="272">
        <f t="shared" si="68"/>
        <v>-17.529490506521391</v>
      </c>
    </row>
    <row r="156" spans="7:21" x14ac:dyDescent="0.25">
      <c r="G156" s="6" t="str">
        <f>$A$13</f>
        <v>Negative</v>
      </c>
      <c r="H156" t="str">
        <f>$B$13</f>
        <v>Male</v>
      </c>
      <c r="I156" t="str">
        <f>$C$13</f>
        <v>Therapy 2</v>
      </c>
      <c r="J156" s="6">
        <f>$D$13</f>
        <v>12</v>
      </c>
      <c r="K156" s="384">
        <f t="shared" si="63"/>
        <v>2.4E-2</v>
      </c>
      <c r="L156" s="8">
        <f t="shared" si="64"/>
        <v>2.4849066497880004</v>
      </c>
      <c r="M156" s="6">
        <f>M155</f>
        <v>23.833333333333332</v>
      </c>
      <c r="N156" s="384">
        <f t="shared" si="62"/>
        <v>4.7666666666666663E-2</v>
      </c>
      <c r="O156" s="8">
        <f t="shared" si="65"/>
        <v>3.1710851610318525</v>
      </c>
      <c r="P156" s="6">
        <f t="shared" si="66"/>
        <v>-11.833333333333332</v>
      </c>
      <c r="Q156" s="8">
        <f t="shared" si="67"/>
        <v>-2.4239000340961621</v>
      </c>
      <c r="R156" s="272">
        <f t="shared" si="68"/>
        <v>-16.46828426985245</v>
      </c>
    </row>
    <row r="157" spans="7:21" x14ac:dyDescent="0.25">
      <c r="G157" s="6" t="str">
        <f>$A$14</f>
        <v>Negative</v>
      </c>
      <c r="H157" t="str">
        <f>$B$14</f>
        <v>Male</v>
      </c>
      <c r="I157" t="str">
        <f>$C$14</f>
        <v>Therapy 3</v>
      </c>
      <c r="J157" s="6">
        <f>$D$14</f>
        <v>17</v>
      </c>
      <c r="K157" s="384">
        <f t="shared" si="63"/>
        <v>3.4000000000000002E-2</v>
      </c>
      <c r="L157" s="8">
        <f t="shared" si="64"/>
        <v>2.8332133440562162</v>
      </c>
      <c r="M157" s="6">
        <f>M156</f>
        <v>23.833333333333332</v>
      </c>
      <c r="N157" s="384">
        <f t="shared" si="62"/>
        <v>4.7666666666666663E-2</v>
      </c>
      <c r="O157" s="8">
        <f t="shared" si="65"/>
        <v>3.1710851610318525</v>
      </c>
      <c r="P157" s="6">
        <f t="shared" si="66"/>
        <v>-6.8333333333333321</v>
      </c>
      <c r="Q157" s="8">
        <f t="shared" si="67"/>
        <v>-1.3997169210977836</v>
      </c>
      <c r="R157" s="272">
        <f t="shared" si="68"/>
        <v>-11.487641777171634</v>
      </c>
    </row>
    <row r="158" spans="7:21" x14ac:dyDescent="0.25">
      <c r="G158" s="6" t="str">
        <f>$A$15</f>
        <v>Negative</v>
      </c>
      <c r="H158" t="str">
        <f>$B$15</f>
        <v>Female</v>
      </c>
      <c r="I158" t="str">
        <f>$C$15</f>
        <v>Therapy 1</v>
      </c>
      <c r="J158" s="6">
        <f>$D$15</f>
        <v>16</v>
      </c>
      <c r="K158" s="384">
        <f t="shared" si="63"/>
        <v>3.2000000000000001E-2</v>
      </c>
      <c r="L158" s="8">
        <f t="shared" si="64"/>
        <v>2.7725887222397811</v>
      </c>
      <c r="M158" s="6">
        <f>M157</f>
        <v>23.833333333333332</v>
      </c>
      <c r="N158" s="384">
        <f t="shared" si="62"/>
        <v>4.7666666666666663E-2</v>
      </c>
      <c r="O158" s="8">
        <f t="shared" si="65"/>
        <v>3.1710851610318525</v>
      </c>
      <c r="P158" s="6">
        <f t="shared" si="66"/>
        <v>-7.8333333333333321</v>
      </c>
      <c r="Q158" s="8">
        <f t="shared" si="67"/>
        <v>-1.6045535436974594</v>
      </c>
      <c r="R158" s="272">
        <f t="shared" si="68"/>
        <v>-12.751886041346282</v>
      </c>
    </row>
    <row r="159" spans="7:21" x14ac:dyDescent="0.25">
      <c r="G159" s="6" t="str">
        <f>$A$16</f>
        <v>Negative</v>
      </c>
      <c r="H159" t="str">
        <f>$B$16</f>
        <v>Female</v>
      </c>
      <c r="I159" t="str">
        <f>$C$16</f>
        <v>Therapy 2</v>
      </c>
      <c r="J159" s="6">
        <f>$D$16</f>
        <v>33</v>
      </c>
      <c r="K159" s="384">
        <f t="shared" si="63"/>
        <v>6.6000000000000003E-2</v>
      </c>
      <c r="L159" s="8">
        <f t="shared" si="64"/>
        <v>3.4965075614664802</v>
      </c>
      <c r="M159" s="6">
        <f>M158</f>
        <v>23.833333333333332</v>
      </c>
      <c r="N159" s="384">
        <f t="shared" si="62"/>
        <v>4.7666666666666663E-2</v>
      </c>
      <c r="O159" s="8">
        <f t="shared" si="65"/>
        <v>3.1710851610318525</v>
      </c>
      <c r="P159" s="6">
        <f t="shared" si="66"/>
        <v>9.1666666666666679</v>
      </c>
      <c r="Q159" s="8">
        <f t="shared" si="67"/>
        <v>1.8776690404970273</v>
      </c>
      <c r="R159" s="272">
        <f t="shared" si="68"/>
        <v>21.477878428685433</v>
      </c>
    </row>
    <row r="160" spans="7:21" x14ac:dyDescent="0.25">
      <c r="G160" s="9" t="str">
        <f>$A$17</f>
        <v>Negative</v>
      </c>
      <c r="H160" s="10" t="str">
        <f>$B$17</f>
        <v>Female</v>
      </c>
      <c r="I160" s="10" t="str">
        <f>$C$17</f>
        <v>Therapy 3</v>
      </c>
      <c r="J160" s="9">
        <f>$D$17</f>
        <v>56</v>
      </c>
      <c r="K160" s="385">
        <f t="shared" si="63"/>
        <v>0.112</v>
      </c>
      <c r="L160" s="11">
        <f t="shared" si="64"/>
        <v>4.0253516907351496</v>
      </c>
      <c r="M160" s="9">
        <f>M159</f>
        <v>23.833333333333332</v>
      </c>
      <c r="N160" s="385">
        <f t="shared" si="62"/>
        <v>4.7666666666666663E-2</v>
      </c>
      <c r="O160" s="11">
        <f t="shared" si="65"/>
        <v>3.1710851610318525</v>
      </c>
      <c r="P160" s="409">
        <f t="shared" si="66"/>
        <v>32.166666666666671</v>
      </c>
      <c r="Q160" s="11">
        <f t="shared" si="67"/>
        <v>6.5889113602895693</v>
      </c>
      <c r="R160" s="168">
        <f t="shared" si="68"/>
        <v>95.677851326769286</v>
      </c>
    </row>
    <row r="161" spans="7:21" x14ac:dyDescent="0.25">
      <c r="R161">
        <f>SUM(R149:R160)</f>
        <v>138.95072251373131</v>
      </c>
    </row>
    <row r="163" spans="7:21" x14ac:dyDescent="0.25">
      <c r="G163" s="1" t="s">
        <v>843</v>
      </c>
    </row>
    <row r="165" spans="7:21" x14ac:dyDescent="0.25">
      <c r="J165" s="1327" t="s">
        <v>302</v>
      </c>
      <c r="K165" s="1328"/>
      <c r="L165" s="1329"/>
      <c r="M165" s="1327" t="s">
        <v>793</v>
      </c>
      <c r="N165" s="1328"/>
      <c r="O165" s="1329"/>
      <c r="P165" s="1324" t="s">
        <v>303</v>
      </c>
      <c r="Q165" s="1330"/>
    </row>
    <row r="166" spans="7:21" x14ac:dyDescent="0.25">
      <c r="G166" s="392" t="str">
        <f>$A$5</f>
        <v>Cure</v>
      </c>
      <c r="H166" s="379" t="str">
        <f>$B$5</f>
        <v>Gender</v>
      </c>
      <c r="I166" s="379" t="str">
        <f>$C$5</f>
        <v>Therapy</v>
      </c>
      <c r="J166" s="381" t="s">
        <v>791</v>
      </c>
      <c r="K166" s="382" t="s">
        <v>790</v>
      </c>
      <c r="L166" s="383" t="s">
        <v>358</v>
      </c>
      <c r="M166" s="381" t="s">
        <v>792</v>
      </c>
      <c r="N166" s="382" t="s">
        <v>790</v>
      </c>
      <c r="O166" s="383" t="s">
        <v>783</v>
      </c>
      <c r="P166" s="430" t="s">
        <v>243</v>
      </c>
      <c r="Q166" s="432" t="s">
        <v>802</v>
      </c>
      <c r="R166" s="387" t="s">
        <v>109</v>
      </c>
      <c r="T166" s="89" t="s">
        <v>109</v>
      </c>
      <c r="U166" s="391">
        <f>R179</f>
        <v>232.91857705587103</v>
      </c>
    </row>
    <row r="167" spans="7:21" x14ac:dyDescent="0.25">
      <c r="G167" s="6" t="str">
        <f>$A$6</f>
        <v>Positive</v>
      </c>
      <c r="H167" t="str">
        <f>$B$6</f>
        <v>Male</v>
      </c>
      <c r="I167" t="str">
        <f>$C$6</f>
        <v>Therapy 1</v>
      </c>
      <c r="J167" s="6">
        <f>$D$6</f>
        <v>59</v>
      </c>
      <c r="K167" s="384">
        <f>J167/$D$18</f>
        <v>0.11799999999999999</v>
      </c>
      <c r="L167" s="8">
        <f>LN(J167)</f>
        <v>4.0775374439057197</v>
      </c>
      <c r="M167" s="6">
        <f>D77/(A27*C27)</f>
        <v>43.166666666666664</v>
      </c>
      <c r="N167" s="384">
        <f t="shared" ref="N167:N178" si="69">M167/D$44</f>
        <v>8.6333333333333331E-2</v>
      </c>
      <c r="O167" s="8">
        <f>LN(M167)</f>
        <v>3.7650685924714828</v>
      </c>
      <c r="P167" s="429">
        <f>J167-M167</f>
        <v>15.833333333333336</v>
      </c>
      <c r="Q167" s="428">
        <f>P167/SQRT(M167)</f>
        <v>2.4098948748012452</v>
      </c>
      <c r="R167" s="272">
        <f>2*J167*(L167-O167)</f>
        <v>36.871324469239951</v>
      </c>
      <c r="T167" t="s">
        <v>60</v>
      </c>
      <c r="U167" s="272">
        <f>A27*B27*C27-B27</f>
        <v>10</v>
      </c>
    </row>
    <row r="168" spans="7:21" x14ac:dyDescent="0.25">
      <c r="G168" s="6" t="str">
        <f>$A$7</f>
        <v>Positive</v>
      </c>
      <c r="H168" t="str">
        <f>$B$7</f>
        <v>Male</v>
      </c>
      <c r="I168" t="str">
        <f>$C$7</f>
        <v>Therapy 2</v>
      </c>
      <c r="J168" s="6">
        <f>$D$7</f>
        <v>55</v>
      </c>
      <c r="K168" s="384">
        <f t="shared" ref="K168:K178" si="70">J168/$D$18</f>
        <v>0.11</v>
      </c>
      <c r="L168" s="8">
        <f t="shared" ref="L168:L178" si="71">LN(J168)</f>
        <v>4.0073331852324712</v>
      </c>
      <c r="M168" s="6">
        <f>M167</f>
        <v>43.166666666666664</v>
      </c>
      <c r="N168" s="384">
        <f t="shared" si="69"/>
        <v>8.6333333333333331E-2</v>
      </c>
      <c r="O168" s="8">
        <f t="shared" ref="O168:O178" si="72">LN(M168)</f>
        <v>3.7650685924714828</v>
      </c>
      <c r="P168" s="6">
        <f t="shared" ref="P168:P178" si="73">J168-M168</f>
        <v>11.833333333333336</v>
      </c>
      <c r="Q168" s="8">
        <f t="shared" ref="Q168:Q178" si="74">P168/SQRT(M168)</f>
        <v>1.8010793274830359</v>
      </c>
      <c r="R168" s="272">
        <f t="shared" ref="R168:R178" si="75">2*J168*(L168-O168)</f>
        <v>26.649105203708714</v>
      </c>
      <c r="T168" s="30" t="s">
        <v>48</v>
      </c>
      <c r="U168" s="272">
        <v>0.05</v>
      </c>
    </row>
    <row r="169" spans="7:21" x14ac:dyDescent="0.25">
      <c r="G169" s="6" t="str">
        <f>$A$8</f>
        <v>Positive</v>
      </c>
      <c r="H169" t="str">
        <f>$B$8</f>
        <v>Male</v>
      </c>
      <c r="I169" t="str">
        <f>$C$8</f>
        <v>Therapy 3</v>
      </c>
      <c r="J169" s="6">
        <f>$D$8</f>
        <v>107</v>
      </c>
      <c r="K169" s="384">
        <f t="shared" si="70"/>
        <v>0.214</v>
      </c>
      <c r="L169" s="8">
        <f t="shared" si="71"/>
        <v>4.6728288344619058</v>
      </c>
      <c r="M169" s="6">
        <f>M168</f>
        <v>43.166666666666664</v>
      </c>
      <c r="N169" s="384">
        <f t="shared" si="69"/>
        <v>8.6333333333333331E-2</v>
      </c>
      <c r="O169" s="8">
        <f t="shared" si="72"/>
        <v>3.7650685924714828</v>
      </c>
      <c r="P169" s="6">
        <f t="shared" si="73"/>
        <v>63.833333333333336</v>
      </c>
      <c r="Q169" s="8">
        <f t="shared" si="74"/>
        <v>9.715681442619756</v>
      </c>
      <c r="R169" s="272">
        <f t="shared" si="75"/>
        <v>194.26069178595051</v>
      </c>
      <c r="T169" s="372" t="s">
        <v>67</v>
      </c>
      <c r="U169" s="272">
        <f>CHIDIST(U166,U167)</f>
        <v>2.0984703602669198E-44</v>
      </c>
    </row>
    <row r="170" spans="7:21" x14ac:dyDescent="0.25">
      <c r="G170" s="6" t="str">
        <f>$A$9</f>
        <v>Positive</v>
      </c>
      <c r="H170" t="str">
        <f>$B$9</f>
        <v>Female</v>
      </c>
      <c r="I170" t="str">
        <f>$C$9</f>
        <v>Therapy 1</v>
      </c>
      <c r="J170" s="6">
        <f>$D$9</f>
        <v>32</v>
      </c>
      <c r="K170" s="384">
        <f t="shared" si="70"/>
        <v>6.4000000000000001E-2</v>
      </c>
      <c r="L170" s="8">
        <f t="shared" si="71"/>
        <v>3.4657359027997265</v>
      </c>
      <c r="M170" s="6">
        <f>D78/(A27*C27)</f>
        <v>40.166666666666664</v>
      </c>
      <c r="N170" s="384">
        <f t="shared" si="69"/>
        <v>8.0333333333333326E-2</v>
      </c>
      <c r="O170" s="8">
        <f t="shared" si="72"/>
        <v>3.6930374642625998</v>
      </c>
      <c r="P170" s="6">
        <f t="shared" si="73"/>
        <v>-8.1666666666666643</v>
      </c>
      <c r="Q170" s="8">
        <f t="shared" si="74"/>
        <v>-1.2885816234436311</v>
      </c>
      <c r="R170" s="272">
        <f t="shared" si="75"/>
        <v>-14.54729993362389</v>
      </c>
      <c r="T170" s="89" t="s">
        <v>110</v>
      </c>
      <c r="U170" s="272">
        <f>CHIINV(U168,U167)</f>
        <v>18.307038053275146</v>
      </c>
    </row>
    <row r="171" spans="7:21" x14ac:dyDescent="0.25">
      <c r="G171" s="6" t="str">
        <f>$A$10</f>
        <v>Positive</v>
      </c>
      <c r="H171" t="str">
        <f>$B$10</f>
        <v>Female</v>
      </c>
      <c r="I171" t="str">
        <f>$C$10</f>
        <v>Therapy 2</v>
      </c>
      <c r="J171" s="6">
        <f>$D$10</f>
        <v>24</v>
      </c>
      <c r="K171" s="384">
        <f t="shared" si="70"/>
        <v>4.8000000000000001E-2</v>
      </c>
      <c r="L171" s="8">
        <f t="shared" si="71"/>
        <v>3.1780538303479458</v>
      </c>
      <c r="M171" s="6">
        <f>M170</f>
        <v>40.166666666666664</v>
      </c>
      <c r="N171" s="384">
        <f t="shared" si="69"/>
        <v>8.0333333333333326E-2</v>
      </c>
      <c r="O171" s="8">
        <f t="shared" si="72"/>
        <v>3.6930374642625998</v>
      </c>
      <c r="P171" s="6">
        <f t="shared" si="73"/>
        <v>-16.166666666666664</v>
      </c>
      <c r="Q171" s="8">
        <f t="shared" si="74"/>
        <v>-2.5508656627353519</v>
      </c>
      <c r="R171" s="272">
        <f t="shared" si="75"/>
        <v>-24.719214427903395</v>
      </c>
      <c r="T171" s="372" t="s">
        <v>527</v>
      </c>
      <c r="U171" s="166" t="str">
        <f>IF(U169&lt;U168,"yes","no")</f>
        <v>yes</v>
      </c>
    </row>
    <row r="172" spans="7:21" x14ac:dyDescent="0.25">
      <c r="G172" s="6" t="str">
        <f>$A$11</f>
        <v>Positive</v>
      </c>
      <c r="H172" t="str">
        <f>$B$11</f>
        <v>Female</v>
      </c>
      <c r="I172" t="str">
        <f>$C$11</f>
        <v>Therapy 3</v>
      </c>
      <c r="J172" s="6">
        <f>$D$11</f>
        <v>80</v>
      </c>
      <c r="K172" s="384">
        <f t="shared" si="70"/>
        <v>0.16</v>
      </c>
      <c r="L172" s="8">
        <f t="shared" si="71"/>
        <v>4.3820266346738812</v>
      </c>
      <c r="M172" s="6">
        <f>M171</f>
        <v>40.166666666666664</v>
      </c>
      <c r="N172" s="384">
        <f t="shared" si="69"/>
        <v>8.0333333333333326E-2</v>
      </c>
      <c r="O172" s="8">
        <f t="shared" si="72"/>
        <v>3.6930374642625998</v>
      </c>
      <c r="P172" s="6">
        <f t="shared" si="73"/>
        <v>39.833333333333336</v>
      </c>
      <c r="Q172" s="8">
        <f t="shared" si="74"/>
        <v>6.2851226123066937</v>
      </c>
      <c r="R172" s="272">
        <f t="shared" si="75"/>
        <v>110.23826726580502</v>
      </c>
    </row>
    <row r="173" spans="7:21" x14ac:dyDescent="0.25">
      <c r="G173" s="6" t="str">
        <f>$A$12</f>
        <v>Negative</v>
      </c>
      <c r="H173" t="str">
        <f>$B$12</f>
        <v>Male</v>
      </c>
      <c r="I173" t="str">
        <f>$C$12</f>
        <v>Therapy 1</v>
      </c>
      <c r="J173" s="6">
        <f>$D$12</f>
        <v>9</v>
      </c>
      <c r="K173" s="384">
        <f t="shared" si="70"/>
        <v>1.7999999999999999E-2</v>
      </c>
      <c r="L173" s="8">
        <f t="shared" si="71"/>
        <v>2.1972245773362196</v>
      </c>
      <c r="M173" s="6">
        <f>M167</f>
        <v>43.166666666666664</v>
      </c>
      <c r="N173" s="384">
        <f t="shared" si="69"/>
        <v>8.6333333333333331E-2</v>
      </c>
      <c r="O173" s="8">
        <f t="shared" si="72"/>
        <v>3.7650685924714828</v>
      </c>
      <c r="P173" s="6">
        <f t="shared" si="73"/>
        <v>-34.166666666666664</v>
      </c>
      <c r="Q173" s="8">
        <f t="shared" si="74"/>
        <v>-5.2002994666763698</v>
      </c>
      <c r="R173" s="272">
        <f t="shared" si="75"/>
        <v>-28.221192272434738</v>
      </c>
    </row>
    <row r="174" spans="7:21" x14ac:dyDescent="0.25">
      <c r="G174" s="6" t="str">
        <f>$A$13</f>
        <v>Negative</v>
      </c>
      <c r="H174" t="str">
        <f>$B$13</f>
        <v>Male</v>
      </c>
      <c r="I174" t="str">
        <f>$C$13</f>
        <v>Therapy 2</v>
      </c>
      <c r="J174" s="6">
        <f>$D$13</f>
        <v>12</v>
      </c>
      <c r="K174" s="384">
        <f t="shared" si="70"/>
        <v>2.4E-2</v>
      </c>
      <c r="L174" s="8">
        <f t="shared" si="71"/>
        <v>2.4849066497880004</v>
      </c>
      <c r="M174" s="6">
        <f>M173</f>
        <v>43.166666666666664</v>
      </c>
      <c r="N174" s="384">
        <f t="shared" si="69"/>
        <v>8.6333333333333331E-2</v>
      </c>
      <c r="O174" s="8">
        <f t="shared" si="72"/>
        <v>3.7650685924714828</v>
      </c>
      <c r="P174" s="6">
        <f t="shared" si="73"/>
        <v>-31.166666666666664</v>
      </c>
      <c r="Q174" s="8">
        <f t="shared" si="74"/>
        <v>-4.7436878061877135</v>
      </c>
      <c r="R174" s="272">
        <f t="shared" si="75"/>
        <v>-30.72388662440358</v>
      </c>
    </row>
    <row r="175" spans="7:21" x14ac:dyDescent="0.25">
      <c r="G175" s="6" t="str">
        <f>$A$14</f>
        <v>Negative</v>
      </c>
      <c r="H175" t="str">
        <f>$B$14</f>
        <v>Male</v>
      </c>
      <c r="I175" t="str">
        <f>$C$14</f>
        <v>Therapy 3</v>
      </c>
      <c r="J175" s="6">
        <f>$D$14</f>
        <v>17</v>
      </c>
      <c r="K175" s="384">
        <f t="shared" si="70"/>
        <v>3.4000000000000002E-2</v>
      </c>
      <c r="L175" s="8">
        <f t="shared" si="71"/>
        <v>2.8332133440562162</v>
      </c>
      <c r="M175" s="6">
        <f>M174</f>
        <v>43.166666666666664</v>
      </c>
      <c r="N175" s="384">
        <f t="shared" si="69"/>
        <v>8.6333333333333331E-2</v>
      </c>
      <c r="O175" s="8">
        <f t="shared" si="72"/>
        <v>3.7650685924714828</v>
      </c>
      <c r="P175" s="6">
        <f t="shared" si="73"/>
        <v>-26.166666666666664</v>
      </c>
      <c r="Q175" s="8">
        <f t="shared" si="74"/>
        <v>-3.9826683720399516</v>
      </c>
      <c r="R175" s="272">
        <f t="shared" si="75"/>
        <v>-31.683078446119069</v>
      </c>
    </row>
    <row r="176" spans="7:21" x14ac:dyDescent="0.25">
      <c r="G176" s="6" t="str">
        <f>$A$15</f>
        <v>Negative</v>
      </c>
      <c r="H176" t="str">
        <f>$B$15</f>
        <v>Female</v>
      </c>
      <c r="I176" t="str">
        <f>$C$15</f>
        <v>Therapy 1</v>
      </c>
      <c r="J176" s="6">
        <f>$D$15</f>
        <v>16</v>
      </c>
      <c r="K176" s="384">
        <f t="shared" si="70"/>
        <v>3.2000000000000001E-2</v>
      </c>
      <c r="L176" s="8">
        <f t="shared" si="71"/>
        <v>2.7725887222397811</v>
      </c>
      <c r="M176" s="6">
        <f>M170</f>
        <v>40.166666666666664</v>
      </c>
      <c r="N176" s="384">
        <f t="shared" si="69"/>
        <v>8.0333333333333326E-2</v>
      </c>
      <c r="O176" s="8">
        <f t="shared" si="72"/>
        <v>3.6930374642625998</v>
      </c>
      <c r="P176" s="6">
        <f t="shared" si="73"/>
        <v>-24.166666666666664</v>
      </c>
      <c r="Q176" s="8">
        <f t="shared" si="74"/>
        <v>-3.8131497020270726</v>
      </c>
      <c r="R176" s="272">
        <f t="shared" si="75"/>
        <v>-29.454359744730198</v>
      </c>
    </row>
    <row r="177" spans="7:21" x14ac:dyDescent="0.25">
      <c r="G177" s="6" t="str">
        <f>$A$16</f>
        <v>Negative</v>
      </c>
      <c r="H177" t="str">
        <f>$B$16</f>
        <v>Female</v>
      </c>
      <c r="I177" t="str">
        <f>$C$16</f>
        <v>Therapy 2</v>
      </c>
      <c r="J177" s="6">
        <f>$D$16</f>
        <v>33</v>
      </c>
      <c r="K177" s="384">
        <f t="shared" si="70"/>
        <v>6.6000000000000003E-2</v>
      </c>
      <c r="L177" s="8">
        <f t="shared" si="71"/>
        <v>3.4965075614664802</v>
      </c>
      <c r="M177" s="6">
        <f>M176</f>
        <v>40.166666666666664</v>
      </c>
      <c r="N177" s="384">
        <f t="shared" si="69"/>
        <v>8.0333333333333326E-2</v>
      </c>
      <c r="O177" s="8">
        <f t="shared" si="72"/>
        <v>3.6930374642625998</v>
      </c>
      <c r="P177" s="6">
        <f t="shared" si="73"/>
        <v>-7.1666666666666643</v>
      </c>
      <c r="Q177" s="8">
        <f t="shared" si="74"/>
        <v>-1.1307961185321662</v>
      </c>
      <c r="R177" s="272">
        <f t="shared" si="75"/>
        <v>-12.970973584543893</v>
      </c>
    </row>
    <row r="178" spans="7:21" x14ac:dyDescent="0.25">
      <c r="G178" s="9" t="str">
        <f>$A$17</f>
        <v>Negative</v>
      </c>
      <c r="H178" s="10" t="str">
        <f>$B$17</f>
        <v>Female</v>
      </c>
      <c r="I178" s="10" t="str">
        <f>$C$17</f>
        <v>Therapy 3</v>
      </c>
      <c r="J178" s="9">
        <f>$D$17</f>
        <v>56</v>
      </c>
      <c r="K178" s="385">
        <f t="shared" si="70"/>
        <v>0.112</v>
      </c>
      <c r="L178" s="11">
        <f t="shared" si="71"/>
        <v>4.0253516907351496</v>
      </c>
      <c r="M178" s="9">
        <f>M177</f>
        <v>40.166666666666664</v>
      </c>
      <c r="N178" s="385">
        <f t="shared" si="69"/>
        <v>8.0333333333333326E-2</v>
      </c>
      <c r="O178" s="11">
        <f t="shared" si="72"/>
        <v>3.6930374642625998</v>
      </c>
      <c r="P178" s="409">
        <f t="shared" si="73"/>
        <v>15.833333333333336</v>
      </c>
      <c r="Q178" s="11">
        <f t="shared" si="74"/>
        <v>2.498270494431531</v>
      </c>
      <c r="R178" s="168">
        <f t="shared" si="75"/>
        <v>37.21919336492558</v>
      </c>
    </row>
    <row r="179" spans="7:21" x14ac:dyDescent="0.25">
      <c r="R179">
        <f>SUM(R167:R178)</f>
        <v>232.91857705587103</v>
      </c>
    </row>
    <row r="181" spans="7:21" x14ac:dyDescent="0.25">
      <c r="G181" s="1" t="s">
        <v>844</v>
      </c>
    </row>
    <row r="183" spans="7:21" x14ac:dyDescent="0.25">
      <c r="J183" s="1327" t="s">
        <v>302</v>
      </c>
      <c r="K183" s="1328"/>
      <c r="L183" s="1329"/>
      <c r="M183" s="1327" t="s">
        <v>793</v>
      </c>
      <c r="N183" s="1328"/>
      <c r="O183" s="1329"/>
      <c r="P183" s="1324" t="s">
        <v>303</v>
      </c>
      <c r="Q183" s="1330"/>
    </row>
    <row r="184" spans="7:21" x14ac:dyDescent="0.25">
      <c r="G184" s="392" t="str">
        <f>$A$5</f>
        <v>Cure</v>
      </c>
      <c r="H184" s="379" t="str">
        <f>$B$5</f>
        <v>Gender</v>
      </c>
      <c r="I184" s="379" t="str">
        <f>$C$5</f>
        <v>Therapy</v>
      </c>
      <c r="J184" s="381" t="s">
        <v>791</v>
      </c>
      <c r="K184" s="382" t="s">
        <v>790</v>
      </c>
      <c r="L184" s="383" t="s">
        <v>358</v>
      </c>
      <c r="M184" s="381" t="s">
        <v>792</v>
      </c>
      <c r="N184" s="382" t="s">
        <v>790</v>
      </c>
      <c r="O184" s="383" t="s">
        <v>783</v>
      </c>
      <c r="P184" s="430" t="s">
        <v>243</v>
      </c>
      <c r="Q184" s="432" t="s">
        <v>802</v>
      </c>
      <c r="R184" s="387" t="s">
        <v>109</v>
      </c>
      <c r="T184" s="89" t="s">
        <v>109</v>
      </c>
      <c r="U184" s="391">
        <f>R197</f>
        <v>159.74532611576285</v>
      </c>
    </row>
    <row r="185" spans="7:21" x14ac:dyDescent="0.25">
      <c r="G185" s="6" t="str">
        <f>$A$6</f>
        <v>Positive</v>
      </c>
      <c r="H185" t="str">
        <f>$B$6</f>
        <v>Male</v>
      </c>
      <c r="I185" t="str">
        <f>$C$6</f>
        <v>Therapy 1</v>
      </c>
      <c r="J185" s="6">
        <f>$D$6</f>
        <v>59</v>
      </c>
      <c r="K185" s="384">
        <f>J185/$D$18</f>
        <v>0.11799999999999999</v>
      </c>
      <c r="L185" s="8">
        <f>LN(J185)</f>
        <v>4.0775374439057197</v>
      </c>
      <c r="M185" s="6">
        <f>D82/(A27*B27)</f>
        <v>29</v>
      </c>
      <c r="N185" s="384">
        <f t="shared" ref="N185:N196" si="76">M185/D$44</f>
        <v>5.8000000000000003E-2</v>
      </c>
      <c r="O185" s="8">
        <f>LN(M185)</f>
        <v>3.3672958299864741</v>
      </c>
      <c r="P185" s="429">
        <f>J185-M185</f>
        <v>30</v>
      </c>
      <c r="Q185" s="428">
        <f>P185/SQRT(M185)</f>
        <v>5.5708601453115563</v>
      </c>
      <c r="R185" s="272">
        <f>2*J185*(L185-O185)</f>
        <v>83.808510442470975</v>
      </c>
      <c r="T185" t="s">
        <v>60</v>
      </c>
      <c r="U185" s="272">
        <f>A27*B27*C27-C27</f>
        <v>9</v>
      </c>
    </row>
    <row r="186" spans="7:21" x14ac:dyDescent="0.25">
      <c r="G186" s="6" t="str">
        <f>$A$7</f>
        <v>Positive</v>
      </c>
      <c r="H186" t="str">
        <f>$B$7</f>
        <v>Male</v>
      </c>
      <c r="I186" t="str">
        <f>$C$7</f>
        <v>Therapy 2</v>
      </c>
      <c r="J186" s="6">
        <f>$D$7</f>
        <v>55</v>
      </c>
      <c r="K186" s="384">
        <f t="shared" ref="K186:K196" si="77">J186/$D$18</f>
        <v>0.11</v>
      </c>
      <c r="L186" s="8">
        <f t="shared" ref="L186:L196" si="78">LN(J186)</f>
        <v>4.0073331852324712</v>
      </c>
      <c r="M186" s="6">
        <f>D83/(A27*B27)</f>
        <v>31</v>
      </c>
      <c r="N186" s="384">
        <f t="shared" si="76"/>
        <v>6.2E-2</v>
      </c>
      <c r="O186" s="8">
        <f t="shared" ref="O186:O196" si="79">LN(M186)</f>
        <v>3.4339872044851463</v>
      </c>
      <c r="P186" s="6">
        <f t="shared" ref="P186:P196" si="80">J186-M186</f>
        <v>24</v>
      </c>
      <c r="Q186" s="8">
        <f t="shared" ref="Q186:Q196" si="81">P186/SQRT(M186)</f>
        <v>4.3105272486425976</v>
      </c>
      <c r="R186" s="272">
        <f t="shared" ref="R186:R196" si="82">2*J186*(L186-O186)</f>
        <v>63.068057882205736</v>
      </c>
      <c r="T186" s="30" t="s">
        <v>48</v>
      </c>
      <c r="U186" s="272">
        <v>0.05</v>
      </c>
    </row>
    <row r="187" spans="7:21" x14ac:dyDescent="0.25">
      <c r="G187" s="6" t="str">
        <f>$A$8</f>
        <v>Positive</v>
      </c>
      <c r="H187" t="str">
        <f>$B$8</f>
        <v>Male</v>
      </c>
      <c r="I187" t="str">
        <f>$C$8</f>
        <v>Therapy 3</v>
      </c>
      <c r="J187" s="6">
        <f>$D$8</f>
        <v>107</v>
      </c>
      <c r="K187" s="384">
        <f t="shared" si="77"/>
        <v>0.214</v>
      </c>
      <c r="L187" s="8">
        <f t="shared" si="78"/>
        <v>4.6728288344619058</v>
      </c>
      <c r="M187" s="6">
        <f>D84/(A27*B27)</f>
        <v>65</v>
      </c>
      <c r="N187" s="384">
        <f t="shared" si="76"/>
        <v>0.13</v>
      </c>
      <c r="O187" s="8">
        <f t="shared" si="79"/>
        <v>4.1743872698956368</v>
      </c>
      <c r="P187" s="6">
        <f t="shared" si="80"/>
        <v>42</v>
      </c>
      <c r="Q187" s="8">
        <f t="shared" si="81"/>
        <v>5.2094588527467556</v>
      </c>
      <c r="R187" s="272">
        <f t="shared" si="82"/>
        <v>106.66649481718156</v>
      </c>
      <c r="T187" s="372" t="s">
        <v>67</v>
      </c>
      <c r="U187" s="272">
        <f>CHIDIST(U184,U185)</f>
        <v>8.3887848704672969E-30</v>
      </c>
    </row>
    <row r="188" spans="7:21" x14ac:dyDescent="0.25">
      <c r="G188" s="6" t="str">
        <f>$A$9</f>
        <v>Positive</v>
      </c>
      <c r="H188" t="str">
        <f>$B$9</f>
        <v>Female</v>
      </c>
      <c r="I188" t="str">
        <f>$C$9</f>
        <v>Therapy 1</v>
      </c>
      <c r="J188" s="6">
        <f>$D$9</f>
        <v>32</v>
      </c>
      <c r="K188" s="384">
        <f t="shared" si="77"/>
        <v>6.4000000000000001E-2</v>
      </c>
      <c r="L188" s="8">
        <f t="shared" si="78"/>
        <v>3.4657359027997265</v>
      </c>
      <c r="M188" s="6">
        <f>M185</f>
        <v>29</v>
      </c>
      <c r="N188" s="384">
        <f t="shared" si="76"/>
        <v>5.8000000000000003E-2</v>
      </c>
      <c r="O188" s="8">
        <f t="shared" si="79"/>
        <v>3.3672958299864741</v>
      </c>
      <c r="P188" s="6">
        <f t="shared" si="80"/>
        <v>3</v>
      </c>
      <c r="Q188" s="8">
        <f t="shared" si="81"/>
        <v>0.55708601453115558</v>
      </c>
      <c r="R188" s="272">
        <f t="shared" si="82"/>
        <v>6.3001646600481536</v>
      </c>
      <c r="T188" s="89" t="s">
        <v>110</v>
      </c>
      <c r="U188" s="272">
        <f>CHIINV(U186,U185)</f>
        <v>16.918977604620451</v>
      </c>
    </row>
    <row r="189" spans="7:21" x14ac:dyDescent="0.25">
      <c r="G189" s="6" t="str">
        <f>$A$10</f>
        <v>Positive</v>
      </c>
      <c r="H189" t="str">
        <f>$B$10</f>
        <v>Female</v>
      </c>
      <c r="I189" t="str">
        <f>$C$10</f>
        <v>Therapy 2</v>
      </c>
      <c r="J189" s="6">
        <f>$D$10</f>
        <v>24</v>
      </c>
      <c r="K189" s="384">
        <f t="shared" si="77"/>
        <v>4.8000000000000001E-2</v>
      </c>
      <c r="L189" s="8">
        <f t="shared" si="78"/>
        <v>3.1780538303479458</v>
      </c>
      <c r="M189" s="6">
        <f>M186</f>
        <v>31</v>
      </c>
      <c r="N189" s="384">
        <f t="shared" si="76"/>
        <v>6.2E-2</v>
      </c>
      <c r="O189" s="8">
        <f t="shared" si="79"/>
        <v>3.4339872044851463</v>
      </c>
      <c r="P189" s="6">
        <f t="shared" si="80"/>
        <v>-7</v>
      </c>
      <c r="Q189" s="8">
        <f t="shared" si="81"/>
        <v>-1.2572371141874243</v>
      </c>
      <c r="R189" s="272">
        <f t="shared" si="82"/>
        <v>-12.284801958585625</v>
      </c>
      <c r="T189" s="372" t="s">
        <v>527</v>
      </c>
      <c r="U189" s="166" t="str">
        <f>IF(U187&lt;U186,"yes","no")</f>
        <v>yes</v>
      </c>
    </row>
    <row r="190" spans="7:21" x14ac:dyDescent="0.25">
      <c r="G190" s="6" t="str">
        <f>$A$11</f>
        <v>Positive</v>
      </c>
      <c r="H190" t="str">
        <f>$B$11</f>
        <v>Female</v>
      </c>
      <c r="I190" t="str">
        <f>$C$11</f>
        <v>Therapy 3</v>
      </c>
      <c r="J190" s="6">
        <f>$D$11</f>
        <v>80</v>
      </c>
      <c r="K190" s="384">
        <f t="shared" si="77"/>
        <v>0.16</v>
      </c>
      <c r="L190" s="8">
        <f t="shared" si="78"/>
        <v>4.3820266346738812</v>
      </c>
      <c r="M190" s="6">
        <f>M187</f>
        <v>65</v>
      </c>
      <c r="N190" s="384">
        <f t="shared" si="76"/>
        <v>0.13</v>
      </c>
      <c r="O190" s="8">
        <f t="shared" si="79"/>
        <v>4.1743872698956368</v>
      </c>
      <c r="P190" s="6">
        <f t="shared" si="80"/>
        <v>15</v>
      </c>
      <c r="Q190" s="8">
        <f t="shared" si="81"/>
        <v>1.8605210188381269</v>
      </c>
      <c r="R190" s="272">
        <f t="shared" si="82"/>
        <v>33.222298364519105</v>
      </c>
    </row>
    <row r="191" spans="7:21" x14ac:dyDescent="0.25">
      <c r="G191" s="6" t="str">
        <f>$A$12</f>
        <v>Negative</v>
      </c>
      <c r="H191" t="str">
        <f>$B$12</f>
        <v>Male</v>
      </c>
      <c r="I191" t="str">
        <f>$C$12</f>
        <v>Therapy 1</v>
      </c>
      <c r="J191" s="6">
        <f>$D$12</f>
        <v>9</v>
      </c>
      <c r="K191" s="384">
        <f t="shared" si="77"/>
        <v>1.7999999999999999E-2</v>
      </c>
      <c r="L191" s="8">
        <f t="shared" si="78"/>
        <v>2.1972245773362196</v>
      </c>
      <c r="M191" s="6">
        <f>M185</f>
        <v>29</v>
      </c>
      <c r="N191" s="384">
        <f t="shared" si="76"/>
        <v>5.8000000000000003E-2</v>
      </c>
      <c r="O191" s="8">
        <f t="shared" si="79"/>
        <v>3.3672958299864741</v>
      </c>
      <c r="P191" s="6">
        <f t="shared" si="80"/>
        <v>-20</v>
      </c>
      <c r="Q191" s="8">
        <f t="shared" si="81"/>
        <v>-3.7139067635410377</v>
      </c>
      <c r="R191" s="272">
        <f t="shared" si="82"/>
        <v>-21.061282547704582</v>
      </c>
    </row>
    <row r="192" spans="7:21" x14ac:dyDescent="0.25">
      <c r="G192" s="6" t="str">
        <f>$A$13</f>
        <v>Negative</v>
      </c>
      <c r="H192" t="str">
        <f>$B$13</f>
        <v>Male</v>
      </c>
      <c r="I192" t="str">
        <f>$C$13</f>
        <v>Therapy 2</v>
      </c>
      <c r="J192" s="6">
        <f>$D$13</f>
        <v>12</v>
      </c>
      <c r="K192" s="384">
        <f t="shared" si="77"/>
        <v>2.4E-2</v>
      </c>
      <c r="L192" s="8">
        <f t="shared" si="78"/>
        <v>2.4849066497880004</v>
      </c>
      <c r="M192" s="6">
        <f>M186</f>
        <v>31</v>
      </c>
      <c r="N192" s="384">
        <f t="shared" si="76"/>
        <v>6.2E-2</v>
      </c>
      <c r="O192" s="8">
        <f t="shared" si="79"/>
        <v>3.4339872044851463</v>
      </c>
      <c r="P192" s="6">
        <f t="shared" si="80"/>
        <v>-19</v>
      </c>
      <c r="Q192" s="8">
        <f t="shared" si="81"/>
        <v>-3.4125007385087232</v>
      </c>
      <c r="R192" s="272">
        <f t="shared" si="82"/>
        <v>-22.777933312731502</v>
      </c>
    </row>
    <row r="193" spans="7:21" x14ac:dyDescent="0.25">
      <c r="G193" s="6" t="str">
        <f>$A$14</f>
        <v>Negative</v>
      </c>
      <c r="H193" t="str">
        <f>$B$14</f>
        <v>Male</v>
      </c>
      <c r="I193" t="str">
        <f>$C$14</f>
        <v>Therapy 3</v>
      </c>
      <c r="J193" s="6">
        <f>$D$14</f>
        <v>17</v>
      </c>
      <c r="K193" s="384">
        <f t="shared" si="77"/>
        <v>3.4000000000000002E-2</v>
      </c>
      <c r="L193" s="8">
        <f t="shared" si="78"/>
        <v>2.8332133440562162</v>
      </c>
      <c r="M193" s="6">
        <f>M187</f>
        <v>65</v>
      </c>
      <c r="N193" s="384">
        <f t="shared" si="76"/>
        <v>0.13</v>
      </c>
      <c r="O193" s="8">
        <f t="shared" si="79"/>
        <v>4.1743872698956368</v>
      </c>
      <c r="P193" s="6">
        <f t="shared" si="80"/>
        <v>-48</v>
      </c>
      <c r="Q193" s="8">
        <f t="shared" si="81"/>
        <v>-5.953667260282006</v>
      </c>
      <c r="R193" s="272">
        <f t="shared" si="82"/>
        <v>-45.599913478540302</v>
      </c>
    </row>
    <row r="194" spans="7:21" x14ac:dyDescent="0.25">
      <c r="G194" s="6" t="str">
        <f>$A$15</f>
        <v>Negative</v>
      </c>
      <c r="H194" t="str">
        <f>$B$15</f>
        <v>Female</v>
      </c>
      <c r="I194" t="str">
        <f>$C$15</f>
        <v>Therapy 1</v>
      </c>
      <c r="J194" s="6">
        <f>$D$15</f>
        <v>16</v>
      </c>
      <c r="K194" s="384">
        <f t="shared" si="77"/>
        <v>3.2000000000000001E-2</v>
      </c>
      <c r="L194" s="8">
        <f t="shared" si="78"/>
        <v>2.7725887222397811</v>
      </c>
      <c r="M194" s="6">
        <f>M185</f>
        <v>29</v>
      </c>
      <c r="N194" s="384">
        <f t="shared" si="76"/>
        <v>5.8000000000000003E-2</v>
      </c>
      <c r="O194" s="8">
        <f t="shared" si="79"/>
        <v>3.3672958299864741</v>
      </c>
      <c r="P194" s="6">
        <f t="shared" si="80"/>
        <v>-13</v>
      </c>
      <c r="Q194" s="8">
        <f t="shared" si="81"/>
        <v>-2.4140393963016744</v>
      </c>
      <c r="R194" s="272">
        <f t="shared" si="82"/>
        <v>-19.030627447894176</v>
      </c>
    </row>
    <row r="195" spans="7:21" x14ac:dyDescent="0.25">
      <c r="G195" s="6" t="str">
        <f>$A$16</f>
        <v>Negative</v>
      </c>
      <c r="H195" t="str">
        <f>$B$16</f>
        <v>Female</v>
      </c>
      <c r="I195" t="str">
        <f>$C$16</f>
        <v>Therapy 2</v>
      </c>
      <c r="J195" s="6">
        <f>$D$16</f>
        <v>33</v>
      </c>
      <c r="K195" s="384">
        <f t="shared" si="77"/>
        <v>6.6000000000000003E-2</v>
      </c>
      <c r="L195" s="8">
        <f t="shared" si="78"/>
        <v>3.4965075614664802</v>
      </c>
      <c r="M195" s="6">
        <f>M186</f>
        <v>31</v>
      </c>
      <c r="N195" s="384">
        <f t="shared" si="76"/>
        <v>6.2E-2</v>
      </c>
      <c r="O195" s="8">
        <f t="shared" si="79"/>
        <v>3.4339872044851463</v>
      </c>
      <c r="P195" s="6">
        <f t="shared" si="80"/>
        <v>2</v>
      </c>
      <c r="Q195" s="8">
        <f t="shared" si="81"/>
        <v>0.35921060405354982</v>
      </c>
      <c r="R195" s="272">
        <f t="shared" si="82"/>
        <v>4.1263435607680412</v>
      </c>
    </row>
    <row r="196" spans="7:21" x14ac:dyDescent="0.25">
      <c r="G196" s="9" t="str">
        <f>$A$17</f>
        <v>Negative</v>
      </c>
      <c r="H196" s="10" t="str">
        <f>$B$17</f>
        <v>Female</v>
      </c>
      <c r="I196" s="10" t="str">
        <f>$C$17</f>
        <v>Therapy 3</v>
      </c>
      <c r="J196" s="9">
        <f>$D$17</f>
        <v>56</v>
      </c>
      <c r="K196" s="385">
        <f t="shared" si="77"/>
        <v>0.112</v>
      </c>
      <c r="L196" s="11">
        <f t="shared" si="78"/>
        <v>4.0253516907351496</v>
      </c>
      <c r="M196" s="9">
        <f>M187</f>
        <v>65</v>
      </c>
      <c r="N196" s="385">
        <f t="shared" si="76"/>
        <v>0.13</v>
      </c>
      <c r="O196" s="11">
        <f t="shared" si="79"/>
        <v>4.1743872698956368</v>
      </c>
      <c r="P196" s="409">
        <f t="shared" si="80"/>
        <v>-9</v>
      </c>
      <c r="Q196" s="11">
        <f t="shared" si="81"/>
        <v>-1.1163126113028761</v>
      </c>
      <c r="R196" s="168">
        <f t="shared" si="82"/>
        <v>-16.691984865974561</v>
      </c>
    </row>
    <row r="197" spans="7:21" x14ac:dyDescent="0.25">
      <c r="R197">
        <f>SUM(R185:R196)</f>
        <v>159.74532611576285</v>
      </c>
    </row>
    <row r="199" spans="7:21" x14ac:dyDescent="0.25">
      <c r="G199" s="1" t="s">
        <v>845</v>
      </c>
    </row>
    <row r="201" spans="7:21" x14ac:dyDescent="0.25">
      <c r="J201" s="1327" t="s">
        <v>302</v>
      </c>
      <c r="K201" s="1328"/>
      <c r="L201" s="1329"/>
      <c r="M201" s="1327" t="s">
        <v>793</v>
      </c>
      <c r="N201" s="1328"/>
      <c r="O201" s="1329"/>
      <c r="P201" s="1324" t="s">
        <v>303</v>
      </c>
      <c r="Q201" s="1330"/>
    </row>
    <row r="202" spans="7:21" x14ac:dyDescent="0.25">
      <c r="G202" s="392" t="str">
        <f>$A$5</f>
        <v>Cure</v>
      </c>
      <c r="H202" s="379" t="str">
        <f>$B$5</f>
        <v>Gender</v>
      </c>
      <c r="I202" s="379" t="str">
        <f>$C$5</f>
        <v>Therapy</v>
      </c>
      <c r="J202" s="381" t="s">
        <v>791</v>
      </c>
      <c r="K202" s="382" t="s">
        <v>790</v>
      </c>
      <c r="L202" s="383" t="s">
        <v>358</v>
      </c>
      <c r="M202" s="381" t="s">
        <v>792</v>
      </c>
      <c r="N202" s="382" t="s">
        <v>790</v>
      </c>
      <c r="O202" s="383" t="s">
        <v>783</v>
      </c>
      <c r="P202" s="430" t="s">
        <v>243</v>
      </c>
      <c r="Q202" s="432" t="s">
        <v>802</v>
      </c>
      <c r="R202" s="387" t="s">
        <v>109</v>
      </c>
      <c r="T202" s="89" t="s">
        <v>109</v>
      </c>
      <c r="U202" s="391">
        <f>R215</f>
        <v>85.862189735443735</v>
      </c>
    </row>
    <row r="203" spans="7:21" x14ac:dyDescent="0.25">
      <c r="G203" s="6" t="str">
        <f>$A$6</f>
        <v>Positive</v>
      </c>
      <c r="H203" t="str">
        <f>$B$6</f>
        <v>Male</v>
      </c>
      <c r="I203" t="str">
        <f>$C$6</f>
        <v>Therapy 1</v>
      </c>
      <c r="J203" s="6">
        <f>$D$6</f>
        <v>59</v>
      </c>
      <c r="K203" s="384">
        <f>J203/$D$18</f>
        <v>0.11799999999999999</v>
      </c>
      <c r="L203" s="8">
        <f>LN(J203)</f>
        <v>4.0775374439057197</v>
      </c>
      <c r="M203" s="6">
        <f>D47/$C$27</f>
        <v>73.666666666666671</v>
      </c>
      <c r="N203" s="384">
        <f t="shared" ref="N203:N214" si="83">M203/D$44</f>
        <v>0.14733333333333334</v>
      </c>
      <c r="O203" s="8">
        <f>LN(M203)</f>
        <v>4.2995504128496433</v>
      </c>
      <c r="P203" s="429">
        <f>J203-M203</f>
        <v>-14.666666666666671</v>
      </c>
      <c r="Q203" s="428">
        <f>P203/SQRT(M203)</f>
        <v>-1.7088184022373585</v>
      </c>
      <c r="R203" s="272">
        <f>2*J203*(L203-O203)</f>
        <v>-26.197530335382989</v>
      </c>
      <c r="T203" t="s">
        <v>60</v>
      </c>
      <c r="U203" s="272">
        <f>(C27-1)*A27*B27</f>
        <v>8</v>
      </c>
    </row>
    <row r="204" spans="7:21" x14ac:dyDescent="0.25">
      <c r="G204" s="6" t="str">
        <f>$A$7</f>
        <v>Positive</v>
      </c>
      <c r="H204" t="str">
        <f>$B$7</f>
        <v>Male</v>
      </c>
      <c r="I204" t="str">
        <f>$C$7</f>
        <v>Therapy 2</v>
      </c>
      <c r="J204" s="6">
        <f>$D$7</f>
        <v>55</v>
      </c>
      <c r="K204" s="384">
        <f t="shared" ref="K204:K214" si="84">J204/$D$18</f>
        <v>0.11</v>
      </c>
      <c r="L204" s="8">
        <f t="shared" ref="L204:L214" si="85">LN(J204)</f>
        <v>4.0073331852324712</v>
      </c>
      <c r="M204" s="6">
        <f>M203</f>
        <v>73.666666666666671</v>
      </c>
      <c r="N204" s="384">
        <f t="shared" si="83"/>
        <v>0.14733333333333334</v>
      </c>
      <c r="O204" s="8">
        <f t="shared" ref="O204:O214" si="86">LN(M204)</f>
        <v>4.2995504128496433</v>
      </c>
      <c r="P204" s="6">
        <f t="shared" ref="P204:P214" si="87">J204-M204</f>
        <v>-18.666666666666671</v>
      </c>
      <c r="Q204" s="8">
        <f t="shared" ref="Q204:Q214" si="88">P204/SQRT(M204)</f>
        <v>-2.1748597846657289</v>
      </c>
      <c r="R204" s="272">
        <f t="shared" ref="R204:R214" si="89">2*J204*(L204-O204)</f>
        <v>-32.143895037888939</v>
      </c>
      <c r="T204" s="30" t="s">
        <v>48</v>
      </c>
      <c r="U204" s="272">
        <v>0.05</v>
      </c>
    </row>
    <row r="205" spans="7:21" x14ac:dyDescent="0.25">
      <c r="G205" s="6" t="str">
        <f>$A$8</f>
        <v>Positive</v>
      </c>
      <c r="H205" t="str">
        <f>$B$8</f>
        <v>Male</v>
      </c>
      <c r="I205" t="str">
        <f>$C$8</f>
        <v>Therapy 3</v>
      </c>
      <c r="J205" s="6">
        <f>$D$8</f>
        <v>107</v>
      </c>
      <c r="K205" s="384">
        <f t="shared" si="84"/>
        <v>0.214</v>
      </c>
      <c r="L205" s="8">
        <f t="shared" si="85"/>
        <v>4.6728288344619058</v>
      </c>
      <c r="M205" s="6">
        <f>M204</f>
        <v>73.666666666666671</v>
      </c>
      <c r="N205" s="384">
        <f t="shared" si="83"/>
        <v>0.14733333333333334</v>
      </c>
      <c r="O205" s="8">
        <f t="shared" si="86"/>
        <v>4.2995504128496433</v>
      </c>
      <c r="P205" s="6">
        <f t="shared" si="87"/>
        <v>33.333333333333329</v>
      </c>
      <c r="Q205" s="8">
        <f t="shared" si="88"/>
        <v>3.8836781869030861</v>
      </c>
      <c r="R205" s="272">
        <f t="shared" si="89"/>
        <v>79.881582225024161</v>
      </c>
      <c r="T205" s="372" t="s">
        <v>67</v>
      </c>
      <c r="U205" s="272">
        <f>CHIDIST(U202,U203)</f>
        <v>3.2070964562435109E-15</v>
      </c>
    </row>
    <row r="206" spans="7:21" x14ac:dyDescent="0.25">
      <c r="G206" s="6" t="str">
        <f>$A$9</f>
        <v>Positive</v>
      </c>
      <c r="H206" t="str">
        <f>$B$9</f>
        <v>Female</v>
      </c>
      <c r="I206" t="str">
        <f>$C$9</f>
        <v>Therapy 1</v>
      </c>
      <c r="J206" s="6">
        <f>$D$9</f>
        <v>32</v>
      </c>
      <c r="K206" s="384">
        <f t="shared" si="84"/>
        <v>6.4000000000000001E-2</v>
      </c>
      <c r="L206" s="8">
        <f t="shared" si="85"/>
        <v>3.4657359027997265</v>
      </c>
      <c r="M206" s="6">
        <f>D48/$C$27</f>
        <v>45.333333333333336</v>
      </c>
      <c r="N206" s="384">
        <f t="shared" si="83"/>
        <v>9.0666666666666673E-2</v>
      </c>
      <c r="O206" s="8">
        <f t="shared" si="86"/>
        <v>3.8140425970679424</v>
      </c>
      <c r="P206" s="6">
        <f t="shared" si="87"/>
        <v>-13.333333333333336</v>
      </c>
      <c r="Q206" s="8">
        <f t="shared" si="88"/>
        <v>-1.9802950859533488</v>
      </c>
      <c r="R206" s="272">
        <f t="shared" si="89"/>
        <v>-22.291628433165812</v>
      </c>
      <c r="T206" s="89" t="s">
        <v>110</v>
      </c>
      <c r="U206" s="272">
        <f>CHIINV(U204,U203)</f>
        <v>15.507313055865453</v>
      </c>
    </row>
    <row r="207" spans="7:21" x14ac:dyDescent="0.25">
      <c r="G207" s="6" t="str">
        <f>$A$10</f>
        <v>Positive</v>
      </c>
      <c r="H207" t="str">
        <f>$B$10</f>
        <v>Female</v>
      </c>
      <c r="I207" t="str">
        <f>$C$10</f>
        <v>Therapy 2</v>
      </c>
      <c r="J207" s="6">
        <f>$D$10</f>
        <v>24</v>
      </c>
      <c r="K207" s="384">
        <f t="shared" si="84"/>
        <v>4.8000000000000001E-2</v>
      </c>
      <c r="L207" s="8">
        <f t="shared" si="85"/>
        <v>3.1780538303479458</v>
      </c>
      <c r="M207" s="6">
        <f>M206</f>
        <v>45.333333333333336</v>
      </c>
      <c r="N207" s="384">
        <f t="shared" si="83"/>
        <v>9.0666666666666673E-2</v>
      </c>
      <c r="O207" s="8">
        <f t="shared" si="86"/>
        <v>3.8140425970679424</v>
      </c>
      <c r="P207" s="6">
        <f t="shared" si="87"/>
        <v>-21.333333333333336</v>
      </c>
      <c r="Q207" s="8">
        <f t="shared" si="88"/>
        <v>-3.1684721375253577</v>
      </c>
      <c r="R207" s="272">
        <f t="shared" si="89"/>
        <v>-30.527460802559837</v>
      </c>
      <c r="T207" s="372" t="s">
        <v>527</v>
      </c>
      <c r="U207" s="166" t="str">
        <f>IF(U205&lt;U204,"yes","no")</f>
        <v>yes</v>
      </c>
    </row>
    <row r="208" spans="7:21" x14ac:dyDescent="0.25">
      <c r="G208" s="6" t="str">
        <f>$A$11</f>
        <v>Positive</v>
      </c>
      <c r="H208" t="str">
        <f>$B$11</f>
        <v>Female</v>
      </c>
      <c r="I208" t="str">
        <f>$C$11</f>
        <v>Therapy 3</v>
      </c>
      <c r="J208" s="6">
        <f>$D$11</f>
        <v>80</v>
      </c>
      <c r="K208" s="384">
        <f t="shared" si="84"/>
        <v>0.16</v>
      </c>
      <c r="L208" s="8">
        <f t="shared" si="85"/>
        <v>4.3820266346738812</v>
      </c>
      <c r="M208" s="6">
        <f>M207</f>
        <v>45.333333333333336</v>
      </c>
      <c r="N208" s="384">
        <f t="shared" si="83"/>
        <v>9.0666666666666673E-2</v>
      </c>
      <c r="O208" s="8">
        <f t="shared" si="86"/>
        <v>3.8140425970679424</v>
      </c>
      <c r="P208" s="6">
        <f t="shared" si="87"/>
        <v>34.666666666666664</v>
      </c>
      <c r="Q208" s="8">
        <f t="shared" si="88"/>
        <v>5.1487672234787061</v>
      </c>
      <c r="R208" s="272">
        <f t="shared" si="89"/>
        <v>90.877446016950216</v>
      </c>
    </row>
    <row r="209" spans="7:21" x14ac:dyDescent="0.25">
      <c r="G209" s="6" t="str">
        <f>$A$12</f>
        <v>Negative</v>
      </c>
      <c r="H209" t="str">
        <f>$B$12</f>
        <v>Male</v>
      </c>
      <c r="I209" t="str">
        <f>$C$12</f>
        <v>Therapy 1</v>
      </c>
      <c r="J209" s="6">
        <f>$D$12</f>
        <v>9</v>
      </c>
      <c r="K209" s="384">
        <f t="shared" si="84"/>
        <v>1.7999999999999999E-2</v>
      </c>
      <c r="L209" s="8">
        <f t="shared" si="85"/>
        <v>2.1972245773362196</v>
      </c>
      <c r="M209" s="6">
        <f>D49/$C$27</f>
        <v>12.666666666666666</v>
      </c>
      <c r="N209" s="384">
        <f t="shared" si="83"/>
        <v>2.5333333333333333E-2</v>
      </c>
      <c r="O209" s="8">
        <f t="shared" si="86"/>
        <v>2.5389738710582761</v>
      </c>
      <c r="P209" s="6">
        <f t="shared" si="87"/>
        <v>-3.6666666666666661</v>
      </c>
      <c r="Q209" s="8">
        <f t="shared" si="88"/>
        <v>-1.0302443927398632</v>
      </c>
      <c r="R209" s="272">
        <f t="shared" si="89"/>
        <v>-6.1514872869970176</v>
      </c>
    </row>
    <row r="210" spans="7:21" x14ac:dyDescent="0.25">
      <c r="G210" s="6" t="str">
        <f>$A$13</f>
        <v>Negative</v>
      </c>
      <c r="H210" t="str">
        <f>$B$13</f>
        <v>Male</v>
      </c>
      <c r="I210" t="str">
        <f>$C$13</f>
        <v>Therapy 2</v>
      </c>
      <c r="J210" s="6">
        <f>$D$13</f>
        <v>12</v>
      </c>
      <c r="K210" s="384">
        <f t="shared" si="84"/>
        <v>2.4E-2</v>
      </c>
      <c r="L210" s="8">
        <f t="shared" si="85"/>
        <v>2.4849066497880004</v>
      </c>
      <c r="M210" s="6">
        <f>M209</f>
        <v>12.666666666666666</v>
      </c>
      <c r="N210" s="384">
        <f t="shared" si="83"/>
        <v>2.5333333333333333E-2</v>
      </c>
      <c r="O210" s="8">
        <f t="shared" si="86"/>
        <v>2.5389738710582761</v>
      </c>
      <c r="P210" s="6">
        <f t="shared" si="87"/>
        <v>-0.66666666666666607</v>
      </c>
      <c r="Q210" s="8">
        <f t="shared" si="88"/>
        <v>-0.18731716231633863</v>
      </c>
      <c r="R210" s="272">
        <f t="shared" si="89"/>
        <v>-1.2976133104866179</v>
      </c>
    </row>
    <row r="211" spans="7:21" x14ac:dyDescent="0.25">
      <c r="G211" s="6" t="str">
        <f>$A$14</f>
        <v>Negative</v>
      </c>
      <c r="H211" t="str">
        <f>$B$14</f>
        <v>Male</v>
      </c>
      <c r="I211" t="str">
        <f>$C$14</f>
        <v>Therapy 3</v>
      </c>
      <c r="J211" s="6">
        <f>$D$14</f>
        <v>17</v>
      </c>
      <c r="K211" s="384">
        <f t="shared" si="84"/>
        <v>3.4000000000000002E-2</v>
      </c>
      <c r="L211" s="8">
        <f t="shared" si="85"/>
        <v>2.8332133440562162</v>
      </c>
      <c r="M211" s="6">
        <f>M210</f>
        <v>12.666666666666666</v>
      </c>
      <c r="N211" s="384">
        <f t="shared" si="83"/>
        <v>2.5333333333333333E-2</v>
      </c>
      <c r="O211" s="8">
        <f t="shared" si="86"/>
        <v>2.5389738710582761</v>
      </c>
      <c r="P211" s="6">
        <f t="shared" si="87"/>
        <v>4.3333333333333339</v>
      </c>
      <c r="Q211" s="8">
        <f t="shared" si="88"/>
        <v>1.2175615550562022</v>
      </c>
      <c r="R211" s="272">
        <f t="shared" si="89"/>
        <v>10.004142081929963</v>
      </c>
    </row>
    <row r="212" spans="7:21" x14ac:dyDescent="0.25">
      <c r="G212" s="6" t="str">
        <f>$A$15</f>
        <v>Negative</v>
      </c>
      <c r="H212" t="str">
        <f>$B$15</f>
        <v>Female</v>
      </c>
      <c r="I212" t="str">
        <f>$C$15</f>
        <v>Therapy 1</v>
      </c>
      <c r="J212" s="6">
        <f>$D$15</f>
        <v>16</v>
      </c>
      <c r="K212" s="384">
        <f t="shared" si="84"/>
        <v>3.2000000000000001E-2</v>
      </c>
      <c r="L212" s="8">
        <f t="shared" si="85"/>
        <v>2.7725887222397811</v>
      </c>
      <c r="M212" s="6">
        <f>D50/$C$27</f>
        <v>35</v>
      </c>
      <c r="N212" s="384">
        <f t="shared" si="83"/>
        <v>7.0000000000000007E-2</v>
      </c>
      <c r="O212" s="8">
        <f t="shared" si="86"/>
        <v>3.5553480614894135</v>
      </c>
      <c r="P212" s="6">
        <f t="shared" si="87"/>
        <v>-19</v>
      </c>
      <c r="Q212" s="8">
        <f t="shared" si="88"/>
        <v>-3.2115861679683628</v>
      </c>
      <c r="R212" s="272">
        <f t="shared" si="89"/>
        <v>-25.048298855988236</v>
      </c>
    </row>
    <row r="213" spans="7:21" x14ac:dyDescent="0.25">
      <c r="G213" s="6" t="str">
        <f>$A$16</f>
        <v>Negative</v>
      </c>
      <c r="H213" t="str">
        <f>$B$16</f>
        <v>Female</v>
      </c>
      <c r="I213" t="str">
        <f>$C$16</f>
        <v>Therapy 2</v>
      </c>
      <c r="J213" s="6">
        <f>$D$16</f>
        <v>33</v>
      </c>
      <c r="K213" s="384">
        <f t="shared" si="84"/>
        <v>6.6000000000000003E-2</v>
      </c>
      <c r="L213" s="8">
        <f t="shared" si="85"/>
        <v>3.4965075614664802</v>
      </c>
      <c r="M213" s="6">
        <f>M212</f>
        <v>35</v>
      </c>
      <c r="N213" s="384">
        <f t="shared" si="83"/>
        <v>7.0000000000000007E-2</v>
      </c>
      <c r="O213" s="8">
        <f t="shared" si="86"/>
        <v>3.5553480614894135</v>
      </c>
      <c r="P213" s="6">
        <f t="shared" si="87"/>
        <v>-2</v>
      </c>
      <c r="Q213" s="8">
        <f t="shared" si="88"/>
        <v>-0.33806170189140661</v>
      </c>
      <c r="R213" s="272">
        <f t="shared" si="89"/>
        <v>-3.8834730015135968</v>
      </c>
    </row>
    <row r="214" spans="7:21" x14ac:dyDescent="0.25">
      <c r="G214" s="9" t="str">
        <f>$A$17</f>
        <v>Negative</v>
      </c>
      <c r="H214" s="10" t="str">
        <f>$B$17</f>
        <v>Female</v>
      </c>
      <c r="I214" s="10" t="str">
        <f>$C$17</f>
        <v>Therapy 3</v>
      </c>
      <c r="J214" s="9">
        <f>$D$17</f>
        <v>56</v>
      </c>
      <c r="K214" s="385">
        <f t="shared" si="84"/>
        <v>0.112</v>
      </c>
      <c r="L214" s="11">
        <f t="shared" si="85"/>
        <v>4.0253516907351496</v>
      </c>
      <c r="M214" s="9">
        <f>M213</f>
        <v>35</v>
      </c>
      <c r="N214" s="385">
        <f t="shared" si="83"/>
        <v>7.0000000000000007E-2</v>
      </c>
      <c r="O214" s="11">
        <f t="shared" si="86"/>
        <v>3.5553480614894135</v>
      </c>
      <c r="P214" s="409">
        <f t="shared" si="87"/>
        <v>21</v>
      </c>
      <c r="Q214" s="11">
        <f t="shared" si="88"/>
        <v>3.5496478698597698</v>
      </c>
      <c r="R214" s="168">
        <f t="shared" si="89"/>
        <v>52.640406475522447</v>
      </c>
    </row>
    <row r="215" spans="7:21" x14ac:dyDescent="0.25">
      <c r="R215">
        <f>SUM(R203:R214)</f>
        <v>85.862189735443735</v>
      </c>
    </row>
    <row r="217" spans="7:21" x14ac:dyDescent="0.25">
      <c r="G217" s="1" t="s">
        <v>846</v>
      </c>
    </row>
    <row r="219" spans="7:21" x14ac:dyDescent="0.25">
      <c r="J219" s="1327" t="s">
        <v>302</v>
      </c>
      <c r="K219" s="1328"/>
      <c r="L219" s="1329"/>
      <c r="M219" s="1327" t="s">
        <v>793</v>
      </c>
      <c r="N219" s="1328"/>
      <c r="O219" s="1329"/>
      <c r="P219" s="1324" t="s">
        <v>303</v>
      </c>
      <c r="Q219" s="1330"/>
    </row>
    <row r="220" spans="7:21" x14ac:dyDescent="0.25">
      <c r="G220" s="392" t="str">
        <f>$A$5</f>
        <v>Cure</v>
      </c>
      <c r="H220" s="379" t="str">
        <f>$B$5</f>
        <v>Gender</v>
      </c>
      <c r="I220" s="379" t="str">
        <f>$C$5</f>
        <v>Therapy</v>
      </c>
      <c r="J220" s="381" t="s">
        <v>791</v>
      </c>
      <c r="K220" s="382" t="s">
        <v>790</v>
      </c>
      <c r="L220" s="383" t="s">
        <v>358</v>
      </c>
      <c r="M220" s="381" t="s">
        <v>792</v>
      </c>
      <c r="N220" s="382" t="s">
        <v>790</v>
      </c>
      <c r="O220" s="383" t="s">
        <v>783</v>
      </c>
      <c r="P220" s="430" t="s">
        <v>243</v>
      </c>
      <c r="Q220" s="432" t="s">
        <v>802</v>
      </c>
      <c r="R220" s="387" t="s">
        <v>109</v>
      </c>
      <c r="T220" s="89" t="s">
        <v>109</v>
      </c>
      <c r="U220" s="391">
        <f>R233</f>
        <v>154.9183886177259</v>
      </c>
    </row>
    <row r="221" spans="7:21" x14ac:dyDescent="0.25">
      <c r="G221" s="6" t="str">
        <f>$A$6</f>
        <v>Positive</v>
      </c>
      <c r="H221" t="str">
        <f>$B$6</f>
        <v>Male</v>
      </c>
      <c r="I221" t="str">
        <f>$C$6</f>
        <v>Therapy 1</v>
      </c>
      <c r="J221" s="6">
        <f>$D$6</f>
        <v>59</v>
      </c>
      <c r="K221" s="384">
        <f>J221/$D$18</f>
        <v>0.11799999999999999</v>
      </c>
      <c r="L221" s="8">
        <f>LN(J221)</f>
        <v>4.0775374439057197</v>
      </c>
      <c r="M221" s="6">
        <f t="shared" ref="M221:M226" si="90">D63/$A$27</f>
        <v>34</v>
      </c>
      <c r="N221" s="384">
        <f t="shared" ref="N221:N232" si="91">M221/D$44</f>
        <v>6.8000000000000005E-2</v>
      </c>
      <c r="O221" s="8">
        <f>LN(M221)</f>
        <v>3.5263605246161616</v>
      </c>
      <c r="P221" s="429">
        <f>J221-M221</f>
        <v>25</v>
      </c>
      <c r="Q221" s="428">
        <f>P221/SQRT(M221)</f>
        <v>4.2874646285627209</v>
      </c>
      <c r="R221" s="272">
        <f>2*J221*(L221-O221)</f>
        <v>65.038876476167857</v>
      </c>
      <c r="T221" t="s">
        <v>60</v>
      </c>
      <c r="U221" s="272">
        <f>(B27-1)*A27*C27</f>
        <v>6</v>
      </c>
    </row>
    <row r="222" spans="7:21" x14ac:dyDescent="0.25">
      <c r="G222" s="6" t="str">
        <f>$A$7</f>
        <v>Positive</v>
      </c>
      <c r="H222" t="str">
        <f>$B$7</f>
        <v>Male</v>
      </c>
      <c r="I222" t="str">
        <f>$C$7</f>
        <v>Therapy 2</v>
      </c>
      <c r="J222" s="6">
        <f>$D$7</f>
        <v>55</v>
      </c>
      <c r="K222" s="384">
        <f t="shared" ref="K222:K232" si="92">J222/$D$18</f>
        <v>0.11</v>
      </c>
      <c r="L222" s="8">
        <f t="shared" ref="L222:L232" si="93">LN(J222)</f>
        <v>4.0073331852324712</v>
      </c>
      <c r="M222" s="6">
        <f t="shared" si="90"/>
        <v>33.5</v>
      </c>
      <c r="N222" s="384">
        <f t="shared" si="91"/>
        <v>6.7000000000000004E-2</v>
      </c>
      <c r="O222" s="8">
        <f t="shared" ref="O222:O232" si="94">LN(M222)</f>
        <v>3.5115454388310208</v>
      </c>
      <c r="P222" s="6">
        <f t="shared" ref="P222:P232" si="95">J222-M222</f>
        <v>21.5</v>
      </c>
      <c r="Q222" s="8">
        <f t="shared" ref="Q222:Q232" si="96">P222/SQRT(M222)</f>
        <v>3.7146342299998483</v>
      </c>
      <c r="R222" s="272">
        <f t="shared" ref="R222:R232" si="97">2*J222*(L222-O222)</f>
        <v>54.536652104159543</v>
      </c>
      <c r="T222" s="30" t="s">
        <v>48</v>
      </c>
      <c r="U222" s="272">
        <v>0.05</v>
      </c>
    </row>
    <row r="223" spans="7:21" x14ac:dyDescent="0.25">
      <c r="G223" s="6" t="str">
        <f>$A$8</f>
        <v>Positive</v>
      </c>
      <c r="H223" t="str">
        <f>$B$8</f>
        <v>Male</v>
      </c>
      <c r="I223" t="str">
        <f>$C$8</f>
        <v>Therapy 3</v>
      </c>
      <c r="J223" s="6">
        <f>$D$8</f>
        <v>107</v>
      </c>
      <c r="K223" s="384">
        <f t="shared" si="92"/>
        <v>0.214</v>
      </c>
      <c r="L223" s="8">
        <f t="shared" si="93"/>
        <v>4.6728288344619058</v>
      </c>
      <c r="M223" s="6">
        <f t="shared" si="90"/>
        <v>62</v>
      </c>
      <c r="N223" s="384">
        <f t="shared" si="91"/>
        <v>0.124</v>
      </c>
      <c r="O223" s="8">
        <f t="shared" si="94"/>
        <v>4.1271343850450917</v>
      </c>
      <c r="P223" s="6">
        <f t="shared" si="95"/>
        <v>45</v>
      </c>
      <c r="Q223" s="8">
        <f t="shared" si="96"/>
        <v>5.715005715008572</v>
      </c>
      <c r="R223" s="272">
        <f t="shared" si="97"/>
        <v>116.77861217519822</v>
      </c>
      <c r="T223" s="372" t="s">
        <v>67</v>
      </c>
      <c r="U223" s="272">
        <f>CHIDIST(U220,U221)</f>
        <v>7.0506243364130613E-31</v>
      </c>
    </row>
    <row r="224" spans="7:21" x14ac:dyDescent="0.25">
      <c r="G224" s="6" t="str">
        <f>$A$9</f>
        <v>Positive</v>
      </c>
      <c r="H224" t="str">
        <f>$B$9</f>
        <v>Female</v>
      </c>
      <c r="I224" t="str">
        <f>$C$9</f>
        <v>Therapy 1</v>
      </c>
      <c r="J224" s="6">
        <f>$D$9</f>
        <v>32</v>
      </c>
      <c r="K224" s="384">
        <f t="shared" si="92"/>
        <v>6.4000000000000001E-2</v>
      </c>
      <c r="L224" s="8">
        <f t="shared" si="93"/>
        <v>3.4657359027997265</v>
      </c>
      <c r="M224" s="6">
        <f t="shared" si="90"/>
        <v>24</v>
      </c>
      <c r="N224" s="384">
        <f t="shared" si="91"/>
        <v>4.8000000000000001E-2</v>
      </c>
      <c r="O224" s="8">
        <f t="shared" si="94"/>
        <v>3.1780538303479458</v>
      </c>
      <c r="P224" s="6">
        <f t="shared" si="95"/>
        <v>8</v>
      </c>
      <c r="Q224" s="8">
        <f t="shared" si="96"/>
        <v>1.6329931618554523</v>
      </c>
      <c r="R224" s="272">
        <f t="shared" si="97"/>
        <v>18.411652636913971</v>
      </c>
      <c r="T224" s="89" t="s">
        <v>110</v>
      </c>
      <c r="U224" s="272">
        <f>CHIINV(U222,U221)</f>
        <v>12.591587243743978</v>
      </c>
    </row>
    <row r="225" spans="7:21" x14ac:dyDescent="0.25">
      <c r="G225" s="6" t="str">
        <f>$A$10</f>
        <v>Positive</v>
      </c>
      <c r="H225" t="str">
        <f>$B$10</f>
        <v>Female</v>
      </c>
      <c r="I225" t="str">
        <f>$C$10</f>
        <v>Therapy 2</v>
      </c>
      <c r="J225" s="6">
        <f>$D$10</f>
        <v>24</v>
      </c>
      <c r="K225" s="384">
        <f t="shared" si="92"/>
        <v>4.8000000000000001E-2</v>
      </c>
      <c r="L225" s="8">
        <f t="shared" si="93"/>
        <v>3.1780538303479458</v>
      </c>
      <c r="M225" s="6">
        <f t="shared" si="90"/>
        <v>28.5</v>
      </c>
      <c r="N225" s="384">
        <f t="shared" si="91"/>
        <v>5.7000000000000002E-2</v>
      </c>
      <c r="O225" s="8">
        <f t="shared" si="94"/>
        <v>3.3499040872746049</v>
      </c>
      <c r="P225" s="6">
        <f t="shared" si="95"/>
        <v>-4.5</v>
      </c>
      <c r="Q225" s="8">
        <f t="shared" si="96"/>
        <v>-0.84292723042352458</v>
      </c>
      <c r="R225" s="272">
        <f t="shared" si="97"/>
        <v>-8.2488123324796376</v>
      </c>
      <c r="T225" s="372" t="s">
        <v>527</v>
      </c>
      <c r="U225" s="166" t="str">
        <f>IF(U223&lt;U222,"yes","no")</f>
        <v>yes</v>
      </c>
    </row>
    <row r="226" spans="7:21" x14ac:dyDescent="0.25">
      <c r="G226" s="6" t="str">
        <f>$A$11</f>
        <v>Positive</v>
      </c>
      <c r="H226" t="str">
        <f>$B$11</f>
        <v>Female</v>
      </c>
      <c r="I226" t="str">
        <f>$C$11</f>
        <v>Therapy 3</v>
      </c>
      <c r="J226" s="6">
        <f>$D$11</f>
        <v>80</v>
      </c>
      <c r="K226" s="384">
        <f t="shared" si="92"/>
        <v>0.16</v>
      </c>
      <c r="L226" s="8">
        <f t="shared" si="93"/>
        <v>4.3820266346738812</v>
      </c>
      <c r="M226" s="6">
        <f t="shared" si="90"/>
        <v>68</v>
      </c>
      <c r="N226" s="384">
        <f t="shared" si="91"/>
        <v>0.13600000000000001</v>
      </c>
      <c r="O226" s="8">
        <f t="shared" si="94"/>
        <v>4.219507705176107</v>
      </c>
      <c r="P226" s="6">
        <f t="shared" si="95"/>
        <v>12</v>
      </c>
      <c r="Q226" s="8">
        <f t="shared" si="96"/>
        <v>1.4552137502179978</v>
      </c>
      <c r="R226" s="272">
        <f t="shared" si="97"/>
        <v>26.003028719643879</v>
      </c>
    </row>
    <row r="227" spans="7:21" x14ac:dyDescent="0.25">
      <c r="G227" s="6" t="str">
        <f>$A$12</f>
        <v>Negative</v>
      </c>
      <c r="H227" t="str">
        <f>$B$12</f>
        <v>Male</v>
      </c>
      <c r="I227" t="str">
        <f>$C$12</f>
        <v>Therapy 1</v>
      </c>
      <c r="J227" s="6">
        <f>$D$12</f>
        <v>9</v>
      </c>
      <c r="K227" s="384">
        <f t="shared" si="92"/>
        <v>1.7999999999999999E-2</v>
      </c>
      <c r="L227" s="8">
        <f t="shared" si="93"/>
        <v>2.1972245773362196</v>
      </c>
      <c r="M227" s="6">
        <f t="shared" ref="M227:M232" si="98">M221</f>
        <v>34</v>
      </c>
      <c r="N227" s="384">
        <f t="shared" si="91"/>
        <v>6.8000000000000005E-2</v>
      </c>
      <c r="O227" s="8">
        <f t="shared" si="94"/>
        <v>3.5263605246161616</v>
      </c>
      <c r="P227" s="6">
        <f t="shared" si="95"/>
        <v>-25</v>
      </c>
      <c r="Q227" s="8">
        <f t="shared" si="96"/>
        <v>-4.2874646285627209</v>
      </c>
      <c r="R227" s="272">
        <f t="shared" si="97"/>
        <v>-23.924447051038957</v>
      </c>
    </row>
    <row r="228" spans="7:21" x14ac:dyDescent="0.25">
      <c r="G228" s="6" t="str">
        <f>$A$13</f>
        <v>Negative</v>
      </c>
      <c r="H228" t="str">
        <f>$B$13</f>
        <v>Male</v>
      </c>
      <c r="I228" t="str">
        <f>$C$13</f>
        <v>Therapy 2</v>
      </c>
      <c r="J228" s="6">
        <f>$D$13</f>
        <v>12</v>
      </c>
      <c r="K228" s="384">
        <f t="shared" si="92"/>
        <v>2.4E-2</v>
      </c>
      <c r="L228" s="8">
        <f t="shared" si="93"/>
        <v>2.4849066497880004</v>
      </c>
      <c r="M228" s="6">
        <f t="shared" si="98"/>
        <v>33.5</v>
      </c>
      <c r="N228" s="384">
        <f t="shared" si="91"/>
        <v>6.7000000000000004E-2</v>
      </c>
      <c r="O228" s="8">
        <f t="shared" si="94"/>
        <v>3.5115454388310208</v>
      </c>
      <c r="P228" s="6">
        <f t="shared" si="95"/>
        <v>-21.5</v>
      </c>
      <c r="Q228" s="8">
        <f t="shared" si="96"/>
        <v>-3.7146342299998483</v>
      </c>
      <c r="R228" s="272">
        <f t="shared" si="97"/>
        <v>-24.63933093703249</v>
      </c>
    </row>
    <row r="229" spans="7:21" x14ac:dyDescent="0.25">
      <c r="G229" s="6" t="str">
        <f>$A$14</f>
        <v>Negative</v>
      </c>
      <c r="H229" t="str">
        <f>$B$14</f>
        <v>Male</v>
      </c>
      <c r="I229" t="str">
        <f>$C$14</f>
        <v>Therapy 3</v>
      </c>
      <c r="J229" s="6">
        <f>$D$14</f>
        <v>17</v>
      </c>
      <c r="K229" s="384">
        <f t="shared" si="92"/>
        <v>3.4000000000000002E-2</v>
      </c>
      <c r="L229" s="8">
        <f t="shared" si="93"/>
        <v>2.8332133440562162</v>
      </c>
      <c r="M229" s="6">
        <f t="shared" si="98"/>
        <v>62</v>
      </c>
      <c r="N229" s="384">
        <f t="shared" si="91"/>
        <v>0.124</v>
      </c>
      <c r="O229" s="8">
        <f t="shared" si="94"/>
        <v>4.1271343850450917</v>
      </c>
      <c r="P229" s="6">
        <f t="shared" si="95"/>
        <v>-45</v>
      </c>
      <c r="Q229" s="8">
        <f t="shared" si="96"/>
        <v>-5.715005715008572</v>
      </c>
      <c r="R229" s="272">
        <f t="shared" si="97"/>
        <v>-43.993315393621771</v>
      </c>
    </row>
    <row r="230" spans="7:21" x14ac:dyDescent="0.25">
      <c r="G230" s="6" t="str">
        <f>$A$15</f>
        <v>Negative</v>
      </c>
      <c r="H230" t="str">
        <f>$B$15</f>
        <v>Female</v>
      </c>
      <c r="I230" t="str">
        <f>$C$15</f>
        <v>Therapy 1</v>
      </c>
      <c r="J230" s="6">
        <f>$D$15</f>
        <v>16</v>
      </c>
      <c r="K230" s="384">
        <f t="shared" si="92"/>
        <v>3.2000000000000001E-2</v>
      </c>
      <c r="L230" s="8">
        <f t="shared" si="93"/>
        <v>2.7725887222397811</v>
      </c>
      <c r="M230" s="6">
        <f t="shared" si="98"/>
        <v>24</v>
      </c>
      <c r="N230" s="384">
        <f t="shared" si="91"/>
        <v>4.8000000000000001E-2</v>
      </c>
      <c r="O230" s="8">
        <f t="shared" si="94"/>
        <v>3.1780538303479458</v>
      </c>
      <c r="P230" s="6">
        <f t="shared" si="95"/>
        <v>-8</v>
      </c>
      <c r="Q230" s="8">
        <f t="shared" si="96"/>
        <v>-1.6329931618554523</v>
      </c>
      <c r="R230" s="272">
        <f t="shared" si="97"/>
        <v>-12.974883459461267</v>
      </c>
    </row>
    <row r="231" spans="7:21" x14ac:dyDescent="0.25">
      <c r="G231" s="6" t="str">
        <f>$A$16</f>
        <v>Negative</v>
      </c>
      <c r="H231" t="str">
        <f>$B$16</f>
        <v>Female</v>
      </c>
      <c r="I231" t="str">
        <f>$C$16</f>
        <v>Therapy 2</v>
      </c>
      <c r="J231" s="6">
        <f>$D$16</f>
        <v>33</v>
      </c>
      <c r="K231" s="384">
        <f t="shared" si="92"/>
        <v>6.6000000000000003E-2</v>
      </c>
      <c r="L231" s="8">
        <f t="shared" si="93"/>
        <v>3.4965075614664802</v>
      </c>
      <c r="M231" s="6">
        <f t="shared" si="98"/>
        <v>28.5</v>
      </c>
      <c r="N231" s="384">
        <f t="shared" si="91"/>
        <v>5.7000000000000002E-2</v>
      </c>
      <c r="O231" s="8">
        <f t="shared" si="94"/>
        <v>3.3499040872746049</v>
      </c>
      <c r="P231" s="6">
        <f t="shared" si="95"/>
        <v>4.5</v>
      </c>
      <c r="Q231" s="8">
        <f t="shared" si="96"/>
        <v>0.84292723042352458</v>
      </c>
      <c r="R231" s="272">
        <f t="shared" si="97"/>
        <v>9.6758292966637747</v>
      </c>
    </row>
    <row r="232" spans="7:21" x14ac:dyDescent="0.25">
      <c r="G232" s="9" t="str">
        <f>$A$17</f>
        <v>Negative</v>
      </c>
      <c r="H232" s="10" t="str">
        <f>$B$17</f>
        <v>Female</v>
      </c>
      <c r="I232" s="10" t="str">
        <f>$C$17</f>
        <v>Therapy 3</v>
      </c>
      <c r="J232" s="9">
        <f>$D$17</f>
        <v>56</v>
      </c>
      <c r="K232" s="385">
        <f t="shared" si="92"/>
        <v>0.112</v>
      </c>
      <c r="L232" s="11">
        <f t="shared" si="93"/>
        <v>4.0253516907351496</v>
      </c>
      <c r="M232" s="9">
        <f t="shared" si="98"/>
        <v>68</v>
      </c>
      <c r="N232" s="385">
        <f t="shared" si="91"/>
        <v>0.13600000000000001</v>
      </c>
      <c r="O232" s="11">
        <f t="shared" si="94"/>
        <v>4.219507705176107</v>
      </c>
      <c r="P232" s="409">
        <f t="shared" si="95"/>
        <v>-12</v>
      </c>
      <c r="Q232" s="11">
        <f t="shared" si="96"/>
        <v>-1.4552137502179978</v>
      </c>
      <c r="R232" s="168">
        <f t="shared" si="97"/>
        <v>-21.745473617387219</v>
      </c>
    </row>
    <row r="233" spans="7:21" x14ac:dyDescent="0.25">
      <c r="R233">
        <f>SUM(R221:R232)</f>
        <v>154.9183886177259</v>
      </c>
    </row>
    <row r="235" spans="7:21" x14ac:dyDescent="0.25">
      <c r="G235" s="1" t="s">
        <v>847</v>
      </c>
    </row>
    <row r="237" spans="7:21" x14ac:dyDescent="0.25">
      <c r="J237" s="1327" t="s">
        <v>302</v>
      </c>
      <c r="K237" s="1328"/>
      <c r="L237" s="1329"/>
      <c r="M237" s="1327" t="s">
        <v>793</v>
      </c>
      <c r="N237" s="1328"/>
      <c r="O237" s="1329"/>
      <c r="P237" s="1324" t="s">
        <v>303</v>
      </c>
      <c r="Q237" s="1330"/>
    </row>
    <row r="238" spans="7:21" x14ac:dyDescent="0.25">
      <c r="G238" s="392" t="str">
        <f>$A$5</f>
        <v>Cure</v>
      </c>
      <c r="H238" s="379" t="str">
        <f>$B$5</f>
        <v>Gender</v>
      </c>
      <c r="I238" s="379" t="str">
        <f>$C$5</f>
        <v>Therapy</v>
      </c>
      <c r="J238" s="381" t="s">
        <v>791</v>
      </c>
      <c r="K238" s="382" t="s">
        <v>790</v>
      </c>
      <c r="L238" s="383" t="s">
        <v>358</v>
      </c>
      <c r="M238" s="381" t="s">
        <v>792</v>
      </c>
      <c r="N238" s="382" t="s">
        <v>790</v>
      </c>
      <c r="O238" s="383" t="s">
        <v>783</v>
      </c>
      <c r="P238" s="430" t="s">
        <v>243</v>
      </c>
      <c r="Q238" s="432" t="s">
        <v>802</v>
      </c>
      <c r="R238" s="387" t="s">
        <v>109</v>
      </c>
      <c r="T238" s="89" t="s">
        <v>109</v>
      </c>
      <c r="U238" s="391">
        <f>R251</f>
        <v>58.681038980742066</v>
      </c>
    </row>
    <row r="239" spans="7:21" x14ac:dyDescent="0.25">
      <c r="G239" s="6" t="str">
        <f>$A$6</f>
        <v>Positive</v>
      </c>
      <c r="H239" t="str">
        <f>$B$6</f>
        <v>Male</v>
      </c>
      <c r="I239" t="str">
        <f>$C$6</f>
        <v>Therapy 1</v>
      </c>
      <c r="J239" s="6">
        <f>$D$6</f>
        <v>59</v>
      </c>
      <c r="K239" s="384">
        <f>J239/$D$18</f>
        <v>0.11799999999999999</v>
      </c>
      <c r="L239" s="8">
        <f>LN(J239)</f>
        <v>4.0775374439057197</v>
      </c>
      <c r="M239" s="6">
        <f>D54/$B$27</f>
        <v>45.5</v>
      </c>
      <c r="N239" s="384">
        <f t="shared" ref="N239:N250" si="99">M239/D$44</f>
        <v>9.0999999999999998E-2</v>
      </c>
      <c r="O239" s="8">
        <f>LN(M239)</f>
        <v>3.8177123259569048</v>
      </c>
      <c r="P239" s="429">
        <f>J239-M239</f>
        <v>13.5</v>
      </c>
      <c r="Q239" s="428">
        <f>P239/SQRT(M239)</f>
        <v>2.0013731549849734</v>
      </c>
      <c r="R239" s="272">
        <f>2*J239*(L239-O239)</f>
        <v>30.65936391796016</v>
      </c>
      <c r="T239" t="s">
        <v>60</v>
      </c>
      <c r="U239" s="272">
        <f>(A27-1)*B27*C27</f>
        <v>6</v>
      </c>
    </row>
    <row r="240" spans="7:21" x14ac:dyDescent="0.25">
      <c r="G240" s="6" t="str">
        <f>$A$7</f>
        <v>Positive</v>
      </c>
      <c r="H240" t="str">
        <f>$B$7</f>
        <v>Male</v>
      </c>
      <c r="I240" t="str">
        <f>$C$7</f>
        <v>Therapy 2</v>
      </c>
      <c r="J240" s="6">
        <f>$D$7</f>
        <v>55</v>
      </c>
      <c r="K240" s="384">
        <f t="shared" ref="K240:K250" si="100">J240/$D$18</f>
        <v>0.11</v>
      </c>
      <c r="L240" s="8">
        <f t="shared" ref="L240:L250" si="101">LN(J240)</f>
        <v>4.0073331852324712</v>
      </c>
      <c r="M240" s="6">
        <f>D55/$B$27</f>
        <v>39.5</v>
      </c>
      <c r="N240" s="384">
        <f t="shared" si="99"/>
        <v>7.9000000000000001E-2</v>
      </c>
      <c r="O240" s="8">
        <f t="shared" ref="O240:O250" si="102">LN(M240)</f>
        <v>3.6763006719070761</v>
      </c>
      <c r="P240" s="6">
        <f t="shared" ref="P240:P250" si="103">J240-M240</f>
        <v>15.5</v>
      </c>
      <c r="Q240" s="8">
        <f t="shared" ref="Q240:Q250" si="104">P240/SQRT(M240)</f>
        <v>2.4662275809447629</v>
      </c>
      <c r="R240" s="272">
        <f t="shared" ref="R240:R250" si="105">2*J240*(L240-O240)</f>
        <v>36.413576465793454</v>
      </c>
      <c r="T240" s="30" t="s">
        <v>48</v>
      </c>
      <c r="U240" s="272">
        <v>0.05</v>
      </c>
    </row>
    <row r="241" spans="7:21" x14ac:dyDescent="0.25">
      <c r="G241" s="6" t="str">
        <f>$A$8</f>
        <v>Positive</v>
      </c>
      <c r="H241" t="str">
        <f>$B$8</f>
        <v>Male</v>
      </c>
      <c r="I241" t="str">
        <f>$C$8</f>
        <v>Therapy 3</v>
      </c>
      <c r="J241" s="6">
        <f>$D$8</f>
        <v>107</v>
      </c>
      <c r="K241" s="384">
        <f t="shared" si="100"/>
        <v>0.214</v>
      </c>
      <c r="L241" s="8">
        <f t="shared" si="101"/>
        <v>4.6728288344619058</v>
      </c>
      <c r="M241" s="6">
        <f>D56/$B$27</f>
        <v>93.5</v>
      </c>
      <c r="N241" s="384">
        <f t="shared" si="99"/>
        <v>0.187</v>
      </c>
      <c r="O241" s="8">
        <f t="shared" si="102"/>
        <v>4.5379614362946414</v>
      </c>
      <c r="P241" s="6">
        <f t="shared" si="103"/>
        <v>13.5</v>
      </c>
      <c r="Q241" s="8">
        <f t="shared" si="104"/>
        <v>1.3961367629865518</v>
      </c>
      <c r="R241" s="272">
        <f t="shared" si="105"/>
        <v>28.861623207794569</v>
      </c>
      <c r="T241" s="372" t="s">
        <v>67</v>
      </c>
      <c r="U241" s="272">
        <f>CHIDIST(U238,U239)</f>
        <v>8.3379990458365484E-11</v>
      </c>
    </row>
    <row r="242" spans="7:21" x14ac:dyDescent="0.25">
      <c r="G242" s="6" t="str">
        <f>$A$9</f>
        <v>Positive</v>
      </c>
      <c r="H242" t="str">
        <f>$B$9</f>
        <v>Female</v>
      </c>
      <c r="I242" t="str">
        <f>$C$9</f>
        <v>Therapy 1</v>
      </c>
      <c r="J242" s="6">
        <f>$D$9</f>
        <v>32</v>
      </c>
      <c r="K242" s="384">
        <f t="shared" si="100"/>
        <v>6.4000000000000001E-2</v>
      </c>
      <c r="L242" s="8">
        <f t="shared" si="101"/>
        <v>3.4657359027997265</v>
      </c>
      <c r="M242" s="6">
        <f>M239</f>
        <v>45.5</v>
      </c>
      <c r="N242" s="384">
        <f t="shared" si="99"/>
        <v>9.0999999999999998E-2</v>
      </c>
      <c r="O242" s="8">
        <f t="shared" si="102"/>
        <v>3.8177123259569048</v>
      </c>
      <c r="P242" s="6">
        <f t="shared" si="103"/>
        <v>-13.5</v>
      </c>
      <c r="Q242" s="8">
        <f t="shared" si="104"/>
        <v>-2.0013731549849734</v>
      </c>
      <c r="R242" s="272">
        <f t="shared" si="105"/>
        <v>-22.526491082059408</v>
      </c>
      <c r="T242" s="89" t="s">
        <v>110</v>
      </c>
      <c r="U242" s="272">
        <f>CHIINV(U240,U239)</f>
        <v>12.591587243743978</v>
      </c>
    </row>
    <row r="243" spans="7:21" x14ac:dyDescent="0.25">
      <c r="G243" s="6" t="str">
        <f>$A$10</f>
        <v>Positive</v>
      </c>
      <c r="H243" t="str">
        <f>$B$10</f>
        <v>Female</v>
      </c>
      <c r="I243" t="str">
        <f>$C$10</f>
        <v>Therapy 2</v>
      </c>
      <c r="J243" s="6">
        <f>$D$10</f>
        <v>24</v>
      </c>
      <c r="K243" s="384">
        <f t="shared" si="100"/>
        <v>4.8000000000000001E-2</v>
      </c>
      <c r="L243" s="8">
        <f t="shared" si="101"/>
        <v>3.1780538303479458</v>
      </c>
      <c r="M243" s="6">
        <f>M240</f>
        <v>39.5</v>
      </c>
      <c r="N243" s="384">
        <f t="shared" si="99"/>
        <v>7.9000000000000001E-2</v>
      </c>
      <c r="O243" s="8">
        <f t="shared" si="102"/>
        <v>3.6763006719070761</v>
      </c>
      <c r="P243" s="6">
        <f t="shared" si="103"/>
        <v>-15.5</v>
      </c>
      <c r="Q243" s="8">
        <f t="shared" si="104"/>
        <v>-2.4662275809447629</v>
      </c>
      <c r="R243" s="272">
        <f t="shared" si="105"/>
        <v>-23.915848394838257</v>
      </c>
      <c r="T243" s="372" t="s">
        <v>527</v>
      </c>
      <c r="U243" s="166" t="str">
        <f>IF(U241&lt;U240,"yes","no")</f>
        <v>yes</v>
      </c>
    </row>
    <row r="244" spans="7:21" x14ac:dyDescent="0.25">
      <c r="G244" s="6" t="str">
        <f>$A$11</f>
        <v>Positive</v>
      </c>
      <c r="H244" t="str">
        <f>$B$11</f>
        <v>Female</v>
      </c>
      <c r="I244" t="str">
        <f>$C$11</f>
        <v>Therapy 3</v>
      </c>
      <c r="J244" s="6">
        <f>$D$11</f>
        <v>80</v>
      </c>
      <c r="K244" s="384">
        <f t="shared" si="100"/>
        <v>0.16</v>
      </c>
      <c r="L244" s="8">
        <f t="shared" si="101"/>
        <v>4.3820266346738812</v>
      </c>
      <c r="M244" s="6">
        <f>M241</f>
        <v>93.5</v>
      </c>
      <c r="N244" s="384">
        <f t="shared" si="99"/>
        <v>0.187</v>
      </c>
      <c r="O244" s="8">
        <f t="shared" si="102"/>
        <v>4.5379614362946414</v>
      </c>
      <c r="P244" s="6">
        <f t="shared" si="103"/>
        <v>-13.5</v>
      </c>
      <c r="Q244" s="8">
        <f t="shared" si="104"/>
        <v>-1.3961367629865518</v>
      </c>
      <c r="R244" s="272">
        <f t="shared" si="105"/>
        <v>-24.949568259321637</v>
      </c>
    </row>
    <row r="245" spans="7:21" x14ac:dyDescent="0.25">
      <c r="G245" s="6" t="str">
        <f>$A$12</f>
        <v>Negative</v>
      </c>
      <c r="H245" t="str">
        <f>$B$12</f>
        <v>Male</v>
      </c>
      <c r="I245" t="str">
        <f>$C$12</f>
        <v>Therapy 1</v>
      </c>
      <c r="J245" s="6">
        <f>$D$12</f>
        <v>9</v>
      </c>
      <c r="K245" s="384">
        <f t="shared" si="100"/>
        <v>1.7999999999999999E-2</v>
      </c>
      <c r="L245" s="8">
        <f t="shared" si="101"/>
        <v>2.1972245773362196</v>
      </c>
      <c r="M245" s="6">
        <f>D57/$B$27</f>
        <v>12.5</v>
      </c>
      <c r="N245" s="384">
        <f t="shared" si="99"/>
        <v>2.5000000000000001E-2</v>
      </c>
      <c r="O245" s="8">
        <f t="shared" si="102"/>
        <v>2.5257286443082556</v>
      </c>
      <c r="P245" s="6">
        <f t="shared" si="103"/>
        <v>-3.5</v>
      </c>
      <c r="Q245" s="8">
        <f t="shared" si="104"/>
        <v>-0.98994949366116647</v>
      </c>
      <c r="R245" s="272">
        <f t="shared" si="105"/>
        <v>-5.9130732054966488</v>
      </c>
    </row>
    <row r="246" spans="7:21" x14ac:dyDescent="0.25">
      <c r="G246" s="6" t="str">
        <f>$A$13</f>
        <v>Negative</v>
      </c>
      <c r="H246" t="str">
        <f>$B$13</f>
        <v>Male</v>
      </c>
      <c r="I246" t="str">
        <f>$C$13</f>
        <v>Therapy 2</v>
      </c>
      <c r="J246" s="6">
        <f>$D$13</f>
        <v>12</v>
      </c>
      <c r="K246" s="384">
        <f t="shared" si="100"/>
        <v>2.4E-2</v>
      </c>
      <c r="L246" s="8">
        <f t="shared" si="101"/>
        <v>2.4849066497880004</v>
      </c>
      <c r="M246" s="6">
        <f>D58/$B$27</f>
        <v>22.5</v>
      </c>
      <c r="N246" s="384">
        <f t="shared" si="99"/>
        <v>4.4999999999999998E-2</v>
      </c>
      <c r="O246" s="8">
        <f t="shared" si="102"/>
        <v>3.1135153092103742</v>
      </c>
      <c r="P246" s="6">
        <f t="shared" si="103"/>
        <v>-10.5</v>
      </c>
      <c r="Q246" s="8">
        <f t="shared" si="104"/>
        <v>-2.2135943621178655</v>
      </c>
      <c r="R246" s="272">
        <f t="shared" si="105"/>
        <v>-15.086607826136973</v>
      </c>
    </row>
    <row r="247" spans="7:21" x14ac:dyDescent="0.25">
      <c r="G247" s="6" t="str">
        <f>$A$14</f>
        <v>Negative</v>
      </c>
      <c r="H247" t="str">
        <f>$B$14</f>
        <v>Male</v>
      </c>
      <c r="I247" t="str">
        <f>$C$14</f>
        <v>Therapy 3</v>
      </c>
      <c r="J247" s="6">
        <f>$D$14</f>
        <v>17</v>
      </c>
      <c r="K247" s="384">
        <f t="shared" si="100"/>
        <v>3.4000000000000002E-2</v>
      </c>
      <c r="L247" s="8">
        <f t="shared" si="101"/>
        <v>2.8332133440562162</v>
      </c>
      <c r="M247" s="6">
        <f>D59/$B$27</f>
        <v>36.5</v>
      </c>
      <c r="N247" s="384">
        <f t="shared" si="99"/>
        <v>7.2999999999999995E-2</v>
      </c>
      <c r="O247" s="8">
        <f t="shared" si="102"/>
        <v>3.597312260588446</v>
      </c>
      <c r="P247" s="6">
        <f t="shared" si="103"/>
        <v>-19.5</v>
      </c>
      <c r="Q247" s="8">
        <f t="shared" si="104"/>
        <v>-3.2276629655492348</v>
      </c>
      <c r="R247" s="272">
        <f t="shared" si="105"/>
        <v>-25.979363162095815</v>
      </c>
    </row>
    <row r="248" spans="7:21" x14ac:dyDescent="0.25">
      <c r="G248" s="6" t="str">
        <f>$A$15</f>
        <v>Negative</v>
      </c>
      <c r="H248" t="str">
        <f>$B$15</f>
        <v>Female</v>
      </c>
      <c r="I248" t="str">
        <f>$C$15</f>
        <v>Therapy 1</v>
      </c>
      <c r="J248" s="6">
        <f>$D$15</f>
        <v>16</v>
      </c>
      <c r="K248" s="384">
        <f t="shared" si="100"/>
        <v>3.2000000000000001E-2</v>
      </c>
      <c r="L248" s="8">
        <f t="shared" si="101"/>
        <v>2.7725887222397811</v>
      </c>
      <c r="M248" s="6">
        <f>M245</f>
        <v>12.5</v>
      </c>
      <c r="N248" s="384">
        <f t="shared" si="99"/>
        <v>2.5000000000000001E-2</v>
      </c>
      <c r="O248" s="8">
        <f t="shared" si="102"/>
        <v>2.5257286443082556</v>
      </c>
      <c r="P248" s="6">
        <f t="shared" si="103"/>
        <v>3.5</v>
      </c>
      <c r="Q248" s="8">
        <f t="shared" si="104"/>
        <v>0.98994949366116647</v>
      </c>
      <c r="R248" s="272">
        <f t="shared" si="105"/>
        <v>7.8995224938088171</v>
      </c>
    </row>
    <row r="249" spans="7:21" x14ac:dyDescent="0.25">
      <c r="G249" s="6" t="str">
        <f>$A$16</f>
        <v>Negative</v>
      </c>
      <c r="H249" t="str">
        <f>$B$16</f>
        <v>Female</v>
      </c>
      <c r="I249" t="str">
        <f>$C$16</f>
        <v>Therapy 2</v>
      </c>
      <c r="J249" s="6">
        <f>$D$16</f>
        <v>33</v>
      </c>
      <c r="K249" s="384">
        <f t="shared" si="100"/>
        <v>6.6000000000000003E-2</v>
      </c>
      <c r="L249" s="8">
        <f t="shared" si="101"/>
        <v>3.4965075614664802</v>
      </c>
      <c r="M249" s="6">
        <f>M246</f>
        <v>22.5</v>
      </c>
      <c r="N249" s="384">
        <f t="shared" si="99"/>
        <v>4.4999999999999998E-2</v>
      </c>
      <c r="O249" s="8">
        <f t="shared" si="102"/>
        <v>3.1135153092103742</v>
      </c>
      <c r="P249" s="6">
        <f t="shared" si="103"/>
        <v>10.5</v>
      </c>
      <c r="Q249" s="8">
        <f t="shared" si="104"/>
        <v>2.2135943621178655</v>
      </c>
      <c r="R249" s="272">
        <f t="shared" si="105"/>
        <v>25.277488648902995</v>
      </c>
    </row>
    <row r="250" spans="7:21" x14ac:dyDescent="0.25">
      <c r="G250" s="9" t="str">
        <f>$A$17</f>
        <v>Negative</v>
      </c>
      <c r="H250" s="10" t="str">
        <f>$B$17</f>
        <v>Female</v>
      </c>
      <c r="I250" s="10" t="str">
        <f>$C$17</f>
        <v>Therapy 3</v>
      </c>
      <c r="J250" s="9">
        <f>$D$17</f>
        <v>56</v>
      </c>
      <c r="K250" s="385">
        <f t="shared" si="100"/>
        <v>0.112</v>
      </c>
      <c r="L250" s="11">
        <f t="shared" si="101"/>
        <v>4.0253516907351496</v>
      </c>
      <c r="M250" s="9">
        <f>M247</f>
        <v>36.5</v>
      </c>
      <c r="N250" s="385">
        <f t="shared" si="99"/>
        <v>7.2999999999999995E-2</v>
      </c>
      <c r="O250" s="11">
        <f t="shared" si="102"/>
        <v>3.597312260588446</v>
      </c>
      <c r="P250" s="409">
        <f t="shared" si="103"/>
        <v>19.5</v>
      </c>
      <c r="Q250" s="11">
        <f t="shared" si="104"/>
        <v>3.2276629655492348</v>
      </c>
      <c r="R250" s="168">
        <f t="shared" si="105"/>
        <v>47.940416176430809</v>
      </c>
    </row>
    <row r="251" spans="7:21" x14ac:dyDescent="0.25">
      <c r="R251">
        <f>SUM(R239:R250)</f>
        <v>58.681038980742066</v>
      </c>
    </row>
    <row r="253" spans="7:21" x14ac:dyDescent="0.25">
      <c r="G253" s="1" t="s">
        <v>848</v>
      </c>
    </row>
    <row r="255" spans="7:21" x14ac:dyDescent="0.25">
      <c r="J255" s="1327" t="s">
        <v>302</v>
      </c>
      <c r="K255" s="1328"/>
      <c r="L255" s="1329"/>
      <c r="M255" s="1327" t="s">
        <v>793</v>
      </c>
      <c r="N255" s="1328"/>
      <c r="O255" s="1329"/>
      <c r="P255" s="1324" t="s">
        <v>303</v>
      </c>
      <c r="Q255" s="1330"/>
    </row>
    <row r="256" spans="7:21" x14ac:dyDescent="0.25">
      <c r="G256" s="392" t="str">
        <f>$A$5</f>
        <v>Cure</v>
      </c>
      <c r="H256" s="379" t="str">
        <f>$B$5</f>
        <v>Gender</v>
      </c>
      <c r="I256" s="379" t="str">
        <f>$C$5</f>
        <v>Therapy</v>
      </c>
      <c r="J256" s="381" t="s">
        <v>791</v>
      </c>
      <c r="K256" s="382" t="s">
        <v>790</v>
      </c>
      <c r="L256" s="383" t="s">
        <v>358</v>
      </c>
      <c r="M256" s="381" t="s">
        <v>792</v>
      </c>
      <c r="N256" s="382" t="s">
        <v>790</v>
      </c>
      <c r="O256" s="383" t="s">
        <v>783</v>
      </c>
      <c r="P256" s="430" t="s">
        <v>243</v>
      </c>
      <c r="Q256" s="432" t="s">
        <v>802</v>
      </c>
      <c r="R256" s="387" t="s">
        <v>109</v>
      </c>
      <c r="T256" s="89" t="s">
        <v>109</v>
      </c>
      <c r="U256" s="391">
        <f>R269</f>
        <v>138.30258247312145</v>
      </c>
    </row>
    <row r="257" spans="7:21" x14ac:dyDescent="0.25">
      <c r="G257" s="6" t="str">
        <f>$A$6</f>
        <v>Positive</v>
      </c>
      <c r="H257" t="str">
        <f>$B$6</f>
        <v>Male</v>
      </c>
      <c r="I257" t="str">
        <f>$C$6</f>
        <v>Therapy 1</v>
      </c>
      <c r="J257" s="6">
        <f>$D$6</f>
        <v>59</v>
      </c>
      <c r="K257" s="384">
        <f>J257/$D$18</f>
        <v>0.11799999999999999</v>
      </c>
      <c r="L257" s="8">
        <f>LN(J257)</f>
        <v>4.0775374439057197</v>
      </c>
      <c r="M257" s="6">
        <f>D72*D77/($D$44*$C$27)</f>
        <v>61.642000000000003</v>
      </c>
      <c r="N257" s="384">
        <f t="shared" ref="N257:N268" si="106">M257/D$44</f>
        <v>0.123284</v>
      </c>
      <c r="O257" s="8">
        <f>LN(M257)</f>
        <v>4.1213434563888756</v>
      </c>
      <c r="P257" s="429">
        <f>J257-M257</f>
        <v>-2.642000000000003</v>
      </c>
      <c r="Q257" s="428">
        <f>P257/SQRT(M257)</f>
        <v>-0.33650727110428286</v>
      </c>
      <c r="R257" s="272">
        <f>2*J257*(L257-O257)</f>
        <v>-5.1691094730123908</v>
      </c>
      <c r="T257" t="s">
        <v>60</v>
      </c>
      <c r="U257" s="272">
        <f>A27*B27*C27-A27-B27+1</f>
        <v>9</v>
      </c>
    </row>
    <row r="258" spans="7:21" x14ac:dyDescent="0.25">
      <c r="G258" s="6" t="str">
        <f>$A$7</f>
        <v>Positive</v>
      </c>
      <c r="H258" t="str">
        <f>$B$7</f>
        <v>Male</v>
      </c>
      <c r="I258" t="str">
        <f>$C$7</f>
        <v>Therapy 2</v>
      </c>
      <c r="J258" s="6">
        <f>$D$7</f>
        <v>55</v>
      </c>
      <c r="K258" s="384">
        <f t="shared" ref="K258:K268" si="107">J258/$D$18</f>
        <v>0.11</v>
      </c>
      <c r="L258" s="8">
        <f t="shared" ref="L258:L268" si="108">LN(J258)</f>
        <v>4.0073331852324712</v>
      </c>
      <c r="M258" s="6">
        <f>M257</f>
        <v>61.642000000000003</v>
      </c>
      <c r="N258" s="384">
        <f t="shared" si="106"/>
        <v>0.123284</v>
      </c>
      <c r="O258" s="8">
        <f t="shared" ref="O258:O268" si="109">LN(M258)</f>
        <v>4.1213434563888756</v>
      </c>
      <c r="P258" s="6">
        <f t="shared" ref="P258:P268" si="110">J258-M258</f>
        <v>-6.642000000000003</v>
      </c>
      <c r="Q258" s="8">
        <f t="shared" ref="Q258:Q268" si="111">P258/SQRT(M258)</f>
        <v>-0.8459808079767771</v>
      </c>
      <c r="R258" s="272">
        <f t="shared" ref="R258:R268" si="112">2*J258*(L258-O258)</f>
        <v>-12.541129827204482</v>
      </c>
      <c r="T258" s="30" t="s">
        <v>48</v>
      </c>
      <c r="U258" s="272">
        <v>0.05</v>
      </c>
    </row>
    <row r="259" spans="7:21" x14ac:dyDescent="0.25">
      <c r="G259" s="6" t="str">
        <f>$A$8</f>
        <v>Positive</v>
      </c>
      <c r="H259" t="str">
        <f>$B$8</f>
        <v>Male</v>
      </c>
      <c r="I259" t="str">
        <f>$C$8</f>
        <v>Therapy 3</v>
      </c>
      <c r="J259" s="6">
        <f>$D$8</f>
        <v>107</v>
      </c>
      <c r="K259" s="384">
        <f t="shared" si="107"/>
        <v>0.214</v>
      </c>
      <c r="L259" s="8">
        <f t="shared" si="108"/>
        <v>4.6728288344619058</v>
      </c>
      <c r="M259" s="6">
        <f>M258</f>
        <v>61.642000000000003</v>
      </c>
      <c r="N259" s="384">
        <f t="shared" si="106"/>
        <v>0.123284</v>
      </c>
      <c r="O259" s="8">
        <f t="shared" si="109"/>
        <v>4.1213434563888756</v>
      </c>
      <c r="P259" s="6">
        <f t="shared" si="110"/>
        <v>45.357999999999997</v>
      </c>
      <c r="Q259" s="8">
        <f t="shared" si="111"/>
        <v>5.7771751713656485</v>
      </c>
      <c r="R259" s="272">
        <f t="shared" si="112"/>
        <v>118.01787090762846</v>
      </c>
      <c r="T259" s="372" t="s">
        <v>67</v>
      </c>
      <c r="U259" s="272">
        <f>CHIDIST(U256,U257)</f>
        <v>2.3112549398295275E-25</v>
      </c>
    </row>
    <row r="260" spans="7:21" x14ac:dyDescent="0.25">
      <c r="G260" s="6" t="str">
        <f>$A$9</f>
        <v>Positive</v>
      </c>
      <c r="H260" t="str">
        <f>$B$9</f>
        <v>Female</v>
      </c>
      <c r="I260" t="str">
        <f>$C$9</f>
        <v>Therapy 1</v>
      </c>
      <c r="J260" s="6">
        <f>$D$9</f>
        <v>32</v>
      </c>
      <c r="K260" s="384">
        <f t="shared" si="107"/>
        <v>6.4000000000000001E-2</v>
      </c>
      <c r="L260" s="8">
        <f t="shared" si="108"/>
        <v>3.4657359027997265</v>
      </c>
      <c r="M260" s="6">
        <f>D72*D78/($D$44*$C$27)</f>
        <v>57.357999999999997</v>
      </c>
      <c r="N260" s="384">
        <f t="shared" si="106"/>
        <v>0.114716</v>
      </c>
      <c r="O260" s="8">
        <f t="shared" si="109"/>
        <v>4.049312328179993</v>
      </c>
      <c r="P260" s="6">
        <f t="shared" si="110"/>
        <v>-25.357999999999997</v>
      </c>
      <c r="Q260" s="8">
        <f t="shared" si="111"/>
        <v>-3.3482509265635785</v>
      </c>
      <c r="R260" s="272">
        <f t="shared" si="112"/>
        <v>-37.348891224337052</v>
      </c>
      <c r="T260" s="89" t="s">
        <v>110</v>
      </c>
      <c r="U260" s="272">
        <f>CHIINV(U258,U257)</f>
        <v>16.918977604620451</v>
      </c>
    </row>
    <row r="261" spans="7:21" x14ac:dyDescent="0.25">
      <c r="G261" s="6" t="str">
        <f>$A$10</f>
        <v>Positive</v>
      </c>
      <c r="H261" t="str">
        <f>$B$10</f>
        <v>Female</v>
      </c>
      <c r="I261" t="str">
        <f>$C$10</f>
        <v>Therapy 2</v>
      </c>
      <c r="J261" s="6">
        <f>$D$10</f>
        <v>24</v>
      </c>
      <c r="K261" s="384">
        <f t="shared" si="107"/>
        <v>4.8000000000000001E-2</v>
      </c>
      <c r="L261" s="8">
        <f t="shared" si="108"/>
        <v>3.1780538303479458</v>
      </c>
      <c r="M261" s="6">
        <f t="shared" ref="M261:M268" si="113">M260</f>
        <v>57.357999999999997</v>
      </c>
      <c r="N261" s="384">
        <f t="shared" si="106"/>
        <v>0.114716</v>
      </c>
      <c r="O261" s="8">
        <f t="shared" si="109"/>
        <v>4.049312328179993</v>
      </c>
      <c r="P261" s="6">
        <f t="shared" si="110"/>
        <v>-33.357999999999997</v>
      </c>
      <c r="Q261" s="8">
        <f t="shared" si="111"/>
        <v>-4.404564808277776</v>
      </c>
      <c r="R261" s="272">
        <f t="shared" si="112"/>
        <v>-41.820407895938267</v>
      </c>
      <c r="T261" s="372" t="s">
        <v>527</v>
      </c>
      <c r="U261" s="166" t="str">
        <f>IF(U259&lt;U258,"yes","no")</f>
        <v>yes</v>
      </c>
    </row>
    <row r="262" spans="7:21" x14ac:dyDescent="0.25">
      <c r="G262" s="6" t="str">
        <f>$A$11</f>
        <v>Positive</v>
      </c>
      <c r="H262" t="str">
        <f>$B$11</f>
        <v>Female</v>
      </c>
      <c r="I262" t="str">
        <f>$C$11</f>
        <v>Therapy 3</v>
      </c>
      <c r="J262" s="6">
        <f>$D$11</f>
        <v>80</v>
      </c>
      <c r="K262" s="384">
        <f t="shared" si="107"/>
        <v>0.16</v>
      </c>
      <c r="L262" s="8">
        <f t="shared" si="108"/>
        <v>4.3820266346738812</v>
      </c>
      <c r="M262" s="6">
        <f t="shared" si="113"/>
        <v>57.357999999999997</v>
      </c>
      <c r="N262" s="384">
        <f t="shared" si="106"/>
        <v>0.114716</v>
      </c>
      <c r="O262" s="8">
        <f t="shared" si="109"/>
        <v>4.049312328179993</v>
      </c>
      <c r="P262" s="6">
        <f t="shared" si="110"/>
        <v>22.642000000000003</v>
      </c>
      <c r="Q262" s="8">
        <f t="shared" si="111"/>
        <v>2.9896323637216091</v>
      </c>
      <c r="R262" s="272">
        <f t="shared" si="112"/>
        <v>53.234289039022116</v>
      </c>
    </row>
    <row r="263" spans="7:21" x14ac:dyDescent="0.25">
      <c r="G263" s="6" t="str">
        <f>$A$12</f>
        <v>Negative</v>
      </c>
      <c r="H263" t="str">
        <f>$B$12</f>
        <v>Male</v>
      </c>
      <c r="I263" t="str">
        <f>$C$12</f>
        <v>Therapy 1</v>
      </c>
      <c r="J263" s="6">
        <f>$D$12</f>
        <v>9</v>
      </c>
      <c r="K263" s="384">
        <f t="shared" si="107"/>
        <v>1.7999999999999999E-2</v>
      </c>
      <c r="L263" s="8">
        <f t="shared" si="108"/>
        <v>2.1972245773362196</v>
      </c>
      <c r="M263" s="6">
        <f>D73*D77/($D$44*$C$27)</f>
        <v>24.691333333333333</v>
      </c>
      <c r="N263" s="384">
        <f t="shared" si="106"/>
        <v>4.9382666666666665E-2</v>
      </c>
      <c r="O263" s="8">
        <f t="shared" si="109"/>
        <v>3.2064523048691438</v>
      </c>
      <c r="P263" s="6">
        <f t="shared" si="110"/>
        <v>-15.691333333333333</v>
      </c>
      <c r="Q263" s="8">
        <f t="shared" si="111"/>
        <v>-3.1578214980958967</v>
      </c>
      <c r="R263" s="272">
        <f t="shared" si="112"/>
        <v>-18.166099095592635</v>
      </c>
    </row>
    <row r="264" spans="7:21" x14ac:dyDescent="0.25">
      <c r="G264" s="6" t="str">
        <f>$A$13</f>
        <v>Negative</v>
      </c>
      <c r="H264" t="str">
        <f>$B$13</f>
        <v>Male</v>
      </c>
      <c r="I264" t="str">
        <f>$C$13</f>
        <v>Therapy 2</v>
      </c>
      <c r="J264" s="6">
        <f>$D$13</f>
        <v>12</v>
      </c>
      <c r="K264" s="384">
        <f t="shared" si="107"/>
        <v>2.4E-2</v>
      </c>
      <c r="L264" s="8">
        <f t="shared" si="108"/>
        <v>2.4849066497880004</v>
      </c>
      <c r="M264" s="6">
        <f t="shared" si="113"/>
        <v>24.691333333333333</v>
      </c>
      <c r="N264" s="384">
        <f t="shared" si="106"/>
        <v>4.9382666666666665E-2</v>
      </c>
      <c r="O264" s="8">
        <f t="shared" si="109"/>
        <v>3.2064523048691438</v>
      </c>
      <c r="P264" s="6">
        <f t="shared" si="110"/>
        <v>-12.691333333333333</v>
      </c>
      <c r="Q264" s="8">
        <f t="shared" si="111"/>
        <v>-2.55408284230155</v>
      </c>
      <c r="R264" s="272">
        <f t="shared" si="112"/>
        <v>-17.317095721947442</v>
      </c>
    </row>
    <row r="265" spans="7:21" x14ac:dyDescent="0.25">
      <c r="G265" s="6" t="str">
        <f>$A$14</f>
        <v>Negative</v>
      </c>
      <c r="H265" t="str">
        <f>$B$14</f>
        <v>Male</v>
      </c>
      <c r="I265" t="str">
        <f>$C$14</f>
        <v>Therapy 3</v>
      </c>
      <c r="J265" s="6">
        <f>$D$14</f>
        <v>17</v>
      </c>
      <c r="K265" s="384">
        <f t="shared" si="107"/>
        <v>3.4000000000000002E-2</v>
      </c>
      <c r="L265" s="8">
        <f t="shared" si="108"/>
        <v>2.8332133440562162</v>
      </c>
      <c r="M265" s="6">
        <f t="shared" si="113"/>
        <v>24.691333333333333</v>
      </c>
      <c r="N265" s="384">
        <f t="shared" si="106"/>
        <v>4.9382666666666665E-2</v>
      </c>
      <c r="O265" s="8">
        <f t="shared" si="109"/>
        <v>3.2064523048691438</v>
      </c>
      <c r="P265" s="6">
        <f t="shared" si="110"/>
        <v>-7.6913333333333327</v>
      </c>
      <c r="Q265" s="8">
        <f t="shared" si="111"/>
        <v>-1.5478517493109725</v>
      </c>
      <c r="R265" s="272">
        <f t="shared" si="112"/>
        <v>-12.690124667639539</v>
      </c>
    </row>
    <row r="266" spans="7:21" x14ac:dyDescent="0.25">
      <c r="G266" s="6" t="str">
        <f>$A$15</f>
        <v>Negative</v>
      </c>
      <c r="H266" t="str">
        <f>$B$15</f>
        <v>Female</v>
      </c>
      <c r="I266" t="str">
        <f>$C$15</f>
        <v>Therapy 1</v>
      </c>
      <c r="J266" s="6">
        <f>$D$15</f>
        <v>16</v>
      </c>
      <c r="K266" s="384">
        <f t="shared" si="107"/>
        <v>3.2000000000000001E-2</v>
      </c>
      <c r="L266" s="8">
        <f t="shared" si="108"/>
        <v>2.7725887222397811</v>
      </c>
      <c r="M266" s="6">
        <f>D73*D78/($D$44*$C$27)</f>
        <v>22.975333333333332</v>
      </c>
      <c r="N266" s="384">
        <f t="shared" si="106"/>
        <v>4.595066666666666E-2</v>
      </c>
      <c r="O266" s="8">
        <f t="shared" si="109"/>
        <v>3.1344211766602608</v>
      </c>
      <c r="P266" s="6">
        <f t="shared" si="110"/>
        <v>-6.9753333333333316</v>
      </c>
      <c r="Q266" s="8">
        <f t="shared" si="111"/>
        <v>-1.4552380972546457</v>
      </c>
      <c r="R266" s="272">
        <f t="shared" si="112"/>
        <v>-11.578638541455348</v>
      </c>
    </row>
    <row r="267" spans="7:21" x14ac:dyDescent="0.25">
      <c r="G267" s="6" t="str">
        <f>$A$16</f>
        <v>Negative</v>
      </c>
      <c r="H267" t="str">
        <f>$B$16</f>
        <v>Female</v>
      </c>
      <c r="I267" t="str">
        <f>$C$16</f>
        <v>Therapy 2</v>
      </c>
      <c r="J267" s="6">
        <f>$D$16</f>
        <v>33</v>
      </c>
      <c r="K267" s="384">
        <f t="shared" si="107"/>
        <v>6.6000000000000003E-2</v>
      </c>
      <c r="L267" s="8">
        <f t="shared" si="108"/>
        <v>3.4965075614664802</v>
      </c>
      <c r="M267" s="6">
        <f t="shared" si="113"/>
        <v>22.975333333333332</v>
      </c>
      <c r="N267" s="384">
        <f t="shared" si="106"/>
        <v>4.595066666666666E-2</v>
      </c>
      <c r="O267" s="8">
        <f t="shared" si="109"/>
        <v>3.1344211766602608</v>
      </c>
      <c r="P267" s="6">
        <f t="shared" si="110"/>
        <v>10.024666666666668</v>
      </c>
      <c r="Q267" s="8">
        <f t="shared" si="111"/>
        <v>2.0914092773026969</v>
      </c>
      <c r="R267" s="272">
        <f t="shared" si="112"/>
        <v>23.897701397210483</v>
      </c>
    </row>
    <row r="268" spans="7:21" x14ac:dyDescent="0.25">
      <c r="G268" s="9" t="str">
        <f>$A$17</f>
        <v>Negative</v>
      </c>
      <c r="H268" s="10" t="str">
        <f>$B$17</f>
        <v>Female</v>
      </c>
      <c r="I268" s="10" t="str">
        <f>$C$17</f>
        <v>Therapy 3</v>
      </c>
      <c r="J268" s="9">
        <f>$D$17</f>
        <v>56</v>
      </c>
      <c r="K268" s="385">
        <f t="shared" si="107"/>
        <v>0.112</v>
      </c>
      <c r="L268" s="11">
        <f t="shared" si="108"/>
        <v>4.0253516907351496</v>
      </c>
      <c r="M268" s="9">
        <f t="shared" si="113"/>
        <v>22.975333333333332</v>
      </c>
      <c r="N268" s="385">
        <f t="shared" si="106"/>
        <v>4.595066666666666E-2</v>
      </c>
      <c r="O268" s="11">
        <f t="shared" si="109"/>
        <v>3.1344211766602608</v>
      </c>
      <c r="P268" s="409">
        <f t="shared" si="110"/>
        <v>33.024666666666668</v>
      </c>
      <c r="Q268" s="11">
        <f t="shared" si="111"/>
        <v>6.8898145487626303</v>
      </c>
      <c r="R268" s="168">
        <f t="shared" si="112"/>
        <v>99.784217576387562</v>
      </c>
    </row>
    <row r="269" spans="7:21" x14ac:dyDescent="0.25">
      <c r="R269">
        <f>SUM(R257:R268)</f>
        <v>138.30258247312145</v>
      </c>
    </row>
    <row r="271" spans="7:21" x14ac:dyDescent="0.25">
      <c r="G271" s="1" t="s">
        <v>849</v>
      </c>
    </row>
    <row r="273" spans="7:21" x14ac:dyDescent="0.25">
      <c r="J273" s="1327" t="s">
        <v>302</v>
      </c>
      <c r="K273" s="1328"/>
      <c r="L273" s="1329"/>
      <c r="M273" s="1327" t="s">
        <v>793</v>
      </c>
      <c r="N273" s="1328"/>
      <c r="O273" s="1329"/>
      <c r="P273" s="1324" t="s">
        <v>303</v>
      </c>
      <c r="Q273" s="1330"/>
    </row>
    <row r="274" spans="7:21" x14ac:dyDescent="0.25">
      <c r="G274" s="392" t="str">
        <f>$A$5</f>
        <v>Cure</v>
      </c>
      <c r="H274" s="379" t="str">
        <f>$B$5</f>
        <v>Gender</v>
      </c>
      <c r="I274" s="379" t="str">
        <f>$C$5</f>
        <v>Therapy</v>
      </c>
      <c r="J274" s="381" t="s">
        <v>791</v>
      </c>
      <c r="K274" s="382" t="s">
        <v>790</v>
      </c>
      <c r="L274" s="383" t="s">
        <v>358</v>
      </c>
      <c r="M274" s="381" t="s">
        <v>792</v>
      </c>
      <c r="N274" s="382" t="s">
        <v>790</v>
      </c>
      <c r="O274" s="383" t="s">
        <v>783</v>
      </c>
      <c r="P274" s="430" t="s">
        <v>243</v>
      </c>
      <c r="Q274" s="432" t="s">
        <v>802</v>
      </c>
      <c r="R274" s="387" t="s">
        <v>109</v>
      </c>
      <c r="T274" s="89" t="s">
        <v>109</v>
      </c>
      <c r="U274" s="391">
        <f>R287</f>
        <v>159.09718607515288</v>
      </c>
    </row>
    <row r="275" spans="7:21" x14ac:dyDescent="0.25">
      <c r="G275" s="6" t="str">
        <f>$A$6</f>
        <v>Positive</v>
      </c>
      <c r="H275" t="str">
        <f>$B$6</f>
        <v>Male</v>
      </c>
      <c r="I275" t="str">
        <f>$C$6</f>
        <v>Therapy 1</v>
      </c>
      <c r="J275" s="6">
        <f>$D$6</f>
        <v>59</v>
      </c>
      <c r="K275" s="384">
        <f>J275/$D$18</f>
        <v>0.11799999999999999</v>
      </c>
      <c r="L275" s="8">
        <f>LN(J275)</f>
        <v>4.0775374439057197</v>
      </c>
      <c r="M275" s="6">
        <f>D77*D82/($A$27*$D$18)</f>
        <v>30.044</v>
      </c>
      <c r="N275" s="384">
        <f t="shared" ref="N275:N286" si="114">M275/D$44</f>
        <v>6.0088000000000003E-2</v>
      </c>
      <c r="O275" s="8">
        <f>LN(M275)</f>
        <v>3.4026629738237655</v>
      </c>
      <c r="P275" s="429">
        <f>J275-M275</f>
        <v>28.956</v>
      </c>
      <c r="Q275" s="428">
        <f>P275/SQRT(M275)</f>
        <v>5.2827455310812548</v>
      </c>
      <c r="R275" s="272">
        <f>2*J275*(L275-O275)</f>
        <v>79.635187469670598</v>
      </c>
      <c r="T275" t="s">
        <v>60</v>
      </c>
      <c r="U275" s="272">
        <f>A27*B27*C27-B27-C27+1</f>
        <v>8</v>
      </c>
    </row>
    <row r="276" spans="7:21" x14ac:dyDescent="0.25">
      <c r="G276" s="6" t="str">
        <f>$A$7</f>
        <v>Positive</v>
      </c>
      <c r="H276" t="str">
        <f>$B$7</f>
        <v>Male</v>
      </c>
      <c r="I276" t="str">
        <f>$C$7</f>
        <v>Therapy 2</v>
      </c>
      <c r="J276" s="6">
        <f>$D$7</f>
        <v>55</v>
      </c>
      <c r="K276" s="384">
        <f t="shared" ref="K276:K286" si="115">J276/$D$18</f>
        <v>0.11</v>
      </c>
      <c r="L276" s="8">
        <f t="shared" ref="L276:L286" si="116">LN(J276)</f>
        <v>4.0073331852324712</v>
      </c>
      <c r="M276" s="6">
        <f>D77*D83/($A$27*$D$18)</f>
        <v>32.116</v>
      </c>
      <c r="N276" s="384">
        <f t="shared" si="114"/>
        <v>6.4231999999999997E-2</v>
      </c>
      <c r="O276" s="8">
        <f t="shared" ref="O276:O286" si="117">LN(M276)</f>
        <v>3.4693543483224376</v>
      </c>
      <c r="P276" s="6">
        <f t="shared" ref="P276:P286" si="118">J276-M276</f>
        <v>22.884</v>
      </c>
      <c r="Q276" s="8">
        <f t="shared" ref="Q276:Q286" si="119">P276/SQRT(M276)</f>
        <v>4.0380455584041419</v>
      </c>
      <c r="R276" s="272">
        <f t="shared" ref="R276:R286" si="120">2*J276*(L276-O276)</f>
        <v>59.177672060103689</v>
      </c>
      <c r="T276" s="30" t="s">
        <v>48</v>
      </c>
      <c r="U276" s="272">
        <v>0.05</v>
      </c>
    </row>
    <row r="277" spans="7:21" x14ac:dyDescent="0.25">
      <c r="G277" s="6" t="str">
        <f>$A$8</f>
        <v>Positive</v>
      </c>
      <c r="H277" t="str">
        <f>$B$8</f>
        <v>Male</v>
      </c>
      <c r="I277" t="str">
        <f>$C$8</f>
        <v>Therapy 3</v>
      </c>
      <c r="J277" s="6">
        <f>$D$8</f>
        <v>107</v>
      </c>
      <c r="K277" s="384">
        <f t="shared" si="115"/>
        <v>0.214</v>
      </c>
      <c r="L277" s="8">
        <f t="shared" si="116"/>
        <v>4.6728288344619058</v>
      </c>
      <c r="M277" s="6">
        <f>D77*D84/($A$27*$D$18)</f>
        <v>67.34</v>
      </c>
      <c r="N277" s="384">
        <f t="shared" si="114"/>
        <v>0.13467999999999999</v>
      </c>
      <c r="O277" s="8">
        <f t="shared" si="117"/>
        <v>4.2097544137329281</v>
      </c>
      <c r="P277" s="6">
        <f t="shared" si="118"/>
        <v>39.659999999999997</v>
      </c>
      <c r="Q277" s="8">
        <f t="shared" si="119"/>
        <v>4.8329928634149688</v>
      </c>
      <c r="R277" s="272">
        <f t="shared" si="120"/>
        <v>99.097926036001212</v>
      </c>
      <c r="T277" s="372" t="s">
        <v>67</v>
      </c>
      <c r="U277" s="272">
        <f>CHIDIST(U274,U275)</f>
        <v>2.4700745086544901E-30</v>
      </c>
    </row>
    <row r="278" spans="7:21" x14ac:dyDescent="0.25">
      <c r="G278" s="6" t="str">
        <f>$A$9</f>
        <v>Positive</v>
      </c>
      <c r="H278" t="str">
        <f>$B$9</f>
        <v>Female</v>
      </c>
      <c r="I278" t="str">
        <f>$C$9</f>
        <v>Therapy 1</v>
      </c>
      <c r="J278" s="6">
        <f>$D$9</f>
        <v>32</v>
      </c>
      <c r="K278" s="384">
        <f t="shared" si="115"/>
        <v>6.4000000000000001E-2</v>
      </c>
      <c r="L278" s="8">
        <f t="shared" si="116"/>
        <v>3.4657359027997265</v>
      </c>
      <c r="M278" s="6">
        <f>D78*D82/($A$27*$D$18)</f>
        <v>27.956</v>
      </c>
      <c r="N278" s="384">
        <f t="shared" si="114"/>
        <v>5.5911999999999996E-2</v>
      </c>
      <c r="O278" s="8">
        <f t="shared" si="117"/>
        <v>3.3306318456148825</v>
      </c>
      <c r="P278" s="6">
        <f t="shared" si="118"/>
        <v>4.0440000000000005</v>
      </c>
      <c r="Q278" s="8">
        <f t="shared" si="119"/>
        <v>0.76484535061614645</v>
      </c>
      <c r="R278" s="272">
        <f t="shared" si="120"/>
        <v>8.6466596598300214</v>
      </c>
      <c r="T278" s="89" t="s">
        <v>110</v>
      </c>
      <c r="U278" s="272">
        <f>CHIINV(U276,U275)</f>
        <v>15.507313055865453</v>
      </c>
    </row>
    <row r="279" spans="7:21" x14ac:dyDescent="0.25">
      <c r="G279" s="6" t="str">
        <f>$A$10</f>
        <v>Positive</v>
      </c>
      <c r="H279" t="str">
        <f>$B$10</f>
        <v>Female</v>
      </c>
      <c r="I279" t="str">
        <f>$C$10</f>
        <v>Therapy 2</v>
      </c>
      <c r="J279" s="6">
        <f>$D$10</f>
        <v>24</v>
      </c>
      <c r="K279" s="384">
        <f t="shared" si="115"/>
        <v>4.8000000000000001E-2</v>
      </c>
      <c r="L279" s="8">
        <f t="shared" si="116"/>
        <v>3.1780538303479458</v>
      </c>
      <c r="M279" s="6">
        <f>D78*D83/($A$27*$D$18)</f>
        <v>29.884</v>
      </c>
      <c r="N279" s="384">
        <f t="shared" si="114"/>
        <v>5.9768000000000002E-2</v>
      </c>
      <c r="O279" s="8">
        <f t="shared" si="117"/>
        <v>3.397323220113555</v>
      </c>
      <c r="P279" s="6">
        <f t="shared" si="118"/>
        <v>-5.8840000000000003</v>
      </c>
      <c r="Q279" s="8">
        <f t="shared" si="119"/>
        <v>-1.0763494672328164</v>
      </c>
      <c r="R279" s="272">
        <f t="shared" si="120"/>
        <v>-10.524930708749245</v>
      </c>
      <c r="T279" s="372" t="s">
        <v>527</v>
      </c>
      <c r="U279" s="166" t="str">
        <f>IF(U277&lt;U276,"yes","no")</f>
        <v>yes</v>
      </c>
    </row>
    <row r="280" spans="7:21" x14ac:dyDescent="0.25">
      <c r="G280" s="6" t="str">
        <f>$A$11</f>
        <v>Positive</v>
      </c>
      <c r="H280" t="str">
        <f>$B$11</f>
        <v>Female</v>
      </c>
      <c r="I280" t="str">
        <f>$C$11</f>
        <v>Therapy 3</v>
      </c>
      <c r="J280" s="6">
        <f>$D$11</f>
        <v>80</v>
      </c>
      <c r="K280" s="384">
        <f t="shared" si="115"/>
        <v>0.16</v>
      </c>
      <c r="L280" s="8">
        <f t="shared" si="116"/>
        <v>4.3820266346738812</v>
      </c>
      <c r="M280" s="6">
        <f>D78*D84/($A$27*$D$18)</f>
        <v>62.66</v>
      </c>
      <c r="N280" s="384">
        <f t="shared" si="114"/>
        <v>0.12531999999999999</v>
      </c>
      <c r="O280" s="8">
        <f t="shared" si="117"/>
        <v>4.1377232855240456</v>
      </c>
      <c r="P280" s="6">
        <f t="shared" si="118"/>
        <v>17.340000000000003</v>
      </c>
      <c r="Q280" s="8">
        <f t="shared" si="119"/>
        <v>2.1905536686052454</v>
      </c>
      <c r="R280" s="272">
        <f t="shared" si="120"/>
        <v>39.088535863973703</v>
      </c>
    </row>
    <row r="281" spans="7:21" x14ac:dyDescent="0.25">
      <c r="G281" s="6" t="str">
        <f>$A$12</f>
        <v>Negative</v>
      </c>
      <c r="H281" t="str">
        <f>$B$12</f>
        <v>Male</v>
      </c>
      <c r="I281" t="str">
        <f>$C$12</f>
        <v>Therapy 1</v>
      </c>
      <c r="J281" s="6">
        <f>$D$12</f>
        <v>9</v>
      </c>
      <c r="K281" s="384">
        <f t="shared" si="115"/>
        <v>1.7999999999999999E-2</v>
      </c>
      <c r="L281" s="8">
        <f t="shared" si="116"/>
        <v>2.1972245773362196</v>
      </c>
      <c r="M281" s="6">
        <f t="shared" ref="M281:M286" si="121">M275</f>
        <v>30.044</v>
      </c>
      <c r="N281" s="384">
        <f t="shared" si="114"/>
        <v>6.0088000000000003E-2</v>
      </c>
      <c r="O281" s="8">
        <f t="shared" si="117"/>
        <v>3.4026629738237655</v>
      </c>
      <c r="P281" s="6">
        <f t="shared" si="118"/>
        <v>-21.044</v>
      </c>
      <c r="Q281" s="8">
        <f t="shared" si="119"/>
        <v>-3.8392767286943612</v>
      </c>
      <c r="R281" s="272">
        <f t="shared" si="120"/>
        <v>-21.697891136775826</v>
      </c>
    </row>
    <row r="282" spans="7:21" x14ac:dyDescent="0.25">
      <c r="G282" s="6" t="str">
        <f>$A$13</f>
        <v>Negative</v>
      </c>
      <c r="H282" t="str">
        <f>$B$13</f>
        <v>Male</v>
      </c>
      <c r="I282" t="str">
        <f>$C$13</f>
        <v>Therapy 2</v>
      </c>
      <c r="J282" s="6">
        <f>$D$13</f>
        <v>12</v>
      </c>
      <c r="K282" s="384">
        <f t="shared" si="115"/>
        <v>2.4E-2</v>
      </c>
      <c r="L282" s="8">
        <f t="shared" si="116"/>
        <v>2.4849066497880004</v>
      </c>
      <c r="M282" s="6">
        <f t="shared" si="121"/>
        <v>32.116</v>
      </c>
      <c r="N282" s="384">
        <f t="shared" si="114"/>
        <v>6.4231999999999997E-2</v>
      </c>
      <c r="O282" s="8">
        <f t="shared" si="117"/>
        <v>3.4693543483224376</v>
      </c>
      <c r="P282" s="6">
        <f t="shared" si="118"/>
        <v>-20.116</v>
      </c>
      <c r="Q282" s="8">
        <f t="shared" si="119"/>
        <v>-3.5496121505356455</v>
      </c>
      <c r="R282" s="272">
        <f t="shared" si="120"/>
        <v>-23.626744764826494</v>
      </c>
    </row>
    <row r="283" spans="7:21" x14ac:dyDescent="0.25">
      <c r="G283" s="6" t="str">
        <f>$A$14</f>
        <v>Negative</v>
      </c>
      <c r="H283" t="str">
        <f>$B$14</f>
        <v>Male</v>
      </c>
      <c r="I283" t="str">
        <f>$C$14</f>
        <v>Therapy 3</v>
      </c>
      <c r="J283" s="6">
        <f>$D$14</f>
        <v>17</v>
      </c>
      <c r="K283" s="384">
        <f t="shared" si="115"/>
        <v>3.4000000000000002E-2</v>
      </c>
      <c r="L283" s="8">
        <f t="shared" si="116"/>
        <v>2.8332133440562162</v>
      </c>
      <c r="M283" s="6">
        <f t="shared" si="121"/>
        <v>67.34</v>
      </c>
      <c r="N283" s="384">
        <f t="shared" si="114"/>
        <v>0.13467999999999999</v>
      </c>
      <c r="O283" s="8">
        <f t="shared" si="117"/>
        <v>4.2097544137329281</v>
      </c>
      <c r="P283" s="6">
        <f t="shared" si="118"/>
        <v>-50.34</v>
      </c>
      <c r="Q283" s="8">
        <f t="shared" si="119"/>
        <v>-6.1344644665736148</v>
      </c>
      <c r="R283" s="272">
        <f t="shared" si="120"/>
        <v>-46.802396369008207</v>
      </c>
    </row>
    <row r="284" spans="7:21" x14ac:dyDescent="0.25">
      <c r="G284" s="6" t="str">
        <f>$A$15</f>
        <v>Negative</v>
      </c>
      <c r="H284" t="str">
        <f>$B$15</f>
        <v>Female</v>
      </c>
      <c r="I284" t="str">
        <f>$C$15</f>
        <v>Therapy 1</v>
      </c>
      <c r="J284" s="6">
        <f>$D$15</f>
        <v>16</v>
      </c>
      <c r="K284" s="384">
        <f t="shared" si="115"/>
        <v>3.2000000000000001E-2</v>
      </c>
      <c r="L284" s="8">
        <f t="shared" si="116"/>
        <v>2.7725887222397811</v>
      </c>
      <c r="M284" s="6">
        <f t="shared" si="121"/>
        <v>27.956</v>
      </c>
      <c r="N284" s="384">
        <f t="shared" si="114"/>
        <v>5.5911999999999996E-2</v>
      </c>
      <c r="O284" s="8">
        <f t="shared" si="117"/>
        <v>3.3306318456148825</v>
      </c>
      <c r="P284" s="6">
        <f t="shared" si="118"/>
        <v>-11.956</v>
      </c>
      <c r="Q284" s="8">
        <f t="shared" si="119"/>
        <v>-2.2612490138394277</v>
      </c>
      <c r="R284" s="272">
        <f t="shared" si="120"/>
        <v>-17.857379948003242</v>
      </c>
    </row>
    <row r="285" spans="7:21" x14ac:dyDescent="0.25">
      <c r="G285" s="6" t="str">
        <f>$A$16</f>
        <v>Negative</v>
      </c>
      <c r="H285" t="str">
        <f>$B$16</f>
        <v>Female</v>
      </c>
      <c r="I285" t="str">
        <f>$C$16</f>
        <v>Therapy 2</v>
      </c>
      <c r="J285" s="6">
        <f>$D$16</f>
        <v>33</v>
      </c>
      <c r="K285" s="384">
        <f t="shared" si="115"/>
        <v>6.6000000000000003E-2</v>
      </c>
      <c r="L285" s="8">
        <f t="shared" si="116"/>
        <v>3.4965075614664802</v>
      </c>
      <c r="M285" s="6">
        <f t="shared" si="121"/>
        <v>29.884</v>
      </c>
      <c r="N285" s="384">
        <f t="shared" si="114"/>
        <v>5.9768000000000002E-2</v>
      </c>
      <c r="O285" s="8">
        <f t="shared" si="117"/>
        <v>3.397323220113555</v>
      </c>
      <c r="P285" s="6">
        <f t="shared" si="118"/>
        <v>3.1159999999999997</v>
      </c>
      <c r="Q285" s="8">
        <f t="shared" si="119"/>
        <v>0.57000423859576066</v>
      </c>
      <c r="R285" s="272">
        <f t="shared" si="120"/>
        <v>6.5461665292930631</v>
      </c>
    </row>
    <row r="286" spans="7:21" x14ac:dyDescent="0.25">
      <c r="G286" s="9" t="str">
        <f>$A$17</f>
        <v>Negative</v>
      </c>
      <c r="H286" s="10" t="str">
        <f>$B$17</f>
        <v>Female</v>
      </c>
      <c r="I286" s="10" t="str">
        <f>$C$17</f>
        <v>Therapy 3</v>
      </c>
      <c r="J286" s="9">
        <f>$D$17</f>
        <v>56</v>
      </c>
      <c r="K286" s="385">
        <f t="shared" si="115"/>
        <v>0.112</v>
      </c>
      <c r="L286" s="11">
        <f t="shared" si="116"/>
        <v>4.0253516907351496</v>
      </c>
      <c r="M286" s="9">
        <f t="shared" si="121"/>
        <v>62.66</v>
      </c>
      <c r="N286" s="385">
        <f t="shared" si="114"/>
        <v>0.12531999999999999</v>
      </c>
      <c r="O286" s="11">
        <f t="shared" si="117"/>
        <v>4.1377232855240456</v>
      </c>
      <c r="P286" s="409">
        <f t="shared" si="118"/>
        <v>-6.6599999999999966</v>
      </c>
      <c r="Q286" s="11">
        <f t="shared" si="119"/>
        <v>-0.84135452323592419</v>
      </c>
      <c r="R286" s="168">
        <f t="shared" si="120"/>
        <v>-12.585618616356342</v>
      </c>
    </row>
    <row r="287" spans="7:21" x14ac:dyDescent="0.25">
      <c r="R287">
        <f>SUM(R275:R286)</f>
        <v>159.09718607515288</v>
      </c>
    </row>
    <row r="289" spans="7:21" x14ac:dyDescent="0.25">
      <c r="G289" s="1" t="s">
        <v>850</v>
      </c>
    </row>
    <row r="291" spans="7:21" x14ac:dyDescent="0.25">
      <c r="J291" s="1327" t="s">
        <v>302</v>
      </c>
      <c r="K291" s="1328"/>
      <c r="L291" s="1329"/>
      <c r="M291" s="1327" t="s">
        <v>793</v>
      </c>
      <c r="N291" s="1328"/>
      <c r="O291" s="1329"/>
      <c r="P291" s="1324" t="s">
        <v>303</v>
      </c>
      <c r="Q291" s="1330"/>
    </row>
    <row r="292" spans="7:21" x14ac:dyDescent="0.25">
      <c r="G292" s="392" t="str">
        <f>$A$5</f>
        <v>Cure</v>
      </c>
      <c r="H292" s="379" t="str">
        <f>$B$5</f>
        <v>Gender</v>
      </c>
      <c r="I292" s="379" t="str">
        <f>$C$5</f>
        <v>Therapy</v>
      </c>
      <c r="J292" s="381" t="s">
        <v>791</v>
      </c>
      <c r="K292" s="382" t="s">
        <v>790</v>
      </c>
      <c r="L292" s="383" t="s">
        <v>358</v>
      </c>
      <c r="M292" s="381" t="s">
        <v>792</v>
      </c>
      <c r="N292" s="382" t="s">
        <v>790</v>
      </c>
      <c r="O292" s="383" t="s">
        <v>783</v>
      </c>
      <c r="P292" s="430" t="s">
        <v>243</v>
      </c>
      <c r="Q292" s="432" t="s">
        <v>802</v>
      </c>
      <c r="R292" s="387" t="s">
        <v>109</v>
      </c>
      <c r="T292" s="89" t="s">
        <v>109</v>
      </c>
      <c r="U292" s="391">
        <f>R305</f>
        <v>65.129331533013399</v>
      </c>
    </row>
    <row r="293" spans="7:21" x14ac:dyDescent="0.25">
      <c r="G293" s="6" t="str">
        <f>$A$6</f>
        <v>Positive</v>
      </c>
      <c r="H293" t="str">
        <f>$B$6</f>
        <v>Male</v>
      </c>
      <c r="I293" t="str">
        <f>$C$6</f>
        <v>Therapy 1</v>
      </c>
      <c r="J293" s="6">
        <f>$D$6</f>
        <v>59</v>
      </c>
      <c r="K293" s="384">
        <f>J293/$D$18</f>
        <v>0.11799999999999999</v>
      </c>
      <c r="L293" s="8">
        <f>LN(J293)</f>
        <v>4.0775374439057197</v>
      </c>
      <c r="M293" s="6">
        <f>D72*D82/($B$27*$D$18)</f>
        <v>41.411999999999999</v>
      </c>
      <c r="N293" s="384">
        <f t="shared" ref="N293:N304" si="122">M293/D$44</f>
        <v>8.2823999999999995E-2</v>
      </c>
      <c r="O293" s="8">
        <f>LN(M293)</f>
        <v>3.7235706939038669</v>
      </c>
      <c r="P293" s="429">
        <f>J293-M293</f>
        <v>17.588000000000001</v>
      </c>
      <c r="Q293" s="428">
        <f>P293/SQRT(M293)</f>
        <v>2.7330863571150954</v>
      </c>
      <c r="R293" s="272">
        <f>2*J293*(L293-O293)</f>
        <v>41.768076500218633</v>
      </c>
      <c r="T293" t="s">
        <v>60</v>
      </c>
      <c r="U293" s="272">
        <f>A27*B27*C27-A27-C27+1</f>
        <v>8</v>
      </c>
    </row>
    <row r="294" spans="7:21" x14ac:dyDescent="0.25">
      <c r="G294" s="6" t="str">
        <f>$A$7</f>
        <v>Positive</v>
      </c>
      <c r="H294" t="str">
        <f>$B$7</f>
        <v>Male</v>
      </c>
      <c r="I294" t="str">
        <f>$C$7</f>
        <v>Therapy 2</v>
      </c>
      <c r="J294" s="6">
        <f>$D$7</f>
        <v>55</v>
      </c>
      <c r="K294" s="384">
        <f t="shared" ref="K294:K304" si="123">J294/$D$18</f>
        <v>0.11</v>
      </c>
      <c r="L294" s="8">
        <f t="shared" ref="L294:L304" si="124">LN(J294)</f>
        <v>4.0073331852324712</v>
      </c>
      <c r="M294" s="6">
        <f>D72*D83/($B$27*$D$18)</f>
        <v>44.268000000000001</v>
      </c>
      <c r="N294" s="384">
        <f t="shared" si="122"/>
        <v>8.8536000000000004E-2</v>
      </c>
      <c r="O294" s="8">
        <f t="shared" ref="O294:O304" si="125">LN(M294)</f>
        <v>3.790262068402539</v>
      </c>
      <c r="P294" s="6">
        <f t="shared" ref="P294:P304" si="126">J294-M294</f>
        <v>10.731999999999999</v>
      </c>
      <c r="Q294" s="8">
        <f t="shared" ref="Q294:Q304" si="127">P294/SQRT(M294)</f>
        <v>1.6130049990480522</v>
      </c>
      <c r="R294" s="272">
        <f t="shared" ref="R294:R304" si="128">2*J294*(L294-O294)</f>
        <v>23.877822851292542</v>
      </c>
      <c r="T294" s="30" t="s">
        <v>48</v>
      </c>
      <c r="U294" s="272">
        <v>0.05</v>
      </c>
    </row>
    <row r="295" spans="7:21" x14ac:dyDescent="0.25">
      <c r="G295" s="6" t="str">
        <f>$A$8</f>
        <v>Positive</v>
      </c>
      <c r="H295" t="str">
        <f>$B$8</f>
        <v>Male</v>
      </c>
      <c r="I295" t="str">
        <f>$C$8</f>
        <v>Therapy 3</v>
      </c>
      <c r="J295" s="6">
        <f>$D$8</f>
        <v>107</v>
      </c>
      <c r="K295" s="384">
        <f t="shared" si="123"/>
        <v>0.214</v>
      </c>
      <c r="L295" s="8">
        <f t="shared" si="124"/>
        <v>4.6728288344619058</v>
      </c>
      <c r="M295" s="6">
        <f>D72*D84/($B$27*$D$18)</f>
        <v>92.82</v>
      </c>
      <c r="N295" s="384">
        <f t="shared" si="122"/>
        <v>0.18564</v>
      </c>
      <c r="O295" s="8">
        <f t="shared" si="125"/>
        <v>4.5306621338130295</v>
      </c>
      <c r="P295" s="6">
        <f t="shared" si="126"/>
        <v>14.180000000000007</v>
      </c>
      <c r="Q295" s="8">
        <f t="shared" si="127"/>
        <v>1.4718225373854354</v>
      </c>
      <c r="R295" s="272">
        <f t="shared" si="128"/>
        <v>30.423673938859523</v>
      </c>
      <c r="T295" s="372" t="s">
        <v>67</v>
      </c>
      <c r="U295" s="272">
        <f>CHIDIST(U292,U293)</f>
        <v>4.5500790504720033E-11</v>
      </c>
    </row>
    <row r="296" spans="7:21" x14ac:dyDescent="0.25">
      <c r="G296" s="6" t="str">
        <f>$A$9</f>
        <v>Positive</v>
      </c>
      <c r="H296" t="str">
        <f>$B$9</f>
        <v>Female</v>
      </c>
      <c r="I296" t="str">
        <f>$C$9</f>
        <v>Therapy 1</v>
      </c>
      <c r="J296" s="6">
        <f>$D$9</f>
        <v>32</v>
      </c>
      <c r="K296" s="384">
        <f t="shared" si="123"/>
        <v>6.4000000000000001E-2</v>
      </c>
      <c r="L296" s="8">
        <f t="shared" si="124"/>
        <v>3.4657359027997265</v>
      </c>
      <c r="M296" s="6">
        <f>M293</f>
        <v>41.411999999999999</v>
      </c>
      <c r="N296" s="384">
        <f t="shared" si="122"/>
        <v>8.2823999999999995E-2</v>
      </c>
      <c r="O296" s="8">
        <f t="shared" si="125"/>
        <v>3.7235706939038669</v>
      </c>
      <c r="P296" s="6">
        <f t="shared" si="126"/>
        <v>-9.411999999999999</v>
      </c>
      <c r="Q296" s="8">
        <f t="shared" si="127"/>
        <v>-1.4625772568323445</v>
      </c>
      <c r="R296" s="272">
        <f t="shared" si="128"/>
        <v>-16.50142663066498</v>
      </c>
      <c r="T296" s="89" t="s">
        <v>110</v>
      </c>
      <c r="U296" s="272">
        <f>CHIINV(U294,U293)</f>
        <v>15.507313055865453</v>
      </c>
    </row>
    <row r="297" spans="7:21" x14ac:dyDescent="0.25">
      <c r="G297" s="6" t="str">
        <f>$A$10</f>
        <v>Positive</v>
      </c>
      <c r="H297" t="str">
        <f>$B$10</f>
        <v>Female</v>
      </c>
      <c r="I297" t="str">
        <f>$C$10</f>
        <v>Therapy 2</v>
      </c>
      <c r="J297" s="6">
        <f>$D$10</f>
        <v>24</v>
      </c>
      <c r="K297" s="384">
        <f t="shared" si="123"/>
        <v>4.8000000000000001E-2</v>
      </c>
      <c r="L297" s="8">
        <f t="shared" si="124"/>
        <v>3.1780538303479458</v>
      </c>
      <c r="M297" s="6">
        <f>M294</f>
        <v>44.268000000000001</v>
      </c>
      <c r="N297" s="384">
        <f t="shared" si="122"/>
        <v>8.8536000000000004E-2</v>
      </c>
      <c r="O297" s="8">
        <f t="shared" si="125"/>
        <v>3.790262068402539</v>
      </c>
      <c r="P297" s="6">
        <f t="shared" si="126"/>
        <v>-20.268000000000001</v>
      </c>
      <c r="Q297" s="8">
        <f t="shared" si="127"/>
        <v>-3.0462528252614542</v>
      </c>
      <c r="R297" s="272">
        <f t="shared" si="128"/>
        <v>-29.385995426620475</v>
      </c>
      <c r="T297" s="372" t="s">
        <v>527</v>
      </c>
      <c r="U297" s="166" t="str">
        <f>IF(U295&lt;U294,"yes","no")</f>
        <v>yes</v>
      </c>
    </row>
    <row r="298" spans="7:21" x14ac:dyDescent="0.25">
      <c r="G298" s="6" t="str">
        <f>$A$11</f>
        <v>Positive</v>
      </c>
      <c r="H298" t="str">
        <f>$B$11</f>
        <v>Female</v>
      </c>
      <c r="I298" t="str">
        <f>$C$11</f>
        <v>Therapy 3</v>
      </c>
      <c r="J298" s="6">
        <f>$D$11</f>
        <v>80</v>
      </c>
      <c r="K298" s="384">
        <f t="shared" si="123"/>
        <v>0.16</v>
      </c>
      <c r="L298" s="8">
        <f t="shared" si="124"/>
        <v>4.3820266346738812</v>
      </c>
      <c r="M298" s="6">
        <f>M295</f>
        <v>92.82</v>
      </c>
      <c r="N298" s="384">
        <f t="shared" si="122"/>
        <v>0.18564</v>
      </c>
      <c r="O298" s="8">
        <f t="shared" si="125"/>
        <v>4.5306621338130295</v>
      </c>
      <c r="P298" s="6">
        <f t="shared" si="126"/>
        <v>-12.819999999999993</v>
      </c>
      <c r="Q298" s="8">
        <f t="shared" si="127"/>
        <v>-1.3306604322483262</v>
      </c>
      <c r="R298" s="272">
        <f t="shared" si="128"/>
        <v>-23.781679862263729</v>
      </c>
    </row>
    <row r="299" spans="7:21" x14ac:dyDescent="0.25">
      <c r="G299" s="6" t="str">
        <f>$A$12</f>
        <v>Negative</v>
      </c>
      <c r="H299" t="str">
        <f>$B$12</f>
        <v>Male</v>
      </c>
      <c r="I299" t="str">
        <f>$C$12</f>
        <v>Therapy 1</v>
      </c>
      <c r="J299" s="6">
        <f>$D$12</f>
        <v>9</v>
      </c>
      <c r="K299" s="384">
        <f t="shared" si="123"/>
        <v>1.7999999999999999E-2</v>
      </c>
      <c r="L299" s="8">
        <f t="shared" si="124"/>
        <v>2.1972245773362196</v>
      </c>
      <c r="M299" s="6">
        <f>D73*D82/($B$27*$D$18)</f>
        <v>16.588000000000001</v>
      </c>
      <c r="N299" s="384">
        <f t="shared" si="122"/>
        <v>3.3176000000000004E-2</v>
      </c>
      <c r="O299" s="8">
        <f t="shared" si="125"/>
        <v>2.8086795423841351</v>
      </c>
      <c r="P299" s="6">
        <f t="shared" si="126"/>
        <v>-7.588000000000001</v>
      </c>
      <c r="Q299" s="8">
        <f t="shared" si="127"/>
        <v>-1.8630748740982643</v>
      </c>
      <c r="R299" s="272">
        <f t="shared" si="128"/>
        <v>-11.006189370862479</v>
      </c>
    </row>
    <row r="300" spans="7:21" x14ac:dyDescent="0.25">
      <c r="G300" s="6" t="str">
        <f>$A$13</f>
        <v>Negative</v>
      </c>
      <c r="H300" t="str">
        <f>$B$13</f>
        <v>Male</v>
      </c>
      <c r="I300" t="str">
        <f>$C$13</f>
        <v>Therapy 2</v>
      </c>
      <c r="J300" s="6">
        <f>$D$13</f>
        <v>12</v>
      </c>
      <c r="K300" s="384">
        <f t="shared" si="123"/>
        <v>2.4E-2</v>
      </c>
      <c r="L300" s="8">
        <f t="shared" si="124"/>
        <v>2.4849066497880004</v>
      </c>
      <c r="M300" s="6">
        <f>D73*D83/($B$27*$D$18)</f>
        <v>17.731999999999999</v>
      </c>
      <c r="N300" s="384">
        <f t="shared" si="122"/>
        <v>3.5463999999999996E-2</v>
      </c>
      <c r="O300" s="8">
        <f t="shared" si="125"/>
        <v>2.8753709168828072</v>
      </c>
      <c r="P300" s="6">
        <f t="shared" si="126"/>
        <v>-5.7319999999999993</v>
      </c>
      <c r="Q300" s="8">
        <f t="shared" si="127"/>
        <v>-1.3612168624865759</v>
      </c>
      <c r="R300" s="272">
        <f t="shared" si="128"/>
        <v>-9.3711424102753647</v>
      </c>
    </row>
    <row r="301" spans="7:21" x14ac:dyDescent="0.25">
      <c r="G301" s="6" t="str">
        <f>$A$14</f>
        <v>Negative</v>
      </c>
      <c r="H301" t="str">
        <f>$B$14</f>
        <v>Male</v>
      </c>
      <c r="I301" t="str">
        <f>$C$14</f>
        <v>Therapy 3</v>
      </c>
      <c r="J301" s="6">
        <f>$D$14</f>
        <v>17</v>
      </c>
      <c r="K301" s="384">
        <f t="shared" si="123"/>
        <v>3.4000000000000002E-2</v>
      </c>
      <c r="L301" s="8">
        <f t="shared" si="124"/>
        <v>2.8332133440562162</v>
      </c>
      <c r="M301" s="6">
        <f>D73*D84/($B$27*$D$18)</f>
        <v>37.18</v>
      </c>
      <c r="N301" s="384">
        <f t="shared" si="122"/>
        <v>7.4359999999999996E-2</v>
      </c>
      <c r="O301" s="8">
        <f t="shared" si="125"/>
        <v>3.6157709822932977</v>
      </c>
      <c r="P301" s="6">
        <f t="shared" si="126"/>
        <v>-20.18</v>
      </c>
      <c r="Q301" s="8">
        <f t="shared" si="127"/>
        <v>-3.3095311200432449</v>
      </c>
      <c r="R301" s="272">
        <f t="shared" si="128"/>
        <v>-26.606959700060774</v>
      </c>
    </row>
    <row r="302" spans="7:21" x14ac:dyDescent="0.25">
      <c r="G302" s="6" t="str">
        <f>$A$15</f>
        <v>Negative</v>
      </c>
      <c r="H302" t="str">
        <f>$B$15</f>
        <v>Female</v>
      </c>
      <c r="I302" t="str">
        <f>$C$15</f>
        <v>Therapy 1</v>
      </c>
      <c r="J302" s="6">
        <f>$D$15</f>
        <v>16</v>
      </c>
      <c r="K302" s="384">
        <f t="shared" si="123"/>
        <v>3.2000000000000001E-2</v>
      </c>
      <c r="L302" s="8">
        <f t="shared" si="124"/>
        <v>2.7725887222397811</v>
      </c>
      <c r="M302" s="6">
        <f>M299</f>
        <v>16.588000000000001</v>
      </c>
      <c r="N302" s="384">
        <f t="shared" si="122"/>
        <v>3.3176000000000004E-2</v>
      </c>
      <c r="O302" s="8">
        <f t="shared" si="125"/>
        <v>2.8086795423841351</v>
      </c>
      <c r="P302" s="6">
        <f t="shared" si="126"/>
        <v>-0.58800000000000097</v>
      </c>
      <c r="Q302" s="8">
        <f t="shared" si="127"/>
        <v>-0.14437111570503178</v>
      </c>
      <c r="R302" s="272">
        <f t="shared" si="128"/>
        <v>-1.1549062446193261</v>
      </c>
    </row>
    <row r="303" spans="7:21" x14ac:dyDescent="0.25">
      <c r="G303" s="6" t="str">
        <f>$A$16</f>
        <v>Negative</v>
      </c>
      <c r="H303" t="str">
        <f>$B$16</f>
        <v>Female</v>
      </c>
      <c r="I303" t="str">
        <f>$C$16</f>
        <v>Therapy 2</v>
      </c>
      <c r="J303" s="6">
        <f>$D$16</f>
        <v>33</v>
      </c>
      <c r="K303" s="384">
        <f t="shared" si="123"/>
        <v>6.6000000000000003E-2</v>
      </c>
      <c r="L303" s="8">
        <f t="shared" si="124"/>
        <v>3.4965075614664802</v>
      </c>
      <c r="M303" s="6">
        <f>M300</f>
        <v>17.731999999999999</v>
      </c>
      <c r="N303" s="384">
        <f t="shared" si="122"/>
        <v>3.5463999999999996E-2</v>
      </c>
      <c r="O303" s="8">
        <f t="shared" si="125"/>
        <v>2.8753709168828072</v>
      </c>
      <c r="P303" s="6">
        <f t="shared" si="126"/>
        <v>15.268000000000001</v>
      </c>
      <c r="Q303" s="8">
        <f t="shared" si="127"/>
        <v>3.6257953692332596</v>
      </c>
      <c r="R303" s="272">
        <f t="shared" si="128"/>
        <v>40.995018542522416</v>
      </c>
    </row>
    <row r="304" spans="7:21" x14ac:dyDescent="0.25">
      <c r="G304" s="9" t="str">
        <f>$A$17</f>
        <v>Negative</v>
      </c>
      <c r="H304" s="10" t="str">
        <f>$B$17</f>
        <v>Female</v>
      </c>
      <c r="I304" s="10" t="str">
        <f>$C$17</f>
        <v>Therapy 3</v>
      </c>
      <c r="J304" s="9">
        <f>$D$17</f>
        <v>56</v>
      </c>
      <c r="K304" s="385">
        <f t="shared" si="123"/>
        <v>0.112</v>
      </c>
      <c r="L304" s="11">
        <f t="shared" si="124"/>
        <v>4.0253516907351496</v>
      </c>
      <c r="M304" s="9">
        <f>M301</f>
        <v>37.18</v>
      </c>
      <c r="N304" s="385">
        <f t="shared" si="122"/>
        <v>7.4359999999999996E-2</v>
      </c>
      <c r="O304" s="11">
        <f t="shared" si="125"/>
        <v>3.6157709822932977</v>
      </c>
      <c r="P304" s="409">
        <f t="shared" si="126"/>
        <v>18.82</v>
      </c>
      <c r="Q304" s="11">
        <f t="shared" si="127"/>
        <v>3.0864903706250679</v>
      </c>
      <c r="R304" s="168">
        <f t="shared" si="128"/>
        <v>45.873039345487413</v>
      </c>
    </row>
    <row r="305" spans="7:21" x14ac:dyDescent="0.25">
      <c r="R305">
        <f>SUM(R293:R304)</f>
        <v>65.129331533013399</v>
      </c>
    </row>
    <row r="307" spans="7:21" x14ac:dyDescent="0.25">
      <c r="G307" s="1" t="s">
        <v>795</v>
      </c>
    </row>
    <row r="309" spans="7:21" x14ac:dyDescent="0.25">
      <c r="J309" s="1327" t="s">
        <v>302</v>
      </c>
      <c r="K309" s="1328"/>
      <c r="L309" s="1329"/>
      <c r="M309" s="1327" t="s">
        <v>793</v>
      </c>
      <c r="N309" s="1328"/>
      <c r="O309" s="1329"/>
      <c r="P309" s="1324" t="s">
        <v>303</v>
      </c>
      <c r="Q309" s="1330"/>
    </row>
    <row r="310" spans="7:21" x14ac:dyDescent="0.25">
      <c r="G310" s="392" t="str">
        <f>$A$5</f>
        <v>Cure</v>
      </c>
      <c r="H310" s="379" t="str">
        <f>$B$5</f>
        <v>Gender</v>
      </c>
      <c r="I310" s="379" t="str">
        <f>$C$5</f>
        <v>Therapy</v>
      </c>
      <c r="J310" s="381" t="s">
        <v>791</v>
      </c>
      <c r="K310" s="382" t="s">
        <v>790</v>
      </c>
      <c r="L310" s="383" t="s">
        <v>358</v>
      </c>
      <c r="M310" s="381" t="s">
        <v>792</v>
      </c>
      <c r="N310" s="382" t="s">
        <v>790</v>
      </c>
      <c r="O310" s="383" t="s">
        <v>783</v>
      </c>
      <c r="P310" s="430" t="s">
        <v>243</v>
      </c>
      <c r="Q310" s="432" t="s">
        <v>802</v>
      </c>
      <c r="R310" s="387" t="s">
        <v>109</v>
      </c>
      <c r="T310" s="89" t="s">
        <v>109</v>
      </c>
      <c r="U310" s="391">
        <f>R323</f>
        <v>233.56671709648069</v>
      </c>
    </row>
    <row r="311" spans="7:21" x14ac:dyDescent="0.25">
      <c r="G311" s="6" t="str">
        <f>$A$6</f>
        <v>Positive</v>
      </c>
      <c r="H311" t="str">
        <f>$B$6</f>
        <v>Male</v>
      </c>
      <c r="I311" t="str">
        <f>$C$6</f>
        <v>Therapy 1</v>
      </c>
      <c r="J311" s="6">
        <f>$D$6</f>
        <v>59</v>
      </c>
      <c r="K311" s="384">
        <f>J311/$D$18</f>
        <v>0.11799999999999999</v>
      </c>
      <c r="L311" s="8">
        <f>LN(J311)</f>
        <v>4.0775374439057197</v>
      </c>
      <c r="M311" s="6">
        <f>D18/(A27*B27*C27)</f>
        <v>41.666666666666664</v>
      </c>
      <c r="N311" s="384">
        <f t="shared" ref="N311:N322" si="129">M311/D$44</f>
        <v>8.3333333333333329E-2</v>
      </c>
      <c r="O311" s="8">
        <f>LN(M311)</f>
        <v>3.7297014486341915</v>
      </c>
      <c r="P311" s="429">
        <f>J311-M311</f>
        <v>17.333333333333336</v>
      </c>
      <c r="Q311" s="428">
        <f>P311/SQRT(M311)</f>
        <v>2.685268453370476</v>
      </c>
      <c r="R311" s="272">
        <f>2*J311*(L311-O311)</f>
        <v>41.044647442040329</v>
      </c>
      <c r="T311" t="s">
        <v>60</v>
      </c>
      <c r="U311" s="272">
        <f>A27*B27*C27-1</f>
        <v>11</v>
      </c>
    </row>
    <row r="312" spans="7:21" x14ac:dyDescent="0.25">
      <c r="G312" s="6" t="str">
        <f>$A$7</f>
        <v>Positive</v>
      </c>
      <c r="H312" t="str">
        <f>$B$7</f>
        <v>Male</v>
      </c>
      <c r="I312" t="str">
        <f>$C$7</f>
        <v>Therapy 2</v>
      </c>
      <c r="J312" s="6">
        <f>$D$7</f>
        <v>55</v>
      </c>
      <c r="K312" s="384">
        <f t="shared" ref="K312:K322" si="130">J312/$D$18</f>
        <v>0.11</v>
      </c>
      <c r="L312" s="8">
        <f t="shared" ref="L312:L322" si="131">LN(J312)</f>
        <v>4.0073331852324712</v>
      </c>
      <c r="M312" s="6">
        <f>M311</f>
        <v>41.666666666666664</v>
      </c>
      <c r="N312" s="384">
        <f t="shared" si="129"/>
        <v>8.3333333333333329E-2</v>
      </c>
      <c r="O312" s="8">
        <f t="shared" ref="O312:O322" si="132">LN(M312)</f>
        <v>3.7297014486341915</v>
      </c>
      <c r="P312" s="6">
        <f t="shared" ref="P312:P322" si="133">J312-M312</f>
        <v>13.333333333333336</v>
      </c>
      <c r="Q312" s="8">
        <f t="shared" ref="Q312:Q322" si="134">P312/SQRT(M312)</f>
        <v>2.0655911179772897</v>
      </c>
      <c r="R312" s="272">
        <f t="shared" ref="R312:R322" si="135">2*J312*(L312-O312)</f>
        <v>30.539491025810761</v>
      </c>
      <c r="T312" s="30" t="s">
        <v>48</v>
      </c>
      <c r="U312" s="272">
        <v>0.05</v>
      </c>
    </row>
    <row r="313" spans="7:21" x14ac:dyDescent="0.25">
      <c r="G313" s="6" t="str">
        <f>$A$8</f>
        <v>Positive</v>
      </c>
      <c r="H313" t="str">
        <f>$B$8</f>
        <v>Male</v>
      </c>
      <c r="I313" t="str">
        <f>$C$8</f>
        <v>Therapy 3</v>
      </c>
      <c r="J313" s="6">
        <f>$D$8</f>
        <v>107</v>
      </c>
      <c r="K313" s="384">
        <f t="shared" si="130"/>
        <v>0.214</v>
      </c>
      <c r="L313" s="8">
        <f t="shared" si="131"/>
        <v>4.6728288344619058</v>
      </c>
      <c r="M313" s="6">
        <f t="shared" ref="M313:M322" si="136">M312</f>
        <v>41.666666666666664</v>
      </c>
      <c r="N313" s="384">
        <f t="shared" si="129"/>
        <v>8.3333333333333329E-2</v>
      </c>
      <c r="O313" s="8">
        <f t="shared" si="132"/>
        <v>3.7297014486341915</v>
      </c>
      <c r="P313" s="6">
        <f t="shared" si="133"/>
        <v>65.333333333333343</v>
      </c>
      <c r="Q313" s="8">
        <f t="shared" si="134"/>
        <v>10.121396478088718</v>
      </c>
      <c r="R313" s="272">
        <f t="shared" si="135"/>
        <v>201.82926056713086</v>
      </c>
      <c r="T313" s="372" t="s">
        <v>67</v>
      </c>
      <c r="U313" s="272">
        <f>CHIDIST(U310,U311)</f>
        <v>7.6366473422312161E-44</v>
      </c>
    </row>
    <row r="314" spans="7:21" x14ac:dyDescent="0.25">
      <c r="G314" s="6" t="str">
        <f>$A$9</f>
        <v>Positive</v>
      </c>
      <c r="H314" t="str">
        <f>$B$9</f>
        <v>Female</v>
      </c>
      <c r="I314" t="str">
        <f>$C$9</f>
        <v>Therapy 1</v>
      </c>
      <c r="J314" s="6">
        <f>$D$9</f>
        <v>32</v>
      </c>
      <c r="K314" s="384">
        <f t="shared" si="130"/>
        <v>6.4000000000000001E-2</v>
      </c>
      <c r="L314" s="8">
        <f t="shared" si="131"/>
        <v>3.4657359027997265</v>
      </c>
      <c r="M314" s="6">
        <f t="shared" si="136"/>
        <v>41.666666666666664</v>
      </c>
      <c r="N314" s="384">
        <f t="shared" si="129"/>
        <v>8.3333333333333329E-2</v>
      </c>
      <c r="O314" s="8">
        <f t="shared" si="132"/>
        <v>3.7297014486341915</v>
      </c>
      <c r="P314" s="6">
        <f t="shared" si="133"/>
        <v>-9.6666666666666643</v>
      </c>
      <c r="Q314" s="8">
        <f t="shared" si="134"/>
        <v>-1.4975535605335342</v>
      </c>
      <c r="R314" s="272">
        <f t="shared" si="135"/>
        <v>-16.893794933405758</v>
      </c>
      <c r="T314" s="89" t="s">
        <v>110</v>
      </c>
      <c r="U314" s="272">
        <f>CHIINV(U312,U311)</f>
        <v>19.675137572682498</v>
      </c>
    </row>
    <row r="315" spans="7:21" x14ac:dyDescent="0.25">
      <c r="G315" s="6" t="str">
        <f>$A$10</f>
        <v>Positive</v>
      </c>
      <c r="H315" t="str">
        <f>$B$10</f>
        <v>Female</v>
      </c>
      <c r="I315" t="str">
        <f>$C$10</f>
        <v>Therapy 2</v>
      </c>
      <c r="J315" s="6">
        <f>$D$10</f>
        <v>24</v>
      </c>
      <c r="K315" s="384">
        <f t="shared" si="130"/>
        <v>4.8000000000000001E-2</v>
      </c>
      <c r="L315" s="8">
        <f t="shared" si="131"/>
        <v>3.1780538303479458</v>
      </c>
      <c r="M315" s="6">
        <f t="shared" si="136"/>
        <v>41.666666666666664</v>
      </c>
      <c r="N315" s="384">
        <f t="shared" si="129"/>
        <v>8.3333333333333329E-2</v>
      </c>
      <c r="O315" s="8">
        <f t="shared" si="132"/>
        <v>3.7297014486341915</v>
      </c>
      <c r="P315" s="6">
        <f t="shared" si="133"/>
        <v>-17.666666666666664</v>
      </c>
      <c r="Q315" s="8">
        <f t="shared" si="134"/>
        <v>-2.7369082313199078</v>
      </c>
      <c r="R315" s="272">
        <f t="shared" si="135"/>
        <v>-26.479085677739796</v>
      </c>
      <c r="T315" s="372" t="s">
        <v>527</v>
      </c>
      <c r="U315" s="166" t="str">
        <f>IF(U313&lt;U312,"yes","no")</f>
        <v>yes</v>
      </c>
    </row>
    <row r="316" spans="7:21" x14ac:dyDescent="0.25">
      <c r="G316" s="6" t="str">
        <f>$A$11</f>
        <v>Positive</v>
      </c>
      <c r="H316" t="str">
        <f>$B$11</f>
        <v>Female</v>
      </c>
      <c r="I316" t="str">
        <f>$C$11</f>
        <v>Therapy 3</v>
      </c>
      <c r="J316" s="6">
        <f>$D$11</f>
        <v>80</v>
      </c>
      <c r="K316" s="384">
        <f t="shared" si="130"/>
        <v>0.16</v>
      </c>
      <c r="L316" s="8">
        <f t="shared" si="131"/>
        <v>4.3820266346738812</v>
      </c>
      <c r="M316" s="6">
        <f t="shared" si="136"/>
        <v>41.666666666666664</v>
      </c>
      <c r="N316" s="384">
        <f t="shared" si="129"/>
        <v>8.3333333333333329E-2</v>
      </c>
      <c r="O316" s="8">
        <f t="shared" si="132"/>
        <v>3.7297014486341915</v>
      </c>
      <c r="P316" s="6">
        <f t="shared" si="133"/>
        <v>38.333333333333336</v>
      </c>
      <c r="Q316" s="8">
        <f t="shared" si="134"/>
        <v>5.9385744641847067</v>
      </c>
      <c r="R316" s="272">
        <f t="shared" si="135"/>
        <v>104.37202976635035</v>
      </c>
    </row>
    <row r="317" spans="7:21" x14ac:dyDescent="0.25">
      <c r="G317" s="6" t="str">
        <f>$A$12</f>
        <v>Negative</v>
      </c>
      <c r="H317" t="str">
        <f>$B$12</f>
        <v>Male</v>
      </c>
      <c r="I317" t="str">
        <f>$C$12</f>
        <v>Therapy 1</v>
      </c>
      <c r="J317" s="6">
        <f>$D$12</f>
        <v>9</v>
      </c>
      <c r="K317" s="384">
        <f t="shared" si="130"/>
        <v>1.7999999999999999E-2</v>
      </c>
      <c r="L317" s="8">
        <f t="shared" si="131"/>
        <v>2.1972245773362196</v>
      </c>
      <c r="M317" s="6">
        <f t="shared" si="136"/>
        <v>41.666666666666664</v>
      </c>
      <c r="N317" s="384">
        <f t="shared" si="129"/>
        <v>8.3333333333333329E-2</v>
      </c>
      <c r="O317" s="8">
        <f t="shared" si="132"/>
        <v>3.7297014486341915</v>
      </c>
      <c r="P317" s="6">
        <f t="shared" si="133"/>
        <v>-32.666666666666664</v>
      </c>
      <c r="Q317" s="8">
        <f t="shared" si="134"/>
        <v>-5.060698239044358</v>
      </c>
      <c r="R317" s="272">
        <f t="shared" si="135"/>
        <v>-27.584583683363494</v>
      </c>
    </row>
    <row r="318" spans="7:21" x14ac:dyDescent="0.25">
      <c r="G318" s="6" t="str">
        <f>$A$13</f>
        <v>Negative</v>
      </c>
      <c r="H318" t="str">
        <f>$B$13</f>
        <v>Male</v>
      </c>
      <c r="I318" t="str">
        <f>$C$13</f>
        <v>Therapy 2</v>
      </c>
      <c r="J318" s="6">
        <f>$D$13</f>
        <v>12</v>
      </c>
      <c r="K318" s="384">
        <f t="shared" si="130"/>
        <v>2.4E-2</v>
      </c>
      <c r="L318" s="8">
        <f t="shared" si="131"/>
        <v>2.4849066497880004</v>
      </c>
      <c r="M318" s="6">
        <f t="shared" si="136"/>
        <v>41.666666666666664</v>
      </c>
      <c r="N318" s="384">
        <f t="shared" si="129"/>
        <v>8.3333333333333329E-2</v>
      </c>
      <c r="O318" s="8">
        <f t="shared" si="132"/>
        <v>3.7297014486341915</v>
      </c>
      <c r="P318" s="6">
        <f t="shared" si="133"/>
        <v>-29.666666666666664</v>
      </c>
      <c r="Q318" s="8">
        <f t="shared" si="134"/>
        <v>-4.5959402374994678</v>
      </c>
      <c r="R318" s="272">
        <f t="shared" si="135"/>
        <v>-29.875075172308588</v>
      </c>
    </row>
    <row r="319" spans="7:21" x14ac:dyDescent="0.25">
      <c r="G319" s="6" t="str">
        <f>$A$14</f>
        <v>Negative</v>
      </c>
      <c r="H319" t="str">
        <f>$B$14</f>
        <v>Male</v>
      </c>
      <c r="I319" t="str">
        <f>$C$14</f>
        <v>Therapy 3</v>
      </c>
      <c r="J319" s="6">
        <f>$D$14</f>
        <v>17</v>
      </c>
      <c r="K319" s="384">
        <f t="shared" si="130"/>
        <v>3.4000000000000002E-2</v>
      </c>
      <c r="L319" s="8">
        <f t="shared" si="131"/>
        <v>2.8332133440562162</v>
      </c>
      <c r="M319" s="6">
        <f t="shared" si="136"/>
        <v>41.666666666666664</v>
      </c>
      <c r="N319" s="384">
        <f t="shared" si="129"/>
        <v>8.3333333333333329E-2</v>
      </c>
      <c r="O319" s="8">
        <f t="shared" si="132"/>
        <v>3.7297014486341915</v>
      </c>
      <c r="P319" s="6">
        <f t="shared" si="133"/>
        <v>-24.666666666666664</v>
      </c>
      <c r="Q319" s="8">
        <f t="shared" si="134"/>
        <v>-3.8213435682579844</v>
      </c>
      <c r="R319" s="272">
        <f t="shared" si="135"/>
        <v>-30.480595555651163</v>
      </c>
    </row>
    <row r="320" spans="7:21" x14ac:dyDescent="0.25">
      <c r="G320" s="6" t="str">
        <f>$A$15</f>
        <v>Negative</v>
      </c>
      <c r="H320" t="str">
        <f>$B$15</f>
        <v>Female</v>
      </c>
      <c r="I320" t="str">
        <f>$C$15</f>
        <v>Therapy 1</v>
      </c>
      <c r="J320" s="6">
        <f>$D$15</f>
        <v>16</v>
      </c>
      <c r="K320" s="384">
        <f t="shared" si="130"/>
        <v>3.2000000000000001E-2</v>
      </c>
      <c r="L320" s="8">
        <f t="shared" si="131"/>
        <v>2.7725887222397811</v>
      </c>
      <c r="M320" s="6">
        <f t="shared" si="136"/>
        <v>41.666666666666664</v>
      </c>
      <c r="N320" s="384">
        <f t="shared" si="129"/>
        <v>8.3333333333333329E-2</v>
      </c>
      <c r="O320" s="8">
        <f t="shared" si="132"/>
        <v>3.7297014486341915</v>
      </c>
      <c r="P320" s="6">
        <f t="shared" si="133"/>
        <v>-25.666666666666664</v>
      </c>
      <c r="Q320" s="8">
        <f t="shared" si="134"/>
        <v>-3.976262902106281</v>
      </c>
      <c r="R320" s="272">
        <f t="shared" si="135"/>
        <v>-30.627607244621132</v>
      </c>
    </row>
    <row r="321" spans="7:25" x14ac:dyDescent="0.25">
      <c r="G321" s="6" t="str">
        <f>$A$16</f>
        <v>Negative</v>
      </c>
      <c r="H321" t="str">
        <f>$B$16</f>
        <v>Female</v>
      </c>
      <c r="I321" t="str">
        <f>$C$16</f>
        <v>Therapy 2</v>
      </c>
      <c r="J321" s="6">
        <f>$D$16</f>
        <v>33</v>
      </c>
      <c r="K321" s="384">
        <f t="shared" si="130"/>
        <v>6.6000000000000003E-2</v>
      </c>
      <c r="L321" s="8">
        <f t="shared" si="131"/>
        <v>3.4965075614664802</v>
      </c>
      <c r="M321" s="6">
        <f t="shared" si="136"/>
        <v>41.666666666666664</v>
      </c>
      <c r="N321" s="384">
        <f t="shared" si="129"/>
        <v>8.3333333333333329E-2</v>
      </c>
      <c r="O321" s="8">
        <f t="shared" si="132"/>
        <v>3.7297014486341915</v>
      </c>
      <c r="P321" s="6">
        <f t="shared" si="133"/>
        <v>-8.6666666666666643</v>
      </c>
      <c r="Q321" s="8">
        <f t="shared" si="134"/>
        <v>-1.3426342266852376</v>
      </c>
      <c r="R321" s="272">
        <f t="shared" si="135"/>
        <v>-15.390796553068945</v>
      </c>
    </row>
    <row r="322" spans="7:25" x14ac:dyDescent="0.25">
      <c r="G322" s="9" t="str">
        <f>$A$17</f>
        <v>Negative</v>
      </c>
      <c r="H322" s="10" t="str">
        <f>$B$17</f>
        <v>Female</v>
      </c>
      <c r="I322" s="10" t="str">
        <f>$C$17</f>
        <v>Therapy 3</v>
      </c>
      <c r="J322" s="9">
        <f>$D$17</f>
        <v>56</v>
      </c>
      <c r="K322" s="385">
        <f t="shared" si="130"/>
        <v>0.112</v>
      </c>
      <c r="L322" s="11">
        <f t="shared" si="131"/>
        <v>4.0253516907351496</v>
      </c>
      <c r="M322" s="9">
        <f t="shared" si="136"/>
        <v>41.666666666666664</v>
      </c>
      <c r="N322" s="385">
        <f t="shared" si="129"/>
        <v>8.3333333333333329E-2</v>
      </c>
      <c r="O322" s="11">
        <f t="shared" si="132"/>
        <v>3.7297014486341915</v>
      </c>
      <c r="P322" s="409">
        <f t="shared" si="133"/>
        <v>14.333333333333336</v>
      </c>
      <c r="Q322" s="11">
        <f t="shared" si="134"/>
        <v>2.2205104518255863</v>
      </c>
      <c r="R322" s="168">
        <f t="shared" si="135"/>
        <v>33.112827115307311</v>
      </c>
    </row>
    <row r="323" spans="7:25" x14ac:dyDescent="0.25">
      <c r="R323">
        <f>SUM(R311:R322)</f>
        <v>233.56671709648069</v>
      </c>
    </row>
    <row r="325" spans="7:25" x14ac:dyDescent="0.25">
      <c r="G325" s="1" t="s">
        <v>851</v>
      </c>
    </row>
    <row r="327" spans="7:25" x14ac:dyDescent="0.25">
      <c r="J327" s="1327" t="s">
        <v>302</v>
      </c>
      <c r="K327" s="1328"/>
      <c r="L327" s="1329"/>
      <c r="M327" s="1327" t="s">
        <v>793</v>
      </c>
      <c r="N327" s="1328"/>
      <c r="O327" s="1329"/>
      <c r="P327" s="1324" t="s">
        <v>303</v>
      </c>
      <c r="Q327" s="1330"/>
    </row>
    <row r="328" spans="7:25" x14ac:dyDescent="0.25">
      <c r="G328" s="392" t="str">
        <f>$A$5</f>
        <v>Cure</v>
      </c>
      <c r="H328" s="379" t="str">
        <f>$B$5</f>
        <v>Gender</v>
      </c>
      <c r="I328" s="379" t="str">
        <f>$C$5</f>
        <v>Therapy</v>
      </c>
      <c r="J328" s="381" t="s">
        <v>791</v>
      </c>
      <c r="K328" s="382" t="s">
        <v>790</v>
      </c>
      <c r="L328" s="383" t="s">
        <v>358</v>
      </c>
      <c r="M328" s="381" t="s">
        <v>792</v>
      </c>
      <c r="N328" s="382" t="s">
        <v>790</v>
      </c>
      <c r="O328" s="383" t="s">
        <v>783</v>
      </c>
      <c r="P328" s="430" t="s">
        <v>243</v>
      </c>
      <c r="Q328" s="432" t="s">
        <v>802</v>
      </c>
      <c r="R328" s="387" t="s">
        <v>109</v>
      </c>
      <c r="T328" s="89" t="s">
        <v>109</v>
      </c>
      <c r="U328" s="391">
        <f>R341</f>
        <v>1.1104339218748036</v>
      </c>
      <c r="W328" s="398">
        <f>'Log Lin 2.4'!J6</f>
        <v>60.468941219727789</v>
      </c>
      <c r="X328" s="424">
        <f>'Log Lin 2.4'!K6</f>
        <v>53.109416189162133</v>
      </c>
      <c r="Y328" s="419">
        <f>'Log Lin 2.4'!L6</f>
        <v>107.42164258226687</v>
      </c>
    </row>
    <row r="329" spans="7:25" x14ac:dyDescent="0.25">
      <c r="G329" s="6" t="str">
        <f>$A$6</f>
        <v>Positive</v>
      </c>
      <c r="H329" t="str">
        <f>$B$6</f>
        <v>Male</v>
      </c>
      <c r="I329" t="str">
        <f>$C$6</f>
        <v>Therapy 1</v>
      </c>
      <c r="J329" s="6">
        <f>$D$6</f>
        <v>59</v>
      </c>
      <c r="K329" s="384">
        <f>J329/$D$18</f>
        <v>0.11799999999999999</v>
      </c>
      <c r="L329" s="8">
        <f>LN(J329)</f>
        <v>4.0775374439057197</v>
      </c>
      <c r="M329" s="6">
        <f>W328</f>
        <v>60.468941219727789</v>
      </c>
      <c r="N329" s="384">
        <f t="shared" ref="N329:N340" si="137">M329/D$44</f>
        <v>0.12093788243945558</v>
      </c>
      <c r="O329" s="8">
        <f>LN(M329)</f>
        <v>4.1021298649492275</v>
      </c>
      <c r="P329" s="429">
        <f>J329-M329</f>
        <v>-1.4689412197277889</v>
      </c>
      <c r="Q329" s="428">
        <f>P329/SQRT(M329)</f>
        <v>-0.18890273049201523</v>
      </c>
      <c r="R329" s="272">
        <f>2*J329*(L329-O329)</f>
        <v>-2.9019056831339185</v>
      </c>
      <c r="T329" t="s">
        <v>60</v>
      </c>
      <c r="U329" s="272">
        <f>(A27-1)*(B27-1)*(C27-1)</f>
        <v>2</v>
      </c>
      <c r="W329" s="6">
        <f>'Log Lin 2.4'!J7</f>
        <v>30.531058777114517</v>
      </c>
      <c r="X329" s="7">
        <f>'Log Lin 2.4'!K7</f>
        <v>25.890583824262364</v>
      </c>
      <c r="Y329" s="8">
        <f>'Log Lin 2.4'!L7</f>
        <v>79.578357410410149</v>
      </c>
    </row>
    <row r="330" spans="7:25" x14ac:dyDescent="0.25">
      <c r="G330" s="6" t="str">
        <f>$A$7</f>
        <v>Positive</v>
      </c>
      <c r="H330" t="str">
        <f>$B$7</f>
        <v>Male</v>
      </c>
      <c r="I330" t="str">
        <f>$C$7</f>
        <v>Therapy 2</v>
      </c>
      <c r="J330" s="6">
        <f>$D$7</f>
        <v>55</v>
      </c>
      <c r="K330" s="384">
        <f t="shared" ref="K330:K340" si="138">J330/$D$18</f>
        <v>0.11</v>
      </c>
      <c r="L330" s="8">
        <f t="shared" ref="L330:L340" si="139">LN(J330)</f>
        <v>4.0073331852324712</v>
      </c>
      <c r="M330" s="6">
        <f>X328</f>
        <v>53.109416189162133</v>
      </c>
      <c r="N330" s="384">
        <f t="shared" si="137"/>
        <v>0.10621883237832426</v>
      </c>
      <c r="O330" s="8">
        <f t="shared" ref="O330:O340" si="140">LN(M330)</f>
        <v>3.972354241889652</v>
      </c>
      <c r="P330" s="6">
        <f t="shared" ref="P330:P340" si="141">J330-M330</f>
        <v>1.8905838108378674</v>
      </c>
      <c r="Q330" s="8">
        <f t="shared" ref="Q330:Q340" si="142">P330/SQRT(M330)</f>
        <v>0.25942401173339852</v>
      </c>
      <c r="R330" s="272">
        <f t="shared" ref="R330:R340" si="143">2*J330*(L330-O330)</f>
        <v>3.8476837677101061</v>
      </c>
      <c r="T330" s="30" t="s">
        <v>48</v>
      </c>
      <c r="U330" s="272">
        <v>0.05</v>
      </c>
      <c r="W330" s="6">
        <f>'Log Lin 2.4'!J8</f>
        <v>7.5310587802722173</v>
      </c>
      <c r="X330" s="7">
        <f>'Log Lin 2.4'!K8</f>
        <v>13.890583810837864</v>
      </c>
      <c r="Y330" s="8">
        <f>'Log Lin 2.4'!L8</f>
        <v>16.57835741773313</v>
      </c>
    </row>
    <row r="331" spans="7:25" x14ac:dyDescent="0.25">
      <c r="G331" s="6" t="str">
        <f>$A$8</f>
        <v>Positive</v>
      </c>
      <c r="H331" t="str">
        <f>$B$8</f>
        <v>Male</v>
      </c>
      <c r="I331" t="str">
        <f>$C$8</f>
        <v>Therapy 3</v>
      </c>
      <c r="J331" s="6">
        <f>$D$8</f>
        <v>107</v>
      </c>
      <c r="K331" s="384">
        <f t="shared" si="138"/>
        <v>0.214</v>
      </c>
      <c r="L331" s="8">
        <f t="shared" si="139"/>
        <v>4.6728288344619058</v>
      </c>
      <c r="M331" s="6">
        <f>Y328</f>
        <v>107.42164258226687</v>
      </c>
      <c r="N331" s="384">
        <f t="shared" si="137"/>
        <v>0.21484328516453374</v>
      </c>
      <c r="O331" s="8">
        <f t="shared" si="140"/>
        <v>4.6767616755749533</v>
      </c>
      <c r="P331" s="6">
        <f t="shared" si="141"/>
        <v>-0.42164258226686968</v>
      </c>
      <c r="Q331" s="8">
        <f t="shared" si="142"/>
        <v>-4.0681651020757006E-2</v>
      </c>
      <c r="R331" s="272">
        <f t="shared" si="143"/>
        <v>-0.84162799819216083</v>
      </c>
      <c r="T331" s="372" t="s">
        <v>67</v>
      </c>
      <c r="U331" s="272">
        <f>CHIDIST(U328,U329)</f>
        <v>0.57394772345091205</v>
      </c>
      <c r="W331" s="409">
        <f>'Log Lin 2.4'!J9</f>
        <v>17.468941222885476</v>
      </c>
      <c r="X331" s="10">
        <f>'Log Lin 2.4'!K9</f>
        <v>31.109416175737632</v>
      </c>
      <c r="Y331" s="417">
        <f>'Log Lin 2.4'!L9</f>
        <v>56.421642589589844</v>
      </c>
    </row>
    <row r="332" spans="7:25" x14ac:dyDescent="0.25">
      <c r="G332" s="6" t="str">
        <f>$A$9</f>
        <v>Positive</v>
      </c>
      <c r="H332" t="str">
        <f>$B$9</f>
        <v>Female</v>
      </c>
      <c r="I332" t="str">
        <f>$C$9</f>
        <v>Therapy 1</v>
      </c>
      <c r="J332" s="6">
        <f>$D$9</f>
        <v>32</v>
      </c>
      <c r="K332" s="384">
        <f t="shared" si="138"/>
        <v>6.4000000000000001E-2</v>
      </c>
      <c r="L332" s="8">
        <f t="shared" si="139"/>
        <v>3.4657359027997265</v>
      </c>
      <c r="M332" s="6">
        <f>W329</f>
        <v>30.531058777114517</v>
      </c>
      <c r="N332" s="384">
        <f t="shared" si="137"/>
        <v>6.106211755422903E-2</v>
      </c>
      <c r="O332" s="8">
        <f t="shared" si="140"/>
        <v>3.4187444860378382</v>
      </c>
      <c r="P332" s="6">
        <f t="shared" si="141"/>
        <v>1.4689412228854835</v>
      </c>
      <c r="Q332" s="8">
        <f t="shared" si="142"/>
        <v>0.26584805418548402</v>
      </c>
      <c r="R332" s="272">
        <f t="shared" si="143"/>
        <v>3.0074506727608536</v>
      </c>
      <c r="T332" s="89" t="s">
        <v>110</v>
      </c>
      <c r="U332" s="272">
        <f>CHIINV(U330,U329)</f>
        <v>5.9914645471079817</v>
      </c>
    </row>
    <row r="333" spans="7:25" x14ac:dyDescent="0.25">
      <c r="G333" s="6" t="str">
        <f>$A$10</f>
        <v>Positive</v>
      </c>
      <c r="H333" t="str">
        <f>$B$10</f>
        <v>Female</v>
      </c>
      <c r="I333" t="str">
        <f>$C$10</f>
        <v>Therapy 2</v>
      </c>
      <c r="J333" s="6">
        <f>$D$10</f>
        <v>24</v>
      </c>
      <c r="K333" s="384">
        <f t="shared" si="138"/>
        <v>4.8000000000000001E-2</v>
      </c>
      <c r="L333" s="8">
        <f t="shared" si="139"/>
        <v>3.1780538303479458</v>
      </c>
      <c r="M333" s="6">
        <f>X329</f>
        <v>25.890583824262364</v>
      </c>
      <c r="N333" s="384">
        <f t="shared" si="137"/>
        <v>5.178116764852473E-2</v>
      </c>
      <c r="O333" s="8">
        <f t="shared" si="140"/>
        <v>3.2538793436931406</v>
      </c>
      <c r="P333" s="6">
        <f t="shared" si="141"/>
        <v>-1.8905838242623645</v>
      </c>
      <c r="Q333" s="8">
        <f t="shared" si="142"/>
        <v>-0.37155663060278299</v>
      </c>
      <c r="R333" s="272">
        <f t="shared" si="143"/>
        <v>-3.6396246405693518</v>
      </c>
      <c r="T333" s="372" t="s">
        <v>527</v>
      </c>
      <c r="U333" s="166" t="str">
        <f>IF(U331&lt;U330,"yes","no")</f>
        <v>no</v>
      </c>
    </row>
    <row r="334" spans="7:25" x14ac:dyDescent="0.25">
      <c r="G334" s="6" t="str">
        <f>$A$11</f>
        <v>Positive</v>
      </c>
      <c r="H334" t="str">
        <f>$B$11</f>
        <v>Female</v>
      </c>
      <c r="I334" t="str">
        <f>$C$11</f>
        <v>Therapy 3</v>
      </c>
      <c r="J334" s="6">
        <f>$D$11</f>
        <v>80</v>
      </c>
      <c r="K334" s="384">
        <f t="shared" si="138"/>
        <v>0.16</v>
      </c>
      <c r="L334" s="8">
        <f t="shared" si="139"/>
        <v>4.3820266346738812</v>
      </c>
      <c r="M334" s="6">
        <f>Y329</f>
        <v>79.578357410410149</v>
      </c>
      <c r="N334" s="384">
        <f t="shared" si="137"/>
        <v>0.15915671482082031</v>
      </c>
      <c r="O334" s="8">
        <f t="shared" si="140"/>
        <v>4.3767421640520343</v>
      </c>
      <c r="P334" s="6">
        <f t="shared" si="141"/>
        <v>0.42164258958985101</v>
      </c>
      <c r="Q334" s="8">
        <f t="shared" si="142"/>
        <v>4.7265797139122663E-2</v>
      </c>
      <c r="R334" s="272">
        <f t="shared" si="143"/>
        <v>0.84551529949550286</v>
      </c>
    </row>
    <row r="335" spans="7:25" x14ac:dyDescent="0.25">
      <c r="G335" s="6" t="str">
        <f>$A$12</f>
        <v>Negative</v>
      </c>
      <c r="H335" t="str">
        <f>$B$12</f>
        <v>Male</v>
      </c>
      <c r="I335" t="str">
        <f>$C$12</f>
        <v>Therapy 1</v>
      </c>
      <c r="J335" s="6">
        <f>$D$12</f>
        <v>9</v>
      </c>
      <c r="K335" s="384">
        <f t="shared" si="138"/>
        <v>1.7999999999999999E-2</v>
      </c>
      <c r="L335" s="8">
        <f t="shared" si="139"/>
        <v>2.1972245773362196</v>
      </c>
      <c r="M335" s="6">
        <f>W330</f>
        <v>7.5310587802722173</v>
      </c>
      <c r="N335" s="384">
        <f t="shared" si="137"/>
        <v>1.5062117560544435E-2</v>
      </c>
      <c r="O335" s="8">
        <f t="shared" si="140"/>
        <v>2.0190356401972687</v>
      </c>
      <c r="P335" s="6">
        <f t="shared" si="141"/>
        <v>1.4689412197277827</v>
      </c>
      <c r="Q335" s="8">
        <f t="shared" si="142"/>
        <v>0.535274308398071</v>
      </c>
      <c r="R335" s="272">
        <f t="shared" si="143"/>
        <v>3.2074008685011162</v>
      </c>
    </row>
    <row r="336" spans="7:25" x14ac:dyDescent="0.25">
      <c r="G336" s="6" t="str">
        <f>$A$13</f>
        <v>Negative</v>
      </c>
      <c r="H336" t="str">
        <f>$B$13</f>
        <v>Male</v>
      </c>
      <c r="I336" t="str">
        <f>$C$13</f>
        <v>Therapy 2</v>
      </c>
      <c r="J336" s="6">
        <f>$D$13</f>
        <v>12</v>
      </c>
      <c r="K336" s="384">
        <f t="shared" si="138"/>
        <v>2.4E-2</v>
      </c>
      <c r="L336" s="8">
        <f t="shared" si="139"/>
        <v>2.4849066497880004</v>
      </c>
      <c r="M336" s="6">
        <f>X330</f>
        <v>13.890583810837864</v>
      </c>
      <c r="N336" s="384">
        <f t="shared" si="137"/>
        <v>2.7781167621675727E-2</v>
      </c>
      <c r="O336" s="8">
        <f t="shared" si="140"/>
        <v>2.6312111869008188</v>
      </c>
      <c r="P336" s="6">
        <f t="shared" si="141"/>
        <v>-1.8905838108378639</v>
      </c>
      <c r="Q336" s="8">
        <f t="shared" si="142"/>
        <v>-0.50726591918647645</v>
      </c>
      <c r="R336" s="272">
        <f t="shared" si="143"/>
        <v>-3.5113088907076424</v>
      </c>
    </row>
    <row r="337" spans="7:18" x14ac:dyDescent="0.25">
      <c r="G337" s="6" t="str">
        <f>$A$14</f>
        <v>Negative</v>
      </c>
      <c r="H337" t="str">
        <f>$B$14</f>
        <v>Male</v>
      </c>
      <c r="I337" t="str">
        <f>$C$14</f>
        <v>Therapy 3</v>
      </c>
      <c r="J337" s="6">
        <f>$D$14</f>
        <v>17</v>
      </c>
      <c r="K337" s="384">
        <f t="shared" si="138"/>
        <v>3.4000000000000002E-2</v>
      </c>
      <c r="L337" s="8">
        <f t="shared" si="139"/>
        <v>2.8332133440562162</v>
      </c>
      <c r="M337" s="6">
        <f>Y330</f>
        <v>16.57835741773313</v>
      </c>
      <c r="N337" s="384">
        <f t="shared" si="137"/>
        <v>3.3156714835466262E-2</v>
      </c>
      <c r="O337" s="8">
        <f t="shared" si="140"/>
        <v>2.8080980746988473</v>
      </c>
      <c r="P337" s="6">
        <f t="shared" si="141"/>
        <v>0.42164258226686968</v>
      </c>
      <c r="Q337" s="8">
        <f t="shared" si="142"/>
        <v>0.10355563001304159</v>
      </c>
      <c r="R337" s="272">
        <f t="shared" si="143"/>
        <v>0.85391915815054098</v>
      </c>
    </row>
    <row r="338" spans="7:18" x14ac:dyDescent="0.25">
      <c r="G338" s="6" t="str">
        <f>$A$15</f>
        <v>Negative</v>
      </c>
      <c r="H338" t="str">
        <f>$B$15</f>
        <v>Female</v>
      </c>
      <c r="I338" t="str">
        <f>$C$15</f>
        <v>Therapy 1</v>
      </c>
      <c r="J338" s="6">
        <f>$D$15</f>
        <v>16</v>
      </c>
      <c r="K338" s="384">
        <f t="shared" si="138"/>
        <v>3.2000000000000001E-2</v>
      </c>
      <c r="L338" s="8">
        <f t="shared" si="139"/>
        <v>2.7725887222397811</v>
      </c>
      <c r="M338" s="6">
        <f>W331</f>
        <v>17.468941222885476</v>
      </c>
      <c r="N338" s="384">
        <f t="shared" si="137"/>
        <v>3.4937882445770951E-2</v>
      </c>
      <c r="O338" s="8">
        <f t="shared" si="140"/>
        <v>2.8604245168649323</v>
      </c>
      <c r="P338" s="6">
        <f t="shared" si="141"/>
        <v>-1.4689412228854763</v>
      </c>
      <c r="Q338" s="8">
        <f t="shared" si="142"/>
        <v>-0.35145613344243143</v>
      </c>
      <c r="R338" s="272">
        <f t="shared" si="143"/>
        <v>-2.8107454280048358</v>
      </c>
    </row>
    <row r="339" spans="7:18" x14ac:dyDescent="0.25">
      <c r="G339" s="6" t="str">
        <f>$A$16</f>
        <v>Negative</v>
      </c>
      <c r="H339" t="str">
        <f>$B$16</f>
        <v>Female</v>
      </c>
      <c r="I339" t="str">
        <f>$C$16</f>
        <v>Therapy 2</v>
      </c>
      <c r="J339" s="6">
        <f>$D$16</f>
        <v>33</v>
      </c>
      <c r="K339" s="384">
        <f t="shared" si="138"/>
        <v>6.6000000000000003E-2</v>
      </c>
      <c r="L339" s="8">
        <f t="shared" si="139"/>
        <v>3.4965075614664802</v>
      </c>
      <c r="M339" s="6">
        <f>X331</f>
        <v>31.109416175737632</v>
      </c>
      <c r="N339" s="384">
        <f t="shared" si="137"/>
        <v>6.2218832351475267E-2</v>
      </c>
      <c r="O339" s="8">
        <f t="shared" si="140"/>
        <v>3.4375105442833616</v>
      </c>
      <c r="P339" s="6">
        <f t="shared" si="141"/>
        <v>1.890583824262368</v>
      </c>
      <c r="Q339" s="8">
        <f t="shared" si="142"/>
        <v>0.33896121470584523</v>
      </c>
      <c r="R339" s="272">
        <f t="shared" si="143"/>
        <v>3.8938031340858323</v>
      </c>
    </row>
    <row r="340" spans="7:18" x14ac:dyDescent="0.25">
      <c r="G340" s="9" t="str">
        <f>$A$17</f>
        <v>Negative</v>
      </c>
      <c r="H340" s="10" t="str">
        <f>$B$17</f>
        <v>Female</v>
      </c>
      <c r="I340" s="10" t="str">
        <f>$C$17</f>
        <v>Therapy 3</v>
      </c>
      <c r="J340" s="9">
        <f>$D$17</f>
        <v>56</v>
      </c>
      <c r="K340" s="385">
        <f t="shared" si="138"/>
        <v>0.112</v>
      </c>
      <c r="L340" s="11">
        <f t="shared" si="139"/>
        <v>4.0253516907351496</v>
      </c>
      <c r="M340" s="409">
        <f>Y331</f>
        <v>56.421642589589844</v>
      </c>
      <c r="N340" s="385">
        <f t="shared" si="137"/>
        <v>0.11284328517917969</v>
      </c>
      <c r="O340" s="11">
        <f t="shared" si="140"/>
        <v>4.0328528187549821</v>
      </c>
      <c r="P340" s="409">
        <f t="shared" si="141"/>
        <v>-0.42164258958984391</v>
      </c>
      <c r="Q340" s="11">
        <f t="shared" si="142"/>
        <v>-5.6133433731185761E-2</v>
      </c>
      <c r="R340" s="168">
        <f t="shared" si="143"/>
        <v>-0.84012633822123917</v>
      </c>
    </row>
    <row r="341" spans="7:18" x14ac:dyDescent="0.25">
      <c r="R341">
        <f>SUM(R329:R340)</f>
        <v>1.1104339218748036</v>
      </c>
    </row>
  </sheetData>
  <mergeCells count="57">
    <mergeCell ref="J327:L327"/>
    <mergeCell ref="M327:O327"/>
    <mergeCell ref="P327:Q327"/>
    <mergeCell ref="J291:L291"/>
    <mergeCell ref="M291:O291"/>
    <mergeCell ref="P291:Q291"/>
    <mergeCell ref="J309:L309"/>
    <mergeCell ref="M309:O309"/>
    <mergeCell ref="P309:Q309"/>
    <mergeCell ref="J255:L255"/>
    <mergeCell ref="M255:O255"/>
    <mergeCell ref="P255:Q255"/>
    <mergeCell ref="J273:L273"/>
    <mergeCell ref="M273:O273"/>
    <mergeCell ref="P273:Q273"/>
    <mergeCell ref="J219:L219"/>
    <mergeCell ref="M219:O219"/>
    <mergeCell ref="P219:Q219"/>
    <mergeCell ref="J237:L237"/>
    <mergeCell ref="M237:O237"/>
    <mergeCell ref="P237:Q237"/>
    <mergeCell ref="J183:L183"/>
    <mergeCell ref="M183:O183"/>
    <mergeCell ref="P183:Q183"/>
    <mergeCell ref="J201:L201"/>
    <mergeCell ref="M201:O201"/>
    <mergeCell ref="P201:Q201"/>
    <mergeCell ref="J147:L147"/>
    <mergeCell ref="M147:O147"/>
    <mergeCell ref="P147:Q147"/>
    <mergeCell ref="J165:L165"/>
    <mergeCell ref="M165:O165"/>
    <mergeCell ref="P165:Q165"/>
    <mergeCell ref="J111:L111"/>
    <mergeCell ref="M111:O111"/>
    <mergeCell ref="P111:Q111"/>
    <mergeCell ref="J129:L129"/>
    <mergeCell ref="M129:O129"/>
    <mergeCell ref="P129:Q129"/>
    <mergeCell ref="J75:L75"/>
    <mergeCell ref="M75:O75"/>
    <mergeCell ref="P75:Q75"/>
    <mergeCell ref="J93:L93"/>
    <mergeCell ref="M93:O93"/>
    <mergeCell ref="P93:Q93"/>
    <mergeCell ref="J40:L40"/>
    <mergeCell ref="M40:O40"/>
    <mergeCell ref="P40:Q40"/>
    <mergeCell ref="J57:L57"/>
    <mergeCell ref="M57:O57"/>
    <mergeCell ref="P57:Q57"/>
    <mergeCell ref="J6:L6"/>
    <mergeCell ref="M6:O6"/>
    <mergeCell ref="P6:Q6"/>
    <mergeCell ref="J23:L23"/>
    <mergeCell ref="M23:O23"/>
    <mergeCell ref="P23:Q23"/>
  </mergeCells>
  <pageMargins left="0.7" right="0.7" top="0.75" bottom="0.75" header="0.3" footer="0.3"/>
  <ignoredErrors>
    <ignoredError sqref="D127" evalError="1"/>
  </ignoredError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M84"/>
  <sheetViews>
    <sheetView workbookViewId="0"/>
  </sheetViews>
  <sheetFormatPr defaultRowHeight="15" x14ac:dyDescent="0.25"/>
  <sheetData>
    <row r="1" spans="1:13" x14ac:dyDescent="0.25">
      <c r="A1" s="1" t="s">
        <v>859</v>
      </c>
    </row>
    <row r="2" spans="1:13" x14ac:dyDescent="0.25">
      <c r="A2" s="1"/>
    </row>
    <row r="3" spans="1:13" x14ac:dyDescent="0.25">
      <c r="A3" s="17" t="s">
        <v>81</v>
      </c>
      <c r="H3" t="s">
        <v>860</v>
      </c>
    </row>
    <row r="5" spans="1:13" x14ac:dyDescent="0.25">
      <c r="C5" s="13" t="s">
        <v>115</v>
      </c>
      <c r="D5" s="13" t="s">
        <v>116</v>
      </c>
      <c r="E5" s="13" t="s">
        <v>818</v>
      </c>
      <c r="J5" s="13" t="s">
        <v>115</v>
      </c>
      <c r="K5" s="13" t="s">
        <v>116</v>
      </c>
      <c r="L5" s="13" t="s">
        <v>818</v>
      </c>
    </row>
    <row r="6" spans="1:13" x14ac:dyDescent="0.25">
      <c r="A6" t="s">
        <v>820</v>
      </c>
      <c r="B6" t="s">
        <v>130</v>
      </c>
      <c r="C6" s="398">
        <v>59</v>
      </c>
      <c r="D6" s="424">
        <v>55</v>
      </c>
      <c r="E6" s="419">
        <v>107</v>
      </c>
      <c r="F6">
        <f>SUM(C6:E6)</f>
        <v>221</v>
      </c>
      <c r="H6" t="s">
        <v>820</v>
      </c>
      <c r="I6" t="s">
        <v>130</v>
      </c>
      <c r="J6" s="429">
        <f>$M6*J12/$M12</f>
        <v>56.333333333333336</v>
      </c>
      <c r="K6" s="433">
        <f>$M6*K12/$M12</f>
        <v>48.904761904761905</v>
      </c>
      <c r="L6" s="428">
        <f>$M6*L12/$M12</f>
        <v>115.76190476190476</v>
      </c>
      <c r="M6">
        <f>F6</f>
        <v>221</v>
      </c>
    </row>
    <row r="7" spans="1:13" x14ac:dyDescent="0.25">
      <c r="A7" t="s">
        <v>820</v>
      </c>
      <c r="B7" t="s">
        <v>108</v>
      </c>
      <c r="C7" s="6">
        <v>32</v>
      </c>
      <c r="D7" s="7">
        <v>24</v>
      </c>
      <c r="E7" s="8">
        <v>80</v>
      </c>
      <c r="F7">
        <f t="shared" ref="F7:F16" si="0">SUM(C7:E7)</f>
        <v>136</v>
      </c>
      <c r="H7" t="s">
        <v>820</v>
      </c>
      <c r="I7" t="s">
        <v>108</v>
      </c>
      <c r="J7" s="6">
        <f t="shared" ref="J7:L8" si="1">$M7*J12/$M12</f>
        <v>34.666666666666664</v>
      </c>
      <c r="K7" s="7">
        <f t="shared" si="1"/>
        <v>30.095238095238095</v>
      </c>
      <c r="L7" s="8">
        <f t="shared" si="1"/>
        <v>71.238095238095241</v>
      </c>
      <c r="M7">
        <f>F7</f>
        <v>136</v>
      </c>
    </row>
    <row r="8" spans="1:13" x14ac:dyDescent="0.25">
      <c r="A8" t="s">
        <v>821</v>
      </c>
      <c r="B8" t="s">
        <v>130</v>
      </c>
      <c r="C8" s="6">
        <v>9</v>
      </c>
      <c r="D8" s="7">
        <v>12</v>
      </c>
      <c r="E8" s="8">
        <v>17</v>
      </c>
      <c r="F8">
        <f t="shared" si="0"/>
        <v>38</v>
      </c>
      <c r="H8" t="s">
        <v>821</v>
      </c>
      <c r="I8" t="s">
        <v>130</v>
      </c>
      <c r="J8" s="6">
        <f t="shared" si="1"/>
        <v>6.6433566433566433</v>
      </c>
      <c r="K8" s="7">
        <f t="shared" si="1"/>
        <v>11.958041958041958</v>
      </c>
      <c r="L8" s="8">
        <f t="shared" si="1"/>
        <v>19.3986013986014</v>
      </c>
      <c r="M8">
        <f>F8</f>
        <v>38</v>
      </c>
    </row>
    <row r="9" spans="1:13" x14ac:dyDescent="0.25">
      <c r="A9" t="s">
        <v>821</v>
      </c>
      <c r="B9" t="s">
        <v>108</v>
      </c>
      <c r="C9" s="409">
        <v>16</v>
      </c>
      <c r="D9" s="10">
        <v>33</v>
      </c>
      <c r="E9" s="417">
        <v>56</v>
      </c>
      <c r="F9">
        <f t="shared" si="0"/>
        <v>105</v>
      </c>
      <c r="H9" t="s">
        <v>821</v>
      </c>
      <c r="I9" t="s">
        <v>108</v>
      </c>
      <c r="J9" s="409">
        <f>$M9*J13/$M13</f>
        <v>18.356643356643357</v>
      </c>
      <c r="K9" s="10">
        <f>$M9*K13/$M13</f>
        <v>33.04195804195804</v>
      </c>
      <c r="L9" s="11">
        <f>$M9*L13/$M13</f>
        <v>53.6013986013986</v>
      </c>
      <c r="M9">
        <f>F9</f>
        <v>105</v>
      </c>
    </row>
    <row r="10" spans="1:13" x14ac:dyDescent="0.25">
      <c r="C10">
        <f>SUM(C6:C9)</f>
        <v>116</v>
      </c>
      <c r="D10">
        <f>SUM(D6:D9)</f>
        <v>124</v>
      </c>
      <c r="E10">
        <f>SUM(E6:E9)</f>
        <v>260</v>
      </c>
      <c r="F10">
        <f t="shared" si="0"/>
        <v>500</v>
      </c>
      <c r="J10">
        <f>C10</f>
        <v>116</v>
      </c>
      <c r="K10">
        <f>D10</f>
        <v>124</v>
      </c>
      <c r="L10">
        <f>E10</f>
        <v>260</v>
      </c>
      <c r="M10">
        <f>F10</f>
        <v>500</v>
      </c>
    </row>
    <row r="12" spans="1:13" x14ac:dyDescent="0.25">
      <c r="A12" t="s">
        <v>820</v>
      </c>
      <c r="C12" s="393">
        <f>SUM(C6:C7)</f>
        <v>91</v>
      </c>
      <c r="D12" s="395">
        <f>SUM(D6:D7)</f>
        <v>79</v>
      </c>
      <c r="E12" s="396">
        <f>SUM(E6:E7)</f>
        <v>187</v>
      </c>
      <c r="F12">
        <f t="shared" si="0"/>
        <v>357</v>
      </c>
      <c r="H12" t="s">
        <v>820</v>
      </c>
      <c r="J12" s="429">
        <f t="shared" ref="J12:M13" si="2">C12</f>
        <v>91</v>
      </c>
      <c r="K12" s="433">
        <f t="shared" si="2"/>
        <v>79</v>
      </c>
      <c r="L12" s="428">
        <f t="shared" si="2"/>
        <v>187</v>
      </c>
      <c r="M12" s="7">
        <f t="shared" si="2"/>
        <v>357</v>
      </c>
    </row>
    <row r="13" spans="1:13" x14ac:dyDescent="0.25">
      <c r="A13" t="s">
        <v>821</v>
      </c>
      <c r="C13" s="9">
        <f>SUM(C8:C9)</f>
        <v>25</v>
      </c>
      <c r="D13" s="10">
        <f>SUM(D8:D9)</f>
        <v>45</v>
      </c>
      <c r="E13" s="11">
        <f>SUM(E8:E9)</f>
        <v>73</v>
      </c>
      <c r="F13">
        <f t="shared" si="0"/>
        <v>143</v>
      </c>
      <c r="H13" t="s">
        <v>821</v>
      </c>
      <c r="J13" s="409">
        <f t="shared" si="2"/>
        <v>25</v>
      </c>
      <c r="K13" s="10">
        <f t="shared" si="2"/>
        <v>45</v>
      </c>
      <c r="L13" s="11">
        <f t="shared" si="2"/>
        <v>73</v>
      </c>
      <c r="M13" s="7">
        <f t="shared" si="2"/>
        <v>143</v>
      </c>
    </row>
    <row r="15" spans="1:13" x14ac:dyDescent="0.25">
      <c r="B15" t="s">
        <v>130</v>
      </c>
      <c r="C15" s="393">
        <f t="shared" ref="C15:E16" si="3">C6+C8</f>
        <v>68</v>
      </c>
      <c r="D15" s="395">
        <f t="shared" si="3"/>
        <v>67</v>
      </c>
      <c r="E15" s="396">
        <f t="shared" si="3"/>
        <v>124</v>
      </c>
      <c r="F15">
        <f t="shared" si="0"/>
        <v>259</v>
      </c>
      <c r="I15" t="s">
        <v>130</v>
      </c>
      <c r="J15" s="429">
        <f t="shared" ref="J15:M16" si="4">C15</f>
        <v>68</v>
      </c>
      <c r="K15" s="433">
        <f t="shared" si="4"/>
        <v>67</v>
      </c>
      <c r="L15" s="428">
        <f t="shared" si="4"/>
        <v>124</v>
      </c>
      <c r="M15" s="7">
        <f t="shared" si="4"/>
        <v>259</v>
      </c>
    </row>
    <row r="16" spans="1:13" x14ac:dyDescent="0.25">
      <c r="B16" t="s">
        <v>108</v>
      </c>
      <c r="C16" s="9">
        <f t="shared" si="3"/>
        <v>48</v>
      </c>
      <c r="D16" s="10">
        <f t="shared" si="3"/>
        <v>57</v>
      </c>
      <c r="E16" s="11">
        <f t="shared" si="3"/>
        <v>136</v>
      </c>
      <c r="F16">
        <f t="shared" si="0"/>
        <v>241</v>
      </c>
      <c r="I16" t="s">
        <v>108</v>
      </c>
      <c r="J16" s="409">
        <f t="shared" si="4"/>
        <v>48</v>
      </c>
      <c r="K16" s="10">
        <f t="shared" si="4"/>
        <v>57</v>
      </c>
      <c r="L16" s="11">
        <f t="shared" si="4"/>
        <v>136</v>
      </c>
      <c r="M16" s="7">
        <f t="shared" si="4"/>
        <v>241</v>
      </c>
    </row>
    <row r="18" spans="1:13" x14ac:dyDescent="0.25">
      <c r="A18" s="1" t="s">
        <v>861</v>
      </c>
    </row>
    <row r="20" spans="1:13" x14ac:dyDescent="0.25">
      <c r="A20" s="17" t="s">
        <v>81</v>
      </c>
      <c r="H20" t="s">
        <v>860</v>
      </c>
    </row>
    <row r="22" spans="1:13" x14ac:dyDescent="0.25">
      <c r="C22" s="13" t="s">
        <v>115</v>
      </c>
      <c r="D22" s="13" t="s">
        <v>116</v>
      </c>
      <c r="E22" s="13" t="s">
        <v>818</v>
      </c>
      <c r="J22" s="13" t="s">
        <v>115</v>
      </c>
      <c r="K22" s="13" t="s">
        <v>116</v>
      </c>
      <c r="L22" s="13" t="s">
        <v>818</v>
      </c>
    </row>
    <row r="23" spans="1:13" x14ac:dyDescent="0.25">
      <c r="A23" t="s">
        <v>820</v>
      </c>
      <c r="B23" t="s">
        <v>130</v>
      </c>
      <c r="C23" s="398">
        <v>59</v>
      </c>
      <c r="D23" s="424">
        <v>55</v>
      </c>
      <c r="E23" s="419">
        <v>107</v>
      </c>
      <c r="F23">
        <f>SUM(C23:E23)</f>
        <v>221</v>
      </c>
      <c r="H23" t="s">
        <v>820</v>
      </c>
      <c r="I23" t="s">
        <v>130</v>
      </c>
      <c r="J23" s="429">
        <f>J$32*$M$29/$M$27</f>
        <v>48.552</v>
      </c>
      <c r="K23" s="433">
        <f>K$32*$M$29/$M$27</f>
        <v>47.838000000000001</v>
      </c>
      <c r="L23" s="428">
        <f>L$32*$M$29/$M$27</f>
        <v>88.536000000000001</v>
      </c>
      <c r="M23">
        <f>F23</f>
        <v>221</v>
      </c>
    </row>
    <row r="24" spans="1:13" x14ac:dyDescent="0.25">
      <c r="A24" t="s">
        <v>820</v>
      </c>
      <c r="B24" t="s">
        <v>108</v>
      </c>
      <c r="C24" s="6">
        <v>32</v>
      </c>
      <c r="D24" s="7">
        <v>24</v>
      </c>
      <c r="E24" s="8">
        <v>80</v>
      </c>
      <c r="F24">
        <f>SUM(C24:E24)</f>
        <v>136</v>
      </c>
      <c r="H24" t="s">
        <v>820</v>
      </c>
      <c r="I24" t="s">
        <v>108</v>
      </c>
      <c r="J24" s="6">
        <f>J$33*$M$29/$M$27</f>
        <v>34.271999999999998</v>
      </c>
      <c r="K24" s="7">
        <f>K$33*$M$29/$M$27</f>
        <v>40.698</v>
      </c>
      <c r="L24" s="8">
        <f>L$33*$M$29/$M$27</f>
        <v>97.103999999999999</v>
      </c>
      <c r="M24">
        <f>F24</f>
        <v>136</v>
      </c>
    </row>
    <row r="25" spans="1:13" x14ac:dyDescent="0.25">
      <c r="A25" t="s">
        <v>821</v>
      </c>
      <c r="B25" t="s">
        <v>130</v>
      </c>
      <c r="C25" s="6">
        <v>9</v>
      </c>
      <c r="D25" s="7">
        <v>12</v>
      </c>
      <c r="E25" s="8">
        <v>17</v>
      </c>
      <c r="F25">
        <f>SUM(C25:E25)</f>
        <v>38</v>
      </c>
      <c r="H25" t="s">
        <v>821</v>
      </c>
      <c r="I25" t="s">
        <v>130</v>
      </c>
      <c r="J25" s="6">
        <f>J$32*$M$30/$M$27</f>
        <v>19.448</v>
      </c>
      <c r="K25" s="7">
        <f>K$32*$M$30/$M$27</f>
        <v>19.161999999999999</v>
      </c>
      <c r="L25" s="8">
        <f>L$32*$M$30/$M$27</f>
        <v>35.463999999999999</v>
      </c>
      <c r="M25">
        <f>F25</f>
        <v>38</v>
      </c>
    </row>
    <row r="26" spans="1:13" x14ac:dyDescent="0.25">
      <c r="A26" t="s">
        <v>821</v>
      </c>
      <c r="B26" t="s">
        <v>108</v>
      </c>
      <c r="C26" s="409">
        <v>16</v>
      </c>
      <c r="D26" s="10">
        <v>33</v>
      </c>
      <c r="E26" s="417">
        <v>56</v>
      </c>
      <c r="F26">
        <f>SUM(C26:E26)</f>
        <v>105</v>
      </c>
      <c r="H26" t="s">
        <v>821</v>
      </c>
      <c r="I26" t="s">
        <v>108</v>
      </c>
      <c r="J26" s="409">
        <f>J$33*$M$30/$M$27</f>
        <v>13.728</v>
      </c>
      <c r="K26" s="10">
        <f>K$33*$M$30/$M$27</f>
        <v>16.302</v>
      </c>
      <c r="L26" s="11">
        <f>L$33*$M$30/$M$27</f>
        <v>38.896000000000001</v>
      </c>
      <c r="M26">
        <f>F26</f>
        <v>105</v>
      </c>
    </row>
    <row r="27" spans="1:13" x14ac:dyDescent="0.25">
      <c r="C27">
        <f>SUM(C23:C26)</f>
        <v>116</v>
      </c>
      <c r="D27">
        <f>SUM(D23:D26)</f>
        <v>124</v>
      </c>
      <c r="E27">
        <f>SUM(E23:E26)</f>
        <v>260</v>
      </c>
      <c r="F27">
        <f>SUM(C27:E27)</f>
        <v>500</v>
      </c>
      <c r="J27">
        <f>C27</f>
        <v>116</v>
      </c>
      <c r="K27">
        <f>D27</f>
        <v>124</v>
      </c>
      <c r="L27">
        <f>E27</f>
        <v>260</v>
      </c>
      <c r="M27">
        <f>F27</f>
        <v>500</v>
      </c>
    </row>
    <row r="29" spans="1:13" x14ac:dyDescent="0.25">
      <c r="A29" t="s">
        <v>820</v>
      </c>
      <c r="C29" s="393">
        <f>SUM(C23:C24)</f>
        <v>91</v>
      </c>
      <c r="D29" s="395">
        <f>SUM(D23:D24)</f>
        <v>79</v>
      </c>
      <c r="E29" s="396">
        <f>SUM(E23:E24)</f>
        <v>187</v>
      </c>
      <c r="F29">
        <f>SUM(C29:E29)</f>
        <v>357</v>
      </c>
      <c r="H29" t="s">
        <v>820</v>
      </c>
      <c r="J29" s="429">
        <f t="shared" ref="J29:M30" si="5">C29</f>
        <v>91</v>
      </c>
      <c r="K29" s="433">
        <f t="shared" si="5"/>
        <v>79</v>
      </c>
      <c r="L29" s="428">
        <f t="shared" si="5"/>
        <v>187</v>
      </c>
      <c r="M29" s="7">
        <f t="shared" si="5"/>
        <v>357</v>
      </c>
    </row>
    <row r="30" spans="1:13" x14ac:dyDescent="0.25">
      <c r="A30" t="s">
        <v>821</v>
      </c>
      <c r="C30" s="9">
        <f>SUM(C25:C26)</f>
        <v>25</v>
      </c>
      <c r="D30" s="10">
        <f>SUM(D25:D26)</f>
        <v>45</v>
      </c>
      <c r="E30" s="11">
        <f>SUM(E25:E26)</f>
        <v>73</v>
      </c>
      <c r="F30">
        <f>SUM(C30:E30)</f>
        <v>143</v>
      </c>
      <c r="H30" t="s">
        <v>821</v>
      </c>
      <c r="J30" s="409">
        <f t="shared" si="5"/>
        <v>25</v>
      </c>
      <c r="K30" s="10">
        <f t="shared" si="5"/>
        <v>45</v>
      </c>
      <c r="L30" s="11">
        <f t="shared" si="5"/>
        <v>73</v>
      </c>
      <c r="M30" s="7">
        <f t="shared" si="5"/>
        <v>143</v>
      </c>
    </row>
    <row r="32" spans="1:13" x14ac:dyDescent="0.25">
      <c r="B32" t="s">
        <v>130</v>
      </c>
      <c r="C32" s="393">
        <f t="shared" ref="C32:E33" si="6">C23+C25</f>
        <v>68</v>
      </c>
      <c r="D32" s="395">
        <f t="shared" si="6"/>
        <v>67</v>
      </c>
      <c r="E32" s="396">
        <f t="shared" si="6"/>
        <v>124</v>
      </c>
      <c r="F32">
        <f>SUM(C32:E32)</f>
        <v>259</v>
      </c>
      <c r="I32" t="s">
        <v>130</v>
      </c>
      <c r="J32" s="429">
        <f t="shared" ref="J32:M33" si="7">C32</f>
        <v>68</v>
      </c>
      <c r="K32" s="433">
        <f t="shared" si="7"/>
        <v>67</v>
      </c>
      <c r="L32" s="428">
        <f t="shared" si="7"/>
        <v>124</v>
      </c>
      <c r="M32" s="7">
        <f t="shared" si="7"/>
        <v>259</v>
      </c>
    </row>
    <row r="33" spans="1:13" x14ac:dyDescent="0.25">
      <c r="B33" t="s">
        <v>108</v>
      </c>
      <c r="C33" s="9">
        <f t="shared" si="6"/>
        <v>48</v>
      </c>
      <c r="D33" s="10">
        <f t="shared" si="6"/>
        <v>57</v>
      </c>
      <c r="E33" s="11">
        <f t="shared" si="6"/>
        <v>136</v>
      </c>
      <c r="F33">
        <f>SUM(C33:E33)</f>
        <v>241</v>
      </c>
      <c r="I33" t="s">
        <v>108</v>
      </c>
      <c r="J33" s="409">
        <f t="shared" si="7"/>
        <v>48</v>
      </c>
      <c r="K33" s="10">
        <f t="shared" si="7"/>
        <v>57</v>
      </c>
      <c r="L33" s="11">
        <f t="shared" si="7"/>
        <v>136</v>
      </c>
      <c r="M33" s="7">
        <f t="shared" si="7"/>
        <v>241</v>
      </c>
    </row>
    <row r="35" spans="1:13" x14ac:dyDescent="0.25">
      <c r="A35" s="1" t="s">
        <v>862</v>
      </c>
    </row>
    <row r="37" spans="1:13" x14ac:dyDescent="0.25">
      <c r="A37" s="17" t="s">
        <v>81</v>
      </c>
      <c r="H37" t="s">
        <v>860</v>
      </c>
    </row>
    <row r="39" spans="1:13" x14ac:dyDescent="0.25">
      <c r="C39" s="13" t="s">
        <v>115</v>
      </c>
      <c r="D39" s="13" t="s">
        <v>116</v>
      </c>
      <c r="E39" s="13" t="s">
        <v>818</v>
      </c>
      <c r="J39" s="13" t="s">
        <v>115</v>
      </c>
      <c r="K39" s="13" t="s">
        <v>116</v>
      </c>
      <c r="L39" s="13" t="s">
        <v>818</v>
      </c>
    </row>
    <row r="40" spans="1:13" x14ac:dyDescent="0.25">
      <c r="A40" t="s">
        <v>820</v>
      </c>
      <c r="B40" t="s">
        <v>130</v>
      </c>
      <c r="C40" s="398">
        <v>59</v>
      </c>
      <c r="D40" s="424">
        <v>55</v>
      </c>
      <c r="E40" s="419">
        <v>107</v>
      </c>
      <c r="F40">
        <f>SUM(C40:E40)</f>
        <v>221</v>
      </c>
      <c r="H40" t="s">
        <v>820</v>
      </c>
      <c r="I40" t="s">
        <v>130</v>
      </c>
      <c r="J40" s="429">
        <f>$M$46*$M$49*J$44/$M$44^2</f>
        <v>42.902831999999997</v>
      </c>
      <c r="K40" s="433">
        <f>$M$46*$M$49*K$44/$M$44^2</f>
        <v>45.861648000000002</v>
      </c>
      <c r="L40" s="428">
        <f>$M$46*$M$49*L$44/$M$44^2</f>
        <v>96.161519999999996</v>
      </c>
      <c r="M40">
        <f>F40</f>
        <v>221</v>
      </c>
    </row>
    <row r="41" spans="1:13" x14ac:dyDescent="0.25">
      <c r="A41" t="s">
        <v>820</v>
      </c>
      <c r="B41" t="s">
        <v>108</v>
      </c>
      <c r="C41" s="6">
        <v>32</v>
      </c>
      <c r="D41" s="7">
        <v>24</v>
      </c>
      <c r="E41" s="8">
        <v>80</v>
      </c>
      <c r="F41">
        <f>SUM(C41:E41)</f>
        <v>136</v>
      </c>
      <c r="H41" t="s">
        <v>820</v>
      </c>
      <c r="I41" t="s">
        <v>108</v>
      </c>
      <c r="J41" s="6">
        <f>$M$46*$M$50*J$44/$M$44^2</f>
        <v>39.921168000000002</v>
      </c>
      <c r="K41" s="7">
        <f>$M$46*$M$50*K$44/$M$44^2</f>
        <v>42.674351999999999</v>
      </c>
      <c r="L41" s="8">
        <f>$M$46*$M$50*L$44/$M$44^2</f>
        <v>89.478480000000005</v>
      </c>
      <c r="M41">
        <f>F41</f>
        <v>136</v>
      </c>
    </row>
    <row r="42" spans="1:13" x14ac:dyDescent="0.25">
      <c r="A42" t="s">
        <v>821</v>
      </c>
      <c r="B42" t="s">
        <v>130</v>
      </c>
      <c r="C42" s="6">
        <v>9</v>
      </c>
      <c r="D42" s="7">
        <v>12</v>
      </c>
      <c r="E42" s="8">
        <v>17</v>
      </c>
      <c r="F42">
        <f>SUM(C42:E42)</f>
        <v>38</v>
      </c>
      <c r="H42" t="s">
        <v>821</v>
      </c>
      <c r="I42" t="s">
        <v>130</v>
      </c>
      <c r="J42" s="6">
        <f>$M$47*$M$49*J$44/$M$44^2</f>
        <v>17.185168000000001</v>
      </c>
      <c r="K42" s="7">
        <f>$M$47*$M$49*K$44/$M$44^2</f>
        <v>18.370352</v>
      </c>
      <c r="L42" s="8">
        <f>$M$47*$M$49*L$44/$M$44^2</f>
        <v>38.518479999999997</v>
      </c>
      <c r="M42">
        <f>F42</f>
        <v>38</v>
      </c>
    </row>
    <row r="43" spans="1:13" x14ac:dyDescent="0.25">
      <c r="A43" t="s">
        <v>821</v>
      </c>
      <c r="B43" t="s">
        <v>108</v>
      </c>
      <c r="C43" s="409">
        <v>16</v>
      </c>
      <c r="D43" s="10">
        <v>33</v>
      </c>
      <c r="E43" s="417">
        <v>56</v>
      </c>
      <c r="F43">
        <f>SUM(C43:E43)</f>
        <v>105</v>
      </c>
      <c r="H43" t="s">
        <v>821</v>
      </c>
      <c r="I43" t="s">
        <v>108</v>
      </c>
      <c r="J43" s="409">
        <f>$M$47*$M$50*J$44/$M$44^2</f>
        <v>15.990831999999999</v>
      </c>
      <c r="K43" s="10">
        <f>$M$47*$M$50*K$44/$M$44^2</f>
        <v>17.093648000000002</v>
      </c>
      <c r="L43" s="11">
        <f>$M$47*$M$50*L$44/$M$44^2</f>
        <v>35.841520000000003</v>
      </c>
      <c r="M43">
        <f>F43</f>
        <v>105</v>
      </c>
    </row>
    <row r="44" spans="1:13" x14ac:dyDescent="0.25">
      <c r="C44">
        <f>SUM(C40:C43)</f>
        <v>116</v>
      </c>
      <c r="D44">
        <f>SUM(D40:D43)</f>
        <v>124</v>
      </c>
      <c r="E44">
        <f>SUM(E40:E43)</f>
        <v>260</v>
      </c>
      <c r="F44">
        <f>SUM(C44:E44)</f>
        <v>500</v>
      </c>
      <c r="J44">
        <f>C44</f>
        <v>116</v>
      </c>
      <c r="K44">
        <f>D44</f>
        <v>124</v>
      </c>
      <c r="L44">
        <f>E44</f>
        <v>260</v>
      </c>
      <c r="M44">
        <f>F44</f>
        <v>500</v>
      </c>
    </row>
    <row r="46" spans="1:13" x14ac:dyDescent="0.25">
      <c r="A46" t="s">
        <v>820</v>
      </c>
      <c r="C46" s="393">
        <f>SUM(C40:C41)</f>
        <v>91</v>
      </c>
      <c r="D46" s="395">
        <f>SUM(D40:D41)</f>
        <v>79</v>
      </c>
      <c r="E46" s="396">
        <f>SUM(E40:E41)</f>
        <v>187</v>
      </c>
      <c r="F46">
        <f>SUM(C46:E46)</f>
        <v>357</v>
      </c>
      <c r="H46" t="s">
        <v>820</v>
      </c>
      <c r="J46" s="429">
        <f t="shared" ref="J46:M47" si="8">C46</f>
        <v>91</v>
      </c>
      <c r="K46" s="433">
        <f t="shared" si="8"/>
        <v>79</v>
      </c>
      <c r="L46" s="428">
        <f t="shared" si="8"/>
        <v>187</v>
      </c>
      <c r="M46" s="7">
        <f t="shared" si="8"/>
        <v>357</v>
      </c>
    </row>
    <row r="47" spans="1:13" x14ac:dyDescent="0.25">
      <c r="A47" t="s">
        <v>821</v>
      </c>
      <c r="C47" s="9">
        <f>SUM(C42:C43)</f>
        <v>25</v>
      </c>
      <c r="D47" s="10">
        <f>SUM(D42:D43)</f>
        <v>45</v>
      </c>
      <c r="E47" s="11">
        <f>SUM(E42:E43)</f>
        <v>73</v>
      </c>
      <c r="F47">
        <f>SUM(C47:E47)</f>
        <v>143</v>
      </c>
      <c r="H47" t="s">
        <v>821</v>
      </c>
      <c r="J47" s="409">
        <f t="shared" si="8"/>
        <v>25</v>
      </c>
      <c r="K47" s="10">
        <f t="shared" si="8"/>
        <v>45</v>
      </c>
      <c r="L47" s="11">
        <f t="shared" si="8"/>
        <v>73</v>
      </c>
      <c r="M47" s="7">
        <f t="shared" si="8"/>
        <v>143</v>
      </c>
    </row>
    <row r="49" spans="1:13" x14ac:dyDescent="0.25">
      <c r="B49" t="s">
        <v>130</v>
      </c>
      <c r="C49" s="393">
        <f t="shared" ref="C49:E50" si="9">C40+C42</f>
        <v>68</v>
      </c>
      <c r="D49" s="395">
        <f t="shared" si="9"/>
        <v>67</v>
      </c>
      <c r="E49" s="396">
        <f t="shared" si="9"/>
        <v>124</v>
      </c>
      <c r="F49">
        <f>SUM(C49:E49)</f>
        <v>259</v>
      </c>
      <c r="I49" t="s">
        <v>130</v>
      </c>
      <c r="J49" s="429">
        <f t="shared" ref="J49:M50" si="10">C49</f>
        <v>68</v>
      </c>
      <c r="K49" s="433">
        <f t="shared" si="10"/>
        <v>67</v>
      </c>
      <c r="L49" s="428">
        <f t="shared" si="10"/>
        <v>124</v>
      </c>
      <c r="M49" s="7">
        <f t="shared" si="10"/>
        <v>259</v>
      </c>
    </row>
    <row r="50" spans="1:13" x14ac:dyDescent="0.25">
      <c r="B50" t="s">
        <v>108</v>
      </c>
      <c r="C50" s="9">
        <f t="shared" si="9"/>
        <v>48</v>
      </c>
      <c r="D50" s="10">
        <f t="shared" si="9"/>
        <v>57</v>
      </c>
      <c r="E50" s="11">
        <f t="shared" si="9"/>
        <v>136</v>
      </c>
      <c r="F50">
        <f>SUM(C50:E50)</f>
        <v>241</v>
      </c>
      <c r="I50" t="s">
        <v>108</v>
      </c>
      <c r="J50" s="409">
        <f t="shared" si="10"/>
        <v>48</v>
      </c>
      <c r="K50" s="10">
        <f t="shared" si="10"/>
        <v>57</v>
      </c>
      <c r="L50" s="11">
        <f t="shared" si="10"/>
        <v>136</v>
      </c>
      <c r="M50" s="7">
        <f t="shared" si="10"/>
        <v>241</v>
      </c>
    </row>
    <row r="52" spans="1:13" x14ac:dyDescent="0.25">
      <c r="A52" s="1" t="s">
        <v>864</v>
      </c>
    </row>
    <row r="54" spans="1:13" x14ac:dyDescent="0.25">
      <c r="A54" s="17" t="s">
        <v>81</v>
      </c>
      <c r="H54" t="s">
        <v>860</v>
      </c>
    </row>
    <row r="56" spans="1:13" x14ac:dyDescent="0.25">
      <c r="C56" s="13" t="s">
        <v>115</v>
      </c>
      <c r="D56" s="13" t="s">
        <v>116</v>
      </c>
      <c r="E56" s="13" t="s">
        <v>818</v>
      </c>
      <c r="J56" s="13" t="s">
        <v>115</v>
      </c>
      <c r="K56" s="13" t="s">
        <v>116</v>
      </c>
      <c r="L56" s="13" t="s">
        <v>818</v>
      </c>
    </row>
    <row r="57" spans="1:13" x14ac:dyDescent="0.25">
      <c r="A57" t="s">
        <v>820</v>
      </c>
      <c r="B57" t="s">
        <v>130</v>
      </c>
      <c r="C57" s="398">
        <v>59</v>
      </c>
      <c r="D57" s="424">
        <v>55</v>
      </c>
      <c r="E57" s="419">
        <v>107</v>
      </c>
      <c r="F57">
        <f>SUM(C57:E57)</f>
        <v>221</v>
      </c>
      <c r="H57" t="s">
        <v>820</v>
      </c>
      <c r="I57" t="s">
        <v>130</v>
      </c>
      <c r="J57" s="429">
        <f>'Log Lin 2.4'!J6</f>
        <v>60.468941219727789</v>
      </c>
      <c r="K57" s="433">
        <f>'Log Lin 2.4'!K6</f>
        <v>53.109416189162133</v>
      </c>
      <c r="L57" s="428">
        <f>'Log Lin 2.4'!L6</f>
        <v>107.42164258226687</v>
      </c>
      <c r="M57">
        <f>F57</f>
        <v>221</v>
      </c>
    </row>
    <row r="58" spans="1:13" x14ac:dyDescent="0.25">
      <c r="A58" t="s">
        <v>820</v>
      </c>
      <c r="B58" t="s">
        <v>108</v>
      </c>
      <c r="C58" s="6">
        <v>32</v>
      </c>
      <c r="D58" s="7">
        <v>24</v>
      </c>
      <c r="E58" s="8">
        <v>80</v>
      </c>
      <c r="F58">
        <f>SUM(C58:E58)</f>
        <v>136</v>
      </c>
      <c r="H58" t="s">
        <v>820</v>
      </c>
      <c r="I58" t="s">
        <v>108</v>
      </c>
      <c r="J58" s="6">
        <f>'Log Lin 2.4'!J7</f>
        <v>30.531058777114517</v>
      </c>
      <c r="K58" s="7">
        <f>'Log Lin 2.4'!K7</f>
        <v>25.890583824262364</v>
      </c>
      <c r="L58" s="8">
        <f>'Log Lin 2.4'!L7</f>
        <v>79.578357410410149</v>
      </c>
      <c r="M58">
        <f>F58</f>
        <v>136</v>
      </c>
    </row>
    <row r="59" spans="1:13" x14ac:dyDescent="0.25">
      <c r="A59" t="s">
        <v>821</v>
      </c>
      <c r="B59" t="s">
        <v>130</v>
      </c>
      <c r="C59" s="6">
        <v>9</v>
      </c>
      <c r="D59" s="7">
        <v>12</v>
      </c>
      <c r="E59" s="8">
        <v>17</v>
      </c>
      <c r="F59">
        <f>SUM(C59:E59)</f>
        <v>38</v>
      </c>
      <c r="H59" t="s">
        <v>821</v>
      </c>
      <c r="I59" t="s">
        <v>130</v>
      </c>
      <c r="J59" s="6">
        <f>'Log Lin 2.4'!J8</f>
        <v>7.5310587802722173</v>
      </c>
      <c r="K59" s="7">
        <f>'Log Lin 2.4'!K8</f>
        <v>13.890583810837864</v>
      </c>
      <c r="L59" s="8">
        <f>'Log Lin 2.4'!L8</f>
        <v>16.57835741773313</v>
      </c>
      <c r="M59">
        <f>F59</f>
        <v>38</v>
      </c>
    </row>
    <row r="60" spans="1:13" x14ac:dyDescent="0.25">
      <c r="A60" t="s">
        <v>821</v>
      </c>
      <c r="B60" t="s">
        <v>108</v>
      </c>
      <c r="C60" s="409">
        <v>16</v>
      </c>
      <c r="D60" s="10">
        <v>33</v>
      </c>
      <c r="E60" s="417">
        <v>56</v>
      </c>
      <c r="F60">
        <f>SUM(C60:E60)</f>
        <v>105</v>
      </c>
      <c r="H60" t="s">
        <v>821</v>
      </c>
      <c r="I60" t="s">
        <v>108</v>
      </c>
      <c r="J60" s="409">
        <f>'Log Lin 2.4'!J9</f>
        <v>17.468941222885476</v>
      </c>
      <c r="K60" s="10">
        <f>'Log Lin 2.4'!K9</f>
        <v>31.109416175737632</v>
      </c>
      <c r="L60" s="11">
        <f>'Log Lin 2.4'!L9</f>
        <v>56.421642589589844</v>
      </c>
      <c r="M60">
        <f>F60</f>
        <v>105</v>
      </c>
    </row>
    <row r="61" spans="1:13" x14ac:dyDescent="0.25">
      <c r="C61">
        <f>SUM(C57:C60)</f>
        <v>116</v>
      </c>
      <c r="D61">
        <f>SUM(D57:D60)</f>
        <v>124</v>
      </c>
      <c r="E61">
        <f>SUM(E57:E60)</f>
        <v>260</v>
      </c>
      <c r="F61">
        <f>SUM(C61:E61)</f>
        <v>500</v>
      </c>
      <c r="J61">
        <f>C61</f>
        <v>116</v>
      </c>
      <c r="K61">
        <f>D61</f>
        <v>124</v>
      </c>
      <c r="L61">
        <f>E61</f>
        <v>260</v>
      </c>
      <c r="M61">
        <f>F61</f>
        <v>500</v>
      </c>
    </row>
    <row r="63" spans="1:13" x14ac:dyDescent="0.25">
      <c r="A63" t="s">
        <v>820</v>
      </c>
      <c r="C63" s="393">
        <f>SUM(C57:C58)</f>
        <v>91</v>
      </c>
      <c r="D63" s="395">
        <f>SUM(D57:D58)</f>
        <v>79</v>
      </c>
      <c r="E63" s="396">
        <f>SUM(E57:E58)</f>
        <v>187</v>
      </c>
      <c r="F63">
        <f>SUM(C63:E63)</f>
        <v>357</v>
      </c>
      <c r="H63" t="s">
        <v>820</v>
      </c>
      <c r="J63" s="429">
        <f t="shared" ref="J63:M64" si="11">C63</f>
        <v>91</v>
      </c>
      <c r="K63" s="433">
        <f t="shared" si="11"/>
        <v>79</v>
      </c>
      <c r="L63" s="428">
        <f t="shared" si="11"/>
        <v>187</v>
      </c>
      <c r="M63" s="7">
        <f t="shared" si="11"/>
        <v>357</v>
      </c>
    </row>
    <row r="64" spans="1:13" x14ac:dyDescent="0.25">
      <c r="A64" t="s">
        <v>821</v>
      </c>
      <c r="C64" s="9">
        <f>SUM(C59:C60)</f>
        <v>25</v>
      </c>
      <c r="D64" s="10">
        <f>SUM(D59:D60)</f>
        <v>45</v>
      </c>
      <c r="E64" s="11">
        <f>SUM(E59:E60)</f>
        <v>73</v>
      </c>
      <c r="F64">
        <f>SUM(C64:E64)</f>
        <v>143</v>
      </c>
      <c r="H64" t="s">
        <v>821</v>
      </c>
      <c r="J64" s="409">
        <f t="shared" si="11"/>
        <v>25</v>
      </c>
      <c r="K64" s="10">
        <f t="shared" si="11"/>
        <v>45</v>
      </c>
      <c r="L64" s="11">
        <f t="shared" si="11"/>
        <v>73</v>
      </c>
      <c r="M64" s="7">
        <f t="shared" si="11"/>
        <v>143</v>
      </c>
    </row>
    <row r="66" spans="1:13" x14ac:dyDescent="0.25">
      <c r="B66" t="s">
        <v>130</v>
      </c>
      <c r="C66" s="393">
        <f t="shared" ref="C66:E67" si="12">C57+C59</f>
        <v>68</v>
      </c>
      <c r="D66" s="395">
        <f t="shared" si="12"/>
        <v>67</v>
      </c>
      <c r="E66" s="396">
        <f t="shared" si="12"/>
        <v>124</v>
      </c>
      <c r="F66">
        <f>SUM(C66:E66)</f>
        <v>259</v>
      </c>
      <c r="I66" t="s">
        <v>130</v>
      </c>
      <c r="J66" s="429">
        <f t="shared" ref="J66:M67" si="13">C66</f>
        <v>68</v>
      </c>
      <c r="K66" s="433">
        <f t="shared" si="13"/>
        <v>67</v>
      </c>
      <c r="L66" s="428">
        <f t="shared" si="13"/>
        <v>124</v>
      </c>
      <c r="M66" s="7">
        <f t="shared" si="13"/>
        <v>259</v>
      </c>
    </row>
    <row r="67" spans="1:13" x14ac:dyDescent="0.25">
      <c r="B67" t="s">
        <v>108</v>
      </c>
      <c r="C67" s="9">
        <f t="shared" si="12"/>
        <v>48</v>
      </c>
      <c r="D67" s="10">
        <f t="shared" si="12"/>
        <v>57</v>
      </c>
      <c r="E67" s="11">
        <f t="shared" si="12"/>
        <v>136</v>
      </c>
      <c r="F67">
        <f>SUM(C67:E67)</f>
        <v>241</v>
      </c>
      <c r="I67" t="s">
        <v>108</v>
      </c>
      <c r="J67" s="409">
        <f t="shared" si="13"/>
        <v>48</v>
      </c>
      <c r="K67" s="10">
        <f t="shared" si="13"/>
        <v>57</v>
      </c>
      <c r="L67" s="11">
        <f t="shared" si="13"/>
        <v>136</v>
      </c>
      <c r="M67" s="7">
        <f t="shared" si="13"/>
        <v>241</v>
      </c>
    </row>
    <row r="69" spans="1:13" x14ac:dyDescent="0.25">
      <c r="A69" s="1" t="s">
        <v>863</v>
      </c>
    </row>
    <row r="71" spans="1:13" x14ac:dyDescent="0.25">
      <c r="A71" s="17" t="s">
        <v>81</v>
      </c>
      <c r="H71" t="s">
        <v>860</v>
      </c>
    </row>
    <row r="73" spans="1:13" x14ac:dyDescent="0.25">
      <c r="C73" s="13" t="s">
        <v>115</v>
      </c>
      <c r="D73" s="13" t="s">
        <v>116</v>
      </c>
      <c r="E73" s="13" t="s">
        <v>818</v>
      </c>
      <c r="J73" s="13" t="s">
        <v>115</v>
      </c>
      <c r="K73" s="13" t="s">
        <v>116</v>
      </c>
      <c r="L73" s="13" t="s">
        <v>818</v>
      </c>
    </row>
    <row r="74" spans="1:13" x14ac:dyDescent="0.25">
      <c r="A74" t="s">
        <v>820</v>
      </c>
      <c r="B74" t="s">
        <v>130</v>
      </c>
      <c r="C74" s="398">
        <v>59</v>
      </c>
      <c r="D74" s="424">
        <v>55</v>
      </c>
      <c r="E74" s="419">
        <v>107</v>
      </c>
      <c r="F74">
        <f>SUM(C74:E74)</f>
        <v>221</v>
      </c>
      <c r="H74" t="s">
        <v>820</v>
      </c>
      <c r="I74" t="s">
        <v>130</v>
      </c>
      <c r="J74" s="429">
        <f>$M80*J$78/(COUNTA($I$83:$I$84)*$M$78)</f>
        <v>41.411999999999999</v>
      </c>
      <c r="K74" s="433">
        <f>$M80*K$78/(COUNTA($I$83:$I$84)*$M$78)</f>
        <v>44.268000000000001</v>
      </c>
      <c r="L74" s="428">
        <f>$M80*L$78/(COUNTA($I$83:$I$84)*$M$78)</f>
        <v>92.82</v>
      </c>
      <c r="M74">
        <f>F74</f>
        <v>221</v>
      </c>
    </row>
    <row r="75" spans="1:13" x14ac:dyDescent="0.25">
      <c r="A75" t="s">
        <v>820</v>
      </c>
      <c r="B75" t="s">
        <v>108</v>
      </c>
      <c r="C75" s="6">
        <v>32</v>
      </c>
      <c r="D75" s="7">
        <v>24</v>
      </c>
      <c r="E75" s="8">
        <v>80</v>
      </c>
      <c r="F75">
        <f>SUM(C75:E75)</f>
        <v>136</v>
      </c>
      <c r="H75" t="s">
        <v>820</v>
      </c>
      <c r="I75" t="s">
        <v>108</v>
      </c>
      <c r="J75" s="6">
        <f t="shared" ref="J75:L76" si="14">$M80*J$78/(COUNTA($I$83:$I$84)*$M$78)</f>
        <v>41.411999999999999</v>
      </c>
      <c r="K75" s="7">
        <f t="shared" si="14"/>
        <v>44.268000000000001</v>
      </c>
      <c r="L75" s="8">
        <f t="shared" si="14"/>
        <v>92.82</v>
      </c>
      <c r="M75">
        <f>F75</f>
        <v>136</v>
      </c>
    </row>
    <row r="76" spans="1:13" x14ac:dyDescent="0.25">
      <c r="A76" t="s">
        <v>821</v>
      </c>
      <c r="B76" t="s">
        <v>130</v>
      </c>
      <c r="C76" s="6">
        <v>9</v>
      </c>
      <c r="D76" s="7">
        <v>12</v>
      </c>
      <c r="E76" s="8">
        <v>17</v>
      </c>
      <c r="F76">
        <f>SUM(C76:E76)</f>
        <v>38</v>
      </c>
      <c r="H76" t="s">
        <v>821</v>
      </c>
      <c r="I76" t="s">
        <v>130</v>
      </c>
      <c r="J76" s="6">
        <f t="shared" si="14"/>
        <v>16.588000000000001</v>
      </c>
      <c r="K76" s="7">
        <f t="shared" si="14"/>
        <v>17.731999999999999</v>
      </c>
      <c r="L76" s="8">
        <f t="shared" si="14"/>
        <v>37.18</v>
      </c>
      <c r="M76">
        <f>F76</f>
        <v>38</v>
      </c>
    </row>
    <row r="77" spans="1:13" x14ac:dyDescent="0.25">
      <c r="A77" t="s">
        <v>821</v>
      </c>
      <c r="B77" t="s">
        <v>108</v>
      </c>
      <c r="C77" s="409">
        <v>16</v>
      </c>
      <c r="D77" s="10">
        <v>33</v>
      </c>
      <c r="E77" s="417">
        <v>56</v>
      </c>
      <c r="F77">
        <f>SUM(C77:E77)</f>
        <v>105</v>
      </c>
      <c r="H77" t="s">
        <v>821</v>
      </c>
      <c r="I77" t="s">
        <v>108</v>
      </c>
      <c r="J77" s="409">
        <f>$M81*J$78/(COUNTA($I$83:$I$84)*$M$78)</f>
        <v>16.588000000000001</v>
      </c>
      <c r="K77" s="10">
        <f>$M81*K$78/(COUNTA($I$83:$I$84)*$M$78)</f>
        <v>17.731999999999999</v>
      </c>
      <c r="L77" s="11">
        <f>$M81*L$78/(COUNTA($I$83:$I$84)*$M$78)</f>
        <v>37.18</v>
      </c>
      <c r="M77">
        <f>F77</f>
        <v>105</v>
      </c>
    </row>
    <row r="78" spans="1:13" x14ac:dyDescent="0.25">
      <c r="C78">
        <f>SUM(C74:C77)</f>
        <v>116</v>
      </c>
      <c r="D78">
        <f>SUM(D74:D77)</f>
        <v>124</v>
      </c>
      <c r="E78">
        <f>SUM(E74:E77)</f>
        <v>260</v>
      </c>
      <c r="F78">
        <f>SUM(C78:E78)</f>
        <v>500</v>
      </c>
      <c r="J78">
        <f>C78</f>
        <v>116</v>
      </c>
      <c r="K78">
        <f>D78</f>
        <v>124</v>
      </c>
      <c r="L78">
        <f>E78</f>
        <v>260</v>
      </c>
      <c r="M78">
        <f>F78</f>
        <v>500</v>
      </c>
    </row>
    <row r="80" spans="1:13" x14ac:dyDescent="0.25">
      <c r="A80" t="s">
        <v>820</v>
      </c>
      <c r="C80" s="393">
        <f>SUM(C74:C75)</f>
        <v>91</v>
      </c>
      <c r="D80" s="395">
        <f>SUM(D74:D75)</f>
        <v>79</v>
      </c>
      <c r="E80" s="396">
        <f>SUM(E74:E75)</f>
        <v>187</v>
      </c>
      <c r="F80">
        <f>SUM(C80:E80)</f>
        <v>357</v>
      </c>
      <c r="H80" t="s">
        <v>820</v>
      </c>
      <c r="J80" s="429">
        <f t="shared" ref="J80:M81" si="15">C80</f>
        <v>91</v>
      </c>
      <c r="K80" s="433">
        <f t="shared" si="15"/>
        <v>79</v>
      </c>
      <c r="L80" s="428">
        <f t="shared" si="15"/>
        <v>187</v>
      </c>
      <c r="M80" s="7">
        <f t="shared" si="15"/>
        <v>357</v>
      </c>
    </row>
    <row r="81" spans="1:13" x14ac:dyDescent="0.25">
      <c r="A81" t="s">
        <v>821</v>
      </c>
      <c r="C81" s="9">
        <f>SUM(C76:C77)</f>
        <v>25</v>
      </c>
      <c r="D81" s="10">
        <f>SUM(D76:D77)</f>
        <v>45</v>
      </c>
      <c r="E81" s="11">
        <f>SUM(E76:E77)</f>
        <v>73</v>
      </c>
      <c r="F81">
        <f>SUM(C81:E81)</f>
        <v>143</v>
      </c>
      <c r="H81" t="s">
        <v>821</v>
      </c>
      <c r="J81" s="409">
        <f t="shared" si="15"/>
        <v>25</v>
      </c>
      <c r="K81" s="10">
        <f t="shared" si="15"/>
        <v>45</v>
      </c>
      <c r="L81" s="11">
        <f t="shared" si="15"/>
        <v>73</v>
      </c>
      <c r="M81" s="7">
        <f t="shared" si="15"/>
        <v>143</v>
      </c>
    </row>
    <row r="83" spans="1:13" x14ac:dyDescent="0.25">
      <c r="B83" t="s">
        <v>130</v>
      </c>
      <c r="C83" s="393">
        <f t="shared" ref="C83:E84" si="16">C74+C76</f>
        <v>68</v>
      </c>
      <c r="D83" s="395">
        <f t="shared" si="16"/>
        <v>67</v>
      </c>
      <c r="E83" s="396">
        <f t="shared" si="16"/>
        <v>124</v>
      </c>
      <c r="F83">
        <f>SUM(C83:E83)</f>
        <v>259</v>
      </c>
      <c r="I83" t="s">
        <v>130</v>
      </c>
      <c r="J83" s="429">
        <f t="shared" ref="J83:M84" si="17">C83</f>
        <v>68</v>
      </c>
      <c r="K83" s="433">
        <f t="shared" si="17"/>
        <v>67</v>
      </c>
      <c r="L83" s="428">
        <f t="shared" si="17"/>
        <v>124</v>
      </c>
      <c r="M83" s="7">
        <f t="shared" si="17"/>
        <v>259</v>
      </c>
    </row>
    <row r="84" spans="1:13" x14ac:dyDescent="0.25">
      <c r="B84" t="s">
        <v>108</v>
      </c>
      <c r="C84" s="9">
        <f t="shared" si="16"/>
        <v>48</v>
      </c>
      <c r="D84" s="10">
        <f t="shared" si="16"/>
        <v>57</v>
      </c>
      <c r="E84" s="11">
        <f t="shared" si="16"/>
        <v>136</v>
      </c>
      <c r="F84">
        <f>SUM(C84:E84)</f>
        <v>241</v>
      </c>
      <c r="I84" t="s">
        <v>108</v>
      </c>
      <c r="J84" s="409">
        <f t="shared" si="17"/>
        <v>48</v>
      </c>
      <c r="K84" s="10">
        <f t="shared" si="17"/>
        <v>57</v>
      </c>
      <c r="L84" s="11">
        <f t="shared" si="17"/>
        <v>136</v>
      </c>
      <c r="M84" s="7">
        <f t="shared" si="17"/>
        <v>241</v>
      </c>
    </row>
  </sheetData>
  <pageMargins left="0.7" right="0.7" top="0.75" bottom="0.75" header="0.3" footer="0.3"/>
  <ignoredErrors>
    <ignoredError sqref="C12:E13 C80:E8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W161"/>
  <sheetViews>
    <sheetView zoomScaleNormal="100" workbookViewId="0"/>
  </sheetViews>
  <sheetFormatPr defaultRowHeight="15" x14ac:dyDescent="0.25"/>
  <cols>
    <col min="1" max="1" width="9.85546875" customWidth="1"/>
    <col min="2" max="2" width="9" customWidth="1"/>
    <col min="3" max="5" width="10.5703125" customWidth="1"/>
    <col min="7" max="7" width="4.140625" customWidth="1"/>
    <col min="8" max="8" width="10.140625" customWidth="1"/>
    <col min="9" max="9" width="9.28515625" customWidth="1"/>
    <col min="10" max="12" width="10.5703125" customWidth="1"/>
    <col min="14" max="14" width="4.85546875" customWidth="1"/>
    <col min="15" max="15" width="10.140625" customWidth="1"/>
    <col min="16" max="16" width="8.42578125" customWidth="1"/>
    <col min="17" max="19" width="10.28515625" customWidth="1"/>
  </cols>
  <sheetData>
    <row r="1" spans="1:23" x14ac:dyDescent="0.25">
      <c r="A1" s="1" t="s">
        <v>823</v>
      </c>
    </row>
    <row r="3" spans="1:23" x14ac:dyDescent="0.25">
      <c r="A3" s="17" t="s">
        <v>127</v>
      </c>
      <c r="H3" t="s">
        <v>824</v>
      </c>
      <c r="O3" t="s">
        <v>865</v>
      </c>
      <c r="V3" t="s">
        <v>825</v>
      </c>
    </row>
    <row r="5" spans="1:23" x14ac:dyDescent="0.25">
      <c r="A5" t="str">
        <f>'Log Lin 2.1'!I3</f>
        <v>Cure</v>
      </c>
      <c r="B5" t="str">
        <f>'Log Lin 2.1'!J3</f>
        <v>Gender</v>
      </c>
      <c r="C5" s="13" t="str">
        <f>'Log Lin 2.1'!C3</f>
        <v>Therapy 1</v>
      </c>
      <c r="D5" s="13" t="str">
        <f>'Log Lin 2.1'!D3</f>
        <v>Therapy 2</v>
      </c>
      <c r="E5" s="13" t="str">
        <f>'Log Lin 2.1'!E3</f>
        <v>Therapy 3</v>
      </c>
      <c r="J5" t="str">
        <f>C5</f>
        <v>Therapy 1</v>
      </c>
      <c r="K5" t="str">
        <f>D5</f>
        <v>Therapy 2</v>
      </c>
      <c r="L5" t="str">
        <f>E5</f>
        <v>Therapy 3</v>
      </c>
      <c r="Q5" t="str">
        <f>C5</f>
        <v>Therapy 1</v>
      </c>
      <c r="R5" t="str">
        <f>D5</f>
        <v>Therapy 2</v>
      </c>
      <c r="S5" t="str">
        <f>E5</f>
        <v>Therapy 3</v>
      </c>
    </row>
    <row r="6" spans="1:23" x14ac:dyDescent="0.25">
      <c r="A6" t="str">
        <f>'Log Lin 2.1'!A4</f>
        <v>Positive</v>
      </c>
      <c r="B6" t="str">
        <f>'Log Lin 2.1'!B4</f>
        <v>Male</v>
      </c>
      <c r="C6" s="398">
        <f>'Log Lin 2.1'!C4</f>
        <v>59</v>
      </c>
      <c r="D6" s="424">
        <f>'Log Lin 2.1'!D4</f>
        <v>55</v>
      </c>
      <c r="E6" s="419">
        <f>'Log Lin 2.1'!E4</f>
        <v>107</v>
      </c>
      <c r="F6">
        <f>SUM(C6:E6)</f>
        <v>221</v>
      </c>
      <c r="H6" t="str">
        <f t="shared" ref="H6:I9" si="0">A6</f>
        <v>Positive</v>
      </c>
      <c r="I6" t="str">
        <f t="shared" si="0"/>
        <v>Male</v>
      </c>
      <c r="J6" s="398">
        <f t="shared" ref="J6:L9" si="1">Q151</f>
        <v>60.468941219727789</v>
      </c>
      <c r="K6" s="424">
        <f t="shared" si="1"/>
        <v>53.109416189162133</v>
      </c>
      <c r="L6" s="419">
        <f t="shared" si="1"/>
        <v>107.42164258226687</v>
      </c>
      <c r="M6">
        <f>SUM(J6:L6)</f>
        <v>220.99999999115681</v>
      </c>
      <c r="O6" t="str">
        <f t="shared" ref="O6:P9" si="2">A6</f>
        <v>Positive</v>
      </c>
      <c r="P6" t="str">
        <f t="shared" si="2"/>
        <v>Male</v>
      </c>
      <c r="Q6" s="393">
        <v>1</v>
      </c>
      <c r="R6" s="395">
        <v>1</v>
      </c>
      <c r="S6" s="396">
        <v>1</v>
      </c>
      <c r="T6">
        <f>SUM(Q6:S6)</f>
        <v>3</v>
      </c>
      <c r="V6" s="398">
        <f>J6*K7/J7/K6</f>
        <v>0.96551897981991508</v>
      </c>
      <c r="W6" s="419">
        <f>J8*K9/J9/K8</f>
        <v>0.96551897981991641</v>
      </c>
    </row>
    <row r="7" spans="1:23" x14ac:dyDescent="0.25">
      <c r="A7" t="str">
        <f>'Log Lin 2.1'!A5</f>
        <v>Positive</v>
      </c>
      <c r="B7" t="str">
        <f>'Log Lin 2.1'!B5</f>
        <v>Female</v>
      </c>
      <c r="C7" s="6">
        <f>'Log Lin 2.1'!C5</f>
        <v>32</v>
      </c>
      <c r="D7" s="7">
        <f>'Log Lin 2.1'!D5</f>
        <v>24</v>
      </c>
      <c r="E7" s="8">
        <f>'Log Lin 2.1'!E5</f>
        <v>80</v>
      </c>
      <c r="F7">
        <f>SUM(C7:E7)</f>
        <v>136</v>
      </c>
      <c r="H7" t="str">
        <f t="shared" si="0"/>
        <v>Positive</v>
      </c>
      <c r="I7" t="str">
        <f t="shared" si="0"/>
        <v>Female</v>
      </c>
      <c r="J7" s="6">
        <f t="shared" si="1"/>
        <v>30.531058777114517</v>
      </c>
      <c r="K7" s="7">
        <f t="shared" si="1"/>
        <v>25.890583824262364</v>
      </c>
      <c r="L7" s="8">
        <f t="shared" si="1"/>
        <v>79.578357410410149</v>
      </c>
      <c r="M7">
        <f>SUM(J7:L7)</f>
        <v>136.00000001178702</v>
      </c>
      <c r="O7" t="str">
        <f t="shared" si="2"/>
        <v>Positive</v>
      </c>
      <c r="P7" t="str">
        <f t="shared" si="2"/>
        <v>Female</v>
      </c>
      <c r="Q7" s="6">
        <v>1</v>
      </c>
      <c r="R7" s="7">
        <v>1</v>
      </c>
      <c r="S7" s="8">
        <v>1</v>
      </c>
      <c r="T7">
        <f>SUM(Q7:S7)</f>
        <v>3</v>
      </c>
      <c r="V7" s="6">
        <f>K6*L7/K7/L6</f>
        <v>1.5196125281541406</v>
      </c>
      <c r="W7" s="8">
        <f>K8*L9/K9/L8</f>
        <v>1.5196125281541391</v>
      </c>
    </row>
    <row r="8" spans="1:23" x14ac:dyDescent="0.25">
      <c r="A8" t="str">
        <f>'Log Lin 2.1'!A6</f>
        <v>Negative</v>
      </c>
      <c r="B8" t="str">
        <f>'Log Lin 2.1'!B6</f>
        <v>Male</v>
      </c>
      <c r="C8" s="6">
        <f>'Log Lin 2.1'!C6</f>
        <v>9</v>
      </c>
      <c r="D8" s="7">
        <f>'Log Lin 2.1'!D6</f>
        <v>12</v>
      </c>
      <c r="E8" s="8">
        <f>'Log Lin 2.1'!E6</f>
        <v>17</v>
      </c>
      <c r="F8">
        <f>SUM(C8:E8)</f>
        <v>38</v>
      </c>
      <c r="H8" t="str">
        <f t="shared" si="0"/>
        <v>Negative</v>
      </c>
      <c r="I8" t="str">
        <f t="shared" si="0"/>
        <v>Male</v>
      </c>
      <c r="J8" s="6">
        <f t="shared" si="1"/>
        <v>7.5310587802722173</v>
      </c>
      <c r="K8" s="7">
        <f t="shared" si="1"/>
        <v>13.890583810837864</v>
      </c>
      <c r="L8" s="8">
        <f t="shared" si="1"/>
        <v>16.57835741773313</v>
      </c>
      <c r="M8">
        <f>SUM(J8:L8)</f>
        <v>38.000000008843216</v>
      </c>
      <c r="O8" t="str">
        <f t="shared" si="2"/>
        <v>Negative</v>
      </c>
      <c r="P8" t="str">
        <f t="shared" si="2"/>
        <v>Male</v>
      </c>
      <c r="Q8" s="6">
        <v>1</v>
      </c>
      <c r="R8" s="7">
        <v>1</v>
      </c>
      <c r="S8" s="8">
        <v>1</v>
      </c>
      <c r="T8">
        <f>SUM(Q8:S8)</f>
        <v>3</v>
      </c>
      <c r="V8" s="409">
        <f>J6*L7/J7/L6</f>
        <v>1.4672147379049478</v>
      </c>
      <c r="W8" s="417">
        <f>J8*L9/J9/L8</f>
        <v>1.4672147379049483</v>
      </c>
    </row>
    <row r="9" spans="1:23" x14ac:dyDescent="0.25">
      <c r="A9" t="str">
        <f>'Log Lin 2.1'!A7</f>
        <v>Negative</v>
      </c>
      <c r="B9" t="str">
        <f>'Log Lin 2.1'!B7</f>
        <v>Female</v>
      </c>
      <c r="C9" s="409">
        <f>'Log Lin 2.1'!C7</f>
        <v>16</v>
      </c>
      <c r="D9" s="10">
        <f>'Log Lin 2.1'!D7</f>
        <v>33</v>
      </c>
      <c r="E9" s="417">
        <f>'Log Lin 2.1'!E7</f>
        <v>56</v>
      </c>
      <c r="F9">
        <f>SUM(C9:E9)</f>
        <v>105</v>
      </c>
      <c r="H9" t="str">
        <f t="shared" si="0"/>
        <v>Negative</v>
      </c>
      <c r="I9" t="str">
        <f t="shared" si="0"/>
        <v>Female</v>
      </c>
      <c r="J9" s="409">
        <f t="shared" si="1"/>
        <v>17.468941222885476</v>
      </c>
      <c r="K9" s="10">
        <f t="shared" si="1"/>
        <v>31.109416175737632</v>
      </c>
      <c r="L9" s="417">
        <f t="shared" si="1"/>
        <v>56.421642589589844</v>
      </c>
      <c r="M9">
        <f>SUM(J9:L9)</f>
        <v>104.99999998821295</v>
      </c>
      <c r="O9" t="str">
        <f t="shared" si="2"/>
        <v>Negative</v>
      </c>
      <c r="P9" t="str">
        <f t="shared" si="2"/>
        <v>Female</v>
      </c>
      <c r="Q9" s="9">
        <v>1</v>
      </c>
      <c r="R9" s="10">
        <v>1</v>
      </c>
      <c r="S9" s="11">
        <v>1</v>
      </c>
      <c r="T9">
        <f>SUM(Q9:S9)</f>
        <v>3</v>
      </c>
    </row>
    <row r="10" spans="1:23" x14ac:dyDescent="0.25">
      <c r="C10">
        <f>SUM(C6:C9)</f>
        <v>116</v>
      </c>
      <c r="D10">
        <f>SUM(D6:D9)</f>
        <v>124</v>
      </c>
      <c r="E10">
        <f>SUM(E6:E9)</f>
        <v>260</v>
      </c>
      <c r="F10">
        <f>SUM(F6:F9)</f>
        <v>500</v>
      </c>
      <c r="J10">
        <f>SUM(J6:J9)</f>
        <v>116</v>
      </c>
      <c r="K10">
        <f>SUM(K6:K9)</f>
        <v>124</v>
      </c>
      <c r="L10">
        <f>SUM(L6:L9)</f>
        <v>260</v>
      </c>
      <c r="M10">
        <f>SUM(M6:M9)</f>
        <v>500</v>
      </c>
      <c r="Q10">
        <f>SUM(Q6:Q9)</f>
        <v>4</v>
      </c>
      <c r="R10">
        <f>SUM(R6:R9)</f>
        <v>4</v>
      </c>
      <c r="S10">
        <f>SUM(S6:S9)</f>
        <v>4</v>
      </c>
      <c r="T10">
        <f>SUM(T6:T9)</f>
        <v>12</v>
      </c>
    </row>
    <row r="12" spans="1:23" x14ac:dyDescent="0.25">
      <c r="A12" t="str">
        <f>A6</f>
        <v>Positive</v>
      </c>
      <c r="C12" s="393">
        <f>SUM(C6:C7)</f>
        <v>91</v>
      </c>
      <c r="D12" s="395">
        <f>SUM(D6:D7)</f>
        <v>79</v>
      </c>
      <c r="E12" s="396">
        <f>SUM(E6:E7)</f>
        <v>187</v>
      </c>
      <c r="F12">
        <f>SUM(C12:E12)</f>
        <v>357</v>
      </c>
      <c r="H12" t="str">
        <f>A12</f>
        <v>Positive</v>
      </c>
      <c r="J12" s="393">
        <f>SUM(J6:J7)</f>
        <v>90.999999996842305</v>
      </c>
      <c r="K12" s="395">
        <f>SUM(K6:K7)</f>
        <v>79.000000013424497</v>
      </c>
      <c r="L12" s="396">
        <f>SUM(L6:L7)</f>
        <v>186.99999999267703</v>
      </c>
      <c r="M12">
        <f>SUM(J12:L12)</f>
        <v>357.00000000294381</v>
      </c>
      <c r="O12" t="str">
        <f>A12</f>
        <v>Positive</v>
      </c>
      <c r="Q12" s="393">
        <f>SUM(Q6:Q7)</f>
        <v>2</v>
      </c>
      <c r="R12" s="395">
        <f>SUM(R6:R7)</f>
        <v>2</v>
      </c>
      <c r="S12" s="396">
        <f>SUM(S6:S7)</f>
        <v>2</v>
      </c>
    </row>
    <row r="13" spans="1:23" x14ac:dyDescent="0.25">
      <c r="A13" t="str">
        <f>A8</f>
        <v>Negative</v>
      </c>
      <c r="C13" s="9">
        <f>SUM(C8:C9)</f>
        <v>25</v>
      </c>
      <c r="D13" s="10">
        <f>SUM(D8:D9)</f>
        <v>45</v>
      </c>
      <c r="E13" s="11">
        <f>SUM(E8:E9)</f>
        <v>73</v>
      </c>
      <c r="F13">
        <f>SUM(C13:E13)</f>
        <v>143</v>
      </c>
      <c r="H13" t="str">
        <f>A13</f>
        <v>Negative</v>
      </c>
      <c r="J13" s="9">
        <f>SUM(J8:J9)</f>
        <v>25.000000003157695</v>
      </c>
      <c r="K13" s="10">
        <f>SUM(K8:K9)</f>
        <v>44.999999986575496</v>
      </c>
      <c r="L13" s="11">
        <f>SUM(L8:L9)</f>
        <v>73.000000007322967</v>
      </c>
      <c r="M13">
        <f>SUM(J13:L13)</f>
        <v>142.99999999705616</v>
      </c>
      <c r="O13" t="str">
        <f>A13</f>
        <v>Negative</v>
      </c>
      <c r="Q13" s="9">
        <f>SUM(Q8:Q9)</f>
        <v>2</v>
      </c>
      <c r="R13" s="10">
        <f>SUM(R8:R9)</f>
        <v>2</v>
      </c>
      <c r="S13" s="11">
        <f>SUM(S8:S9)</f>
        <v>2</v>
      </c>
    </row>
    <row r="15" spans="1:23" x14ac:dyDescent="0.25">
      <c r="B15" t="str">
        <f>B6</f>
        <v>Male</v>
      </c>
      <c r="C15" s="393">
        <f t="shared" ref="C15:E16" si="3">C6+C8</f>
        <v>68</v>
      </c>
      <c r="D15" s="395">
        <f t="shared" si="3"/>
        <v>67</v>
      </c>
      <c r="E15" s="396">
        <f t="shared" si="3"/>
        <v>124</v>
      </c>
      <c r="F15">
        <f>SUM(C15:E15)</f>
        <v>259</v>
      </c>
      <c r="I15" t="str">
        <f>B15</f>
        <v>Male</v>
      </c>
      <c r="J15" s="393">
        <f t="shared" ref="J15:L16" si="4">J6+J8</f>
        <v>68</v>
      </c>
      <c r="K15" s="395">
        <f t="shared" si="4"/>
        <v>67</v>
      </c>
      <c r="L15" s="396">
        <f t="shared" si="4"/>
        <v>124</v>
      </c>
      <c r="M15">
        <f>SUM(J15:L15)</f>
        <v>259</v>
      </c>
      <c r="P15" t="str">
        <f>B15</f>
        <v>Male</v>
      </c>
      <c r="Q15" s="393">
        <f t="shared" ref="Q15:S16" si="5">Q6+Q8</f>
        <v>2</v>
      </c>
      <c r="R15" s="395">
        <f t="shared" si="5"/>
        <v>2</v>
      </c>
      <c r="S15" s="396">
        <f t="shared" si="5"/>
        <v>2</v>
      </c>
    </row>
    <row r="16" spans="1:23" x14ac:dyDescent="0.25">
      <c r="B16" t="str">
        <f>B7</f>
        <v>Female</v>
      </c>
      <c r="C16" s="9">
        <f t="shared" si="3"/>
        <v>48</v>
      </c>
      <c r="D16" s="10">
        <f t="shared" si="3"/>
        <v>57</v>
      </c>
      <c r="E16" s="11">
        <f t="shared" si="3"/>
        <v>136</v>
      </c>
      <c r="F16">
        <f>SUM(C16:E16)</f>
        <v>241</v>
      </c>
      <c r="I16" t="str">
        <f>B16</f>
        <v>Female</v>
      </c>
      <c r="J16" s="9">
        <f t="shared" si="4"/>
        <v>47.999999999999993</v>
      </c>
      <c r="K16" s="10">
        <f t="shared" si="4"/>
        <v>57</v>
      </c>
      <c r="L16" s="11">
        <f t="shared" si="4"/>
        <v>136</v>
      </c>
      <c r="M16">
        <f>SUM(J16:L16)</f>
        <v>241</v>
      </c>
      <c r="P16" t="str">
        <f>B16</f>
        <v>Female</v>
      </c>
      <c r="Q16" s="9">
        <f t="shared" si="5"/>
        <v>2</v>
      </c>
      <c r="R16" s="10">
        <f t="shared" si="5"/>
        <v>2</v>
      </c>
      <c r="S16" s="11">
        <f t="shared" si="5"/>
        <v>2</v>
      </c>
    </row>
    <row r="18" spans="1:20" x14ac:dyDescent="0.25">
      <c r="C18" t="s">
        <v>919</v>
      </c>
      <c r="J18" t="s">
        <v>920</v>
      </c>
      <c r="Q18" t="s">
        <v>921</v>
      </c>
    </row>
    <row r="20" spans="1:20" x14ac:dyDescent="0.25">
      <c r="C20" t="str">
        <f>Q5</f>
        <v>Therapy 1</v>
      </c>
      <c r="D20" t="str">
        <f>R5</f>
        <v>Therapy 2</v>
      </c>
      <c r="E20" t="str">
        <f>S5</f>
        <v>Therapy 3</v>
      </c>
      <c r="J20" t="str">
        <f>C20</f>
        <v>Therapy 1</v>
      </c>
      <c r="K20" t="str">
        <f>D20</f>
        <v>Therapy 2</v>
      </c>
      <c r="L20" t="str">
        <f>E20</f>
        <v>Therapy 3</v>
      </c>
      <c r="Q20" t="str">
        <f>J20</f>
        <v>Therapy 1</v>
      </c>
      <c r="R20" t="str">
        <f>K20</f>
        <v>Therapy 2</v>
      </c>
      <c r="S20" t="str">
        <f>L20</f>
        <v>Therapy 3</v>
      </c>
    </row>
    <row r="21" spans="1:20" x14ac:dyDescent="0.25">
      <c r="A21" t="str">
        <f t="shared" ref="A21:B24" si="6">A6</f>
        <v>Positive</v>
      </c>
      <c r="B21" t="str">
        <f t="shared" si="6"/>
        <v>Male</v>
      </c>
      <c r="C21" s="393">
        <f>Q6*$F$6/$T6</f>
        <v>73.666666666666671</v>
      </c>
      <c r="D21" s="395">
        <f>R6*$F$6/$T6</f>
        <v>73.666666666666671</v>
      </c>
      <c r="E21" s="396">
        <f>S6*$F$6/$T6</f>
        <v>73.666666666666671</v>
      </c>
      <c r="F21">
        <f>SUM(C21:E21)</f>
        <v>221</v>
      </c>
      <c r="H21" t="str">
        <f t="shared" ref="H21:I24" si="7">A21</f>
        <v>Positive</v>
      </c>
      <c r="I21" t="str">
        <f t="shared" si="7"/>
        <v>Male</v>
      </c>
      <c r="J21" s="393">
        <f>C21*$C$12/C27</f>
        <v>56.333333333333336</v>
      </c>
      <c r="K21" s="395">
        <f>D21*$D$12/D27</f>
        <v>48.904761904761905</v>
      </c>
      <c r="L21" s="396">
        <f>E21*$E$12/E27</f>
        <v>115.76190476190477</v>
      </c>
      <c r="M21">
        <f>SUM(J21:L21)</f>
        <v>221</v>
      </c>
      <c r="O21" t="str">
        <f t="shared" ref="O21:P24" si="8">H21</f>
        <v>Positive</v>
      </c>
      <c r="P21" t="str">
        <f t="shared" si="8"/>
        <v>Male</v>
      </c>
      <c r="Q21" s="393">
        <f>J21*$C$15/J30</f>
        <v>60.826738720065144</v>
      </c>
      <c r="R21" s="395">
        <f>K21*$D$15/K30</f>
        <v>53.836150155112136</v>
      </c>
      <c r="S21" s="396">
        <f>L21*$E$15/L30</f>
        <v>106.20318463020496</v>
      </c>
      <c r="T21">
        <f>SUM(Q21:S21)</f>
        <v>220.86607350538225</v>
      </c>
    </row>
    <row r="22" spans="1:20" x14ac:dyDescent="0.25">
      <c r="A22" t="str">
        <f t="shared" si="6"/>
        <v>Positive</v>
      </c>
      <c r="B22" t="str">
        <f t="shared" si="6"/>
        <v>Female</v>
      </c>
      <c r="C22" s="6">
        <f>Q7*$F$7/$T7</f>
        <v>45.333333333333336</v>
      </c>
      <c r="D22" s="7">
        <f>R7*$F$7/$T7</f>
        <v>45.333333333333336</v>
      </c>
      <c r="E22" s="8">
        <f>S7*$F$7/$T7</f>
        <v>45.333333333333336</v>
      </c>
      <c r="F22">
        <f>SUM(C22:E22)</f>
        <v>136</v>
      </c>
      <c r="H22" t="str">
        <f t="shared" si="7"/>
        <v>Positive</v>
      </c>
      <c r="I22" t="str">
        <f t="shared" si="7"/>
        <v>Female</v>
      </c>
      <c r="J22" s="6">
        <f>C22*$C$12/C27</f>
        <v>34.666666666666671</v>
      </c>
      <c r="K22" s="7">
        <f>D22*$D$12/D27</f>
        <v>30.095238095238095</v>
      </c>
      <c r="L22" s="8">
        <f>E22*$E$12/E27</f>
        <v>71.238095238095241</v>
      </c>
      <c r="M22">
        <f>SUM(J22:L22)</f>
        <v>136</v>
      </c>
      <c r="O22" t="str">
        <f t="shared" si="8"/>
        <v>Positive</v>
      </c>
      <c r="P22" t="str">
        <f t="shared" si="8"/>
        <v>Female</v>
      </c>
      <c r="Q22" s="6">
        <f>J22*$C$16/J31</f>
        <v>31.382424055919461</v>
      </c>
      <c r="R22" s="7">
        <f>K22*$D$16/K31</f>
        <v>27.169856699068038</v>
      </c>
      <c r="S22" s="8">
        <f>L22*$E$16/L31</f>
        <v>77.60669844462285</v>
      </c>
      <c r="T22">
        <f>SUM(Q22:S22)</f>
        <v>136.15897919961034</v>
      </c>
    </row>
    <row r="23" spans="1:20" x14ac:dyDescent="0.25">
      <c r="A23" t="str">
        <f t="shared" si="6"/>
        <v>Negative</v>
      </c>
      <c r="B23" t="str">
        <f t="shared" si="6"/>
        <v>Male</v>
      </c>
      <c r="C23" s="6">
        <f>Q8*$F$8/$T8</f>
        <v>12.666666666666666</v>
      </c>
      <c r="D23" s="7">
        <f>R8*$F$8/$T8</f>
        <v>12.666666666666666</v>
      </c>
      <c r="E23" s="8">
        <f>S8*$F$8/$T8</f>
        <v>12.666666666666666</v>
      </c>
      <c r="F23">
        <f>SUM(C23:E23)</f>
        <v>38</v>
      </c>
      <c r="H23" t="str">
        <f t="shared" si="7"/>
        <v>Negative</v>
      </c>
      <c r="I23" t="str">
        <f t="shared" si="7"/>
        <v>Male</v>
      </c>
      <c r="J23" s="6">
        <f>C23*$C$13/C28</f>
        <v>6.6433566433566433</v>
      </c>
      <c r="K23" s="7">
        <f>D23*$D$13/D28</f>
        <v>11.958041958041958</v>
      </c>
      <c r="L23" s="8">
        <f>E23*$E$13/E28</f>
        <v>19.3986013986014</v>
      </c>
      <c r="M23">
        <f>SUM(J23:L23)</f>
        <v>38</v>
      </c>
      <c r="O23" t="str">
        <f t="shared" si="8"/>
        <v>Negative</v>
      </c>
      <c r="P23" t="str">
        <f t="shared" si="8"/>
        <v>Male</v>
      </c>
      <c r="Q23" s="6">
        <f>J23*$C$15/J30</f>
        <v>7.173261279934855</v>
      </c>
      <c r="R23" s="7">
        <f>K23*$D$15/K30</f>
        <v>13.163849844887865</v>
      </c>
      <c r="S23" s="8">
        <f>L23*$E$15/L30</f>
        <v>17.796815369795041</v>
      </c>
      <c r="T23">
        <f>SUM(Q23:S23)</f>
        <v>38.133926494617761</v>
      </c>
    </row>
    <row r="24" spans="1:20" x14ac:dyDescent="0.25">
      <c r="A24" t="str">
        <f t="shared" si="6"/>
        <v>Negative</v>
      </c>
      <c r="B24" t="str">
        <f t="shared" si="6"/>
        <v>Female</v>
      </c>
      <c r="C24" s="9">
        <f>Q9*$F$9/$T9</f>
        <v>35</v>
      </c>
      <c r="D24" s="10">
        <f>R9*$F$9/$T9</f>
        <v>35</v>
      </c>
      <c r="E24" s="11">
        <f>S9*$F$9/$T9</f>
        <v>35</v>
      </c>
      <c r="F24">
        <f>SUM(C24:E24)</f>
        <v>105</v>
      </c>
      <c r="H24" t="str">
        <f t="shared" si="7"/>
        <v>Negative</v>
      </c>
      <c r="I24" t="str">
        <f t="shared" si="7"/>
        <v>Female</v>
      </c>
      <c r="J24" s="9">
        <f>C24*$C$13/C28</f>
        <v>18.356643356643357</v>
      </c>
      <c r="K24" s="10">
        <f>D24*$D$13/D28</f>
        <v>33.041958041958047</v>
      </c>
      <c r="L24" s="11">
        <f>E24*$E$13/E28</f>
        <v>53.601398601398607</v>
      </c>
      <c r="M24">
        <f>SUM(J24:L24)</f>
        <v>105</v>
      </c>
      <c r="O24" t="str">
        <f t="shared" si="8"/>
        <v>Negative</v>
      </c>
      <c r="P24" t="str">
        <f t="shared" si="8"/>
        <v>Female</v>
      </c>
      <c r="Q24" s="9">
        <f>J24*$C$16/J31</f>
        <v>16.617575944080535</v>
      </c>
      <c r="R24" s="10">
        <f>K24*$D$16/K31</f>
        <v>29.830143300931962</v>
      </c>
      <c r="S24" s="11">
        <f>L24*$E$16/L31</f>
        <v>58.393301555377136</v>
      </c>
      <c r="T24">
        <f>SUM(Q24:S24)</f>
        <v>104.84102080038963</v>
      </c>
    </row>
    <row r="25" spans="1:20" x14ac:dyDescent="0.25">
      <c r="C25">
        <f>SUM(C21:C24)</f>
        <v>166.66666666666666</v>
      </c>
      <c r="D25">
        <f>SUM(D21:D24)</f>
        <v>166.66666666666666</v>
      </c>
      <c r="E25">
        <f>SUM(E21:E24)</f>
        <v>166.66666666666666</v>
      </c>
      <c r="F25">
        <f>SUM(F21:F24)</f>
        <v>500</v>
      </c>
      <c r="J25">
        <f>SUM(J21:J24)</f>
        <v>116</v>
      </c>
      <c r="K25">
        <f>SUM(K21:K24)</f>
        <v>124</v>
      </c>
      <c r="L25">
        <f>SUM(L21:L24)</f>
        <v>260</v>
      </c>
      <c r="M25">
        <f>SUM(M21:M24)</f>
        <v>500</v>
      </c>
      <c r="Q25">
        <f>SUM(Q21:Q24)</f>
        <v>116</v>
      </c>
      <c r="R25">
        <f>SUM(R21:R24)</f>
        <v>124</v>
      </c>
      <c r="S25">
        <f>SUM(S21:S24)</f>
        <v>260</v>
      </c>
      <c r="T25">
        <f>SUM(T21:T24)</f>
        <v>500</v>
      </c>
    </row>
    <row r="27" spans="1:20" x14ac:dyDescent="0.25">
      <c r="A27" t="str">
        <f>A12</f>
        <v>Positive</v>
      </c>
      <c r="C27" s="393">
        <f>SUM(C21:C22)</f>
        <v>119</v>
      </c>
      <c r="D27" s="395">
        <f>SUM(D21:D22)</f>
        <v>119</v>
      </c>
      <c r="E27" s="396">
        <f>SUM(E21:E22)</f>
        <v>119</v>
      </c>
      <c r="H27" t="str">
        <f>A27</f>
        <v>Positive</v>
      </c>
      <c r="J27" s="393">
        <f>SUM(J21:J22)</f>
        <v>91</v>
      </c>
      <c r="K27" s="395">
        <f>SUM(K21:K22)</f>
        <v>79</v>
      </c>
      <c r="L27" s="396">
        <f>SUM(L21:L22)</f>
        <v>187</v>
      </c>
      <c r="O27" t="str">
        <f>H27</f>
        <v>Positive</v>
      </c>
      <c r="Q27" s="393">
        <f>SUM(Q21:Q22)</f>
        <v>92.209162775984609</v>
      </c>
      <c r="R27" s="395">
        <f>SUM(R21:R22)</f>
        <v>81.006006854180171</v>
      </c>
      <c r="S27" s="396">
        <f>SUM(S21:S22)</f>
        <v>183.80988307482781</v>
      </c>
    </row>
    <row r="28" spans="1:20" x14ac:dyDescent="0.25">
      <c r="A28" t="str">
        <f>A13</f>
        <v>Negative</v>
      </c>
      <c r="C28" s="9">
        <f>SUM(C23:C24)</f>
        <v>47.666666666666664</v>
      </c>
      <c r="D28" s="10">
        <f>SUM(D23:D24)</f>
        <v>47.666666666666664</v>
      </c>
      <c r="E28" s="11">
        <f>SUM(E23:E24)</f>
        <v>47.666666666666664</v>
      </c>
      <c r="H28" t="str">
        <f>A28</f>
        <v>Negative</v>
      </c>
      <c r="J28" s="9">
        <f>SUM(J23:J24)</f>
        <v>25</v>
      </c>
      <c r="K28" s="10">
        <f>SUM(K23:K24)</f>
        <v>45.000000000000007</v>
      </c>
      <c r="L28" s="11">
        <f>SUM(L23:L24)</f>
        <v>73</v>
      </c>
      <c r="O28" t="str">
        <f>H28</f>
        <v>Negative</v>
      </c>
      <c r="Q28" s="9">
        <f>SUM(Q23:Q24)</f>
        <v>23.790837224015391</v>
      </c>
      <c r="R28" s="10">
        <f>SUM(R23:R24)</f>
        <v>42.993993145819829</v>
      </c>
      <c r="S28" s="11">
        <f>SUM(S23:S24)</f>
        <v>76.190116925172177</v>
      </c>
    </row>
    <row r="30" spans="1:20" x14ac:dyDescent="0.25">
      <c r="B30" t="str">
        <f>B15</f>
        <v>Male</v>
      </c>
      <c r="C30" s="393">
        <f t="shared" ref="C30:E31" si="9">C21+C23</f>
        <v>86.333333333333343</v>
      </c>
      <c r="D30" s="395">
        <f t="shared" si="9"/>
        <v>86.333333333333343</v>
      </c>
      <c r="E30" s="396">
        <f t="shared" si="9"/>
        <v>86.333333333333343</v>
      </c>
      <c r="I30" t="str">
        <f>B30</f>
        <v>Male</v>
      </c>
      <c r="J30" s="393">
        <f t="shared" ref="J30:L31" si="10">J21+J23</f>
        <v>62.976689976689983</v>
      </c>
      <c r="K30" s="395">
        <f t="shared" si="10"/>
        <v>60.862803862803865</v>
      </c>
      <c r="L30" s="396">
        <f t="shared" si="10"/>
        <v>135.16050616050617</v>
      </c>
      <c r="P30" t="str">
        <f>I30</f>
        <v>Male</v>
      </c>
      <c r="Q30" s="393">
        <f t="shared" ref="Q30:S31" si="11">Q21+Q23</f>
        <v>68</v>
      </c>
      <c r="R30" s="395">
        <f t="shared" si="11"/>
        <v>67</v>
      </c>
      <c r="S30" s="396">
        <f t="shared" si="11"/>
        <v>124</v>
      </c>
    </row>
    <row r="31" spans="1:20" x14ac:dyDescent="0.25">
      <c r="B31" t="str">
        <f>B16</f>
        <v>Female</v>
      </c>
      <c r="C31" s="9">
        <f t="shared" si="9"/>
        <v>80.333333333333343</v>
      </c>
      <c r="D31" s="10">
        <f t="shared" si="9"/>
        <v>80.333333333333343</v>
      </c>
      <c r="E31" s="11">
        <f t="shared" si="9"/>
        <v>80.333333333333343</v>
      </c>
      <c r="I31" t="str">
        <f>B31</f>
        <v>Female</v>
      </c>
      <c r="J31" s="9">
        <f t="shared" si="10"/>
        <v>53.023310023310032</v>
      </c>
      <c r="K31" s="10">
        <f t="shared" si="10"/>
        <v>63.137196137196142</v>
      </c>
      <c r="L31" s="11">
        <f t="shared" si="10"/>
        <v>124.83949383949385</v>
      </c>
      <c r="P31" t="str">
        <f>I31</f>
        <v>Female</v>
      </c>
      <c r="Q31" s="9">
        <f t="shared" si="11"/>
        <v>48</v>
      </c>
      <c r="R31" s="10">
        <f t="shared" si="11"/>
        <v>57</v>
      </c>
      <c r="S31" s="11">
        <f t="shared" si="11"/>
        <v>136</v>
      </c>
    </row>
    <row r="33" spans="1:20" x14ac:dyDescent="0.25">
      <c r="C33" t="str">
        <f>C20</f>
        <v>Therapy 1</v>
      </c>
      <c r="D33" t="str">
        <f>D20</f>
        <v>Therapy 2</v>
      </c>
      <c r="E33" t="str">
        <f>E20</f>
        <v>Therapy 3</v>
      </c>
      <c r="J33" t="str">
        <f>J20</f>
        <v>Therapy 1</v>
      </c>
      <c r="K33" t="str">
        <f>K20</f>
        <v>Therapy 2</v>
      </c>
      <c r="L33" t="str">
        <f>L20</f>
        <v>Therapy 3</v>
      </c>
      <c r="Q33" t="str">
        <f>Q20</f>
        <v>Therapy 1</v>
      </c>
      <c r="R33" t="str">
        <f>R20</f>
        <v>Therapy 2</v>
      </c>
      <c r="S33" t="str">
        <f>S20</f>
        <v>Therapy 3</v>
      </c>
    </row>
    <row r="34" spans="1:20" x14ac:dyDescent="0.25">
      <c r="A34" t="str">
        <f t="shared" ref="A34:B37" si="12">A21</f>
        <v>Positive</v>
      </c>
      <c r="B34" t="str">
        <f t="shared" si="12"/>
        <v>Male</v>
      </c>
      <c r="C34" s="393">
        <f>Q21*$F$6/$T21</f>
        <v>60.86362221134344</v>
      </c>
      <c r="D34" s="395">
        <f>R21*$F$6/$T21</f>
        <v>53.868794765303086</v>
      </c>
      <c r="E34" s="396">
        <f>S21*$F$6/$T21</f>
        <v>106.26758302335345</v>
      </c>
      <c r="F34">
        <f>SUM(C34:E34)</f>
        <v>221</v>
      </c>
      <c r="H34" t="str">
        <f t="shared" ref="H34:I37" si="13">A34</f>
        <v>Positive</v>
      </c>
      <c r="I34" t="str">
        <f t="shared" si="13"/>
        <v>Male</v>
      </c>
      <c r="J34" s="393">
        <f>C34*$C$12/C40</f>
        <v>60.065344440868365</v>
      </c>
      <c r="K34" s="395">
        <f>D34*$D$12/D40</f>
        <v>52.534207807145265</v>
      </c>
      <c r="L34" s="396">
        <f>E34*$E$12/E40</f>
        <v>108.12733390482319</v>
      </c>
      <c r="M34">
        <f>SUM(J34:L34)</f>
        <v>220.72688615283681</v>
      </c>
      <c r="O34" t="str">
        <f t="shared" ref="O34:P37" si="14">H34</f>
        <v>Positive</v>
      </c>
      <c r="P34" t="str">
        <f t="shared" si="14"/>
        <v>Male</v>
      </c>
      <c r="Q34" s="393">
        <f>J34*$C$15/J43</f>
        <v>60.441584497136574</v>
      </c>
      <c r="R34" s="395">
        <f>K34*$D$15/K43</f>
        <v>53.117561945616579</v>
      </c>
      <c r="S34" s="396">
        <f>L34*$E$15/L43</f>
        <v>107.16518394316908</v>
      </c>
      <c r="T34">
        <f>SUM(Q34:S34)</f>
        <v>220.72433038592226</v>
      </c>
    </row>
    <row r="35" spans="1:20" x14ac:dyDescent="0.25">
      <c r="A35" t="str">
        <f t="shared" si="12"/>
        <v>Positive</v>
      </c>
      <c r="B35" t="str">
        <f t="shared" si="12"/>
        <v>Female</v>
      </c>
      <c r="C35" s="6">
        <f>Q22*$F$7/$T22</f>
        <v>31.345781943239338</v>
      </c>
      <c r="D35" s="7">
        <f>R22*$F$7/$T22</f>
        <v>27.138133179275684</v>
      </c>
      <c r="E35" s="8">
        <f>S22*$F$7/$T22</f>
        <v>77.516084877484985</v>
      </c>
      <c r="F35">
        <f>SUM(C35:E35)</f>
        <v>136</v>
      </c>
      <c r="H35" t="str">
        <f t="shared" si="13"/>
        <v>Positive</v>
      </c>
      <c r="I35" t="str">
        <f t="shared" si="13"/>
        <v>Female</v>
      </c>
      <c r="J35" s="6">
        <f>C35*$C$12/C40</f>
        <v>30.934655559131631</v>
      </c>
      <c r="K35" s="7">
        <f>D35*$D$12/D40</f>
        <v>26.465792192854735</v>
      </c>
      <c r="L35" s="8">
        <f>E35*$E$12/E40</f>
        <v>78.872666095176797</v>
      </c>
      <c r="M35">
        <f>SUM(J35:L35)</f>
        <v>136.27311384716316</v>
      </c>
      <c r="O35" t="str">
        <f t="shared" si="14"/>
        <v>Positive</v>
      </c>
      <c r="P35" t="str">
        <f t="shared" si="14"/>
        <v>Female</v>
      </c>
      <c r="Q35" s="6">
        <f>J35*$C$16/J44</f>
        <v>30.664241608440154</v>
      </c>
      <c r="R35" s="7">
        <f>K35*$D$16/K44</f>
        <v>26.128498246812214</v>
      </c>
      <c r="S35" s="8">
        <f>L35*$E$16/L44</f>
        <v>79.523646802246233</v>
      </c>
      <c r="T35">
        <f>SUM(Q35:S35)</f>
        <v>136.31638665749858</v>
      </c>
    </row>
    <row r="36" spans="1:20" x14ac:dyDescent="0.25">
      <c r="A36" t="str">
        <f t="shared" si="12"/>
        <v>Negative</v>
      </c>
      <c r="B36" t="str">
        <f t="shared" si="12"/>
        <v>Male</v>
      </c>
      <c r="C36" s="6">
        <f>Q23*$F$8/$T23</f>
        <v>7.1480687590877139</v>
      </c>
      <c r="D36" s="7">
        <f>R23*$F$8/$T23</f>
        <v>13.117618354258406</v>
      </c>
      <c r="E36" s="8">
        <f>S23*$F$8/$T23</f>
        <v>17.734312886653882</v>
      </c>
      <c r="F36">
        <f>SUM(C36:E36)</f>
        <v>38</v>
      </c>
      <c r="H36" t="str">
        <f t="shared" si="13"/>
        <v>Negative</v>
      </c>
      <c r="I36" t="str">
        <f t="shared" si="13"/>
        <v>Male</v>
      </c>
      <c r="J36" s="6">
        <f>C36*$C$13/C41</f>
        <v>7.5113654677302426</v>
      </c>
      <c r="K36" s="7">
        <f>D36*$D$13/D41</f>
        <v>13.729976657540938</v>
      </c>
      <c r="L36" s="8">
        <f>E36*$E$13/E41</f>
        <v>16.985962324933482</v>
      </c>
      <c r="M36">
        <f>SUM(J36:L36)</f>
        <v>38.227304450204663</v>
      </c>
      <c r="O36" t="str">
        <f t="shared" si="14"/>
        <v>Negative</v>
      </c>
      <c r="P36" t="str">
        <f t="shared" si="14"/>
        <v>Male</v>
      </c>
      <c r="Q36" s="6">
        <f>J36*$C$15/J43</f>
        <v>7.558415502863431</v>
      </c>
      <c r="R36" s="7">
        <f>K36*$D$15/K43</f>
        <v>13.88243805438343</v>
      </c>
      <c r="S36" s="8">
        <f>L36*$E$15/L43</f>
        <v>16.834816056830928</v>
      </c>
      <c r="T36">
        <f>SUM(Q36:S36)</f>
        <v>38.275669614077785</v>
      </c>
    </row>
    <row r="37" spans="1:20" x14ac:dyDescent="0.25">
      <c r="A37" t="str">
        <f t="shared" si="12"/>
        <v>Negative</v>
      </c>
      <c r="B37" t="str">
        <f t="shared" si="12"/>
        <v>Female</v>
      </c>
      <c r="C37" s="9">
        <f>Q24*$F$9/$T24</f>
        <v>16.642774562931113</v>
      </c>
      <c r="D37" s="10">
        <f>R24*$F$9/$T24</f>
        <v>29.875377239613979</v>
      </c>
      <c r="E37" s="11">
        <f>S24*$F$9/$T24</f>
        <v>58.481848197454909</v>
      </c>
      <c r="F37">
        <f>SUM(C37:E37)</f>
        <v>105</v>
      </c>
      <c r="H37" t="str">
        <f t="shared" si="13"/>
        <v>Negative</v>
      </c>
      <c r="I37" t="str">
        <f t="shared" si="13"/>
        <v>Female</v>
      </c>
      <c r="J37" s="9">
        <f>C37*$C$13/C41</f>
        <v>17.48863453226976</v>
      </c>
      <c r="K37" s="10">
        <f>D37*$D$13/D41</f>
        <v>31.270023342459062</v>
      </c>
      <c r="L37" s="11">
        <f>E37*$E$13/E41</f>
        <v>56.014037675066518</v>
      </c>
      <c r="M37">
        <f>SUM(J37:L37)</f>
        <v>104.77269554979534</v>
      </c>
      <c r="O37" t="str">
        <f t="shared" si="14"/>
        <v>Negative</v>
      </c>
      <c r="P37" t="str">
        <f t="shared" si="14"/>
        <v>Female</v>
      </c>
      <c r="Q37" s="9">
        <f>J37*$C$16/J44</f>
        <v>17.33575839155985</v>
      </c>
      <c r="R37" s="10">
        <f>K37*$D$16/K44</f>
        <v>30.871501753187786</v>
      </c>
      <c r="S37" s="11">
        <f>L37*$E$16/L44</f>
        <v>56.476353197753774</v>
      </c>
      <c r="T37">
        <f>SUM(Q37:S37)</f>
        <v>104.68361334250142</v>
      </c>
    </row>
    <row r="38" spans="1:20" x14ac:dyDescent="0.25">
      <c r="C38">
        <f>SUM(C34:C37)</f>
        <v>116.00024747660161</v>
      </c>
      <c r="D38">
        <f>SUM(D34:D37)</f>
        <v>123.99992353845116</v>
      </c>
      <c r="E38">
        <f>SUM(E34:E37)</f>
        <v>259.99982898494721</v>
      </c>
      <c r="F38">
        <f>SUM(F34:F37)</f>
        <v>500</v>
      </c>
      <c r="J38">
        <f>SUM(J34:J37)</f>
        <v>116</v>
      </c>
      <c r="K38">
        <f>SUM(K34:K37)</f>
        <v>124</v>
      </c>
      <c r="L38">
        <f>SUM(L34:L37)</f>
        <v>260</v>
      </c>
      <c r="M38">
        <f>SUM(M34:M37)</f>
        <v>500</v>
      </c>
      <c r="Q38">
        <f>SUM(Q34:Q37)</f>
        <v>116</v>
      </c>
      <c r="R38">
        <f>SUM(R34:R37)</f>
        <v>124</v>
      </c>
      <c r="S38">
        <f>SUM(S34:S37)</f>
        <v>260</v>
      </c>
      <c r="T38">
        <f>SUM(T34:T37)</f>
        <v>500.00000000000006</v>
      </c>
    </row>
    <row r="40" spans="1:20" x14ac:dyDescent="0.25">
      <c r="A40" t="str">
        <f>A27</f>
        <v>Positive</v>
      </c>
      <c r="C40" s="393">
        <f>SUM(C34:C35)</f>
        <v>92.209404154582785</v>
      </c>
      <c r="D40" s="395">
        <f>SUM(D34:D35)</f>
        <v>81.006927944578763</v>
      </c>
      <c r="E40" s="396">
        <f>SUM(E34:E35)</f>
        <v>183.78366790083845</v>
      </c>
      <c r="H40" t="str">
        <f>A40</f>
        <v>Positive</v>
      </c>
      <c r="J40" s="393">
        <f>SUM(J34:J35)</f>
        <v>91</v>
      </c>
      <c r="K40" s="395">
        <f>SUM(K34:K35)</f>
        <v>79</v>
      </c>
      <c r="L40" s="396">
        <f>SUM(L34:L35)</f>
        <v>187</v>
      </c>
      <c r="O40" t="str">
        <f>H40</f>
        <v>Positive</v>
      </c>
      <c r="Q40" s="393">
        <f>SUM(Q34:Q35)</f>
        <v>91.105826105576725</v>
      </c>
      <c r="R40" s="395">
        <f>SUM(R34:R35)</f>
        <v>79.246060192428786</v>
      </c>
      <c r="S40" s="396">
        <f>SUM(S34:S35)</f>
        <v>186.68883074541532</v>
      </c>
    </row>
    <row r="41" spans="1:20" x14ac:dyDescent="0.25">
      <c r="A41" t="str">
        <f>A28</f>
        <v>Negative</v>
      </c>
      <c r="C41" s="9">
        <f>SUM(C36:C37)</f>
        <v>23.790843322018826</v>
      </c>
      <c r="D41" s="10">
        <f>SUM(D36:D37)</f>
        <v>42.992995593872386</v>
      </c>
      <c r="E41" s="10">
        <f>SUM(E36:E37)</f>
        <v>76.216161084108791</v>
      </c>
      <c r="H41" t="str">
        <f>A41</f>
        <v>Negative</v>
      </c>
      <c r="J41" s="9">
        <f>SUM(J36:J37)</f>
        <v>25.000000000000004</v>
      </c>
      <c r="K41" s="10">
        <f>SUM(K36:K37)</f>
        <v>45</v>
      </c>
      <c r="L41" s="10">
        <f>SUM(L36:L37)</f>
        <v>73</v>
      </c>
      <c r="O41" t="str">
        <f>H41</f>
        <v>Negative</v>
      </c>
      <c r="Q41" s="9">
        <f>SUM(Q36:Q37)</f>
        <v>24.894173894423282</v>
      </c>
      <c r="R41" s="10">
        <f>SUM(R36:R37)</f>
        <v>44.753939807571214</v>
      </c>
      <c r="S41" s="10">
        <f>SUM(S36:S37)</f>
        <v>73.311169254584698</v>
      </c>
    </row>
    <row r="43" spans="1:20" x14ac:dyDescent="0.25">
      <c r="B43" t="str">
        <f>B30</f>
        <v>Male</v>
      </c>
      <c r="C43" s="393">
        <f t="shared" ref="C43:E44" si="15">C34+C36</f>
        <v>68.011690970431147</v>
      </c>
      <c r="D43" s="395">
        <f t="shared" si="15"/>
        <v>66.98641311956149</v>
      </c>
      <c r="E43" s="396">
        <f t="shared" si="15"/>
        <v>124.00189591000733</v>
      </c>
      <c r="I43" t="str">
        <f>B43</f>
        <v>Male</v>
      </c>
      <c r="J43" s="393">
        <f t="shared" ref="J43:L44" si="16">J34+J36</f>
        <v>67.576709908598602</v>
      </c>
      <c r="K43" s="395">
        <f t="shared" si="16"/>
        <v>66.264184464686195</v>
      </c>
      <c r="L43" s="396">
        <f t="shared" si="16"/>
        <v>125.11329622975667</v>
      </c>
      <c r="P43" t="str">
        <f>I43</f>
        <v>Male</v>
      </c>
      <c r="Q43" s="393">
        <f t="shared" ref="Q43:S44" si="17">Q34+Q36</f>
        <v>68</v>
      </c>
      <c r="R43" s="395">
        <f t="shared" si="17"/>
        <v>67.000000000000014</v>
      </c>
      <c r="S43" s="396">
        <f t="shared" si="17"/>
        <v>124.00000000000001</v>
      </c>
    </row>
    <row r="44" spans="1:20" x14ac:dyDescent="0.25">
      <c r="B44" t="str">
        <f>B31</f>
        <v>Female</v>
      </c>
      <c r="C44" s="9">
        <f t="shared" si="15"/>
        <v>47.988556506170454</v>
      </c>
      <c r="D44" s="10">
        <f t="shared" si="15"/>
        <v>57.013510418889666</v>
      </c>
      <c r="E44" s="11">
        <f t="shared" si="15"/>
        <v>135.99793307493991</v>
      </c>
      <c r="I44" t="str">
        <f>B44</f>
        <v>Female</v>
      </c>
      <c r="J44" s="9">
        <f t="shared" si="16"/>
        <v>48.423290091401391</v>
      </c>
      <c r="K44" s="10">
        <f t="shared" si="16"/>
        <v>57.735815535313797</v>
      </c>
      <c r="L44" s="11">
        <f t="shared" si="16"/>
        <v>134.88670377024332</v>
      </c>
      <c r="P44" t="str">
        <f>I44</f>
        <v>Female</v>
      </c>
      <c r="Q44" s="9">
        <f t="shared" si="17"/>
        <v>48</v>
      </c>
      <c r="R44" s="10">
        <f t="shared" si="17"/>
        <v>57</v>
      </c>
      <c r="S44" s="11">
        <f t="shared" si="17"/>
        <v>136</v>
      </c>
    </row>
    <row r="46" spans="1:20" x14ac:dyDescent="0.25">
      <c r="C46" t="str">
        <f>C33</f>
        <v>Therapy 1</v>
      </c>
      <c r="D46" t="str">
        <f>D33</f>
        <v>Therapy 2</v>
      </c>
      <c r="E46" t="str">
        <f>E33</f>
        <v>Therapy 3</v>
      </c>
      <c r="J46" t="str">
        <f>J33</f>
        <v>Therapy 1</v>
      </c>
      <c r="K46" t="str">
        <f>K33</f>
        <v>Therapy 2</v>
      </c>
      <c r="L46" t="str">
        <f>L33</f>
        <v>Therapy 3</v>
      </c>
      <c r="Q46" t="str">
        <f>Q33</f>
        <v>Therapy 1</v>
      </c>
      <c r="R46" t="str">
        <f>R33</f>
        <v>Therapy 2</v>
      </c>
      <c r="S46" t="str">
        <f>S33</f>
        <v>Therapy 3</v>
      </c>
    </row>
    <row r="47" spans="1:20" x14ac:dyDescent="0.25">
      <c r="A47" t="str">
        <f t="shared" ref="A47:B50" si="18">A34</f>
        <v>Positive</v>
      </c>
      <c r="B47" t="str">
        <f t="shared" si="18"/>
        <v>Male</v>
      </c>
      <c r="C47" s="393">
        <f>Q34*$F$6/$T34</f>
        <v>60.517071908259041</v>
      </c>
      <c r="D47" s="395">
        <f>R34*$F$6/$T34</f>
        <v>53.183902152773157</v>
      </c>
      <c r="E47" s="396">
        <f>S34*$F$6/$T34</f>
        <v>107.29902593896777</v>
      </c>
      <c r="F47">
        <f>SUM(C47:E47)</f>
        <v>220.99999999999997</v>
      </c>
      <c r="H47" t="str">
        <f t="shared" ref="H47:I50" si="19">A47</f>
        <v>Positive</v>
      </c>
      <c r="I47" t="str">
        <f t="shared" si="19"/>
        <v>Male</v>
      </c>
      <c r="J47" s="393">
        <f>C47*$C$12/C53</f>
        <v>60.443913094094022</v>
      </c>
      <c r="K47" s="395">
        <f>D47*$D$12/D53</f>
        <v>53.014954324671031</v>
      </c>
      <c r="L47" s="396">
        <f>E47*$E$12/E53</f>
        <v>107.50708347694862</v>
      </c>
      <c r="M47">
        <f>SUM(J47:L47)</f>
        <v>220.96595089571366</v>
      </c>
      <c r="O47" t="str">
        <f t="shared" ref="O47:P50" si="20">H47</f>
        <v>Positive</v>
      </c>
      <c r="P47" t="str">
        <f t="shared" si="20"/>
        <v>Male</v>
      </c>
      <c r="Q47" s="393">
        <f>J47*$C$15/J56</f>
        <v>60.461331701079054</v>
      </c>
      <c r="R47" s="395">
        <f>K47*$D$15/K56</f>
        <v>53.113845939832792</v>
      </c>
      <c r="S47" s="396">
        <f>L47*$E$15/L56</f>
        <v>107.38714368063954</v>
      </c>
      <c r="T47">
        <f>SUM(Q47:S47)</f>
        <v>220.96232132155137</v>
      </c>
    </row>
    <row r="48" spans="1:20" x14ac:dyDescent="0.25">
      <c r="A48" t="str">
        <f t="shared" si="18"/>
        <v>Positive</v>
      </c>
      <c r="B48" t="str">
        <f t="shared" si="18"/>
        <v>Female</v>
      </c>
      <c r="C48" s="6">
        <f>Q35*$F$7/$T35</f>
        <v>30.593070730564705</v>
      </c>
      <c r="D48" s="7">
        <f>R35*$F$7/$T35</f>
        <v>26.067854706967392</v>
      </c>
      <c r="E48" s="8">
        <f>S35*$F$7/$T35</f>
        <v>79.339074562467928</v>
      </c>
      <c r="F48">
        <f>SUM(C48:E48)</f>
        <v>136.00000000000003</v>
      </c>
      <c r="H48" t="str">
        <f t="shared" si="19"/>
        <v>Positive</v>
      </c>
      <c r="I48" t="str">
        <f t="shared" si="19"/>
        <v>Female</v>
      </c>
      <c r="J48" s="6">
        <f>C48*$C$12/C53</f>
        <v>30.556086905905978</v>
      </c>
      <c r="K48" s="7">
        <f>D48*$D$12/D53</f>
        <v>25.985045675328966</v>
      </c>
      <c r="L48" s="8">
        <f>E48*$E$12/E53</f>
        <v>79.492916523051377</v>
      </c>
      <c r="M48">
        <f>SUM(J48:L48)</f>
        <v>136.03404910428634</v>
      </c>
      <c r="O48" t="str">
        <f t="shared" si="20"/>
        <v>Positive</v>
      </c>
      <c r="P48" t="str">
        <f t="shared" si="20"/>
        <v>Female</v>
      </c>
      <c r="Q48" s="6">
        <f>J48*$C$16/J57</f>
        <v>30.543620998142202</v>
      </c>
      <c r="R48" s="7">
        <f>K48*$D$16/K57</f>
        <v>25.928300920227898</v>
      </c>
      <c r="S48" s="8">
        <f>L48*$E$16/L57</f>
        <v>79.573950044003695</v>
      </c>
      <c r="T48">
        <f>SUM(Q48:S48)</f>
        <v>136.04587196237378</v>
      </c>
    </row>
    <row r="49" spans="1:20" x14ac:dyDescent="0.25">
      <c r="A49" t="str">
        <f t="shared" si="18"/>
        <v>Negative</v>
      </c>
      <c r="B49" t="str">
        <f t="shared" si="18"/>
        <v>Male</v>
      </c>
      <c r="C49" s="6">
        <f>Q36*$F$8/$T36</f>
        <v>7.5039781669337797</v>
      </c>
      <c r="D49" s="7">
        <f>R36*$F$8/$T36</f>
        <v>13.782453746349194</v>
      </c>
      <c r="E49" s="8">
        <f>S36*$F$8/$T36</f>
        <v>16.713568086717029</v>
      </c>
      <c r="F49">
        <f>SUM(C49:E49)</f>
        <v>38</v>
      </c>
      <c r="H49" t="str">
        <f t="shared" si="19"/>
        <v>Negative</v>
      </c>
      <c r="I49" t="str">
        <f t="shared" si="19"/>
        <v>Male</v>
      </c>
      <c r="J49" s="6">
        <f>C49*$C$13/C54</f>
        <v>7.5364964463236754</v>
      </c>
      <c r="K49" s="7">
        <f>D49*$D$13/D54</f>
        <v>13.860299705636924</v>
      </c>
      <c r="L49" s="8">
        <f>E49*$E$13/E54</f>
        <v>16.631411078661849</v>
      </c>
      <c r="M49">
        <f>SUM(J49:L49)</f>
        <v>38.028207230622449</v>
      </c>
      <c r="O49" t="str">
        <f t="shared" si="20"/>
        <v>Negative</v>
      </c>
      <c r="P49" t="str">
        <f t="shared" si="20"/>
        <v>Male</v>
      </c>
      <c r="Q49" s="6">
        <f>J49*$C$15/J56</f>
        <v>7.5386682989209461</v>
      </c>
      <c r="R49" s="7">
        <f>K49*$D$15/K56</f>
        <v>13.886154060167204</v>
      </c>
      <c r="S49" s="8">
        <f>L49*$E$15/L56</f>
        <v>16.612856319360475</v>
      </c>
      <c r="T49">
        <f>SUM(Q49:S49)</f>
        <v>38.037678678448628</v>
      </c>
    </row>
    <row r="50" spans="1:20" x14ac:dyDescent="0.25">
      <c r="A50" t="str">
        <f t="shared" si="18"/>
        <v>Negative</v>
      </c>
      <c r="B50" t="str">
        <f t="shared" si="18"/>
        <v>Female</v>
      </c>
      <c r="C50" s="9">
        <f>Q37*$F$9/$T37</f>
        <v>17.388152481499823</v>
      </c>
      <c r="D50" s="10">
        <f>R37*$F$9/$T37</f>
        <v>30.964805097806742</v>
      </c>
      <c r="E50" s="11">
        <f>S37*$F$9/$T37</f>
        <v>56.647042420693424</v>
      </c>
      <c r="F50">
        <f>SUM(C50:E50)</f>
        <v>104.99999999999999</v>
      </c>
      <c r="H50" t="str">
        <f t="shared" si="19"/>
        <v>Negative</v>
      </c>
      <c r="I50" t="str">
        <f t="shared" si="19"/>
        <v>Female</v>
      </c>
      <c r="J50" s="9">
        <f>C50*$C$13/C54</f>
        <v>17.463503553676325</v>
      </c>
      <c r="K50" s="10">
        <f>D50*$D$13/D54</f>
        <v>31.139700294363074</v>
      </c>
      <c r="L50" s="11">
        <f>E50*$E$13/E54</f>
        <v>56.368588921338151</v>
      </c>
      <c r="M50">
        <f>SUM(J50:L50)</f>
        <v>104.97179276937754</v>
      </c>
      <c r="O50" t="str">
        <f t="shared" si="20"/>
        <v>Negative</v>
      </c>
      <c r="P50" t="str">
        <f t="shared" si="20"/>
        <v>Female</v>
      </c>
      <c r="Q50" s="9">
        <f>J50*$C$16/J57</f>
        <v>17.456379001857798</v>
      </c>
      <c r="R50" s="10">
        <f>K50*$D$16/K57</f>
        <v>31.071699079772099</v>
      </c>
      <c r="S50" s="11">
        <f>L50*$E$16/L57</f>
        <v>56.426049955996312</v>
      </c>
      <c r="T50">
        <f>SUM(Q50:S50)</f>
        <v>104.95412803762622</v>
      </c>
    </row>
    <row r="51" spans="1:20" x14ac:dyDescent="0.25">
      <c r="C51">
        <f>SUM(C47:C50)</f>
        <v>116.00227328725734</v>
      </c>
      <c r="D51">
        <f>SUM(D47:D50)</f>
        <v>123.99901570389649</v>
      </c>
      <c r="E51">
        <f>SUM(E47:E50)</f>
        <v>259.99871100884616</v>
      </c>
      <c r="F51">
        <f>SUM(F47:F50)</f>
        <v>500</v>
      </c>
      <c r="J51">
        <f>SUM(J47:J50)</f>
        <v>116</v>
      </c>
      <c r="K51">
        <f>SUM(K47:K50)</f>
        <v>124</v>
      </c>
      <c r="L51">
        <f>SUM(L47:L50)</f>
        <v>260</v>
      </c>
      <c r="M51">
        <f>SUM(M47:M50)</f>
        <v>500</v>
      </c>
      <c r="Q51">
        <f>SUM(Q47:Q50)</f>
        <v>116.00000000000001</v>
      </c>
      <c r="R51">
        <f>SUM(R47:R50)</f>
        <v>123.99999999999999</v>
      </c>
      <c r="S51">
        <f>SUM(S47:S50)</f>
        <v>260</v>
      </c>
      <c r="T51">
        <f>SUM(T47:T50)</f>
        <v>500</v>
      </c>
    </row>
    <row r="53" spans="1:20" x14ac:dyDescent="0.25">
      <c r="A53" t="str">
        <f>A40</f>
        <v>Positive</v>
      </c>
      <c r="C53" s="393">
        <f>SUM(C47:C48)</f>
        <v>91.110142638823746</v>
      </c>
      <c r="D53" s="395">
        <f>SUM(D47:D48)</f>
        <v>79.251756859740553</v>
      </c>
      <c r="E53" s="396">
        <f>SUM(E47:E48)</f>
        <v>186.6381005014357</v>
      </c>
      <c r="H53" t="str">
        <f>A53</f>
        <v>Positive</v>
      </c>
      <c r="J53" s="393">
        <f>SUM(J47:J48)</f>
        <v>91</v>
      </c>
      <c r="K53" s="395">
        <f>SUM(K47:K48)</f>
        <v>79</v>
      </c>
      <c r="L53" s="396">
        <f>SUM(L47:L48)</f>
        <v>187</v>
      </c>
      <c r="O53" t="str">
        <f>H53</f>
        <v>Positive</v>
      </c>
      <c r="Q53" s="393">
        <f>SUM(Q47:Q48)</f>
        <v>91.004952699221263</v>
      </c>
      <c r="R53" s="395">
        <f>SUM(R47:R48)</f>
        <v>79.042146860060683</v>
      </c>
      <c r="S53" s="396">
        <f>SUM(S47:S48)</f>
        <v>186.96109372464323</v>
      </c>
    </row>
    <row r="54" spans="1:20" x14ac:dyDescent="0.25">
      <c r="A54" t="str">
        <f>A41</f>
        <v>Negative</v>
      </c>
      <c r="C54" s="9">
        <f>SUM(C49:C50)</f>
        <v>24.892130648433604</v>
      </c>
      <c r="D54" s="10">
        <f>SUM(D49:D50)</f>
        <v>44.747258844155937</v>
      </c>
      <c r="E54" s="10">
        <f>SUM(E49:E50)</f>
        <v>73.360610507410456</v>
      </c>
      <c r="H54" t="str">
        <f>A54</f>
        <v>Negative</v>
      </c>
      <c r="J54" s="9">
        <f>SUM(J49:J50)</f>
        <v>25</v>
      </c>
      <c r="K54" s="10">
        <f>SUM(K49:K50)</f>
        <v>45</v>
      </c>
      <c r="L54" s="10">
        <f>SUM(L49:L50)</f>
        <v>73</v>
      </c>
      <c r="O54" t="str">
        <f>H54</f>
        <v>Negative</v>
      </c>
      <c r="Q54" s="9">
        <f>SUM(Q49:Q50)</f>
        <v>24.995047300778744</v>
      </c>
      <c r="R54" s="10">
        <f>SUM(R49:R50)</f>
        <v>44.957853139939303</v>
      </c>
      <c r="S54" s="10">
        <f>SUM(S49:S50)</f>
        <v>73.038906275356794</v>
      </c>
    </row>
    <row r="56" spans="1:20" x14ac:dyDescent="0.25">
      <c r="B56" t="str">
        <f>B43</f>
        <v>Male</v>
      </c>
      <c r="C56" s="393">
        <f t="shared" ref="C56:E57" si="21">C47+C49</f>
        <v>68.021050075192818</v>
      </c>
      <c r="D56" s="395">
        <f t="shared" si="21"/>
        <v>66.966355899122348</v>
      </c>
      <c r="E56" s="396">
        <f t="shared" si="21"/>
        <v>124.01259402568481</v>
      </c>
      <c r="I56" t="str">
        <f>B56</f>
        <v>Male</v>
      </c>
      <c r="J56" s="393">
        <f t="shared" ref="J56:L57" si="22">J47+J49</f>
        <v>67.980409540417696</v>
      </c>
      <c r="K56" s="395">
        <f t="shared" si="22"/>
        <v>66.875254030307957</v>
      </c>
      <c r="L56" s="396">
        <f t="shared" si="22"/>
        <v>124.13849455561046</v>
      </c>
      <c r="P56" t="str">
        <f>I56</f>
        <v>Male</v>
      </c>
      <c r="Q56" s="393">
        <f t="shared" ref="Q56:S57" si="23">Q47+Q49</f>
        <v>68</v>
      </c>
      <c r="R56" s="395">
        <f t="shared" si="23"/>
        <v>67</v>
      </c>
      <c r="S56" s="396">
        <f t="shared" si="23"/>
        <v>124.00000000000001</v>
      </c>
    </row>
    <row r="57" spans="1:20" x14ac:dyDescent="0.25">
      <c r="B57" t="str">
        <f>B44</f>
        <v>Female</v>
      </c>
      <c r="C57" s="9">
        <f t="shared" si="21"/>
        <v>47.981223212064528</v>
      </c>
      <c r="D57" s="10">
        <f t="shared" si="21"/>
        <v>57.032659804774134</v>
      </c>
      <c r="E57" s="11">
        <f t="shared" si="21"/>
        <v>135.98611698316137</v>
      </c>
      <c r="I57" t="str">
        <f>B57</f>
        <v>Female</v>
      </c>
      <c r="J57" s="9">
        <f t="shared" si="22"/>
        <v>48.019590459582304</v>
      </c>
      <c r="K57" s="10">
        <f t="shared" si="22"/>
        <v>57.124745969692043</v>
      </c>
      <c r="L57" s="11">
        <f t="shared" si="22"/>
        <v>135.86150544438954</v>
      </c>
      <c r="P57" t="str">
        <f>I57</f>
        <v>Female</v>
      </c>
      <c r="Q57" s="9">
        <f t="shared" si="23"/>
        <v>48</v>
      </c>
      <c r="R57" s="10">
        <f t="shared" si="23"/>
        <v>57</v>
      </c>
      <c r="S57" s="11">
        <f t="shared" si="23"/>
        <v>136</v>
      </c>
    </row>
    <row r="59" spans="1:20" x14ac:dyDescent="0.25">
      <c r="C59" t="str">
        <f>C46</f>
        <v>Therapy 1</v>
      </c>
      <c r="D59" t="str">
        <f>D46</f>
        <v>Therapy 2</v>
      </c>
      <c r="E59" t="str">
        <f>E46</f>
        <v>Therapy 3</v>
      </c>
      <c r="J59" t="str">
        <f>J46</f>
        <v>Therapy 1</v>
      </c>
      <c r="K59" t="str">
        <f>K46</f>
        <v>Therapy 2</v>
      </c>
      <c r="L59" t="str">
        <f>L46</f>
        <v>Therapy 3</v>
      </c>
      <c r="Q59" t="str">
        <f>Q46</f>
        <v>Therapy 1</v>
      </c>
      <c r="R59" t="str">
        <f>R46</f>
        <v>Therapy 2</v>
      </c>
      <c r="S59" t="str">
        <f>S46</f>
        <v>Therapy 3</v>
      </c>
    </row>
    <row r="60" spans="1:20" x14ac:dyDescent="0.25">
      <c r="A60" t="str">
        <f t="shared" ref="A60:B63" si="24">A47</f>
        <v>Positive</v>
      </c>
      <c r="B60" t="str">
        <f t="shared" si="24"/>
        <v>Male</v>
      </c>
      <c r="C60" s="393">
        <f>Q47*$F$6/$T47</f>
        <v>60.471641617548592</v>
      </c>
      <c r="D60" s="395">
        <f>R47*$F$6/$T47</f>
        <v>53.122902956931306</v>
      </c>
      <c r="E60" s="396">
        <f>S47*$F$6/$T47</f>
        <v>107.4054554255201</v>
      </c>
      <c r="F60">
        <f>SUM(C60:E60)</f>
        <v>221</v>
      </c>
      <c r="H60" t="str">
        <f t="shared" ref="H60:I63" si="25">A60</f>
        <v>Positive</v>
      </c>
      <c r="I60" t="str">
        <f t="shared" si="25"/>
        <v>Male</v>
      </c>
      <c r="J60" s="393">
        <f>C60*$C$12/C66</f>
        <v>60.468343159709541</v>
      </c>
      <c r="K60" s="395">
        <f>D60*$D$12/D66</f>
        <v>53.094365495099751</v>
      </c>
      <c r="L60" s="396">
        <f>E60*$E$12/E66</f>
        <v>107.43270155583764</v>
      </c>
      <c r="M60">
        <f>SUM(J60:L60)</f>
        <v>220.99541021064692</v>
      </c>
      <c r="O60" t="str">
        <f t="shared" ref="O60:P63" si="26">H60</f>
        <v>Positive</v>
      </c>
      <c r="P60" t="str">
        <f t="shared" si="26"/>
        <v>Male</v>
      </c>
      <c r="Q60" s="393">
        <f>J60*$C$15/J69</f>
        <v>60.467465154254064</v>
      </c>
      <c r="R60" s="395">
        <f>K60*$D$15/K69</f>
        <v>53.110359292401142</v>
      </c>
      <c r="S60" s="396">
        <f>L60*$E$15/L69</f>
        <v>107.41676414296779</v>
      </c>
      <c r="T60">
        <f>SUM(Q60:S60)</f>
        <v>220.99458858962299</v>
      </c>
    </row>
    <row r="61" spans="1:20" x14ac:dyDescent="0.25">
      <c r="A61" t="str">
        <f t="shared" si="24"/>
        <v>Positive</v>
      </c>
      <c r="B61" t="str">
        <f t="shared" si="24"/>
        <v>Female</v>
      </c>
      <c r="C61" s="6">
        <f>Q48*$F$7/$T48</f>
        <v>30.533322296586793</v>
      </c>
      <c r="D61" s="7">
        <f>R48*$F$7/$T48</f>
        <v>25.91955841281424</v>
      </c>
      <c r="E61" s="8">
        <f>S48*$F$7/$T48</f>
        <v>79.547119290598971</v>
      </c>
      <c r="F61">
        <f>SUM(C61:E61)</f>
        <v>136</v>
      </c>
      <c r="H61" t="str">
        <f t="shared" si="25"/>
        <v>Positive</v>
      </c>
      <c r="I61" t="str">
        <f t="shared" si="25"/>
        <v>Female</v>
      </c>
      <c r="J61" s="6">
        <f>C61*$C$12/C66</f>
        <v>30.531656840290459</v>
      </c>
      <c r="K61" s="7">
        <f>D61*$D$12/D66</f>
        <v>25.905634504900245</v>
      </c>
      <c r="L61" s="8">
        <f>E61*$E$12/E66</f>
        <v>79.567298444162361</v>
      </c>
      <c r="M61">
        <f>SUM(J61:L61)</f>
        <v>136.00458978935308</v>
      </c>
      <c r="O61" t="str">
        <f t="shared" si="26"/>
        <v>Positive</v>
      </c>
      <c r="P61" t="str">
        <f t="shared" si="26"/>
        <v>Female</v>
      </c>
      <c r="Q61" s="6">
        <f>J61*$C$16/J70</f>
        <v>30.532284902167678</v>
      </c>
      <c r="R61" s="7">
        <f>K61*$D$16/K70</f>
        <v>25.896467808938098</v>
      </c>
      <c r="S61" s="8">
        <f>L61*$E$16/L70</f>
        <v>79.578063639191527</v>
      </c>
      <c r="T61">
        <f>SUM(Q61:S61)</f>
        <v>136.0068163502973</v>
      </c>
    </row>
    <row r="62" spans="1:20" x14ac:dyDescent="0.25">
      <c r="A62" t="str">
        <f t="shared" si="24"/>
        <v>Negative</v>
      </c>
      <c r="B62" t="str">
        <f t="shared" si="24"/>
        <v>Male</v>
      </c>
      <c r="C62" s="6">
        <f>Q49*$F$8/$T49</f>
        <v>7.5312007806960013</v>
      </c>
      <c r="D62" s="7">
        <f>R49*$F$8/$T49</f>
        <v>13.872398963854831</v>
      </c>
      <c r="E62" s="8">
        <f>S49*$F$8/$T49</f>
        <v>16.596400255449161</v>
      </c>
      <c r="F62">
        <f>SUM(C62:E62)</f>
        <v>37.999999999999993</v>
      </c>
      <c r="H62" t="str">
        <f t="shared" si="25"/>
        <v>Negative</v>
      </c>
      <c r="I62" t="str">
        <f t="shared" si="25"/>
        <v>Male</v>
      </c>
      <c r="J62" s="6">
        <f>C62*$C$13/C67</f>
        <v>7.5326442203769135</v>
      </c>
      <c r="K62" s="7">
        <f>D62*$D$13/D67</f>
        <v>13.88545794361408</v>
      </c>
      <c r="L62" s="8">
        <f>E62*$E$13/E67</f>
        <v>16.585696309817958</v>
      </c>
      <c r="M62">
        <f>SUM(J62:L62)</f>
        <v>38.003798473808956</v>
      </c>
      <c r="O62" t="str">
        <f t="shared" si="26"/>
        <v>Negative</v>
      </c>
      <c r="P62" t="str">
        <f t="shared" si="26"/>
        <v>Male</v>
      </c>
      <c r="Q62" s="6">
        <f>J62*$C$15/J69</f>
        <v>7.5325348457459258</v>
      </c>
      <c r="R62" s="7">
        <f>K62*$D$15/K69</f>
        <v>13.889640707598851</v>
      </c>
      <c r="S62" s="8">
        <f>L62*$E$15/L69</f>
        <v>16.583235857032207</v>
      </c>
      <c r="T62">
        <f>SUM(Q62:S62)</f>
        <v>38.005411410376979</v>
      </c>
    </row>
    <row r="63" spans="1:20" x14ac:dyDescent="0.25">
      <c r="A63" t="str">
        <f t="shared" si="24"/>
        <v>Negative</v>
      </c>
      <c r="B63" t="str">
        <f t="shared" si="24"/>
        <v>Female</v>
      </c>
      <c r="C63" s="9">
        <f>Q50*$F$9/$T50</f>
        <v>17.46400860514952</v>
      </c>
      <c r="D63" s="10">
        <f>R50*$F$9/$T50</f>
        <v>31.085279487115066</v>
      </c>
      <c r="E63" s="11">
        <f>S50*$F$9/$T50</f>
        <v>56.450711907735403</v>
      </c>
      <c r="F63">
        <f>SUM(C63:E63)</f>
        <v>105</v>
      </c>
      <c r="H63" t="str">
        <f t="shared" si="25"/>
        <v>Negative</v>
      </c>
      <c r="I63" t="str">
        <f t="shared" si="25"/>
        <v>Female</v>
      </c>
      <c r="J63" s="9">
        <f>C63*$C$13/C67</f>
        <v>17.467355779623087</v>
      </c>
      <c r="K63" s="10">
        <f>D63*$D$13/D67</f>
        <v>31.114542056385925</v>
      </c>
      <c r="L63" s="11">
        <f>E63*$E$13/E67</f>
        <v>56.414303690182038</v>
      </c>
      <c r="M63">
        <f>SUM(J63:L63)</f>
        <v>104.99620152619104</v>
      </c>
      <c r="O63" t="str">
        <f t="shared" si="26"/>
        <v>Negative</v>
      </c>
      <c r="P63" t="str">
        <f t="shared" si="26"/>
        <v>Female</v>
      </c>
      <c r="Q63" s="9">
        <f>J63*$C$16/J70</f>
        <v>17.467715097832325</v>
      </c>
      <c r="R63" s="10">
        <f>K63*$D$16/K70</f>
        <v>31.103532191061902</v>
      </c>
      <c r="S63" s="11">
        <f>L63*$E$16/L70</f>
        <v>56.421936360808473</v>
      </c>
      <c r="T63">
        <f>SUM(Q63:S63)</f>
        <v>104.9931836497027</v>
      </c>
    </row>
    <row r="64" spans="1:20" x14ac:dyDescent="0.25">
      <c r="C64">
        <f>SUM(C60:C63)</f>
        <v>116.0001732999809</v>
      </c>
      <c r="D64">
        <f>SUM(D60:D63)</f>
        <v>124.00013982071545</v>
      </c>
      <c r="E64">
        <f>SUM(E60:E63)</f>
        <v>259.99968687930362</v>
      </c>
      <c r="F64">
        <f>SUM(F60:F63)</f>
        <v>500</v>
      </c>
      <c r="J64">
        <f>SUM(J60:J63)</f>
        <v>116</v>
      </c>
      <c r="K64">
        <f>SUM(K60:K63)</f>
        <v>124.00000000000001</v>
      </c>
      <c r="L64">
        <f>SUM(L60:L63)</f>
        <v>260</v>
      </c>
      <c r="M64">
        <f>SUM(M60:M63)</f>
        <v>500</v>
      </c>
      <c r="Q64">
        <f>SUM(Q60:Q63)</f>
        <v>116</v>
      </c>
      <c r="R64">
        <f>SUM(R60:R63)</f>
        <v>124</v>
      </c>
      <c r="S64">
        <f>SUM(S60:S63)</f>
        <v>260</v>
      </c>
      <c r="T64">
        <f>SUM(T60:T63)</f>
        <v>500</v>
      </c>
    </row>
    <row r="66" spans="1:20" x14ac:dyDescent="0.25">
      <c r="A66" t="str">
        <f>A53</f>
        <v>Positive</v>
      </c>
      <c r="C66" s="393">
        <f>SUM(C60:C61)</f>
        <v>91.004963914135388</v>
      </c>
      <c r="D66" s="395">
        <f>SUM(D60:D61)</f>
        <v>79.042461369745553</v>
      </c>
      <c r="E66" s="396">
        <f>SUM(E60:E61)</f>
        <v>186.95257471611907</v>
      </c>
      <c r="H66" t="str">
        <f>A66</f>
        <v>Positive</v>
      </c>
      <c r="J66" s="393">
        <f>SUM(J60:J61)</f>
        <v>91</v>
      </c>
      <c r="K66" s="395">
        <f>SUM(K60:K61)</f>
        <v>79</v>
      </c>
      <c r="L66" s="396">
        <f>SUM(L60:L61)</f>
        <v>187</v>
      </c>
      <c r="O66" t="str">
        <f>H66</f>
        <v>Positive</v>
      </c>
      <c r="Q66" s="393">
        <f>SUM(Q60:Q61)</f>
        <v>90.999750056421746</v>
      </c>
      <c r="R66" s="395">
        <f>SUM(R60:R61)</f>
        <v>79.00682710133924</v>
      </c>
      <c r="S66" s="396">
        <f>SUM(S60:S61)</f>
        <v>186.99482778215932</v>
      </c>
    </row>
    <row r="67" spans="1:20" x14ac:dyDescent="0.25">
      <c r="A67" t="str">
        <f>A54</f>
        <v>Negative</v>
      </c>
      <c r="C67" s="9">
        <f>SUM(C62:C63)</f>
        <v>24.99520938584552</v>
      </c>
      <c r="D67" s="10">
        <f>SUM(D62:D63)</f>
        <v>44.957678450969894</v>
      </c>
      <c r="E67" s="10">
        <f>SUM(E62:E63)</f>
        <v>73.047112163184565</v>
      </c>
      <c r="H67" t="str">
        <f>A67</f>
        <v>Negative</v>
      </c>
      <c r="J67" s="9">
        <f>SUM(J62:J63)</f>
        <v>25</v>
      </c>
      <c r="K67" s="10">
        <f>SUM(K62:K63)</f>
        <v>45.000000000000007</v>
      </c>
      <c r="L67" s="10">
        <f>SUM(L62:L63)</f>
        <v>73</v>
      </c>
      <c r="O67" t="str">
        <f>H67</f>
        <v>Negative</v>
      </c>
      <c r="Q67" s="9">
        <f>SUM(Q62:Q63)</f>
        <v>25.00024994357825</v>
      </c>
      <c r="R67" s="10">
        <f>SUM(R62:R63)</f>
        <v>44.993172898660752</v>
      </c>
      <c r="S67" s="10">
        <f>SUM(S62:S63)</f>
        <v>73.005172217840681</v>
      </c>
    </row>
    <row r="69" spans="1:20" x14ac:dyDescent="0.25">
      <c r="B69" t="str">
        <f>B56</f>
        <v>Male</v>
      </c>
      <c r="C69" s="393">
        <f t="shared" ref="C69:E70" si="27">C60+C62</f>
        <v>68.002842398244596</v>
      </c>
      <c r="D69" s="395">
        <f t="shared" si="27"/>
        <v>66.995301920786133</v>
      </c>
      <c r="E69" s="396">
        <f t="shared" si="27"/>
        <v>124.00185568096927</v>
      </c>
      <c r="I69" t="str">
        <f>B69</f>
        <v>Male</v>
      </c>
      <c r="J69" s="393">
        <f t="shared" ref="J69:L70" si="28">J60+J62</f>
        <v>68.000987380086457</v>
      </c>
      <c r="K69" s="395">
        <f t="shared" si="28"/>
        <v>66.979823438713836</v>
      </c>
      <c r="L69" s="396">
        <f t="shared" si="28"/>
        <v>124.0183978656556</v>
      </c>
      <c r="P69" t="str">
        <f>I69</f>
        <v>Male</v>
      </c>
      <c r="Q69" s="393">
        <f t="shared" ref="Q69:S70" si="29">Q60+Q62</f>
        <v>67.999999999999986</v>
      </c>
      <c r="R69" s="395">
        <f t="shared" si="29"/>
        <v>67</v>
      </c>
      <c r="S69" s="396">
        <f t="shared" si="29"/>
        <v>124</v>
      </c>
    </row>
    <row r="70" spans="1:20" x14ac:dyDescent="0.25">
      <c r="B70" t="str">
        <f>B57</f>
        <v>Female</v>
      </c>
      <c r="C70" s="9">
        <f t="shared" si="27"/>
        <v>47.997330901736312</v>
      </c>
      <c r="D70" s="10">
        <f t="shared" si="27"/>
        <v>57.004837899929306</v>
      </c>
      <c r="E70" s="11">
        <f t="shared" si="27"/>
        <v>135.99783119833438</v>
      </c>
      <c r="I70" t="str">
        <f>B70</f>
        <v>Female</v>
      </c>
      <c r="J70" s="9">
        <f t="shared" si="28"/>
        <v>47.999012619913543</v>
      </c>
      <c r="K70" s="10">
        <f t="shared" si="28"/>
        <v>57.020176561286171</v>
      </c>
      <c r="L70" s="11">
        <f t="shared" si="28"/>
        <v>135.9816021343444</v>
      </c>
      <c r="P70" t="str">
        <f>I70</f>
        <v>Female</v>
      </c>
      <c r="Q70" s="9">
        <f t="shared" si="29"/>
        <v>48</v>
      </c>
      <c r="R70" s="10">
        <f t="shared" si="29"/>
        <v>57</v>
      </c>
      <c r="S70" s="11">
        <f t="shared" si="29"/>
        <v>136</v>
      </c>
    </row>
    <row r="72" spans="1:20" x14ac:dyDescent="0.25">
      <c r="C72" t="str">
        <f>C59</f>
        <v>Therapy 1</v>
      </c>
      <c r="D72" t="str">
        <f>D59</f>
        <v>Therapy 2</v>
      </c>
      <c r="E72" t="str">
        <f>E59</f>
        <v>Therapy 3</v>
      </c>
      <c r="J72" t="str">
        <f>J59</f>
        <v>Therapy 1</v>
      </c>
      <c r="K72" t="str">
        <f>K59</f>
        <v>Therapy 2</v>
      </c>
      <c r="L72" t="str">
        <f>L59</f>
        <v>Therapy 3</v>
      </c>
      <c r="Q72" t="str">
        <f>Q59</f>
        <v>Therapy 1</v>
      </c>
      <c r="R72" t="str">
        <f>R59</f>
        <v>Therapy 2</v>
      </c>
      <c r="S72" t="str">
        <f>S59</f>
        <v>Therapy 3</v>
      </c>
    </row>
    <row r="73" spans="1:20" x14ac:dyDescent="0.25">
      <c r="A73" t="str">
        <f t="shared" ref="A73:B76" si="30">A60</f>
        <v>Positive</v>
      </c>
      <c r="B73" t="str">
        <f t="shared" si="30"/>
        <v>Male</v>
      </c>
      <c r="C73" s="393">
        <f>Q60*$F$6/$T60</f>
        <v>60.468945798058492</v>
      </c>
      <c r="D73" s="395">
        <f>R60*$F$6/$T60</f>
        <v>53.111659785554558</v>
      </c>
      <c r="E73" s="396">
        <f>S60*$F$6/$T60</f>
        <v>107.41939441638696</v>
      </c>
      <c r="F73">
        <f>SUM(C73:E73)</f>
        <v>221</v>
      </c>
      <c r="H73" t="str">
        <f t="shared" ref="H73:I76" si="31">A73</f>
        <v>Positive</v>
      </c>
      <c r="I73" t="str">
        <f t="shared" si="31"/>
        <v>Male</v>
      </c>
      <c r="J73" s="393">
        <f>C73*$C$12/C79</f>
        <v>60.469144819955858</v>
      </c>
      <c r="K73" s="395">
        <f>D73*$D$12/D79</f>
        <v>53.107068563309497</v>
      </c>
      <c r="L73" s="396">
        <f>E73*$E$12/E79</f>
        <v>107.42314573305423</v>
      </c>
      <c r="M73">
        <f>SUM(J73:L73)</f>
        <v>220.99935911631957</v>
      </c>
      <c r="O73" t="str">
        <f t="shared" ref="O73:P76" si="32">H73</f>
        <v>Positive</v>
      </c>
      <c r="P73" t="str">
        <f t="shared" si="32"/>
        <v>Male</v>
      </c>
      <c r="Q73" s="393">
        <f>J73*$C$15/J82</f>
        <v>60.468688356379609</v>
      </c>
      <c r="R73" s="395">
        <f>K73*$D$15/K82</f>
        <v>53.1095845255157</v>
      </c>
      <c r="S73" s="396">
        <f>L73*$E$15/L82</f>
        <v>107.42093664516084</v>
      </c>
      <c r="T73">
        <f>SUM(Q73:S73)</f>
        <v>220.99920952705617</v>
      </c>
    </row>
    <row r="74" spans="1:20" x14ac:dyDescent="0.25">
      <c r="A74" t="str">
        <f t="shared" si="30"/>
        <v>Positive</v>
      </c>
      <c r="B74" t="str">
        <f t="shared" si="30"/>
        <v>Female</v>
      </c>
      <c r="C74" s="6">
        <f>Q61*$F$7/$T61</f>
        <v>30.530754693940949</v>
      </c>
      <c r="D74" s="7">
        <f>R61*$F$7/$T61</f>
        <v>25.895169937252067</v>
      </c>
      <c r="E74" s="8">
        <f>S61*$F$7/$T61</f>
        <v>79.574075368806987</v>
      </c>
      <c r="F74">
        <f>SUM(C74:E74)</f>
        <v>136</v>
      </c>
      <c r="H74" t="str">
        <f t="shared" si="31"/>
        <v>Positive</v>
      </c>
      <c r="I74" t="str">
        <f t="shared" si="31"/>
        <v>Female</v>
      </c>
      <c r="J74" s="6">
        <f>C74*$C$12/C79</f>
        <v>30.530855180044135</v>
      </c>
      <c r="K74" s="7">
        <f>D74*$D$12/D79</f>
        <v>25.892931436690503</v>
      </c>
      <c r="L74" s="8">
        <f>E74*$E$12/E79</f>
        <v>79.576854266945773</v>
      </c>
      <c r="M74">
        <f>SUM(J74:L74)</f>
        <v>136.0006408836804</v>
      </c>
      <c r="O74" t="str">
        <f t="shared" si="32"/>
        <v>Positive</v>
      </c>
      <c r="P74" t="str">
        <f t="shared" si="32"/>
        <v>Female</v>
      </c>
      <c r="Q74" s="6">
        <f>J74*$C$16/J83</f>
        <v>30.531181682813401</v>
      </c>
      <c r="R74" s="7">
        <f>K74*$D$16/K83</f>
        <v>25.891489692550774</v>
      </c>
      <c r="S74" s="8">
        <f>L74*$E$16/L83</f>
        <v>79.578346380061603</v>
      </c>
      <c r="T74">
        <f>SUM(Q74:S74)</f>
        <v>136.00101775542578</v>
      </c>
    </row>
    <row r="75" spans="1:20" x14ac:dyDescent="0.25">
      <c r="A75" t="str">
        <f t="shared" si="30"/>
        <v>Negative</v>
      </c>
      <c r="B75" t="str">
        <f t="shared" si="30"/>
        <v>Male</v>
      </c>
      <c r="C75" s="6">
        <f>Q62*$F$8/$T62</f>
        <v>7.5314623238150595</v>
      </c>
      <c r="D75" s="7">
        <f>R62*$F$8/$T62</f>
        <v>13.887663027498352</v>
      </c>
      <c r="E75" s="8">
        <f>S62*$F$8/$T62</f>
        <v>16.580874648686596</v>
      </c>
      <c r="F75">
        <f>SUM(C75:E75)</f>
        <v>38.000000000000007</v>
      </c>
      <c r="H75" t="str">
        <f t="shared" si="31"/>
        <v>Negative</v>
      </c>
      <c r="I75" t="str">
        <f t="shared" si="31"/>
        <v>Male</v>
      </c>
      <c r="J75" s="6">
        <f>C75*$C$13/C80</f>
        <v>7.5313684956795273</v>
      </c>
      <c r="K75" s="7">
        <f>D75*$D$13/D80</f>
        <v>13.889757443345959</v>
      </c>
      <c r="L75" s="8">
        <f>E75*$E$13/E80</f>
        <v>16.579404299624088</v>
      </c>
      <c r="M75">
        <f>SUM(J75:L75)</f>
        <v>38.000530238649574</v>
      </c>
      <c r="O75" t="str">
        <f t="shared" si="32"/>
        <v>Negative</v>
      </c>
      <c r="P75" t="str">
        <f t="shared" si="32"/>
        <v>Male</v>
      </c>
      <c r="Q75" s="6">
        <f>J75*$C$15/J82</f>
        <v>7.531311643620386</v>
      </c>
      <c r="R75" s="7">
        <f>K75*$D$15/K82</f>
        <v>13.890415474484302</v>
      </c>
      <c r="S75" s="8">
        <f>L75*$E$15/L82</f>
        <v>16.57906335483916</v>
      </c>
      <c r="T75">
        <f>SUM(Q75:S75)</f>
        <v>38.000790472943848</v>
      </c>
    </row>
    <row r="76" spans="1:20" x14ac:dyDescent="0.25">
      <c r="A76" t="str">
        <f t="shared" si="30"/>
        <v>Negative</v>
      </c>
      <c r="B76" t="str">
        <f t="shared" si="30"/>
        <v>Female</v>
      </c>
      <c r="C76" s="9">
        <f>Q63*$F$9/$T63</f>
        <v>17.468849133975066</v>
      </c>
      <c r="D76" s="10">
        <f>R63*$F$9/$T63</f>
        <v>31.105551489491834</v>
      </c>
      <c r="E76" s="11">
        <f>S63*$F$9/$T63</f>
        <v>56.4255993765331</v>
      </c>
      <c r="F76">
        <f>SUM(C76:E76)</f>
        <v>105</v>
      </c>
      <c r="H76" t="str">
        <f t="shared" si="31"/>
        <v>Negative</v>
      </c>
      <c r="I76" t="str">
        <f t="shared" si="31"/>
        <v>Female</v>
      </c>
      <c r="J76" s="9">
        <f>C76*$C$13/C80</f>
        <v>17.46863150432047</v>
      </c>
      <c r="K76" s="10">
        <f>D76*$D$13/D80</f>
        <v>31.110242556654043</v>
      </c>
      <c r="L76" s="11">
        <f>E76*$E$13/E80</f>
        <v>56.42059570037592</v>
      </c>
      <c r="M76">
        <f>SUM(J76:L76)</f>
        <v>104.99946976135044</v>
      </c>
      <c r="O76" t="str">
        <f t="shared" si="32"/>
        <v>Negative</v>
      </c>
      <c r="P76" t="str">
        <f t="shared" si="32"/>
        <v>Female</v>
      </c>
      <c r="Q76" s="9">
        <f>J76*$C$16/J83</f>
        <v>17.468818317186596</v>
      </c>
      <c r="R76" s="10">
        <f>K76*$D$16/K83</f>
        <v>31.108510307449226</v>
      </c>
      <c r="S76" s="11">
        <f>L76*$E$16/L83</f>
        <v>56.421653619938375</v>
      </c>
      <c r="T76">
        <f>SUM(Q76:S76)</f>
        <v>104.99898224457419</v>
      </c>
    </row>
    <row r="77" spans="1:20" x14ac:dyDescent="0.25">
      <c r="C77">
        <f>SUM(C73:C76)</f>
        <v>116.00001194978958</v>
      </c>
      <c r="D77">
        <f>SUM(D73:D76)</f>
        <v>124.00004423979681</v>
      </c>
      <c r="E77">
        <f>SUM(E73:E76)</f>
        <v>259.99994381041364</v>
      </c>
      <c r="F77">
        <f>SUM(F73:F76)</f>
        <v>500</v>
      </c>
      <c r="J77">
        <f>SUM(J73:J76)</f>
        <v>116</v>
      </c>
      <c r="K77">
        <f>SUM(K73:K76)</f>
        <v>124</v>
      </c>
      <c r="L77">
        <f>SUM(L73:L76)</f>
        <v>260</v>
      </c>
      <c r="M77">
        <f>SUM(M73:M76)</f>
        <v>500</v>
      </c>
      <c r="Q77">
        <f>SUM(Q73:Q76)</f>
        <v>116</v>
      </c>
      <c r="R77">
        <f>SUM(R73:R76)</f>
        <v>124</v>
      </c>
      <c r="S77">
        <f>SUM(S73:S76)</f>
        <v>259.99999999999994</v>
      </c>
      <c r="T77">
        <f>SUM(T73:T76)</f>
        <v>500</v>
      </c>
    </row>
    <row r="79" spans="1:20" x14ac:dyDescent="0.25">
      <c r="A79" t="str">
        <f>A66</f>
        <v>Positive</v>
      </c>
      <c r="C79" s="393">
        <f>SUM(C73:C74)</f>
        <v>90.999700491999448</v>
      </c>
      <c r="D79" s="395">
        <f>SUM(D73:D74)</f>
        <v>79.006829722806629</v>
      </c>
      <c r="E79" s="396">
        <f>SUM(E73:E74)</f>
        <v>186.99346978519395</v>
      </c>
      <c r="H79" t="str">
        <f>A79</f>
        <v>Positive</v>
      </c>
      <c r="J79" s="393">
        <f>SUM(J73:J74)</f>
        <v>91</v>
      </c>
      <c r="K79" s="395">
        <f>SUM(K73:K74)</f>
        <v>79</v>
      </c>
      <c r="L79" s="396">
        <f>SUM(L73:L74)</f>
        <v>187</v>
      </c>
      <c r="O79" t="str">
        <f>H79</f>
        <v>Positive</v>
      </c>
      <c r="Q79" s="393">
        <f>SUM(Q73:Q74)</f>
        <v>90.999870039193013</v>
      </c>
      <c r="R79" s="395">
        <f>SUM(R73:R74)</f>
        <v>79.001074218066478</v>
      </c>
      <c r="S79" s="396">
        <f>SUM(S73:S74)</f>
        <v>186.99928302522244</v>
      </c>
    </row>
    <row r="80" spans="1:20" x14ac:dyDescent="0.25">
      <c r="A80" t="str">
        <f>A67</f>
        <v>Negative</v>
      </c>
      <c r="C80" s="9">
        <f>SUM(C75:C76)</f>
        <v>25.000311457790126</v>
      </c>
      <c r="D80" s="10">
        <f>SUM(D75:D76)</f>
        <v>44.993214516990186</v>
      </c>
      <c r="E80" s="10">
        <f>SUM(E75:E76)</f>
        <v>73.006474025219688</v>
      </c>
      <c r="H80" t="str">
        <f>A80</f>
        <v>Negative</v>
      </c>
      <c r="J80" s="9">
        <f>SUM(J75:J76)</f>
        <v>24.999999999999996</v>
      </c>
      <c r="K80" s="10">
        <f>SUM(K75:K76)</f>
        <v>45</v>
      </c>
      <c r="L80" s="10">
        <f>SUM(L75:L76)</f>
        <v>73</v>
      </c>
      <c r="O80" t="str">
        <f>H80</f>
        <v>Negative</v>
      </c>
      <c r="Q80" s="9">
        <f>SUM(Q75:Q76)</f>
        <v>25.00012996080698</v>
      </c>
      <c r="R80" s="10">
        <f>SUM(R75:R76)</f>
        <v>44.998925781933529</v>
      </c>
      <c r="S80" s="10">
        <f>SUM(S75:S76)</f>
        <v>73.000716974777532</v>
      </c>
    </row>
    <row r="82" spans="1:20" x14ac:dyDescent="0.25">
      <c r="B82" t="str">
        <f>B69</f>
        <v>Male</v>
      </c>
      <c r="C82" s="393">
        <f t="shared" ref="C82:E83" si="33">C73+C75</f>
        <v>68.000408121873548</v>
      </c>
      <c r="D82" s="395">
        <f t="shared" si="33"/>
        <v>66.999322813052913</v>
      </c>
      <c r="E82" s="396">
        <f t="shared" si="33"/>
        <v>124.00026906507355</v>
      </c>
      <c r="I82" t="str">
        <f>B82</f>
        <v>Male</v>
      </c>
      <c r="J82" s="393">
        <f t="shared" ref="J82:L83" si="34">J73+J75</f>
        <v>68.000513315635388</v>
      </c>
      <c r="K82" s="395">
        <f t="shared" si="34"/>
        <v>66.996826006655454</v>
      </c>
      <c r="L82" s="396">
        <f t="shared" si="34"/>
        <v>124.00255003267831</v>
      </c>
      <c r="P82" t="str">
        <f>I82</f>
        <v>Male</v>
      </c>
      <c r="Q82" s="393">
        <f t="shared" ref="Q82:S83" si="35">Q73+Q75</f>
        <v>68</v>
      </c>
      <c r="R82" s="395">
        <f t="shared" si="35"/>
        <v>67</v>
      </c>
      <c r="S82" s="396">
        <f t="shared" si="35"/>
        <v>124</v>
      </c>
    </row>
    <row r="83" spans="1:20" x14ac:dyDescent="0.25">
      <c r="B83" t="str">
        <f>B70</f>
        <v>Female</v>
      </c>
      <c r="C83" s="9">
        <f t="shared" si="33"/>
        <v>47.999603827916019</v>
      </c>
      <c r="D83" s="10">
        <f t="shared" si="33"/>
        <v>57.000721426743901</v>
      </c>
      <c r="E83" s="11">
        <f t="shared" si="33"/>
        <v>135.99967474534009</v>
      </c>
      <c r="I83" t="str">
        <f>B83</f>
        <v>Female</v>
      </c>
      <c r="J83" s="9">
        <f t="shared" si="34"/>
        <v>47.999486684364605</v>
      </c>
      <c r="K83" s="10">
        <f t="shared" si="34"/>
        <v>57.003173993344546</v>
      </c>
      <c r="L83" s="11">
        <f t="shared" si="34"/>
        <v>135.9974499673217</v>
      </c>
      <c r="P83" t="str">
        <f>I83</f>
        <v>Female</v>
      </c>
      <c r="Q83" s="9">
        <f t="shared" si="35"/>
        <v>48</v>
      </c>
      <c r="R83" s="10">
        <f t="shared" si="35"/>
        <v>57</v>
      </c>
      <c r="S83" s="11">
        <f t="shared" si="35"/>
        <v>135.99999999999997</v>
      </c>
    </row>
    <row r="85" spans="1:20" x14ac:dyDescent="0.25">
      <c r="C85" t="str">
        <f>C72</f>
        <v>Therapy 1</v>
      </c>
      <c r="D85" t="str">
        <f>D72</f>
        <v>Therapy 2</v>
      </c>
      <c r="E85" t="str">
        <f>E72</f>
        <v>Therapy 3</v>
      </c>
      <c r="J85" t="str">
        <f>J72</f>
        <v>Therapy 1</v>
      </c>
      <c r="K85" t="str">
        <f>K72</f>
        <v>Therapy 2</v>
      </c>
      <c r="L85" t="str">
        <f>L72</f>
        <v>Therapy 3</v>
      </c>
      <c r="Q85" t="str">
        <f>Q72</f>
        <v>Therapy 1</v>
      </c>
      <c r="R85" t="str">
        <f>R72</f>
        <v>Therapy 2</v>
      </c>
      <c r="S85" t="str">
        <f>S72</f>
        <v>Therapy 3</v>
      </c>
    </row>
    <row r="86" spans="1:20" x14ac:dyDescent="0.25">
      <c r="A86" t="str">
        <f t="shared" ref="A86:B89" si="36">A73</f>
        <v>Positive</v>
      </c>
      <c r="B86" t="str">
        <f t="shared" si="36"/>
        <v>Male</v>
      </c>
      <c r="C86" s="393">
        <f>Q73*$F$6/$T73</f>
        <v>60.468904641597085</v>
      </c>
      <c r="D86" s="395">
        <f>R73*$F$6/$T73</f>
        <v>53.109774488591661</v>
      </c>
      <c r="E86" s="396">
        <f>S73*$F$6/$T73</f>
        <v>107.42132086981124</v>
      </c>
      <c r="F86">
        <f>SUM(C86:E86)</f>
        <v>221</v>
      </c>
      <c r="H86" t="str">
        <f t="shared" ref="H86:I89" si="37">A86</f>
        <v>Positive</v>
      </c>
      <c r="I86" t="str">
        <f t="shared" si="37"/>
        <v>Male</v>
      </c>
      <c r="J86" s="393">
        <f>C86*$C$12/C92</f>
        <v>60.468999102047221</v>
      </c>
      <c r="K86" s="395">
        <f>D86*$D$12/D92</f>
        <v>53.109054878552698</v>
      </c>
      <c r="L86" s="396">
        <f>E86*$E$12/E92</f>
        <v>107.4218541129806</v>
      </c>
      <c r="M86">
        <f>SUM(J86:L86)</f>
        <v>220.99990809358053</v>
      </c>
      <c r="O86" t="str">
        <f t="shared" ref="O86:P89" si="38">H86</f>
        <v>Positive</v>
      </c>
      <c r="P86" t="str">
        <f t="shared" si="38"/>
        <v>Male</v>
      </c>
      <c r="Q86" s="393">
        <f>J86*$C$15/J95</f>
        <v>60.468900289990039</v>
      </c>
      <c r="R86" s="395">
        <f>K86*$D$15/K95</f>
        <v>53.109443995952745</v>
      </c>
      <c r="S86" s="396">
        <f>L86*$E$15/L95</f>
        <v>107.42153887328529</v>
      </c>
      <c r="T86">
        <f>SUM(Q86:S86)</f>
        <v>220.99988315922809</v>
      </c>
    </row>
    <row r="87" spans="1:20" x14ac:dyDescent="0.25">
      <c r="A87" t="str">
        <f t="shared" si="36"/>
        <v>Positive</v>
      </c>
      <c r="B87" t="str">
        <f t="shared" si="36"/>
        <v>Female</v>
      </c>
      <c r="C87" s="6">
        <f>Q74*$F$7/$T74</f>
        <v>30.530953204554002</v>
      </c>
      <c r="D87" s="7">
        <f>R74*$F$7/$T74</f>
        <v>25.89129593514696</v>
      </c>
      <c r="E87" s="8">
        <f>S74*$F$7/$T74</f>
        <v>79.577750860299048</v>
      </c>
      <c r="F87">
        <f>SUM(C87:E87)</f>
        <v>136</v>
      </c>
      <c r="H87" t="str">
        <f t="shared" si="37"/>
        <v>Positive</v>
      </c>
      <c r="I87" t="str">
        <f t="shared" si="37"/>
        <v>Female</v>
      </c>
      <c r="J87" s="6">
        <f>C87*$C$12/C92</f>
        <v>30.531000897952779</v>
      </c>
      <c r="K87" s="7">
        <f>D87*$D$12/D92</f>
        <v>25.890945121447295</v>
      </c>
      <c r="L87" s="8">
        <f>E87*$E$12/E92</f>
        <v>79.578145887019403</v>
      </c>
      <c r="M87">
        <f>SUM(J87:L87)</f>
        <v>136.00009190641947</v>
      </c>
      <c r="O87" t="str">
        <f t="shared" si="38"/>
        <v>Positive</v>
      </c>
      <c r="P87" t="str">
        <f t="shared" si="38"/>
        <v>Female</v>
      </c>
      <c r="Q87" s="6">
        <f>J87*$C$16/J96</f>
        <v>30.531071576496615</v>
      </c>
      <c r="R87" s="7">
        <f>K87*$D$16/K96</f>
        <v>25.890722148072218</v>
      </c>
      <c r="S87" s="8">
        <f>L87*$E$16/L96</f>
        <v>79.578358812327579</v>
      </c>
      <c r="T87">
        <f>SUM(Q87:S87)</f>
        <v>136.00015253689639</v>
      </c>
    </row>
    <row r="88" spans="1:20" x14ac:dyDescent="0.25">
      <c r="A88" t="str">
        <f t="shared" si="36"/>
        <v>Negative</v>
      </c>
      <c r="B88" t="str">
        <f t="shared" si="36"/>
        <v>Male</v>
      </c>
      <c r="C88" s="6">
        <f>Q75*$F$8/$T75</f>
        <v>7.5311549811401619</v>
      </c>
      <c r="D88" s="7">
        <f>R75*$F$8/$T75</f>
        <v>13.890126533189273</v>
      </c>
      <c r="E88" s="8">
        <f>S75*$F$8/$T75</f>
        <v>16.578718485670567</v>
      </c>
      <c r="F88">
        <f>SUM(C88:E88)</f>
        <v>38</v>
      </c>
      <c r="H88" t="str">
        <f t="shared" si="37"/>
        <v>Negative</v>
      </c>
      <c r="I88" t="str">
        <f t="shared" si="37"/>
        <v>Male</v>
      </c>
      <c r="J88" s="6">
        <f>C88*$C$13/C93</f>
        <v>7.5311120165584802</v>
      </c>
      <c r="K88" s="7">
        <f>D88*$D$13/D93</f>
        <v>13.890454231996364</v>
      </c>
      <c r="L88" s="8">
        <f>E88*$E$13/E93</f>
        <v>16.578509777935764</v>
      </c>
      <c r="M88">
        <f>SUM(J88:L88)</f>
        <v>38.000076026490603</v>
      </c>
      <c r="O88" t="str">
        <f t="shared" si="38"/>
        <v>Negative</v>
      </c>
      <c r="P88" t="str">
        <f t="shared" si="38"/>
        <v>Male</v>
      </c>
      <c r="Q88" s="6">
        <f>J88*$C$15/J95</f>
        <v>7.531099710009963</v>
      </c>
      <c r="R88" s="7">
        <f>K88*$D$15/K95</f>
        <v>13.89055600404726</v>
      </c>
      <c r="S88" s="8">
        <f>L88*$E$15/L95</f>
        <v>16.578461126714704</v>
      </c>
      <c r="T88">
        <f>SUM(Q88:S88)</f>
        <v>38.000116840771923</v>
      </c>
    </row>
    <row r="89" spans="1:20" x14ac:dyDescent="0.25">
      <c r="A89" t="str">
        <f t="shared" si="36"/>
        <v>Negative</v>
      </c>
      <c r="B89" t="str">
        <f t="shared" si="36"/>
        <v>Female</v>
      </c>
      <c r="C89" s="9">
        <f>Q76*$F$9/$T76</f>
        <v>17.468987642490941</v>
      </c>
      <c r="D89" s="10">
        <f>R76*$F$9/$T76</f>
        <v>31.108811842325824</v>
      </c>
      <c r="E89" s="11">
        <f>S76*$F$9/$T76</f>
        <v>56.422200515183235</v>
      </c>
      <c r="F89">
        <f>SUM(C89:E89)</f>
        <v>105</v>
      </c>
      <c r="H89" t="str">
        <f t="shared" si="37"/>
        <v>Negative</v>
      </c>
      <c r="I89" t="str">
        <f t="shared" si="37"/>
        <v>Female</v>
      </c>
      <c r="J89" s="9">
        <f>C89*$C$13/C93</f>
        <v>17.468887983441519</v>
      </c>
      <c r="K89" s="10">
        <f>D89*$D$13/D93</f>
        <v>31.109545768003638</v>
      </c>
      <c r="L89" s="11">
        <f>E89*$E$13/E93</f>
        <v>56.421490222064243</v>
      </c>
      <c r="M89">
        <f>SUM(J89:L89)</f>
        <v>104.9999239735094</v>
      </c>
      <c r="O89" t="str">
        <f t="shared" si="38"/>
        <v>Negative</v>
      </c>
      <c r="P89" t="str">
        <f t="shared" si="38"/>
        <v>Female</v>
      </c>
      <c r="Q89" s="9">
        <f>J89*$C$16/J96</f>
        <v>17.468928423503385</v>
      </c>
      <c r="R89" s="10">
        <f>K89*$D$16/K96</f>
        <v>31.109277851927786</v>
      </c>
      <c r="S89" s="11">
        <f>L89*$E$16/L96</f>
        <v>56.421641187672435</v>
      </c>
      <c r="T89">
        <f>SUM(Q89:S89)</f>
        <v>104.99984746310361</v>
      </c>
    </row>
    <row r="90" spans="1:20" x14ac:dyDescent="0.25">
      <c r="C90">
        <f>SUM(C86:C89)</f>
        <v>116.00000046978219</v>
      </c>
      <c r="D90">
        <f>SUM(D86:D89)</f>
        <v>124.00000879925372</v>
      </c>
      <c r="E90">
        <f>SUM(E86:E89)</f>
        <v>259.9999907309641</v>
      </c>
      <c r="F90">
        <f>SUM(F86:F89)</f>
        <v>500</v>
      </c>
      <c r="J90">
        <f>SUM(J86:J89)</f>
        <v>116</v>
      </c>
      <c r="K90">
        <f>SUM(K86:K89)</f>
        <v>124</v>
      </c>
      <c r="L90">
        <f>SUM(L86:L89)</f>
        <v>260</v>
      </c>
      <c r="M90">
        <f>SUM(M86:M89)</f>
        <v>500</v>
      </c>
      <c r="Q90">
        <f>SUM(Q86:Q89)</f>
        <v>116</v>
      </c>
      <c r="R90">
        <f>SUM(R86:R89)</f>
        <v>124</v>
      </c>
      <c r="S90">
        <f>SUM(S86:S89)</f>
        <v>260</v>
      </c>
      <c r="T90">
        <f>SUM(T86:T89)</f>
        <v>500</v>
      </c>
    </row>
    <row r="92" spans="1:20" x14ac:dyDescent="0.25">
      <c r="A92" t="str">
        <f>A79</f>
        <v>Positive</v>
      </c>
      <c r="C92" s="393">
        <f>SUM(C86:C87)</f>
        <v>90.999857846151087</v>
      </c>
      <c r="D92" s="395">
        <f>SUM(D86:D87)</f>
        <v>79.001070423738625</v>
      </c>
      <c r="E92" s="396">
        <f>SUM(E86:E87)</f>
        <v>186.9990717301103</v>
      </c>
      <c r="H92" t="str">
        <f>A92</f>
        <v>Positive</v>
      </c>
      <c r="J92" s="393">
        <f>SUM(J86:J87)</f>
        <v>91</v>
      </c>
      <c r="K92" s="395">
        <f>SUM(K86:K87)</f>
        <v>79</v>
      </c>
      <c r="L92" s="396">
        <f>SUM(L86:L87)</f>
        <v>187</v>
      </c>
      <c r="O92" t="str">
        <f>H92</f>
        <v>Positive</v>
      </c>
      <c r="Q92" s="393">
        <f>SUM(Q86:Q87)</f>
        <v>90.999971866486646</v>
      </c>
      <c r="R92" s="395">
        <f>SUM(R86:R87)</f>
        <v>79.000166144024959</v>
      </c>
      <c r="S92" s="396">
        <f>SUM(S86:S87)</f>
        <v>186.99989768561286</v>
      </c>
    </row>
    <row r="93" spans="1:20" x14ac:dyDescent="0.25">
      <c r="A93" t="str">
        <f>A80</f>
        <v>Negative</v>
      </c>
      <c r="C93" s="9">
        <f>SUM(C88:C89)</f>
        <v>25.000142623631103</v>
      </c>
      <c r="D93" s="10">
        <f>SUM(D88:D89)</f>
        <v>44.998938375515095</v>
      </c>
      <c r="E93" s="10">
        <f>SUM(E88:E89)</f>
        <v>73.000919000853798</v>
      </c>
      <c r="H93" t="str">
        <f>A93</f>
        <v>Negative</v>
      </c>
      <c r="J93" s="9">
        <f>SUM(J88:J89)</f>
        <v>25</v>
      </c>
      <c r="K93" s="10">
        <f>SUM(K88:K89)</f>
        <v>45</v>
      </c>
      <c r="L93" s="10">
        <f>SUM(L88:L89)</f>
        <v>73</v>
      </c>
      <c r="O93" t="str">
        <f>H93</f>
        <v>Negative</v>
      </c>
      <c r="Q93" s="9">
        <f>SUM(Q88:Q89)</f>
        <v>25.000028133513347</v>
      </c>
      <c r="R93" s="10">
        <f>SUM(R88:R89)</f>
        <v>44.999833855975048</v>
      </c>
      <c r="S93" s="10">
        <f>SUM(S88:S89)</f>
        <v>73.000102314387135</v>
      </c>
    </row>
    <row r="95" spans="1:20" x14ac:dyDescent="0.25">
      <c r="B95" t="str">
        <f>B82</f>
        <v>Male</v>
      </c>
      <c r="C95" s="393">
        <f t="shared" ref="C95:E96" si="39">C86+C88</f>
        <v>68.00005962273724</v>
      </c>
      <c r="D95" s="395">
        <f t="shared" si="39"/>
        <v>66.999901021780929</v>
      </c>
      <c r="E95" s="396">
        <f t="shared" si="39"/>
        <v>124.0000393554818</v>
      </c>
      <c r="I95" t="str">
        <f>B95</f>
        <v>Male</v>
      </c>
      <c r="J95" s="393">
        <f t="shared" ref="J95:L96" si="40">J86+J88</f>
        <v>68.000111118605702</v>
      </c>
      <c r="K95" s="395">
        <f t="shared" si="40"/>
        <v>66.999509110549056</v>
      </c>
      <c r="L95" s="396">
        <f t="shared" si="40"/>
        <v>124.00036389091636</v>
      </c>
      <c r="P95" t="str">
        <f>I95</f>
        <v>Male</v>
      </c>
      <c r="Q95" s="393">
        <f t="shared" ref="Q95:S96" si="41">Q86+Q88</f>
        <v>68</v>
      </c>
      <c r="R95" s="395">
        <f t="shared" si="41"/>
        <v>67</v>
      </c>
      <c r="S95" s="396">
        <f t="shared" si="41"/>
        <v>123.99999999999999</v>
      </c>
    </row>
    <row r="96" spans="1:20" x14ac:dyDescent="0.25">
      <c r="B96" t="str">
        <f>B83</f>
        <v>Female</v>
      </c>
      <c r="C96" s="9">
        <f t="shared" si="39"/>
        <v>47.99994084704494</v>
      </c>
      <c r="D96" s="10">
        <f t="shared" si="39"/>
        <v>57.000107777472785</v>
      </c>
      <c r="E96" s="11">
        <f t="shared" si="39"/>
        <v>135.99995137548228</v>
      </c>
      <c r="I96" t="str">
        <f>B96</f>
        <v>Female</v>
      </c>
      <c r="J96" s="9">
        <f t="shared" si="40"/>
        <v>47.999888881394298</v>
      </c>
      <c r="K96" s="10">
        <f t="shared" si="40"/>
        <v>57.00049088945093</v>
      </c>
      <c r="L96" s="11">
        <f t="shared" si="40"/>
        <v>135.99963610908364</v>
      </c>
      <c r="P96" t="str">
        <f>I96</f>
        <v>Female</v>
      </c>
      <c r="Q96" s="9">
        <f t="shared" si="41"/>
        <v>48</v>
      </c>
      <c r="R96" s="10">
        <f t="shared" si="41"/>
        <v>57</v>
      </c>
      <c r="S96" s="11">
        <f t="shared" si="41"/>
        <v>136</v>
      </c>
    </row>
    <row r="98" spans="1:20" x14ac:dyDescent="0.25">
      <c r="C98" t="str">
        <f>C85</f>
        <v>Therapy 1</v>
      </c>
      <c r="D98" t="str">
        <f>D85</f>
        <v>Therapy 2</v>
      </c>
      <c r="E98" t="str">
        <f>E85</f>
        <v>Therapy 3</v>
      </c>
      <c r="J98" t="str">
        <f>J85</f>
        <v>Therapy 1</v>
      </c>
      <c r="K98" t="str">
        <f>K85</f>
        <v>Therapy 2</v>
      </c>
      <c r="L98" t="str">
        <f>L85</f>
        <v>Therapy 3</v>
      </c>
      <c r="Q98" t="str">
        <f>Q85</f>
        <v>Therapy 1</v>
      </c>
      <c r="R98" t="str">
        <f>R85</f>
        <v>Therapy 2</v>
      </c>
      <c r="S98" t="str">
        <f>S85</f>
        <v>Therapy 3</v>
      </c>
    </row>
    <row r="99" spans="1:20" x14ac:dyDescent="0.25">
      <c r="A99" t="str">
        <f t="shared" ref="A99:B102" si="42">A86</f>
        <v>Positive</v>
      </c>
      <c r="B99" t="str">
        <f t="shared" si="42"/>
        <v>Male</v>
      </c>
      <c r="C99" s="393">
        <f>Q86*$F$6/$T86</f>
        <v>60.468932259386968</v>
      </c>
      <c r="D99" s="395">
        <f>R86*$F$6/$T86</f>
        <v>53.109472074467284</v>
      </c>
      <c r="E99" s="396">
        <f>S86*$F$6/$T86</f>
        <v>107.42159566614572</v>
      </c>
      <c r="F99">
        <f>SUM(C99:E99)</f>
        <v>220.99999999999997</v>
      </c>
      <c r="H99" t="str">
        <f t="shared" ref="H99:I102" si="43">A99</f>
        <v>Positive</v>
      </c>
      <c r="I99" t="str">
        <f t="shared" si="43"/>
        <v>Male</v>
      </c>
      <c r="J99" s="393">
        <f>C99*$C$12/C105</f>
        <v>60.468952465034235</v>
      </c>
      <c r="K99" s="395">
        <f>D99*$D$12/D105</f>
        <v>53.109361026375204</v>
      </c>
      <c r="L99" s="396">
        <f>E99*$E$12/E105</f>
        <v>107.42167308793387</v>
      </c>
      <c r="M99">
        <f>SUM(J99:L99)</f>
        <v>220.9999865793433</v>
      </c>
      <c r="O99" t="str">
        <f t="shared" ref="O99:P102" si="44">H99</f>
        <v>Positive</v>
      </c>
      <c r="P99" t="str">
        <f t="shared" si="44"/>
        <v>Male</v>
      </c>
      <c r="Q99" s="393">
        <f>J99*$C$15/J108</f>
        <v>60.468934791572515</v>
      </c>
      <c r="R99" s="395">
        <f>K99*$D$15/K108</f>
        <v>53.10942060480339</v>
      </c>
      <c r="S99" s="396">
        <f>L99*$E$15/L108</f>
        <v>107.42162720309202</v>
      </c>
      <c r="T99">
        <f>SUM(Q99:S99)</f>
        <v>220.99998259946793</v>
      </c>
    </row>
    <row r="100" spans="1:20" x14ac:dyDescent="0.25">
      <c r="A100" t="str">
        <f t="shared" si="42"/>
        <v>Positive</v>
      </c>
      <c r="B100" t="str">
        <f t="shared" si="42"/>
        <v>Female</v>
      </c>
      <c r="C100" s="6">
        <f>Q87*$F$7/$T87</f>
        <v>30.531037333043098</v>
      </c>
      <c r="D100" s="7">
        <f>R87*$F$7/$T87</f>
        <v>25.890693109204772</v>
      </c>
      <c r="E100" s="8">
        <f>S87*$F$7/$T87</f>
        <v>79.578269557752151</v>
      </c>
      <c r="F100">
        <f>SUM(C100:E100)</f>
        <v>136.00000000000003</v>
      </c>
      <c r="H100" t="str">
        <f t="shared" si="43"/>
        <v>Positive</v>
      </c>
      <c r="I100" t="str">
        <f t="shared" si="43"/>
        <v>Female</v>
      </c>
      <c r="J100" s="6">
        <f>C100*$C$12/C105</f>
        <v>30.531047534965772</v>
      </c>
      <c r="K100" s="7">
        <f>D100*$D$12/D105</f>
        <v>25.890638973624803</v>
      </c>
      <c r="L100" s="8">
        <f>E100*$E$12/E105</f>
        <v>79.578326912066146</v>
      </c>
      <c r="M100">
        <f>SUM(J100:L100)</f>
        <v>136.00001342065673</v>
      </c>
      <c r="O100" t="str">
        <f t="shared" si="44"/>
        <v>Positive</v>
      </c>
      <c r="P100" t="str">
        <f t="shared" si="44"/>
        <v>Female</v>
      </c>
      <c r="Q100" s="6">
        <f>J100*$C$16/J109</f>
        <v>30.531060176473233</v>
      </c>
      <c r="R100" s="7">
        <f>K100*$D$16/K109</f>
        <v>25.89060483393104</v>
      </c>
      <c r="S100" s="8">
        <f>L100*$E$16/L109</f>
        <v>79.578357904469996</v>
      </c>
      <c r="T100">
        <f>SUM(Q100:S100)</f>
        <v>136.00002291487425</v>
      </c>
    </row>
    <row r="101" spans="1:20" x14ac:dyDescent="0.25">
      <c r="A101" t="str">
        <f t="shared" si="42"/>
        <v>Negative</v>
      </c>
      <c r="B101" t="str">
        <f t="shared" si="42"/>
        <v>Male</v>
      </c>
      <c r="C101" s="6">
        <f>Q88*$F$8/$T88</f>
        <v>7.5310765537784379</v>
      </c>
      <c r="D101" s="7">
        <f>R88*$F$8/$T88</f>
        <v>13.890513294092111</v>
      </c>
      <c r="E101" s="8">
        <f>S88*$F$8/$T88</f>
        <v>16.578410152129457</v>
      </c>
      <c r="F101">
        <f>SUM(C101:E101)</f>
        <v>38.000000000000007</v>
      </c>
      <c r="H101" t="str">
        <f t="shared" si="43"/>
        <v>Negative</v>
      </c>
      <c r="I101" t="str">
        <f t="shared" si="43"/>
        <v>Male</v>
      </c>
      <c r="J101" s="6">
        <f>C101*$C$13/C106</f>
        <v>7.5310674095575729</v>
      </c>
      <c r="K101" s="7">
        <f>D101*$D$13/D106</f>
        <v>13.890563812671367</v>
      </c>
      <c r="L101" s="8">
        <f>E101*$E$13/E106</f>
        <v>16.578379878312678</v>
      </c>
      <c r="M101">
        <f>SUM(J101:L101)</f>
        <v>38.000011100541613</v>
      </c>
      <c r="O101" t="str">
        <f t="shared" si="44"/>
        <v>Negative</v>
      </c>
      <c r="P101" t="str">
        <f t="shared" si="44"/>
        <v>Male</v>
      </c>
      <c r="Q101" s="6">
        <f>J101*$C$15/J108</f>
        <v>7.5310652084274707</v>
      </c>
      <c r="R101" s="7">
        <f>K101*$D$15/K108</f>
        <v>13.890579395196607</v>
      </c>
      <c r="S101" s="8">
        <f>L101*$E$15/L108</f>
        <v>16.578372796907992</v>
      </c>
      <c r="T101">
        <f>SUM(Q101:S101)</f>
        <v>38.000017400532073</v>
      </c>
    </row>
    <row r="102" spans="1:20" x14ac:dyDescent="0.25">
      <c r="A102" t="str">
        <f t="shared" si="42"/>
        <v>Negative</v>
      </c>
      <c r="B102" t="str">
        <f t="shared" si="42"/>
        <v>Female</v>
      </c>
      <c r="C102" s="9">
        <f>Q89*$F$9/$T89</f>
        <v>17.468953801217634</v>
      </c>
      <c r="D102" s="10">
        <f>R89*$F$9/$T89</f>
        <v>31.109323045447656</v>
      </c>
      <c r="E102" s="11">
        <f>S89*$F$9/$T89</f>
        <v>56.42172315333471</v>
      </c>
      <c r="F102">
        <f>SUM(C102:E102)</f>
        <v>105</v>
      </c>
      <c r="H102" t="str">
        <f t="shared" si="43"/>
        <v>Negative</v>
      </c>
      <c r="I102" t="str">
        <f t="shared" si="43"/>
        <v>Female</v>
      </c>
      <c r="J102" s="9">
        <f>C102*$C$13/C106</f>
        <v>17.468932590442428</v>
      </c>
      <c r="K102" s="10">
        <f>D102*$D$13/D106</f>
        <v>31.109436187328633</v>
      </c>
      <c r="L102" s="11">
        <f>E102*$E$13/E106</f>
        <v>56.421620121687319</v>
      </c>
      <c r="M102">
        <f>SUM(J102:L102)</f>
        <v>104.99998889945837</v>
      </c>
      <c r="O102" t="str">
        <f t="shared" si="44"/>
        <v>Negative</v>
      </c>
      <c r="P102" t="str">
        <f t="shared" si="44"/>
        <v>Female</v>
      </c>
      <c r="Q102" s="9">
        <f>J102*$C$16/J109</f>
        <v>17.468939823526764</v>
      </c>
      <c r="R102" s="10">
        <f>K102*$D$16/K109</f>
        <v>31.109395166068957</v>
      </c>
      <c r="S102" s="11">
        <f>L102*$E$16/L109</f>
        <v>56.421642095529997</v>
      </c>
      <c r="T102">
        <f>SUM(Q102:S102)</f>
        <v>104.99997708512572</v>
      </c>
    </row>
    <row r="103" spans="1:20" x14ac:dyDescent="0.25">
      <c r="C103">
        <f>SUM(C99:C102)</f>
        <v>115.99999994742613</v>
      </c>
      <c r="D103">
        <f>SUM(D99:D102)</f>
        <v>124.00000152321182</v>
      </c>
      <c r="E103">
        <f>SUM(E99:E102)</f>
        <v>259.99999852936207</v>
      </c>
      <c r="F103">
        <f>SUM(F99:F102)</f>
        <v>500</v>
      </c>
      <c r="J103">
        <f>SUM(J99:J102)</f>
        <v>116</v>
      </c>
      <c r="K103">
        <f>SUM(K99:K102)</f>
        <v>124</v>
      </c>
      <c r="L103">
        <f>SUM(L99:L102)</f>
        <v>260</v>
      </c>
      <c r="M103">
        <f>SUM(M99:M102)</f>
        <v>500</v>
      </c>
      <c r="Q103">
        <f>SUM(Q99:Q102)</f>
        <v>115.99999999999997</v>
      </c>
      <c r="R103">
        <f>SUM(R99:R102)</f>
        <v>124</v>
      </c>
      <c r="S103">
        <f>SUM(S99:S102)</f>
        <v>260</v>
      </c>
      <c r="T103">
        <f>SUM(T99:T102)</f>
        <v>500</v>
      </c>
    </row>
    <row r="105" spans="1:20" x14ac:dyDescent="0.25">
      <c r="A105" t="str">
        <f>A92</f>
        <v>Positive</v>
      </c>
      <c r="C105" s="393">
        <f>SUM(C99:C100)</f>
        <v>90.999969592430062</v>
      </c>
      <c r="D105" s="395">
        <f>SUM(D99:D100)</f>
        <v>79.000165183672053</v>
      </c>
      <c r="E105" s="396">
        <f>SUM(E99:E100)</f>
        <v>186.99986522389787</v>
      </c>
      <c r="H105" t="str">
        <f>A105</f>
        <v>Positive</v>
      </c>
      <c r="J105" s="393">
        <f>SUM(J99:J100)</f>
        <v>91</v>
      </c>
      <c r="K105" s="395">
        <f>SUM(K99:K100)</f>
        <v>79</v>
      </c>
      <c r="L105" s="396">
        <f>SUM(L99:L100)</f>
        <v>187</v>
      </c>
      <c r="O105" t="str">
        <f>H105</f>
        <v>Positive</v>
      </c>
      <c r="Q105" s="393">
        <f>SUM(Q99:Q100)</f>
        <v>90.999994968045741</v>
      </c>
      <c r="R105" s="395">
        <f>SUM(R99:R100)</f>
        <v>79.000025438734426</v>
      </c>
      <c r="S105" s="396">
        <f>SUM(S99:S100)</f>
        <v>186.999985107562</v>
      </c>
    </row>
    <row r="106" spans="1:20" x14ac:dyDescent="0.25">
      <c r="A106" t="str">
        <f>A93</f>
        <v>Negative</v>
      </c>
      <c r="C106" s="9">
        <f>SUM(C101:C102)</f>
        <v>25.000030354996071</v>
      </c>
      <c r="D106" s="10">
        <f>SUM(D101:D102)</f>
        <v>44.999836339539769</v>
      </c>
      <c r="E106" s="10">
        <f>SUM(E101:E102)</f>
        <v>73.000133305464175</v>
      </c>
      <c r="H106" t="str">
        <f>A106</f>
        <v>Negative</v>
      </c>
      <c r="J106" s="9">
        <f>SUM(J101:J102)</f>
        <v>25</v>
      </c>
      <c r="K106" s="10">
        <f>SUM(K101:K102)</f>
        <v>45</v>
      </c>
      <c r="L106" s="10">
        <f>SUM(L101:L102)</f>
        <v>73</v>
      </c>
      <c r="O106" t="str">
        <f>H106</f>
        <v>Negative</v>
      </c>
      <c r="Q106" s="9">
        <f>SUM(Q101:Q102)</f>
        <v>25.000005031954235</v>
      </c>
      <c r="R106" s="10">
        <f>SUM(R101:R102)</f>
        <v>44.99997456126556</v>
      </c>
      <c r="S106" s="10">
        <f>SUM(S101:S102)</f>
        <v>73.000014892437989</v>
      </c>
    </row>
    <row r="108" spans="1:20" x14ac:dyDescent="0.25">
      <c r="B108" t="str">
        <f>B95</f>
        <v>Male</v>
      </c>
      <c r="C108" s="393">
        <f t="shared" ref="C108:E109" si="45">C99+C101</f>
        <v>68.000008813165408</v>
      </c>
      <c r="D108" s="395">
        <f t="shared" si="45"/>
        <v>66.999985368559393</v>
      </c>
      <c r="E108" s="396">
        <f t="shared" si="45"/>
        <v>124.00000581827518</v>
      </c>
      <c r="I108" t="str">
        <f>B108</f>
        <v>Male</v>
      </c>
      <c r="J108" s="393">
        <f t="shared" ref="J108:L109" si="46">J99+J101</f>
        <v>68.000019874591814</v>
      </c>
      <c r="K108" s="395">
        <f t="shared" si="46"/>
        <v>66.999924839046571</v>
      </c>
      <c r="L108" s="396">
        <f t="shared" si="46"/>
        <v>124.00005296624654</v>
      </c>
      <c r="P108" t="str">
        <f>I108</f>
        <v>Male</v>
      </c>
      <c r="Q108" s="393">
        <f t="shared" ref="Q108:S109" si="47">Q99+Q101</f>
        <v>67.999999999999986</v>
      </c>
      <c r="R108" s="395">
        <f t="shared" si="47"/>
        <v>67</v>
      </c>
      <c r="S108" s="396">
        <f t="shared" si="47"/>
        <v>124</v>
      </c>
    </row>
    <row r="109" spans="1:20" x14ac:dyDescent="0.25">
      <c r="B109" t="str">
        <f>B96</f>
        <v>Female</v>
      </c>
      <c r="C109" s="9">
        <f t="shared" si="45"/>
        <v>47.999991134260732</v>
      </c>
      <c r="D109" s="10">
        <f t="shared" si="45"/>
        <v>57.000016154652428</v>
      </c>
      <c r="E109" s="11">
        <f t="shared" si="45"/>
        <v>135.99999271108686</v>
      </c>
      <c r="I109" t="str">
        <f>B109</f>
        <v>Female</v>
      </c>
      <c r="J109" s="9">
        <f t="shared" si="46"/>
        <v>47.9999801254082</v>
      </c>
      <c r="K109" s="10">
        <f t="shared" si="46"/>
        <v>57.000075160953436</v>
      </c>
      <c r="L109" s="11">
        <f t="shared" si="46"/>
        <v>135.99994703375347</v>
      </c>
      <c r="P109" t="str">
        <f>I109</f>
        <v>Female</v>
      </c>
      <c r="Q109" s="9">
        <f t="shared" si="47"/>
        <v>48</v>
      </c>
      <c r="R109" s="10">
        <f t="shared" si="47"/>
        <v>57</v>
      </c>
      <c r="S109" s="11">
        <f t="shared" si="47"/>
        <v>136</v>
      </c>
    </row>
    <row r="111" spans="1:20" x14ac:dyDescent="0.25">
      <c r="C111" t="str">
        <f>C98</f>
        <v>Therapy 1</v>
      </c>
      <c r="D111" t="str">
        <f>D98</f>
        <v>Therapy 2</v>
      </c>
      <c r="E111" t="str">
        <f>E98</f>
        <v>Therapy 3</v>
      </c>
      <c r="J111" t="str">
        <f>J98</f>
        <v>Therapy 1</v>
      </c>
      <c r="K111" t="str">
        <f>K98</f>
        <v>Therapy 2</v>
      </c>
      <c r="L111" t="str">
        <f>L98</f>
        <v>Therapy 3</v>
      </c>
      <c r="Q111" t="str">
        <f>Q98</f>
        <v>Therapy 1</v>
      </c>
      <c r="R111" t="str">
        <f>R98</f>
        <v>Therapy 2</v>
      </c>
      <c r="S111" t="str">
        <f>S98</f>
        <v>Therapy 3</v>
      </c>
    </row>
    <row r="112" spans="1:20" x14ac:dyDescent="0.25">
      <c r="A112" t="str">
        <f t="shared" ref="A112:B115" si="48">A99</f>
        <v>Positive</v>
      </c>
      <c r="B112" t="str">
        <f t="shared" si="48"/>
        <v>Male</v>
      </c>
      <c r="C112" s="393">
        <f>Q99*$F$6/$T99</f>
        <v>60.46893955262103</v>
      </c>
      <c r="D112" s="395">
        <f>R99*$F$6/$T99</f>
        <v>53.109424786397277</v>
      </c>
      <c r="E112" s="396">
        <f>S99*$F$6/$T99</f>
        <v>107.42163566098168</v>
      </c>
      <c r="F112">
        <f>SUM(C112:E112)</f>
        <v>221</v>
      </c>
      <c r="H112" t="str">
        <f t="shared" ref="H112:I115" si="49">A112</f>
        <v>Positive</v>
      </c>
      <c r="I112" t="str">
        <f t="shared" si="49"/>
        <v>Male</v>
      </c>
      <c r="J112" s="393">
        <f>C112*$C$12/C118</f>
        <v>60.468943150945627</v>
      </c>
      <c r="K112" s="395">
        <f>D112*$D$12/D118</f>
        <v>53.109407806192571</v>
      </c>
      <c r="L112" s="396">
        <f>E112*$E$12/E118</f>
        <v>107.42164705964812</v>
      </c>
      <c r="M112">
        <f>SUM(J112:L112)</f>
        <v>220.99999801678632</v>
      </c>
      <c r="O112" t="str">
        <f t="shared" ref="O112:P115" si="50">H112</f>
        <v>Positive</v>
      </c>
      <c r="P112" t="str">
        <f t="shared" si="50"/>
        <v>Male</v>
      </c>
      <c r="Q112" s="393">
        <f>J112*$C$15/J121</f>
        <v>60.468940229410684</v>
      </c>
      <c r="R112" s="395">
        <f>K112*$D$15/K121</f>
        <v>53.109416873721386</v>
      </c>
      <c r="S112" s="396">
        <f>L112*$E$15/L121</f>
        <v>107.42164029317338</v>
      </c>
      <c r="T112">
        <f>SUM(Q112:S112)</f>
        <v>220.99999739630545</v>
      </c>
    </row>
    <row r="113" spans="1:20" x14ac:dyDescent="0.25">
      <c r="A113" t="str">
        <f t="shared" si="48"/>
        <v>Positive</v>
      </c>
      <c r="B113" t="str">
        <f t="shared" si="48"/>
        <v>Female</v>
      </c>
      <c r="C113" s="6">
        <f>Q100*$F$7/$T100</f>
        <v>30.531055032243184</v>
      </c>
      <c r="D113" s="7">
        <f>R100*$F$7/$T100</f>
        <v>25.89060047157917</v>
      </c>
      <c r="E113" s="8">
        <f>S100*$F$7/$T100</f>
        <v>79.578344496177664</v>
      </c>
      <c r="F113">
        <f>SUM(C113:E113)</f>
        <v>136</v>
      </c>
      <c r="H113" t="str">
        <f t="shared" si="49"/>
        <v>Positive</v>
      </c>
      <c r="I113" t="str">
        <f t="shared" si="49"/>
        <v>Female</v>
      </c>
      <c r="J113" s="6">
        <f>C113*$C$12/C118</f>
        <v>30.53105684905438</v>
      </c>
      <c r="K113" s="7">
        <f>D113*$D$12/D118</f>
        <v>25.890592193807425</v>
      </c>
      <c r="L113" s="8">
        <f>E113*$E$12/E118</f>
        <v>79.578352940351877</v>
      </c>
      <c r="M113">
        <f>SUM(J113:L113)</f>
        <v>136.00000198321368</v>
      </c>
      <c r="O113" t="str">
        <f t="shared" si="50"/>
        <v>Positive</v>
      </c>
      <c r="P113" t="str">
        <f t="shared" si="50"/>
        <v>Female</v>
      </c>
      <c r="Q113" s="6">
        <f>J113*$C$16/J122</f>
        <v>30.531058938775196</v>
      </c>
      <c r="R113" s="7">
        <f>K113*$D$16/K122</f>
        <v>25.890586997925716</v>
      </c>
      <c r="S113" s="8">
        <f>L113*$E$16/L122</f>
        <v>79.578357510691063</v>
      </c>
      <c r="T113">
        <f>SUM(Q113:S113)</f>
        <v>136.00000344739198</v>
      </c>
    </row>
    <row r="114" spans="1:20" x14ac:dyDescent="0.25">
      <c r="A114" t="str">
        <f t="shared" si="48"/>
        <v>Negative</v>
      </c>
      <c r="B114" t="str">
        <f t="shared" si="48"/>
        <v>Male</v>
      </c>
      <c r="C114" s="6">
        <f>Q101*$F$8/$T101</f>
        <v>7.5310617598884795</v>
      </c>
      <c r="D114" s="7">
        <f>R101*$F$8/$T101</f>
        <v>13.890573034581829</v>
      </c>
      <c r="E114" s="8">
        <f>S101*$F$8/$T101</f>
        <v>16.578365205529689</v>
      </c>
      <c r="F114">
        <f>SUM(C114:E114)</f>
        <v>38</v>
      </c>
      <c r="H114" t="str">
        <f t="shared" si="49"/>
        <v>Negative</v>
      </c>
      <c r="I114" t="str">
        <f t="shared" si="49"/>
        <v>Male</v>
      </c>
      <c r="J114" s="6">
        <f>C114*$C$13/C119</f>
        <v>7.531060134449735</v>
      </c>
      <c r="K114" s="7">
        <f>D114*$D$13/D119</f>
        <v>13.890580754698011</v>
      </c>
      <c r="L114" s="8">
        <f>E114*$E$13/E119</f>
        <v>16.578360751095271</v>
      </c>
      <c r="M114">
        <f>SUM(J114:L114)</f>
        <v>38.000001640243013</v>
      </c>
      <c r="O114" t="str">
        <f t="shared" si="50"/>
        <v>Negative</v>
      </c>
      <c r="P114" t="str">
        <f t="shared" si="50"/>
        <v>Male</v>
      </c>
      <c r="Q114" s="6">
        <f>J114*$C$15/J121</f>
        <v>7.5310597705893114</v>
      </c>
      <c r="R114" s="7">
        <f>K114*$D$15/K121</f>
        <v>13.890583126278612</v>
      </c>
      <c r="S114" s="8">
        <f>L114*$E$15/L121</f>
        <v>16.578359706826614</v>
      </c>
      <c r="T114">
        <f>SUM(Q114:S114)</f>
        <v>38.00000260369454</v>
      </c>
    </row>
    <row r="115" spans="1:20" x14ac:dyDescent="0.25">
      <c r="A115" t="str">
        <f t="shared" si="48"/>
        <v>Negative</v>
      </c>
      <c r="B115" t="str">
        <f t="shared" si="48"/>
        <v>Female</v>
      </c>
      <c r="C115" s="9">
        <f>Q102*$F$9/$T102</f>
        <v>17.468943635894831</v>
      </c>
      <c r="D115" s="10">
        <f>R102*$F$9/$T102</f>
        <v>31.109401955288334</v>
      </c>
      <c r="E115" s="11">
        <f>S102*$F$9/$T102</f>
        <v>56.421654408816828</v>
      </c>
      <c r="F115">
        <f>SUM(C115:E115)</f>
        <v>105</v>
      </c>
      <c r="H115" t="str">
        <f t="shared" si="49"/>
        <v>Negative</v>
      </c>
      <c r="I115" t="str">
        <f t="shared" si="49"/>
        <v>Female</v>
      </c>
      <c r="J115" s="9">
        <f>C115*$C$13/C119</f>
        <v>17.468939865550265</v>
      </c>
      <c r="K115" s="10">
        <f>D115*$D$13/D119</f>
        <v>31.109419245301993</v>
      </c>
      <c r="L115" s="11">
        <f>E115*$E$13/E119</f>
        <v>56.421639248904739</v>
      </c>
      <c r="M115">
        <f>SUM(J115:L115)</f>
        <v>104.999998359757</v>
      </c>
      <c r="O115" t="str">
        <f t="shared" si="50"/>
        <v>Negative</v>
      </c>
      <c r="P115" t="str">
        <f t="shared" si="50"/>
        <v>Female</v>
      </c>
      <c r="Q115" s="9">
        <f>J115*$C$16/J122</f>
        <v>17.4689410612248</v>
      </c>
      <c r="R115" s="10">
        <f>K115*$D$16/K122</f>
        <v>31.109413002074291</v>
      </c>
      <c r="S115" s="11">
        <f>L115*$E$16/L122</f>
        <v>56.421642489308944</v>
      </c>
      <c r="T115">
        <f>SUM(Q115:S115)</f>
        <v>104.99999655260802</v>
      </c>
    </row>
    <row r="116" spans="1:20" x14ac:dyDescent="0.25">
      <c r="C116">
        <f>SUM(C112:C115)</f>
        <v>115.99999998064752</v>
      </c>
      <c r="D116">
        <f>SUM(D112:D115)</f>
        <v>124.00000024784661</v>
      </c>
      <c r="E116">
        <f>SUM(E112:E115)</f>
        <v>259.99999977150583</v>
      </c>
      <c r="F116">
        <f>SUM(F112:F115)</f>
        <v>500</v>
      </c>
      <c r="J116">
        <f>SUM(J112:J115)</f>
        <v>116</v>
      </c>
      <c r="K116">
        <f>SUM(K112:K115)</f>
        <v>124</v>
      </c>
      <c r="L116">
        <f>SUM(L112:L115)</f>
        <v>260</v>
      </c>
      <c r="M116">
        <f>SUM(M112:M115)</f>
        <v>500</v>
      </c>
      <c r="Q116">
        <f>SUM(Q112:Q115)</f>
        <v>115.99999999999999</v>
      </c>
      <c r="R116">
        <f>SUM(R112:R115)</f>
        <v>124</v>
      </c>
      <c r="S116">
        <f>SUM(S112:S115)</f>
        <v>260</v>
      </c>
      <c r="T116">
        <f>SUM(T112:T115)</f>
        <v>500</v>
      </c>
    </row>
    <row r="118" spans="1:20" x14ac:dyDescent="0.25">
      <c r="A118" t="str">
        <f>A105</f>
        <v>Positive</v>
      </c>
      <c r="C118" s="393">
        <f>SUM(C112:C113)</f>
        <v>90.999994584864211</v>
      </c>
      <c r="D118" s="395">
        <f>SUM(D112:D113)</f>
        <v>79.000025257976446</v>
      </c>
      <c r="E118" s="396">
        <f>SUM(E112:E113)</f>
        <v>186.99998015715934</v>
      </c>
      <c r="H118" t="str">
        <f>A118</f>
        <v>Positive</v>
      </c>
      <c r="J118" s="393">
        <f>SUM(J112:J113)</f>
        <v>91</v>
      </c>
      <c r="K118" s="395">
        <f>SUM(K112:K113)</f>
        <v>79</v>
      </c>
      <c r="L118" s="396">
        <f>SUM(L112:L113)</f>
        <v>187</v>
      </c>
      <c r="O118" t="str">
        <f>H118</f>
        <v>Positive</v>
      </c>
      <c r="Q118" s="393">
        <f>SUM(Q112:Q113)</f>
        <v>90.99999916818588</v>
      </c>
      <c r="R118" s="395">
        <f>SUM(R112:R113)</f>
        <v>79.000003871647095</v>
      </c>
      <c r="S118" s="396">
        <f>SUM(S112:S113)</f>
        <v>186.99999780386446</v>
      </c>
    </row>
    <row r="119" spans="1:20" x14ac:dyDescent="0.25">
      <c r="A119" t="str">
        <f>A106</f>
        <v>Negative</v>
      </c>
      <c r="C119" s="9">
        <f>SUM(C114:C115)</f>
        <v>25.000005395783312</v>
      </c>
      <c r="D119" s="10">
        <f>SUM(D114:D115)</f>
        <v>44.999974989870161</v>
      </c>
      <c r="E119" s="10">
        <f>SUM(E114:E115)</f>
        <v>73.000019614346513</v>
      </c>
      <c r="H119" t="str">
        <f>A119</f>
        <v>Negative</v>
      </c>
      <c r="J119" s="9">
        <f>SUM(J114:J115)</f>
        <v>25</v>
      </c>
      <c r="K119" s="10">
        <f>SUM(K114:K115)</f>
        <v>45</v>
      </c>
      <c r="L119" s="10">
        <f>SUM(L114:L115)</f>
        <v>73.000000000000014</v>
      </c>
      <c r="O119" t="str">
        <f>H119</f>
        <v>Negative</v>
      </c>
      <c r="Q119" s="9">
        <f>SUM(Q114:Q115)</f>
        <v>25.000000831814113</v>
      </c>
      <c r="R119" s="10">
        <f>SUM(R114:R115)</f>
        <v>44.999996128352905</v>
      </c>
      <c r="S119" s="10">
        <f>SUM(S114:S115)</f>
        <v>73.000002196135554</v>
      </c>
    </row>
    <row r="121" spans="1:20" x14ac:dyDescent="0.25">
      <c r="B121" t="str">
        <f>B108</f>
        <v>Male</v>
      </c>
      <c r="C121" s="393">
        <f t="shared" ref="C121:E122" si="51">C112+C114</f>
        <v>68.000001312509511</v>
      </c>
      <c r="D121" s="395">
        <f t="shared" si="51"/>
        <v>66.999997820979104</v>
      </c>
      <c r="E121" s="396">
        <f t="shared" si="51"/>
        <v>124.00000086651137</v>
      </c>
      <c r="I121" t="str">
        <f>B121</f>
        <v>Male</v>
      </c>
      <c r="J121" s="393">
        <f t="shared" ref="J121:L122" si="52">J112+J114</f>
        <v>68.000003285395366</v>
      </c>
      <c r="K121" s="395">
        <f t="shared" si="52"/>
        <v>66.999988560890586</v>
      </c>
      <c r="L121" s="396">
        <f t="shared" si="52"/>
        <v>124.0000078107434</v>
      </c>
      <c r="P121" t="str">
        <f>I121</f>
        <v>Male</v>
      </c>
      <c r="Q121" s="393">
        <f t="shared" ref="Q121:S122" si="53">Q112+Q114</f>
        <v>68</v>
      </c>
      <c r="R121" s="395">
        <f t="shared" si="53"/>
        <v>67</v>
      </c>
      <c r="S121" s="396">
        <f t="shared" si="53"/>
        <v>124</v>
      </c>
    </row>
    <row r="122" spans="1:20" x14ac:dyDescent="0.25">
      <c r="B122" t="str">
        <f>B109</f>
        <v>Female</v>
      </c>
      <c r="C122" s="9">
        <f t="shared" si="51"/>
        <v>47.999998668138019</v>
      </c>
      <c r="D122" s="10">
        <f t="shared" si="51"/>
        <v>57.000002426867503</v>
      </c>
      <c r="E122" s="11">
        <f t="shared" si="51"/>
        <v>135.9999989049945</v>
      </c>
      <c r="I122" t="str">
        <f>B122</f>
        <v>Female</v>
      </c>
      <c r="J122" s="9">
        <f t="shared" si="52"/>
        <v>47.999996714604649</v>
      </c>
      <c r="K122" s="10">
        <f t="shared" si="52"/>
        <v>57.000011439109414</v>
      </c>
      <c r="L122" s="11">
        <f t="shared" si="52"/>
        <v>135.9999921892566</v>
      </c>
      <c r="P122" t="str">
        <f>I122</f>
        <v>Female</v>
      </c>
      <c r="Q122" s="9">
        <f t="shared" si="53"/>
        <v>48</v>
      </c>
      <c r="R122" s="10">
        <f t="shared" si="53"/>
        <v>57.000000000000007</v>
      </c>
      <c r="S122" s="11">
        <f t="shared" si="53"/>
        <v>136</v>
      </c>
    </row>
    <row r="124" spans="1:20" x14ac:dyDescent="0.25">
      <c r="C124" t="str">
        <f>C111</f>
        <v>Therapy 1</v>
      </c>
      <c r="D124" t="str">
        <f>D111</f>
        <v>Therapy 2</v>
      </c>
      <c r="E124" t="str">
        <f>E111</f>
        <v>Therapy 3</v>
      </c>
      <c r="J124" t="str">
        <f>J111</f>
        <v>Therapy 1</v>
      </c>
      <c r="K124" t="str">
        <f>K111</f>
        <v>Therapy 2</v>
      </c>
      <c r="L124" t="str">
        <f>L111</f>
        <v>Therapy 3</v>
      </c>
      <c r="Q124" t="str">
        <f>Q111</f>
        <v>Therapy 1</v>
      </c>
      <c r="R124" t="str">
        <f>R111</f>
        <v>Therapy 2</v>
      </c>
      <c r="S124" t="str">
        <f>S111</f>
        <v>Therapy 3</v>
      </c>
    </row>
    <row r="125" spans="1:20" x14ac:dyDescent="0.25">
      <c r="A125" t="str">
        <f t="shared" ref="A125:B128" si="54">A112</f>
        <v>Positive</v>
      </c>
      <c r="B125" t="str">
        <f t="shared" si="54"/>
        <v>Male</v>
      </c>
      <c r="C125" s="393">
        <f>Q112*$F$6/$T112</f>
        <v>60.468940941820875</v>
      </c>
      <c r="D125" s="395">
        <f>R112*$F$6/$T112</f>
        <v>53.109417499425916</v>
      </c>
      <c r="E125" s="396">
        <f>S112*$F$6/$T112</f>
        <v>107.42164155875322</v>
      </c>
      <c r="F125">
        <f>SUM(C125:E125)</f>
        <v>221</v>
      </c>
      <c r="H125" t="str">
        <f t="shared" ref="H125:I128" si="55">A125</f>
        <v>Positive</v>
      </c>
      <c r="I125" t="str">
        <f t="shared" si="55"/>
        <v>Male</v>
      </c>
      <c r="J125" s="393">
        <f>C125*$C$12/C131</f>
        <v>60.468941535426239</v>
      </c>
      <c r="K125" s="395">
        <f>D125*$D$12/D131</f>
        <v>53.109414917189113</v>
      </c>
      <c r="L125" s="396">
        <f>E125*$E$12/E131</f>
        <v>107.42164325207753</v>
      </c>
      <c r="M125">
        <f>SUM(J125:L125)</f>
        <v>220.99999970469287</v>
      </c>
      <c r="O125" t="str">
        <f t="shared" ref="O125:P128" si="56">H125</f>
        <v>Positive</v>
      </c>
      <c r="P125" t="str">
        <f t="shared" si="56"/>
        <v>Male</v>
      </c>
      <c r="Q125" s="393">
        <f>J125*$C$15/J134</f>
        <v>60.46894107115628</v>
      </c>
      <c r="R125" s="395">
        <f>K125*$D$15/K134</f>
        <v>53.109416292237356</v>
      </c>
      <c r="S125" s="396">
        <f>L125*$E$15/L134</f>
        <v>107.42164224585341</v>
      </c>
      <c r="T125">
        <f>SUM(Q125:S125)</f>
        <v>220.99999960924703</v>
      </c>
    </row>
    <row r="126" spans="1:20" x14ac:dyDescent="0.25">
      <c r="A126" t="str">
        <f t="shared" si="54"/>
        <v>Positive</v>
      </c>
      <c r="B126" t="str">
        <f t="shared" si="54"/>
        <v>Female</v>
      </c>
      <c r="C126" s="6">
        <f>Q113*$F$7/$T113</f>
        <v>30.531058164859573</v>
      </c>
      <c r="D126" s="7">
        <f>R113*$F$7/$T113</f>
        <v>25.890586341638954</v>
      </c>
      <c r="E126" s="8">
        <f>S113*$F$7/$T113</f>
        <v>79.578355493501476</v>
      </c>
      <c r="F126">
        <f>SUM(C126:E126)</f>
        <v>136</v>
      </c>
      <c r="H126" t="str">
        <f t="shared" si="55"/>
        <v>Positive</v>
      </c>
      <c r="I126" t="str">
        <f t="shared" si="55"/>
        <v>Female</v>
      </c>
      <c r="J126" s="6">
        <f>C126*$C$12/C131</f>
        <v>30.531058464573764</v>
      </c>
      <c r="K126" s="7">
        <f>D126*$D$12/D131</f>
        <v>25.890585082810894</v>
      </c>
      <c r="L126" s="8">
        <f>E126*$E$12/E131</f>
        <v>79.578356747922484</v>
      </c>
      <c r="M126">
        <f>SUM(J126:L126)</f>
        <v>136.00000029530713</v>
      </c>
      <c r="O126" t="str">
        <f t="shared" si="56"/>
        <v>Positive</v>
      </c>
      <c r="P126" t="str">
        <f t="shared" si="56"/>
        <v>Female</v>
      </c>
      <c r="Q126" s="6">
        <f>J126*$C$16/J135</f>
        <v>30.531058796657611</v>
      </c>
      <c r="R126" s="7">
        <f>K126*$D$16/K135</f>
        <v>25.890584294879854</v>
      </c>
      <c r="S126" s="8">
        <f>L126*$E$16/L135</f>
        <v>79.578357427565209</v>
      </c>
      <c r="T126">
        <f>SUM(Q126:S126)</f>
        <v>136.00000051910268</v>
      </c>
    </row>
    <row r="127" spans="1:20" x14ac:dyDescent="0.25">
      <c r="A127" t="str">
        <f t="shared" si="54"/>
        <v>Negative</v>
      </c>
      <c r="B127" t="str">
        <f t="shared" si="54"/>
        <v>Male</v>
      </c>
      <c r="C127" s="6">
        <f>Q114*$F$8/$T114</f>
        <v>7.5310592545741049</v>
      </c>
      <c r="D127" s="7">
        <f>R114*$F$8/$T114</f>
        <v>13.890582174519848</v>
      </c>
      <c r="E127" s="8">
        <f>S114*$F$8/$T114</f>
        <v>16.578358570906044</v>
      </c>
      <c r="F127">
        <f>SUM(C127:E127)</f>
        <v>38</v>
      </c>
      <c r="H127" t="str">
        <f t="shared" si="55"/>
        <v>Negative</v>
      </c>
      <c r="I127" t="str">
        <f t="shared" si="55"/>
        <v>Male</v>
      </c>
      <c r="J127" s="6">
        <f>C127*$C$13/C132</f>
        <v>7.5310589866658635</v>
      </c>
      <c r="K127" s="7">
        <f>D127*$D$13/D132</f>
        <v>13.89058334812354</v>
      </c>
      <c r="L127" s="8">
        <f>E127*$E$13/E132</f>
        <v>16.578357909436924</v>
      </c>
      <c r="M127">
        <f>SUM(J127:L127)</f>
        <v>38.000000244226328</v>
      </c>
      <c r="O127" t="str">
        <f t="shared" si="56"/>
        <v>Negative</v>
      </c>
      <c r="P127" t="str">
        <f t="shared" si="56"/>
        <v>Male</v>
      </c>
      <c r="Q127" s="6">
        <f>J127*$C$15/J134</f>
        <v>7.5310589288437102</v>
      </c>
      <c r="R127" s="7">
        <f>K127*$D$15/K134</f>
        <v>13.890583707762641</v>
      </c>
      <c r="S127" s="8">
        <f>L127*$E$15/L134</f>
        <v>16.578357754146584</v>
      </c>
      <c r="T127">
        <f>SUM(Q127:S127)</f>
        <v>38.00000039075293</v>
      </c>
    </row>
    <row r="128" spans="1:20" x14ac:dyDescent="0.25">
      <c r="A128" t="str">
        <f t="shared" si="54"/>
        <v>Negative</v>
      </c>
      <c r="B128" t="str">
        <f t="shared" si="54"/>
        <v>Female</v>
      </c>
      <c r="C128" s="9">
        <f>Q115*$F$9/$T115</f>
        <v>17.468941634770413</v>
      </c>
      <c r="D128" s="10">
        <f>R115*$F$9/$T115</f>
        <v>31.109414023468045</v>
      </c>
      <c r="E128" s="11">
        <f>S115*$F$9/$T115</f>
        <v>56.421644341761549</v>
      </c>
      <c r="F128">
        <f>SUM(C128:E128)</f>
        <v>105</v>
      </c>
      <c r="H128" t="str">
        <f t="shared" si="55"/>
        <v>Negative</v>
      </c>
      <c r="I128" t="str">
        <f t="shared" si="55"/>
        <v>Female</v>
      </c>
      <c r="J128" s="9">
        <f>C128*$C$13/C132</f>
        <v>17.468941013334135</v>
      </c>
      <c r="K128" s="10">
        <f>D128*$D$13/D132</f>
        <v>31.109416651876465</v>
      </c>
      <c r="L128" s="11">
        <f>E128*$E$13/E132</f>
        <v>56.421642090563076</v>
      </c>
      <c r="M128">
        <f>SUM(J128:L128)</f>
        <v>104.99999975577367</v>
      </c>
      <c r="O128" t="str">
        <f t="shared" si="56"/>
        <v>Negative</v>
      </c>
      <c r="P128" t="str">
        <f t="shared" si="56"/>
        <v>Female</v>
      </c>
      <c r="Q128" s="9">
        <f>J128*$C$16/J135</f>
        <v>17.468941203342389</v>
      </c>
      <c r="R128" s="10">
        <f>K128*$D$16/K135</f>
        <v>31.109415705120146</v>
      </c>
      <c r="S128" s="11">
        <f>L128*$E$16/L135</f>
        <v>56.421642572434784</v>
      </c>
      <c r="T128">
        <f>SUM(Q128:S128)</f>
        <v>104.99999948089732</v>
      </c>
    </row>
    <row r="129" spans="1:20" x14ac:dyDescent="0.25">
      <c r="C129">
        <f>SUM(C125:C128)</f>
        <v>115.99999999602497</v>
      </c>
      <c r="D129">
        <f>SUM(D125:D128)</f>
        <v>124.00000003905276</v>
      </c>
      <c r="E129">
        <f>SUM(E125:E128)</f>
        <v>259.99999996492227</v>
      </c>
      <c r="F129">
        <f>SUM(F125:F128)</f>
        <v>500</v>
      </c>
      <c r="J129">
        <f>SUM(J125:J128)</f>
        <v>116</v>
      </c>
      <c r="K129">
        <f>SUM(K125:K128)</f>
        <v>124</v>
      </c>
      <c r="L129">
        <f>SUM(L125:L128)</f>
        <v>260</v>
      </c>
      <c r="M129">
        <f>SUM(M125:M128)</f>
        <v>500</v>
      </c>
      <c r="Q129">
        <f>SUM(Q125:Q128)</f>
        <v>116</v>
      </c>
      <c r="R129">
        <f>SUM(R125:R128)</f>
        <v>124</v>
      </c>
      <c r="S129">
        <f>SUM(S125:S128)</f>
        <v>260</v>
      </c>
      <c r="T129">
        <f>SUM(T125:T128)</f>
        <v>499.99999999999994</v>
      </c>
    </row>
    <row r="131" spans="1:20" x14ac:dyDescent="0.25">
      <c r="A131" t="str">
        <f>A118</f>
        <v>Positive</v>
      </c>
      <c r="C131" s="393">
        <f>SUM(C125:C126)</f>
        <v>90.999999106680448</v>
      </c>
      <c r="D131" s="395">
        <f>SUM(D125:D126)</f>
        <v>79.000003841064867</v>
      </c>
      <c r="E131" s="396">
        <f>SUM(E125:E126)</f>
        <v>186.99999705225468</v>
      </c>
      <c r="H131" t="str">
        <f>A131</f>
        <v>Positive</v>
      </c>
      <c r="J131" s="393">
        <f>SUM(J125:J126)</f>
        <v>91</v>
      </c>
      <c r="K131" s="395">
        <f>SUM(K125:K126)</f>
        <v>79</v>
      </c>
      <c r="L131" s="396">
        <f>SUM(L125:L126)</f>
        <v>187</v>
      </c>
      <c r="O131" t="str">
        <f>H131</f>
        <v>Positive</v>
      </c>
      <c r="Q131" s="393">
        <f>SUM(Q125:Q126)</f>
        <v>90.999999867813898</v>
      </c>
      <c r="R131" s="395">
        <f>SUM(R125:R126)</f>
        <v>79.000000587117214</v>
      </c>
      <c r="S131" s="396">
        <f>SUM(S125:S126)</f>
        <v>186.99999967341861</v>
      </c>
    </row>
    <row r="132" spans="1:20" x14ac:dyDescent="0.25">
      <c r="A132" t="str">
        <f>A119</f>
        <v>Negative</v>
      </c>
      <c r="C132" s="9">
        <f>SUM(C127:C128)</f>
        <v>25.00000088934452</v>
      </c>
      <c r="D132" s="10">
        <f>SUM(D127:D128)</f>
        <v>44.99999619798789</v>
      </c>
      <c r="E132" s="10">
        <f>SUM(E127:E128)</f>
        <v>73.000002912667597</v>
      </c>
      <c r="H132" t="str">
        <f>A132</f>
        <v>Negative</v>
      </c>
      <c r="J132" s="9">
        <f>SUM(J127:J128)</f>
        <v>25</v>
      </c>
      <c r="K132" s="10">
        <f>SUM(K127:K128)</f>
        <v>45.000000000000007</v>
      </c>
      <c r="L132" s="10">
        <f>SUM(L127:L128)</f>
        <v>73</v>
      </c>
      <c r="O132" t="str">
        <f>H132</f>
        <v>Negative</v>
      </c>
      <c r="Q132" s="9">
        <f>SUM(Q127:Q128)</f>
        <v>25.000000132186099</v>
      </c>
      <c r="R132" s="10">
        <f>SUM(R127:R128)</f>
        <v>44.999999412882786</v>
      </c>
      <c r="S132" s="10">
        <f>SUM(S127:S128)</f>
        <v>73.000000326581372</v>
      </c>
    </row>
    <row r="134" spans="1:20" x14ac:dyDescent="0.25">
      <c r="B134" t="str">
        <f>B121</f>
        <v>Male</v>
      </c>
      <c r="C134" s="393">
        <f t="shared" ref="C134:E135" si="57">C125+C127</f>
        <v>68.000000196394979</v>
      </c>
      <c r="D134" s="395">
        <f t="shared" si="57"/>
        <v>66.999999673945766</v>
      </c>
      <c r="E134" s="396">
        <f t="shared" si="57"/>
        <v>124.00000012965927</v>
      </c>
      <c r="I134" t="str">
        <f>B134</f>
        <v>Male</v>
      </c>
      <c r="J134" s="393">
        <f t="shared" ref="J134:L135" si="58">J125+J127</f>
        <v>68.000000522092108</v>
      </c>
      <c r="K134" s="395">
        <f t="shared" si="58"/>
        <v>66.999998265312655</v>
      </c>
      <c r="L134" s="396">
        <f t="shared" si="58"/>
        <v>124.00000116151446</v>
      </c>
      <c r="P134" t="str">
        <f>I134</f>
        <v>Male</v>
      </c>
      <c r="Q134" s="393">
        <f t="shared" ref="Q134:S135" si="59">Q125+Q127</f>
        <v>67.999999999999986</v>
      </c>
      <c r="R134" s="395">
        <f t="shared" si="59"/>
        <v>67</v>
      </c>
      <c r="S134" s="396">
        <f t="shared" si="59"/>
        <v>123.99999999999999</v>
      </c>
    </row>
    <row r="135" spans="1:20" x14ac:dyDescent="0.25">
      <c r="B135" t="str">
        <f>B122</f>
        <v>Female</v>
      </c>
      <c r="C135" s="9">
        <f t="shared" si="57"/>
        <v>47.99999979962999</v>
      </c>
      <c r="D135" s="10">
        <f t="shared" si="57"/>
        <v>57.000000365106999</v>
      </c>
      <c r="E135" s="11">
        <f t="shared" si="57"/>
        <v>135.99999983526303</v>
      </c>
      <c r="I135" t="str">
        <f>B135</f>
        <v>Female</v>
      </c>
      <c r="J135" s="9">
        <f t="shared" si="58"/>
        <v>47.999999477907899</v>
      </c>
      <c r="K135" s="10">
        <f t="shared" si="58"/>
        <v>57.000001734687359</v>
      </c>
      <c r="L135" s="11">
        <f t="shared" si="58"/>
        <v>135.99999883848557</v>
      </c>
      <c r="P135" t="str">
        <f>I135</f>
        <v>Female</v>
      </c>
      <c r="Q135" s="9">
        <f t="shared" si="59"/>
        <v>48</v>
      </c>
      <c r="R135" s="10">
        <f t="shared" si="59"/>
        <v>57</v>
      </c>
      <c r="S135" s="11">
        <f t="shared" si="59"/>
        <v>136</v>
      </c>
    </row>
    <row r="137" spans="1:20" x14ac:dyDescent="0.25">
      <c r="C137" t="str">
        <f>C124</f>
        <v>Therapy 1</v>
      </c>
      <c r="D137" t="str">
        <f>D124</f>
        <v>Therapy 2</v>
      </c>
      <c r="E137" t="str">
        <f>E124</f>
        <v>Therapy 3</v>
      </c>
      <c r="J137" t="str">
        <f>J124</f>
        <v>Therapy 1</v>
      </c>
      <c r="K137" t="str">
        <f>K124</f>
        <v>Therapy 2</v>
      </c>
      <c r="L137" t="str">
        <f>L124</f>
        <v>Therapy 3</v>
      </c>
      <c r="Q137" t="str">
        <f>Q124</f>
        <v>Therapy 1</v>
      </c>
      <c r="R137" t="str">
        <f>R124</f>
        <v>Therapy 2</v>
      </c>
      <c r="S137" t="str">
        <f>S124</f>
        <v>Therapy 3</v>
      </c>
    </row>
    <row r="138" spans="1:20" x14ac:dyDescent="0.25">
      <c r="A138" t="str">
        <f t="shared" ref="A138:B141" si="60">A125</f>
        <v>Positive</v>
      </c>
      <c r="B138" t="str">
        <f t="shared" si="60"/>
        <v>Male</v>
      </c>
      <c r="C138" s="393">
        <f>Q125*$F$6/$T125</f>
        <v>60.4689411780722</v>
      </c>
      <c r="D138" s="395">
        <f>R125*$F$6/$T125</f>
        <v>53.109416386140808</v>
      </c>
      <c r="E138" s="396">
        <f>S125*$F$6/$T125</f>
        <v>107.42164243578701</v>
      </c>
      <c r="F138">
        <f>SUM(C138:E138)</f>
        <v>221</v>
      </c>
      <c r="H138" t="str">
        <f t="shared" ref="H138:I141" si="61">A138</f>
        <v>Positive</v>
      </c>
      <c r="I138" t="str">
        <f t="shared" si="61"/>
        <v>Male</v>
      </c>
      <c r="J138" s="393">
        <f>C138*$C$12/C144</f>
        <v>60.468941272300853</v>
      </c>
      <c r="K138" s="395">
        <f>D138*$D$12/D144</f>
        <v>53.109415994745881</v>
      </c>
      <c r="L138" s="396">
        <f>E138*$E$12/E144</f>
        <v>107.42164268876952</v>
      </c>
      <c r="M138">
        <f>SUM(J138:L138)</f>
        <v>220.99999995581624</v>
      </c>
      <c r="O138" t="str">
        <f t="shared" ref="O138:P141" si="62">H138</f>
        <v>Positive</v>
      </c>
      <c r="P138" t="str">
        <f t="shared" si="62"/>
        <v>Male</v>
      </c>
      <c r="Q138" s="393">
        <f>J138*$C$15/J147</f>
        <v>60.468941200098087</v>
      </c>
      <c r="R138" s="395">
        <f>K138*$D$15/K147</f>
        <v>53.109416202808752</v>
      </c>
      <c r="S138" s="396">
        <f>L138*$E$15/L147</f>
        <v>107.42164253834278</v>
      </c>
      <c r="T138">
        <f>SUM(Q138:S138)</f>
        <v>220.99999994124963</v>
      </c>
    </row>
    <row r="139" spans="1:20" x14ac:dyDescent="0.25">
      <c r="A139" t="str">
        <f t="shared" si="60"/>
        <v>Positive</v>
      </c>
      <c r="B139" t="str">
        <f t="shared" si="60"/>
        <v>Female</v>
      </c>
      <c r="C139" s="6">
        <f>Q126*$F$7/$T126</f>
        <v>30.531058680122651</v>
      </c>
      <c r="D139" s="7">
        <f>R126*$F$7/$T126</f>
        <v>25.890584196057265</v>
      </c>
      <c r="E139" s="8">
        <f>S126*$F$7/$T126</f>
        <v>79.578357123820069</v>
      </c>
      <c r="F139">
        <f>SUM(C139:E139)</f>
        <v>136</v>
      </c>
      <c r="H139" t="str">
        <f t="shared" si="61"/>
        <v>Positive</v>
      </c>
      <c r="I139" t="str">
        <f t="shared" si="61"/>
        <v>Female</v>
      </c>
      <c r="J139" s="6">
        <f>C139*$C$12/C144</f>
        <v>30.531058727699147</v>
      </c>
      <c r="K139" s="7">
        <f>D139*$D$12/D144</f>
        <v>25.890584005254127</v>
      </c>
      <c r="L139" s="8">
        <f>E139*$E$12/E144</f>
        <v>79.578357311230462</v>
      </c>
      <c r="M139">
        <f>SUM(J139:L139)</f>
        <v>136.00000004418374</v>
      </c>
      <c r="O139" t="str">
        <f t="shared" si="62"/>
        <v>Positive</v>
      </c>
      <c r="P139" t="str">
        <f t="shared" si="62"/>
        <v>Female</v>
      </c>
      <c r="Q139" s="6">
        <f>J139*$C$16/J148</f>
        <v>30.531058779344463</v>
      </c>
      <c r="R139" s="7">
        <f>K139*$D$16/K148</f>
        <v>25.890583886029805</v>
      </c>
      <c r="S139" s="8">
        <f>L139*$E$16/L148</f>
        <v>79.578357412834535</v>
      </c>
      <c r="T139">
        <f>SUM(Q139:S139)</f>
        <v>136.00000007820881</v>
      </c>
    </row>
    <row r="140" spans="1:20" x14ac:dyDescent="0.25">
      <c r="A140" t="str">
        <f t="shared" si="60"/>
        <v>Negative</v>
      </c>
      <c r="B140" t="str">
        <f t="shared" si="60"/>
        <v>Male</v>
      </c>
      <c r="C140" s="6">
        <f>Q127*$F$8/$T127</f>
        <v>7.5310588514020429</v>
      </c>
      <c r="D140" s="7">
        <f>R127*$F$8/$T127</f>
        <v>13.890583564926162</v>
      </c>
      <c r="E140" s="8">
        <f>S127*$F$8/$T127</f>
        <v>16.578357583671799</v>
      </c>
      <c r="F140">
        <f>SUM(C140:E140)</f>
        <v>38</v>
      </c>
      <c r="H140" t="str">
        <f t="shared" si="61"/>
        <v>Negative</v>
      </c>
      <c r="I140" t="str">
        <f t="shared" si="61"/>
        <v>Male</v>
      </c>
      <c r="J140" s="6">
        <f>C140*$C$13/C145</f>
        <v>7.531058808894338</v>
      </c>
      <c r="K140" s="7">
        <f>D140*$D$13/D145</f>
        <v>13.890583742773131</v>
      </c>
      <c r="L140" s="8">
        <f>E140*$E$13/E145</f>
        <v>16.578357484872541</v>
      </c>
      <c r="M140">
        <f>SUM(J140:L140)</f>
        <v>38.000000036540008</v>
      </c>
      <c r="O140" t="str">
        <f t="shared" si="62"/>
        <v>Negative</v>
      </c>
      <c r="P140" t="str">
        <f t="shared" si="62"/>
        <v>Male</v>
      </c>
      <c r="Q140" s="6">
        <f>J140*$C$15/J147</f>
        <v>7.5310587999018992</v>
      </c>
      <c r="R140" s="7">
        <f>K140*$D$15/K147</f>
        <v>13.890583797191255</v>
      </c>
      <c r="S140" s="8">
        <f>L140*$E$15/L147</f>
        <v>16.578357461657216</v>
      </c>
      <c r="T140">
        <f>SUM(Q140:S140)</f>
        <v>38.000000058750373</v>
      </c>
    </row>
    <row r="141" spans="1:20" x14ac:dyDescent="0.25">
      <c r="A141" t="str">
        <f t="shared" si="60"/>
        <v>Negative</v>
      </c>
      <c r="B141" t="str">
        <f t="shared" si="60"/>
        <v>Female</v>
      </c>
      <c r="C141" s="9">
        <f>Q128*$F$9/$T128</f>
        <v>17.468941289705953</v>
      </c>
      <c r="D141" s="10">
        <f>R128*$F$9/$T128</f>
        <v>31.109415858919967</v>
      </c>
      <c r="E141" s="11">
        <f>S128*$F$9/$T128</f>
        <v>56.421642851374081</v>
      </c>
      <c r="F141">
        <f>SUM(C141:E141)</f>
        <v>105</v>
      </c>
      <c r="H141" t="str">
        <f t="shared" si="61"/>
        <v>Negative</v>
      </c>
      <c r="I141" t="str">
        <f t="shared" si="61"/>
        <v>Female</v>
      </c>
      <c r="J141" s="9">
        <f>C141*$C$13/C145</f>
        <v>17.468941191105664</v>
      </c>
      <c r="K141" s="10">
        <f>D141*$D$13/D145</f>
        <v>31.109416257226869</v>
      </c>
      <c r="L141" s="11">
        <f>E141*$E$13/E145</f>
        <v>56.421642515127459</v>
      </c>
      <c r="M141">
        <f>SUM(J141:L141)</f>
        <v>104.99999996346</v>
      </c>
      <c r="O141" t="str">
        <f t="shared" si="62"/>
        <v>Negative</v>
      </c>
      <c r="P141" t="str">
        <f t="shared" si="62"/>
        <v>Female</v>
      </c>
      <c r="Q141" s="9">
        <f>J141*$C$16/J148</f>
        <v>17.468941220655537</v>
      </c>
      <c r="R141" s="10">
        <f>K141*$D$16/K148</f>
        <v>31.109416113970191</v>
      </c>
      <c r="S141" s="11">
        <f>L141*$E$16/L148</f>
        <v>56.421642587165493</v>
      </c>
      <c r="T141">
        <f>SUM(Q141:S141)</f>
        <v>104.99999992179121</v>
      </c>
    </row>
    <row r="142" spans="1:20" x14ac:dyDescent="0.25">
      <c r="C142">
        <f>SUM(C138:C141)</f>
        <v>115.99999999930284</v>
      </c>
      <c r="D142">
        <f>SUM(D138:D141)</f>
        <v>124.00000000604419</v>
      </c>
      <c r="E142">
        <f>SUM(E138:E141)</f>
        <v>259.99999999465297</v>
      </c>
      <c r="F142">
        <f>SUM(F138:F141)</f>
        <v>500</v>
      </c>
      <c r="J142">
        <f>SUM(J138:J141)</f>
        <v>116</v>
      </c>
      <c r="K142">
        <f>SUM(K138:K141)</f>
        <v>124</v>
      </c>
      <c r="L142">
        <f>SUM(L138:L141)</f>
        <v>260</v>
      </c>
      <c r="M142">
        <f>SUM(M138:M141)</f>
        <v>500</v>
      </c>
      <c r="Q142">
        <f>SUM(Q138:Q141)</f>
        <v>115.99999999999999</v>
      </c>
      <c r="R142">
        <f>SUM(R138:R141)</f>
        <v>124</v>
      </c>
      <c r="S142">
        <f>SUM(S138:S141)</f>
        <v>260</v>
      </c>
      <c r="T142">
        <f>SUM(T138:T141)</f>
        <v>500</v>
      </c>
    </row>
    <row r="144" spans="1:20" x14ac:dyDescent="0.25">
      <c r="A144" t="str">
        <f>A131</f>
        <v>Positive</v>
      </c>
      <c r="C144" s="393">
        <f>SUM(C138:C139)</f>
        <v>90.999999858194855</v>
      </c>
      <c r="D144" s="395">
        <f>SUM(D138:D139)</f>
        <v>79.000000582198069</v>
      </c>
      <c r="E144" s="396">
        <f>SUM(E138:E139)</f>
        <v>186.99999955960709</v>
      </c>
      <c r="H144" t="str">
        <f>A144</f>
        <v>Positive</v>
      </c>
      <c r="J144" s="393">
        <f>SUM(J138:J139)</f>
        <v>91</v>
      </c>
      <c r="K144" s="395">
        <f>SUM(K138:K139)</f>
        <v>79</v>
      </c>
      <c r="L144" s="396">
        <f>SUM(L138:L139)</f>
        <v>187</v>
      </c>
      <c r="O144" t="str">
        <f>H144</f>
        <v>Positive</v>
      </c>
      <c r="Q144" s="393">
        <f>SUM(Q138:Q139)</f>
        <v>90.999999979442549</v>
      </c>
      <c r="R144" s="395">
        <f>SUM(R138:R139)</f>
        <v>79.000000088838561</v>
      </c>
      <c r="S144" s="396">
        <f>SUM(S138:S139)</f>
        <v>186.9999999511773</v>
      </c>
    </row>
    <row r="145" spans="1:20" x14ac:dyDescent="0.25">
      <c r="A145" t="str">
        <f>A132</f>
        <v>Negative</v>
      </c>
      <c r="C145" s="9">
        <f>SUM(C140:C141)</f>
        <v>25.000000141107996</v>
      </c>
      <c r="D145" s="10">
        <f>SUM(D140:D141)</f>
        <v>44.999999423846127</v>
      </c>
      <c r="E145" s="10">
        <f>SUM(E140:E141)</f>
        <v>73.000000435045877</v>
      </c>
      <c r="H145" t="str">
        <f>A145</f>
        <v>Negative</v>
      </c>
      <c r="J145" s="9">
        <f>SUM(J140:J141)</f>
        <v>25</v>
      </c>
      <c r="K145" s="10">
        <f>SUM(K140:K141)</f>
        <v>45</v>
      </c>
      <c r="L145" s="10">
        <f>SUM(L140:L141)</f>
        <v>73</v>
      </c>
      <c r="O145" t="str">
        <f>H145</f>
        <v>Negative</v>
      </c>
      <c r="Q145" s="9">
        <f>SUM(Q140:Q141)</f>
        <v>25.000000020557437</v>
      </c>
      <c r="R145" s="10">
        <f>SUM(R140:R141)</f>
        <v>44.999999911161446</v>
      </c>
      <c r="S145" s="10">
        <f>SUM(S140:S141)</f>
        <v>73.000000048822713</v>
      </c>
    </row>
    <row r="147" spans="1:20" x14ac:dyDescent="0.25">
      <c r="B147" t="str">
        <f>B134</f>
        <v>Male</v>
      </c>
      <c r="C147" s="393">
        <f t="shared" ref="C147:E148" si="63">C138+C140</f>
        <v>68.000000029474236</v>
      </c>
      <c r="D147" s="395">
        <f t="shared" si="63"/>
        <v>66.999999951066968</v>
      </c>
      <c r="E147" s="396">
        <f t="shared" si="63"/>
        <v>124.00000001945881</v>
      </c>
      <c r="I147" t="str">
        <f>B147</f>
        <v>Male</v>
      </c>
      <c r="J147" s="393">
        <f t="shared" ref="J147:L148" si="64">J138+J140</f>
        <v>68.000000081195196</v>
      </c>
      <c r="K147" s="395">
        <f t="shared" si="64"/>
        <v>66.999999737519005</v>
      </c>
      <c r="L147" s="396">
        <f t="shared" si="64"/>
        <v>124.00000017364206</v>
      </c>
      <c r="P147" t="str">
        <f>I147</f>
        <v>Male</v>
      </c>
      <c r="Q147" s="393">
        <f t="shared" ref="Q147:S148" si="65">Q138+Q140</f>
        <v>67.999999999999986</v>
      </c>
      <c r="R147" s="395">
        <f t="shared" si="65"/>
        <v>67</v>
      </c>
      <c r="S147" s="396">
        <f t="shared" si="65"/>
        <v>124</v>
      </c>
    </row>
    <row r="148" spans="1:20" x14ac:dyDescent="0.25">
      <c r="B148" t="str">
        <f>B135</f>
        <v>Female</v>
      </c>
      <c r="C148" s="9">
        <f t="shared" si="63"/>
        <v>47.999999969828608</v>
      </c>
      <c r="D148" s="10">
        <f t="shared" si="63"/>
        <v>57.000000054977235</v>
      </c>
      <c r="E148" s="11">
        <f t="shared" si="63"/>
        <v>135.99999997519416</v>
      </c>
      <c r="I148" t="str">
        <f>B148</f>
        <v>Female</v>
      </c>
      <c r="J148" s="9">
        <f t="shared" si="64"/>
        <v>47.999999918804811</v>
      </c>
      <c r="K148" s="10">
        <f t="shared" si="64"/>
        <v>57.000000262480995</v>
      </c>
      <c r="L148" s="11">
        <f t="shared" si="64"/>
        <v>135.99999982635791</v>
      </c>
      <c r="P148" t="str">
        <f>I148</f>
        <v>Female</v>
      </c>
      <c r="Q148" s="9">
        <f t="shared" si="65"/>
        <v>48</v>
      </c>
      <c r="R148" s="10">
        <f t="shared" si="65"/>
        <v>57</v>
      </c>
      <c r="S148" s="11">
        <f t="shared" si="65"/>
        <v>136.00000000000003</v>
      </c>
    </row>
    <row r="150" spans="1:20" x14ac:dyDescent="0.25">
      <c r="C150" t="str">
        <f>C137</f>
        <v>Therapy 1</v>
      </c>
      <c r="D150" t="str">
        <f>D137</f>
        <v>Therapy 2</v>
      </c>
      <c r="E150" t="str">
        <f>E137</f>
        <v>Therapy 3</v>
      </c>
      <c r="J150" t="str">
        <f>J137</f>
        <v>Therapy 1</v>
      </c>
      <c r="K150" t="str">
        <f>K137</f>
        <v>Therapy 2</v>
      </c>
      <c r="L150" t="str">
        <f>L137</f>
        <v>Therapy 3</v>
      </c>
      <c r="Q150" t="str">
        <f>Q137</f>
        <v>Therapy 1</v>
      </c>
      <c r="R150" t="str">
        <f>R137</f>
        <v>Therapy 2</v>
      </c>
      <c r="S150" t="str">
        <f>S137</f>
        <v>Therapy 3</v>
      </c>
    </row>
    <row r="151" spans="1:20" x14ac:dyDescent="0.25">
      <c r="A151" t="str">
        <f t="shared" ref="A151:B154" si="66">A138</f>
        <v>Positive</v>
      </c>
      <c r="B151" t="str">
        <f t="shared" si="66"/>
        <v>Male</v>
      </c>
      <c r="C151" s="393">
        <f>Q138*$F$6/$T138</f>
        <v>60.468941216173079</v>
      </c>
      <c r="D151" s="395">
        <f>R138*$F$6/$T138</f>
        <v>53.109416216927293</v>
      </c>
      <c r="E151" s="396">
        <f>S138*$F$6/$T138</f>
        <v>107.42164256689962</v>
      </c>
      <c r="F151">
        <f>SUM(C151:E151)</f>
        <v>221</v>
      </c>
      <c r="H151" t="str">
        <f t="shared" ref="H151:I154" si="67">A151</f>
        <v>Positive</v>
      </c>
      <c r="I151" t="str">
        <f t="shared" si="67"/>
        <v>Male</v>
      </c>
      <c r="J151" s="393">
        <f>C151*$C$12/C157</f>
        <v>60.468941230818388</v>
      </c>
      <c r="K151" s="395">
        <f>D151*$D$12/D157</f>
        <v>53.109416157721505</v>
      </c>
      <c r="L151" s="396">
        <f>E151*$E$12/E157</f>
        <v>107.42164260482954</v>
      </c>
      <c r="M151">
        <f>SUM(J151:L151)</f>
        <v>220.99999999336944</v>
      </c>
      <c r="O151" t="str">
        <f t="shared" ref="O151:P154" si="68">H151</f>
        <v>Positive</v>
      </c>
      <c r="P151" t="str">
        <f t="shared" si="68"/>
        <v>Male</v>
      </c>
      <c r="Q151" s="393">
        <f>J151*$C$15/J160</f>
        <v>60.468941219727789</v>
      </c>
      <c r="R151" s="395">
        <f>K151*$D$15/K160</f>
        <v>53.109416189162133</v>
      </c>
      <c r="S151" s="396">
        <f>L151*$E$15/L160</f>
        <v>107.42164258226687</v>
      </c>
      <c r="T151">
        <f>SUM(Q151:S151)</f>
        <v>220.99999999115681</v>
      </c>
    </row>
    <row r="152" spans="1:20" x14ac:dyDescent="0.25">
      <c r="A152" t="str">
        <f t="shared" si="66"/>
        <v>Positive</v>
      </c>
      <c r="B152" t="str">
        <f t="shared" si="66"/>
        <v>Female</v>
      </c>
      <c r="C152" s="6">
        <f>Q139*$F$7/$T139</f>
        <v>30.531058761787126</v>
      </c>
      <c r="D152" s="7">
        <f>R139*$F$7/$T139</f>
        <v>25.89058387114104</v>
      </c>
      <c r="E152" s="8">
        <f>S139*$F$7/$T139</f>
        <v>79.578357367071817</v>
      </c>
      <c r="F152">
        <f>SUM(C152:E152)</f>
        <v>136</v>
      </c>
      <c r="H152" t="str">
        <f t="shared" si="67"/>
        <v>Positive</v>
      </c>
      <c r="I152" t="str">
        <f t="shared" si="67"/>
        <v>Female</v>
      </c>
      <c r="J152" s="6">
        <f>C152*$C$12/C157</f>
        <v>30.531058769181612</v>
      </c>
      <c r="K152" s="7">
        <f>D152*$D$12/D157</f>
        <v>25.890583842278499</v>
      </c>
      <c r="L152" s="8">
        <f>E152*$E$12/E157</f>
        <v>79.578357395170457</v>
      </c>
      <c r="M152">
        <f>SUM(J152:L152)</f>
        <v>136.00000000663056</v>
      </c>
      <c r="O152" t="str">
        <f t="shared" si="68"/>
        <v>Positive</v>
      </c>
      <c r="P152" t="str">
        <f t="shared" si="68"/>
        <v>Female</v>
      </c>
      <c r="Q152" s="6">
        <f>J152*$C$16/J161</f>
        <v>30.531058777114517</v>
      </c>
      <c r="R152" s="7">
        <f>K152*$D$16/K161</f>
        <v>25.890583824262364</v>
      </c>
      <c r="S152" s="8">
        <f>L152*$E$16/L161</f>
        <v>79.578357410410149</v>
      </c>
      <c r="T152">
        <f>SUM(Q152:S152)</f>
        <v>136.00000001178702</v>
      </c>
    </row>
    <row r="153" spans="1:20" x14ac:dyDescent="0.25">
      <c r="A153" t="str">
        <f t="shared" si="66"/>
        <v>Negative</v>
      </c>
      <c r="B153" t="str">
        <f t="shared" si="66"/>
        <v>Male</v>
      </c>
      <c r="C153" s="6">
        <f>Q140*$F$8/$T140</f>
        <v>7.5310587882584121</v>
      </c>
      <c r="D153" s="7">
        <f>R140*$F$8/$T140</f>
        <v>13.890583775715545</v>
      </c>
      <c r="E153" s="8">
        <f>S140*$F$8/$T140</f>
        <v>16.578357436026039</v>
      </c>
      <c r="F153">
        <f>SUM(C153:E153)</f>
        <v>38</v>
      </c>
      <c r="H153" t="str">
        <f t="shared" si="67"/>
        <v>Negative</v>
      </c>
      <c r="I153" t="str">
        <f t="shared" si="67"/>
        <v>Male</v>
      </c>
      <c r="J153" s="6">
        <f>C153*$C$13/C158</f>
        <v>7.5310587816534884</v>
      </c>
      <c r="K153" s="7">
        <f>D153*$D$13/D158</f>
        <v>13.890583802614676</v>
      </c>
      <c r="L153" s="8">
        <f>E153*$E$13/E158</f>
        <v>16.57835742121522</v>
      </c>
      <c r="M153">
        <f>SUM(J153:L153)</f>
        <v>38.000000005483386</v>
      </c>
      <c r="O153" t="str">
        <f t="shared" si="68"/>
        <v>Negative</v>
      </c>
      <c r="P153" t="str">
        <f t="shared" si="68"/>
        <v>Male</v>
      </c>
      <c r="Q153" s="6">
        <f>J153*$C$15/J160</f>
        <v>7.5310587802722173</v>
      </c>
      <c r="R153" s="7">
        <f>K153*$D$15/K160</f>
        <v>13.890583810837864</v>
      </c>
      <c r="S153" s="8">
        <f>L153*$E$15/L160</f>
        <v>16.57835741773313</v>
      </c>
      <c r="T153">
        <f>SUM(Q153:S153)</f>
        <v>38.000000008843216</v>
      </c>
    </row>
    <row r="154" spans="1:20" x14ac:dyDescent="0.25">
      <c r="A154" t="str">
        <f t="shared" si="66"/>
        <v>Negative</v>
      </c>
      <c r="B154" t="str">
        <f t="shared" si="66"/>
        <v>Female</v>
      </c>
      <c r="C154" s="9">
        <f>Q141*$F$9/$T141</f>
        <v>17.468941233667199</v>
      </c>
      <c r="D154" s="10">
        <f>R141*$F$9/$T141</f>
        <v>31.109416137141903</v>
      </c>
      <c r="E154" s="11">
        <f>S141*$F$9/$T141</f>
        <v>56.421642629190906</v>
      </c>
      <c r="F154">
        <f>SUM(C154:E154)</f>
        <v>105</v>
      </c>
      <c r="H154" t="str">
        <f t="shared" si="67"/>
        <v>Negative</v>
      </c>
      <c r="I154" t="str">
        <f t="shared" si="67"/>
        <v>Female</v>
      </c>
      <c r="J154" s="9">
        <f>C154*$C$13/C158</f>
        <v>17.468941218346512</v>
      </c>
      <c r="K154" s="10">
        <f>D154*$D$13/D158</f>
        <v>31.109416197385325</v>
      </c>
      <c r="L154" s="11">
        <f>E154*$E$13/E158</f>
        <v>56.421642578784791</v>
      </c>
      <c r="M154">
        <f>SUM(J154:L154)</f>
        <v>104.99999999451663</v>
      </c>
      <c r="O154" t="str">
        <f t="shared" si="68"/>
        <v>Negative</v>
      </c>
      <c r="P154" t="str">
        <f t="shared" si="68"/>
        <v>Female</v>
      </c>
      <c r="Q154" s="9">
        <f>J154*$C$16/J161</f>
        <v>17.468941222885476</v>
      </c>
      <c r="R154" s="10">
        <f>K154*$D$16/K161</f>
        <v>31.109416175737632</v>
      </c>
      <c r="S154" s="11">
        <f>L154*$E$16/L161</f>
        <v>56.421642589589844</v>
      </c>
      <c r="T154">
        <f>SUM(Q154:S154)</f>
        <v>104.99999998821295</v>
      </c>
    </row>
    <row r="155" spans="1:20" x14ac:dyDescent="0.25">
      <c r="C155">
        <f>SUM(C151:C154)</f>
        <v>115.9999999998858</v>
      </c>
      <c r="D155">
        <f>SUM(D151:D154)</f>
        <v>124.00000000092578</v>
      </c>
      <c r="E155">
        <f>SUM(E151:E154)</f>
        <v>259.99999999918839</v>
      </c>
      <c r="F155">
        <f>SUM(F151:F154)</f>
        <v>500</v>
      </c>
      <c r="J155">
        <f>SUM(J151:J154)</f>
        <v>116</v>
      </c>
      <c r="K155">
        <f>SUM(K151:K154)</f>
        <v>124</v>
      </c>
      <c r="L155">
        <f>SUM(L151:L154)</f>
        <v>260</v>
      </c>
      <c r="M155">
        <f>SUM(M151:M154)</f>
        <v>500</v>
      </c>
      <c r="Q155">
        <f>SUM(Q151:Q154)</f>
        <v>116</v>
      </c>
      <c r="R155">
        <f>SUM(R151:R154)</f>
        <v>124</v>
      </c>
      <c r="S155">
        <f>SUM(S151:S154)</f>
        <v>260</v>
      </c>
      <c r="T155">
        <f>SUM(T151:T154)</f>
        <v>500</v>
      </c>
    </row>
    <row r="157" spans="1:20" x14ac:dyDescent="0.25">
      <c r="A157" t="str">
        <f>A144</f>
        <v>Positive</v>
      </c>
      <c r="C157" s="393">
        <f>SUM(C151:C152)</f>
        <v>90.999999977960201</v>
      </c>
      <c r="D157" s="395">
        <f>SUM(D151:D152)</f>
        <v>79.000000088068333</v>
      </c>
      <c r="E157" s="396">
        <f>SUM(E151:E152)</f>
        <v>186.99999993397142</v>
      </c>
      <c r="H157" t="str">
        <f>A157</f>
        <v>Positive</v>
      </c>
      <c r="J157" s="393">
        <f>SUM(J151:J152)</f>
        <v>91</v>
      </c>
      <c r="K157" s="395">
        <f>SUM(K151:K152)</f>
        <v>79</v>
      </c>
      <c r="L157" s="396">
        <f>SUM(L151:L152)</f>
        <v>187</v>
      </c>
      <c r="O157" t="str">
        <f>H157</f>
        <v>Positive</v>
      </c>
      <c r="Q157" s="393">
        <f>SUM(Q151:Q152)</f>
        <v>90.999999996842305</v>
      </c>
      <c r="R157" s="395">
        <f>SUM(R151:R152)</f>
        <v>79.000000013424497</v>
      </c>
      <c r="S157" s="396">
        <f>SUM(S151:S152)</f>
        <v>186.99999999267703</v>
      </c>
    </row>
    <row r="158" spans="1:20" x14ac:dyDescent="0.25">
      <c r="A158" t="str">
        <f>A145</f>
        <v>Negative</v>
      </c>
      <c r="C158" s="9">
        <f>SUM(C153:C154)</f>
        <v>25.000000021925612</v>
      </c>
      <c r="D158" s="10">
        <f>SUM(D153:D154)</f>
        <v>44.999999912857447</v>
      </c>
      <c r="E158" s="10">
        <f>SUM(E153:E154)</f>
        <v>73.000000065216938</v>
      </c>
      <c r="H158" t="str">
        <f>A158</f>
        <v>Negative</v>
      </c>
      <c r="J158" s="9">
        <f>SUM(J153:J154)</f>
        <v>25</v>
      </c>
      <c r="K158" s="10">
        <f>SUM(K153:K154)</f>
        <v>45</v>
      </c>
      <c r="L158" s="10">
        <f>SUM(L153:L154)</f>
        <v>73.000000000000014</v>
      </c>
      <c r="O158" t="str">
        <f>H158</f>
        <v>Negative</v>
      </c>
      <c r="Q158" s="9">
        <f>SUM(Q153:Q154)</f>
        <v>25.000000003157695</v>
      </c>
      <c r="R158" s="10">
        <f>SUM(R153:R154)</f>
        <v>44.999999986575496</v>
      </c>
      <c r="S158" s="10">
        <f>SUM(S153:S154)</f>
        <v>73.000000007322967</v>
      </c>
    </row>
    <row r="160" spans="1:20" x14ac:dyDescent="0.25">
      <c r="B160" t="str">
        <f>B147</f>
        <v>Male</v>
      </c>
      <c r="C160" s="393">
        <f t="shared" ref="C160:E161" si="69">C151+C153</f>
        <v>68.000000004431485</v>
      </c>
      <c r="D160" s="395">
        <f t="shared" si="69"/>
        <v>66.999999992642842</v>
      </c>
      <c r="E160" s="396">
        <f t="shared" si="69"/>
        <v>124.00000000292566</v>
      </c>
      <c r="I160" t="str">
        <f>B160</f>
        <v>Male</v>
      </c>
      <c r="J160" s="393">
        <f t="shared" ref="J160:L161" si="70">J151+J153</f>
        <v>68.000000012471872</v>
      </c>
      <c r="K160" s="395">
        <f t="shared" si="70"/>
        <v>66.999999960336183</v>
      </c>
      <c r="L160" s="396">
        <f t="shared" si="70"/>
        <v>124.00000002604476</v>
      </c>
      <c r="P160" t="str">
        <f>I160</f>
        <v>Male</v>
      </c>
      <c r="Q160" s="393">
        <f t="shared" ref="Q160:S161" si="71">Q151+Q153</f>
        <v>68</v>
      </c>
      <c r="R160" s="395">
        <f t="shared" si="71"/>
        <v>67</v>
      </c>
      <c r="S160" s="396">
        <f t="shared" si="71"/>
        <v>124</v>
      </c>
    </row>
    <row r="161" spans="2:19" x14ac:dyDescent="0.25">
      <c r="B161" t="str">
        <f>B148</f>
        <v>Female</v>
      </c>
      <c r="C161" s="9">
        <f t="shared" si="69"/>
        <v>47.999999995454324</v>
      </c>
      <c r="D161" s="10">
        <f t="shared" si="69"/>
        <v>57.000000008282939</v>
      </c>
      <c r="E161" s="11">
        <f t="shared" si="69"/>
        <v>135.99999999626272</v>
      </c>
      <c r="I161" t="str">
        <f>B161</f>
        <v>Female</v>
      </c>
      <c r="J161" s="9">
        <f t="shared" si="70"/>
        <v>47.999999987528128</v>
      </c>
      <c r="K161" s="10">
        <f t="shared" si="70"/>
        <v>57.000000039663824</v>
      </c>
      <c r="L161" s="11">
        <f t="shared" si="70"/>
        <v>135.99999997395525</v>
      </c>
      <c r="P161" t="str">
        <f>I161</f>
        <v>Female</v>
      </c>
      <c r="Q161" s="9">
        <f t="shared" si="71"/>
        <v>47.999999999999993</v>
      </c>
      <c r="R161" s="10">
        <f t="shared" si="71"/>
        <v>57</v>
      </c>
      <c r="S161" s="11">
        <f t="shared" si="71"/>
        <v>136</v>
      </c>
    </row>
  </sheetData>
  <pageMargins left="0.7" right="0.7" top="0.75" bottom="0.75" header="0.3" footer="0.3"/>
  <ignoredErrors>
    <ignoredError sqref="Q12:S13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Q17"/>
  <sheetViews>
    <sheetView workbookViewId="0"/>
  </sheetViews>
  <sheetFormatPr defaultRowHeight="15" x14ac:dyDescent="0.25"/>
  <cols>
    <col min="2" max="2" width="8.7109375" customWidth="1"/>
    <col min="3" max="3" width="9.7109375" customWidth="1"/>
    <col min="4" max="10" width="7.85546875" customWidth="1"/>
    <col min="13" max="13" width="5.140625" customWidth="1"/>
    <col min="15" max="15" width="11.85546875" customWidth="1"/>
    <col min="16" max="16" width="4.28515625" customWidth="1"/>
    <col min="17" max="17" width="15" customWidth="1"/>
  </cols>
  <sheetData>
    <row r="1" spans="1:17" x14ac:dyDescent="0.25">
      <c r="A1" s="1" t="s">
        <v>866</v>
      </c>
    </row>
    <row r="3" spans="1:17" x14ac:dyDescent="0.25">
      <c r="A3" s="1" t="s">
        <v>857</v>
      </c>
    </row>
    <row r="5" spans="1:17" ht="18" x14ac:dyDescent="0.35">
      <c r="A5" s="434" t="s">
        <v>819</v>
      </c>
      <c r="B5" s="423" t="s">
        <v>620</v>
      </c>
      <c r="C5" s="435" t="s">
        <v>800</v>
      </c>
      <c r="D5" s="402" t="s">
        <v>871</v>
      </c>
      <c r="E5" s="437" t="s">
        <v>872</v>
      </c>
      <c r="F5" s="437" t="s">
        <v>873</v>
      </c>
      <c r="G5" s="437" t="s">
        <v>874</v>
      </c>
      <c r="H5" s="437" t="s">
        <v>875</v>
      </c>
      <c r="I5" s="437" t="s">
        <v>877</v>
      </c>
      <c r="J5" s="438" t="s">
        <v>879</v>
      </c>
      <c r="K5" s="438" t="s">
        <v>880</v>
      </c>
      <c r="L5" s="383" t="s">
        <v>783</v>
      </c>
      <c r="N5" s="443"/>
      <c r="O5" s="442" t="s">
        <v>890</v>
      </c>
    </row>
    <row r="6" spans="1:17" x14ac:dyDescent="0.25">
      <c r="A6" s="6" t="s">
        <v>820</v>
      </c>
      <c r="B6" s="7" t="s">
        <v>130</v>
      </c>
      <c r="C6" s="8" t="s">
        <v>115</v>
      </c>
      <c r="D6" s="35">
        <f>IF(A6="Positive",1,0)</f>
        <v>1</v>
      </c>
      <c r="E6" s="50">
        <f>IF(B6="Male",1,0)</f>
        <v>1</v>
      </c>
      <c r="F6" s="50">
        <f>IF(C6="Therapy 1",1,0)</f>
        <v>1</v>
      </c>
      <c r="G6" s="50">
        <f>IF(C6="Therapy 2",1,0)</f>
        <v>0</v>
      </c>
      <c r="H6" s="439">
        <f>D6*E6</f>
        <v>1</v>
      </c>
      <c r="I6" s="439">
        <f>D6*F6</f>
        <v>1</v>
      </c>
      <c r="J6" s="431">
        <f>D6*G6</f>
        <v>0</v>
      </c>
      <c r="K6" s="8">
        <f>'Log Lin 2.2'!M95</f>
        <v>56.333333333333336</v>
      </c>
      <c r="L6" s="8">
        <f>'Log Lin 2.2'!O95</f>
        <v>4.0312864262549635</v>
      </c>
      <c r="N6" s="440" t="s">
        <v>296</v>
      </c>
      <c r="O6" s="272">
        <f>L17</f>
        <v>3.9815751610460071</v>
      </c>
      <c r="Q6" s="16" t="s">
        <v>882</v>
      </c>
    </row>
    <row r="7" spans="1:17" x14ac:dyDescent="0.25">
      <c r="A7" s="6" t="s">
        <v>820</v>
      </c>
      <c r="B7" s="7" t="s">
        <v>130</v>
      </c>
      <c r="C7" s="8" t="s">
        <v>116</v>
      </c>
      <c r="D7" s="35">
        <f t="shared" ref="D7:D17" si="0">IF(A7="Positive",1,0)</f>
        <v>1</v>
      </c>
      <c r="E7" s="50">
        <f t="shared" ref="E7:E17" si="1">IF(B7="Male",1,0)</f>
        <v>1</v>
      </c>
      <c r="F7" s="50">
        <f t="shared" ref="F7:F17" si="2">IF(C7="Therapy 1",1,0)</f>
        <v>0</v>
      </c>
      <c r="G7" s="50">
        <f t="shared" ref="G7:G17" si="3">IF(C7="Therapy 2",1,0)</f>
        <v>1</v>
      </c>
      <c r="H7" s="50">
        <f t="shared" ref="H7:H17" si="4">D7*E7</f>
        <v>1</v>
      </c>
      <c r="I7" s="50">
        <f t="shared" ref="I7:I17" si="5">D7*F7</f>
        <v>0</v>
      </c>
      <c r="J7" s="36">
        <f t="shared" ref="J7:J17" si="6">D7*G7</f>
        <v>1</v>
      </c>
      <c r="K7" s="8">
        <f>'Log Lin 2.2'!M96</f>
        <v>48.904761904761905</v>
      </c>
      <c r="L7" s="8">
        <f>'Log Lin 2.2'!O96</f>
        <v>3.8898747722051352</v>
      </c>
      <c r="N7" s="440" t="s">
        <v>867</v>
      </c>
      <c r="O7" s="272">
        <f>L11-O6</f>
        <v>0.28445255976499251</v>
      </c>
      <c r="Q7" s="16" t="s">
        <v>883</v>
      </c>
    </row>
    <row r="8" spans="1:17" x14ac:dyDescent="0.25">
      <c r="A8" s="6" t="s">
        <v>820</v>
      </c>
      <c r="B8" s="7" t="s">
        <v>130</v>
      </c>
      <c r="C8" s="8" t="s">
        <v>818</v>
      </c>
      <c r="D8" s="35">
        <f t="shared" si="0"/>
        <v>1</v>
      </c>
      <c r="E8" s="50">
        <f t="shared" si="1"/>
        <v>1</v>
      </c>
      <c r="F8" s="50">
        <f t="shared" si="2"/>
        <v>0</v>
      </c>
      <c r="G8" s="50">
        <f t="shared" si="3"/>
        <v>0</v>
      </c>
      <c r="H8" s="50">
        <f t="shared" si="4"/>
        <v>1</v>
      </c>
      <c r="I8" s="50">
        <f t="shared" si="5"/>
        <v>0</v>
      </c>
      <c r="J8" s="36">
        <f t="shared" si="6"/>
        <v>0</v>
      </c>
      <c r="K8" s="8">
        <f>'Log Lin 2.2'!M97</f>
        <v>115.76190476190476</v>
      </c>
      <c r="L8" s="8">
        <f>'Log Lin 2.2'!O97</f>
        <v>4.7515355365927006</v>
      </c>
      <c r="N8" s="440" t="s">
        <v>868</v>
      </c>
      <c r="O8" s="272">
        <f>L14-O6</f>
        <v>-1.0163741904311374</v>
      </c>
      <c r="Q8" s="16" t="s">
        <v>884</v>
      </c>
    </row>
    <row r="9" spans="1:17" x14ac:dyDescent="0.25">
      <c r="A9" s="6" t="s">
        <v>820</v>
      </c>
      <c r="B9" s="7" t="s">
        <v>108</v>
      </c>
      <c r="C9" s="8" t="s">
        <v>115</v>
      </c>
      <c r="D9" s="35">
        <f t="shared" si="0"/>
        <v>1</v>
      </c>
      <c r="E9" s="50">
        <f t="shared" si="1"/>
        <v>0</v>
      </c>
      <c r="F9" s="50">
        <f t="shared" si="2"/>
        <v>1</v>
      </c>
      <c r="G9" s="50">
        <f t="shared" si="3"/>
        <v>0</v>
      </c>
      <c r="H9" s="50">
        <f t="shared" si="4"/>
        <v>0</v>
      </c>
      <c r="I9" s="50">
        <f t="shared" si="5"/>
        <v>1</v>
      </c>
      <c r="J9" s="36">
        <f t="shared" si="6"/>
        <v>0</v>
      </c>
      <c r="K9" s="8">
        <f>'Log Lin 2.2'!M98</f>
        <v>34.666666666666664</v>
      </c>
      <c r="L9" s="8">
        <f>'Log Lin 2.2'!O98</f>
        <v>3.5457786104732629</v>
      </c>
      <c r="N9" s="440" t="s">
        <v>869</v>
      </c>
      <c r="O9" s="272">
        <f>L15-O6</f>
        <v>-1.0715836162801904</v>
      </c>
      <c r="Q9" s="16" t="s">
        <v>885</v>
      </c>
    </row>
    <row r="10" spans="1:17" x14ac:dyDescent="0.25">
      <c r="A10" s="6" t="s">
        <v>820</v>
      </c>
      <c r="B10" s="7" t="s">
        <v>108</v>
      </c>
      <c r="C10" s="8" t="s">
        <v>116</v>
      </c>
      <c r="D10" s="35">
        <f t="shared" si="0"/>
        <v>1</v>
      </c>
      <c r="E10" s="50">
        <f t="shared" si="1"/>
        <v>0</v>
      </c>
      <c r="F10" s="50">
        <f t="shared" si="2"/>
        <v>0</v>
      </c>
      <c r="G10" s="50">
        <f t="shared" si="3"/>
        <v>1</v>
      </c>
      <c r="H10" s="50">
        <f t="shared" si="4"/>
        <v>0</v>
      </c>
      <c r="I10" s="50">
        <f t="shared" si="5"/>
        <v>0</v>
      </c>
      <c r="J10" s="36">
        <f t="shared" si="6"/>
        <v>1</v>
      </c>
      <c r="K10" s="8">
        <f>'Log Lin 2.2'!M99</f>
        <v>30.095238095238095</v>
      </c>
      <c r="L10" s="8">
        <f>'Log Lin 2.2'!O99</f>
        <v>3.4043669564234342</v>
      </c>
      <c r="N10" s="440" t="s">
        <v>870</v>
      </c>
      <c r="O10" s="272">
        <f>L16-O6</f>
        <v>-0.48379695137807133</v>
      </c>
      <c r="Q10" s="16" t="s">
        <v>886</v>
      </c>
    </row>
    <row r="11" spans="1:17" x14ac:dyDescent="0.25">
      <c r="A11" s="6" t="s">
        <v>820</v>
      </c>
      <c r="B11" s="7" t="s">
        <v>108</v>
      </c>
      <c r="C11" s="8" t="s">
        <v>818</v>
      </c>
      <c r="D11" s="35">
        <f t="shared" si="0"/>
        <v>1</v>
      </c>
      <c r="E11" s="50">
        <f t="shared" si="1"/>
        <v>0</v>
      </c>
      <c r="F11" s="50">
        <f t="shared" si="2"/>
        <v>0</v>
      </c>
      <c r="G11" s="50">
        <f t="shared" si="3"/>
        <v>0</v>
      </c>
      <c r="H11" s="50">
        <f t="shared" si="4"/>
        <v>0</v>
      </c>
      <c r="I11" s="50">
        <f t="shared" si="5"/>
        <v>0</v>
      </c>
      <c r="J11" s="36">
        <f t="shared" si="6"/>
        <v>0</v>
      </c>
      <c r="K11" s="8">
        <f>'Log Lin 2.2'!M100</f>
        <v>71.238095238095241</v>
      </c>
      <c r="L11" s="8">
        <f>'Log Lin 2.2'!O100</f>
        <v>4.2660277208109996</v>
      </c>
      <c r="N11" s="440" t="s">
        <v>876</v>
      </c>
      <c r="O11" s="272">
        <f>L8-O6-O7-O8</f>
        <v>1.5018820062128384</v>
      </c>
      <c r="Q11" s="16" t="s">
        <v>887</v>
      </c>
    </row>
    <row r="12" spans="1:17" x14ac:dyDescent="0.25">
      <c r="A12" s="6" t="s">
        <v>821</v>
      </c>
      <c r="B12" s="7" t="s">
        <v>130</v>
      </c>
      <c r="C12" s="8" t="s">
        <v>115</v>
      </c>
      <c r="D12" s="35">
        <f t="shared" si="0"/>
        <v>0</v>
      </c>
      <c r="E12" s="50">
        <f t="shared" si="1"/>
        <v>1</v>
      </c>
      <c r="F12" s="50">
        <f t="shared" si="2"/>
        <v>1</v>
      </c>
      <c r="G12" s="50">
        <f t="shared" si="3"/>
        <v>0</v>
      </c>
      <c r="H12" s="50">
        <f t="shared" si="4"/>
        <v>0</v>
      </c>
      <c r="I12" s="50">
        <f t="shared" si="5"/>
        <v>0</v>
      </c>
      <c r="J12" s="36">
        <f t="shared" si="6"/>
        <v>0</v>
      </c>
      <c r="K12" s="8">
        <f>'Log Lin 2.2'!M101</f>
        <v>6.6433566433566433</v>
      </c>
      <c r="L12" s="8">
        <f>'Log Lin 2.2'!O101</f>
        <v>1.8936173543346793</v>
      </c>
      <c r="N12" s="440" t="s">
        <v>878</v>
      </c>
      <c r="O12" s="272">
        <f>L9-O6-O7-O9</f>
        <v>0.35133450594245375</v>
      </c>
      <c r="Q12" s="16" t="s">
        <v>888</v>
      </c>
    </row>
    <row r="13" spans="1:17" x14ac:dyDescent="0.25">
      <c r="A13" s="6" t="s">
        <v>821</v>
      </c>
      <c r="B13" s="7" t="s">
        <v>130</v>
      </c>
      <c r="C13" s="8" t="s">
        <v>116</v>
      </c>
      <c r="D13" s="35">
        <f t="shared" si="0"/>
        <v>0</v>
      </c>
      <c r="E13" s="50">
        <f t="shared" si="1"/>
        <v>1</v>
      </c>
      <c r="F13" s="50">
        <f t="shared" si="2"/>
        <v>0</v>
      </c>
      <c r="G13" s="50">
        <f t="shared" si="3"/>
        <v>1</v>
      </c>
      <c r="H13" s="50">
        <f t="shared" si="4"/>
        <v>0</v>
      </c>
      <c r="I13" s="50">
        <f t="shared" si="5"/>
        <v>0</v>
      </c>
      <c r="J13" s="36">
        <f t="shared" si="6"/>
        <v>0</v>
      </c>
      <c r="K13" s="8">
        <f>'Log Lin 2.2'!M102</f>
        <v>11.958041958041958</v>
      </c>
      <c r="L13" s="8">
        <f>'Log Lin 2.2'!O102</f>
        <v>2.4814040192367983</v>
      </c>
      <c r="N13" s="441" t="s">
        <v>881</v>
      </c>
      <c r="O13" s="420">
        <f>L10-O6-O7-O10</f>
        <v>-0.37786381300949401</v>
      </c>
      <c r="Q13" s="16" t="s">
        <v>889</v>
      </c>
    </row>
    <row r="14" spans="1:17" x14ac:dyDescent="0.25">
      <c r="A14" s="6" t="s">
        <v>821</v>
      </c>
      <c r="B14" s="7" t="s">
        <v>130</v>
      </c>
      <c r="C14" s="8" t="s">
        <v>818</v>
      </c>
      <c r="D14" s="35">
        <f t="shared" si="0"/>
        <v>0</v>
      </c>
      <c r="E14" s="50">
        <f t="shared" si="1"/>
        <v>1</v>
      </c>
      <c r="F14" s="50">
        <f t="shared" si="2"/>
        <v>0</v>
      </c>
      <c r="G14" s="50">
        <f t="shared" si="3"/>
        <v>0</v>
      </c>
      <c r="H14" s="50">
        <f t="shared" si="4"/>
        <v>0</v>
      </c>
      <c r="I14" s="50">
        <f t="shared" si="5"/>
        <v>0</v>
      </c>
      <c r="J14" s="36">
        <f t="shared" si="6"/>
        <v>0</v>
      </c>
      <c r="K14" s="8">
        <f>'Log Lin 2.2'!M103</f>
        <v>19.3986013986014</v>
      </c>
      <c r="L14" s="8">
        <f>'Log Lin 2.2'!O103</f>
        <v>2.9652009706148696</v>
      </c>
    </row>
    <row r="15" spans="1:17" x14ac:dyDescent="0.25">
      <c r="A15" s="6" t="s">
        <v>821</v>
      </c>
      <c r="B15" s="7" t="s">
        <v>108</v>
      </c>
      <c r="C15" s="8" t="s">
        <v>115</v>
      </c>
      <c r="D15" s="35">
        <f t="shared" si="0"/>
        <v>0</v>
      </c>
      <c r="E15" s="50">
        <f t="shared" si="1"/>
        <v>0</v>
      </c>
      <c r="F15" s="50">
        <f t="shared" si="2"/>
        <v>1</v>
      </c>
      <c r="G15" s="50">
        <f t="shared" si="3"/>
        <v>0</v>
      </c>
      <c r="H15" s="50">
        <f t="shared" si="4"/>
        <v>0</v>
      </c>
      <c r="I15" s="50">
        <f t="shared" si="5"/>
        <v>0</v>
      </c>
      <c r="J15" s="36">
        <f t="shared" si="6"/>
        <v>0</v>
      </c>
      <c r="K15" s="8">
        <f>'Log Lin 2.2'!M104</f>
        <v>18.356643356643357</v>
      </c>
      <c r="L15" s="8">
        <f>'Log Lin 2.2'!O104</f>
        <v>2.9099915447658167</v>
      </c>
    </row>
    <row r="16" spans="1:17" x14ac:dyDescent="0.25">
      <c r="A16" s="6" t="s">
        <v>821</v>
      </c>
      <c r="B16" s="7" t="s">
        <v>108</v>
      </c>
      <c r="C16" s="8" t="s">
        <v>116</v>
      </c>
      <c r="D16" s="35">
        <f t="shared" si="0"/>
        <v>0</v>
      </c>
      <c r="E16" s="50">
        <f t="shared" si="1"/>
        <v>0</v>
      </c>
      <c r="F16" s="50">
        <f t="shared" si="2"/>
        <v>0</v>
      </c>
      <c r="G16" s="50">
        <f t="shared" si="3"/>
        <v>1</v>
      </c>
      <c r="H16" s="50">
        <f t="shared" si="4"/>
        <v>0</v>
      </c>
      <c r="I16" s="50">
        <f t="shared" si="5"/>
        <v>0</v>
      </c>
      <c r="J16" s="36">
        <f t="shared" si="6"/>
        <v>0</v>
      </c>
      <c r="K16" s="8">
        <f>'Log Lin 2.2'!M105</f>
        <v>33.04195804195804</v>
      </c>
      <c r="L16" s="8">
        <f>'Log Lin 2.2'!O105</f>
        <v>3.4977782096679357</v>
      </c>
    </row>
    <row r="17" spans="1:12" x14ac:dyDescent="0.25">
      <c r="A17" s="409" t="s">
        <v>821</v>
      </c>
      <c r="B17" s="10" t="s">
        <v>108</v>
      </c>
      <c r="C17" s="11" t="s">
        <v>818</v>
      </c>
      <c r="D17" s="436">
        <f t="shared" si="0"/>
        <v>0</v>
      </c>
      <c r="E17" s="416">
        <f t="shared" si="1"/>
        <v>0</v>
      </c>
      <c r="F17" s="416">
        <f t="shared" si="2"/>
        <v>0</v>
      </c>
      <c r="G17" s="416">
        <f t="shared" si="3"/>
        <v>0</v>
      </c>
      <c r="H17" s="416">
        <f t="shared" si="4"/>
        <v>0</v>
      </c>
      <c r="I17" s="416">
        <f t="shared" si="5"/>
        <v>0</v>
      </c>
      <c r="J17" s="38">
        <f t="shared" si="6"/>
        <v>0</v>
      </c>
      <c r="K17" s="420">
        <f>'Log Lin 2.2'!M106</f>
        <v>53.6013986013986</v>
      </c>
      <c r="L17" s="11">
        <f>'Log Lin 2.2'!O106</f>
        <v>3.9815751610460071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43"/>
  <sheetViews>
    <sheetView topLeftCell="C1" workbookViewId="0">
      <selection activeCell="W23" sqref="W23"/>
    </sheetView>
  </sheetViews>
  <sheetFormatPr defaultRowHeight="15" x14ac:dyDescent="0.25"/>
  <cols>
    <col min="1" max="1" width="9.85546875" customWidth="1"/>
    <col min="2" max="2" width="10" customWidth="1"/>
    <col min="3" max="3" width="3.42578125" customWidth="1"/>
    <col min="4" max="6" width="5.5703125" customWidth="1"/>
    <col min="9" max="9" width="9.140625" customWidth="1"/>
    <col min="10" max="10" width="4.85546875" customWidth="1"/>
    <col min="12" max="12" width="4.85546875" customWidth="1"/>
    <col min="14" max="14" width="5.7109375" customWidth="1"/>
  </cols>
  <sheetData>
    <row r="1" spans="1:15" x14ac:dyDescent="0.25">
      <c r="A1" s="1" t="s">
        <v>2510</v>
      </c>
    </row>
    <row r="3" spans="1:15" x14ac:dyDescent="0.25">
      <c r="A3" s="1190" t="s">
        <v>2511</v>
      </c>
      <c r="B3" s="1190" t="s">
        <v>1245</v>
      </c>
      <c r="D3" s="13" t="s">
        <v>63</v>
      </c>
      <c r="E3" s="13" t="s">
        <v>44</v>
      </c>
      <c r="F3" s="13" t="s">
        <v>31</v>
      </c>
      <c r="G3" s="13" t="s">
        <v>2512</v>
      </c>
      <c r="H3" s="13" t="s">
        <v>2513</v>
      </c>
      <c r="J3" s="13" t="s">
        <v>63</v>
      </c>
      <c r="K3" s="13" t="s">
        <v>2513</v>
      </c>
      <c r="N3" s="25" t="s">
        <v>63</v>
      </c>
      <c r="O3" s="25" t="s">
        <v>2513</v>
      </c>
    </row>
    <row r="4" spans="1:15" x14ac:dyDescent="0.25">
      <c r="A4">
        <v>3</v>
      </c>
      <c r="B4">
        <v>1</v>
      </c>
      <c r="D4" s="1172">
        <v>0</v>
      </c>
      <c r="E4" s="827"/>
      <c r="F4" s="827">
        <f>COUNTIF($A$4:$A$21, "&gt;"&amp;D4-1)</f>
        <v>18</v>
      </c>
      <c r="G4" s="827"/>
      <c r="H4" s="1173">
        <v>1</v>
      </c>
      <c r="J4" s="7">
        <v>0</v>
      </c>
      <c r="K4" s="7">
        <v>1</v>
      </c>
      <c r="L4">
        <v>1</v>
      </c>
      <c r="N4" s="1172">
        <v>0</v>
      </c>
      <c r="O4" s="1173">
        <v>1</v>
      </c>
    </row>
    <row r="5" spans="1:15" x14ac:dyDescent="0.25">
      <c r="A5">
        <v>5</v>
      </c>
      <c r="B5">
        <v>1</v>
      </c>
      <c r="D5" s="532">
        <v>2</v>
      </c>
      <c r="E5" s="7">
        <f>COUNTIFS($A$4:$A$21,D5,$B$4:$B$21,1)</f>
        <v>1</v>
      </c>
      <c r="F5" s="7">
        <f t="shared" ref="F5:F12" si="0">COUNTIF($A$4:$A$21, "&gt;"&amp;D5-1)</f>
        <v>18</v>
      </c>
      <c r="G5" s="7">
        <f t="shared" ref="G5:G12" si="1">1-E5/F5</f>
        <v>0.94444444444444442</v>
      </c>
      <c r="H5" s="533">
        <f>H4*G5</f>
        <v>0.94444444444444442</v>
      </c>
      <c r="J5" s="7">
        <v>2</v>
      </c>
      <c r="K5" s="7">
        <v>0.94444444444444442</v>
      </c>
      <c r="L5">
        <v>2</v>
      </c>
      <c r="N5" s="532">
        <v>2</v>
      </c>
      <c r="O5" s="533">
        <v>1</v>
      </c>
    </row>
    <row r="6" spans="1:15" x14ac:dyDescent="0.25">
      <c r="A6">
        <v>8</v>
      </c>
      <c r="B6">
        <v>1</v>
      </c>
      <c r="D6" s="532">
        <v>3</v>
      </c>
      <c r="E6" s="7">
        <f t="shared" ref="E6:E12" si="2">COUNTIFS($A$4:$A$21,D6,$B$4:$B$21,1)</f>
        <v>1</v>
      </c>
      <c r="F6" s="7">
        <f t="shared" si="0"/>
        <v>17</v>
      </c>
      <c r="G6" s="7">
        <f t="shared" si="1"/>
        <v>0.94117647058823528</v>
      </c>
      <c r="H6" s="533">
        <f t="shared" ref="H6:H12" si="3">H5*G6</f>
        <v>0.88888888888888884</v>
      </c>
      <c r="J6" s="7">
        <v>3</v>
      </c>
      <c r="K6" s="7">
        <v>0.88888888888888884</v>
      </c>
      <c r="L6">
        <v>3</v>
      </c>
      <c r="N6" s="532">
        <v>2</v>
      </c>
      <c r="O6" s="533">
        <v>0.94444444444444442</v>
      </c>
    </row>
    <row r="7" spans="1:15" x14ac:dyDescent="0.25">
      <c r="A7">
        <v>10</v>
      </c>
      <c r="B7">
        <v>0</v>
      </c>
      <c r="D7" s="532">
        <v>5</v>
      </c>
      <c r="E7" s="7">
        <f t="shared" si="2"/>
        <v>3</v>
      </c>
      <c r="F7" s="7">
        <f t="shared" si="0"/>
        <v>16</v>
      </c>
      <c r="G7" s="7">
        <f t="shared" si="1"/>
        <v>0.8125</v>
      </c>
      <c r="H7" s="533">
        <f t="shared" si="3"/>
        <v>0.72222222222222221</v>
      </c>
      <c r="J7" s="7">
        <v>5</v>
      </c>
      <c r="K7" s="7">
        <v>0.72222222222222221</v>
      </c>
      <c r="L7">
        <v>4</v>
      </c>
      <c r="N7" s="532">
        <v>3</v>
      </c>
      <c r="O7" s="533">
        <v>0.94444444444444442</v>
      </c>
    </row>
    <row r="8" spans="1:15" x14ac:dyDescent="0.25">
      <c r="A8">
        <v>5</v>
      </c>
      <c r="B8">
        <v>1</v>
      </c>
      <c r="D8" s="532">
        <v>8</v>
      </c>
      <c r="E8" s="7">
        <f t="shared" si="2"/>
        <v>3</v>
      </c>
      <c r="F8" s="7">
        <f t="shared" si="0"/>
        <v>12</v>
      </c>
      <c r="G8" s="7">
        <f t="shared" si="1"/>
        <v>0.75</v>
      </c>
      <c r="H8" s="533">
        <f t="shared" si="3"/>
        <v>0.54166666666666663</v>
      </c>
      <c r="J8" s="7">
        <v>8</v>
      </c>
      <c r="K8" s="7">
        <v>0.54166666666666663</v>
      </c>
      <c r="L8">
        <v>5</v>
      </c>
      <c r="N8" s="532">
        <v>3</v>
      </c>
      <c r="O8" s="533">
        <v>0.88888888888888884</v>
      </c>
    </row>
    <row r="9" spans="1:15" x14ac:dyDescent="0.25">
      <c r="A9">
        <v>5</v>
      </c>
      <c r="B9">
        <v>0</v>
      </c>
      <c r="D9" s="532">
        <v>9</v>
      </c>
      <c r="E9" s="7">
        <f t="shared" si="2"/>
        <v>0</v>
      </c>
      <c r="F9" s="7">
        <f t="shared" si="0"/>
        <v>9</v>
      </c>
      <c r="G9" s="7">
        <f t="shared" si="1"/>
        <v>1</v>
      </c>
      <c r="H9" s="533">
        <f t="shared" si="3"/>
        <v>0.54166666666666663</v>
      </c>
      <c r="J9" s="7">
        <v>9</v>
      </c>
      <c r="K9" s="7">
        <v>0.54166666666666663</v>
      </c>
      <c r="L9">
        <v>6</v>
      </c>
      <c r="N9" s="532">
        <v>5</v>
      </c>
      <c r="O9" s="533">
        <v>0.88888888888888884</v>
      </c>
    </row>
    <row r="10" spans="1:15" x14ac:dyDescent="0.25">
      <c r="A10">
        <v>8</v>
      </c>
      <c r="B10">
        <v>1</v>
      </c>
      <c r="D10" s="532">
        <v>10</v>
      </c>
      <c r="E10" s="7">
        <f t="shared" si="2"/>
        <v>0</v>
      </c>
      <c r="F10" s="7">
        <f t="shared" si="0"/>
        <v>8</v>
      </c>
      <c r="G10" s="7">
        <f t="shared" si="1"/>
        <v>1</v>
      </c>
      <c r="H10" s="533">
        <f t="shared" si="3"/>
        <v>0.54166666666666663</v>
      </c>
      <c r="J10" s="7">
        <v>10</v>
      </c>
      <c r="K10" s="7">
        <v>0.54166666666666663</v>
      </c>
      <c r="L10">
        <v>7</v>
      </c>
      <c r="N10" s="532">
        <v>5</v>
      </c>
      <c r="O10" s="533">
        <v>0.72222222222222221</v>
      </c>
    </row>
    <row r="11" spans="1:15" x14ac:dyDescent="0.25">
      <c r="A11">
        <v>12</v>
      </c>
      <c r="B11">
        <v>1</v>
      </c>
      <c r="D11" s="532">
        <v>11</v>
      </c>
      <c r="E11" s="7">
        <f t="shared" si="2"/>
        <v>2</v>
      </c>
      <c r="F11" s="7">
        <f t="shared" si="0"/>
        <v>6</v>
      </c>
      <c r="G11" s="7">
        <f t="shared" si="1"/>
        <v>0.66666666666666674</v>
      </c>
      <c r="H11" s="533">
        <f t="shared" si="3"/>
        <v>0.3611111111111111</v>
      </c>
      <c r="J11" s="7">
        <v>11</v>
      </c>
      <c r="K11" s="7">
        <v>0.3611111111111111</v>
      </c>
      <c r="L11">
        <v>8</v>
      </c>
      <c r="N11" s="532">
        <v>8</v>
      </c>
      <c r="O11" s="533">
        <v>0.72222222222222221</v>
      </c>
    </row>
    <row r="12" spans="1:15" x14ac:dyDescent="0.25">
      <c r="A12">
        <v>15</v>
      </c>
      <c r="B12">
        <v>0</v>
      </c>
      <c r="D12" s="409">
        <v>12</v>
      </c>
      <c r="E12" s="762">
        <f t="shared" si="2"/>
        <v>2</v>
      </c>
      <c r="F12" s="762">
        <f t="shared" si="0"/>
        <v>4</v>
      </c>
      <c r="G12" s="762">
        <f t="shared" si="1"/>
        <v>0.5</v>
      </c>
      <c r="H12" s="417">
        <f t="shared" si="3"/>
        <v>0.18055555555555555</v>
      </c>
      <c r="J12" s="7">
        <v>12</v>
      </c>
      <c r="K12" s="7">
        <v>0.18055555555555555</v>
      </c>
      <c r="L12">
        <v>9</v>
      </c>
      <c r="N12" s="532">
        <v>8</v>
      </c>
      <c r="O12" s="533">
        <v>0.54166666666666663</v>
      </c>
    </row>
    <row r="13" spans="1:15" x14ac:dyDescent="0.25">
      <c r="A13">
        <v>14</v>
      </c>
      <c r="B13">
        <v>0</v>
      </c>
      <c r="J13" s="7">
        <v>2</v>
      </c>
      <c r="K13" s="7">
        <v>1</v>
      </c>
      <c r="L13">
        <v>1</v>
      </c>
      <c r="N13" s="532">
        <v>9</v>
      </c>
      <c r="O13" s="533">
        <v>0.54166666666666663</v>
      </c>
    </row>
    <row r="14" spans="1:15" x14ac:dyDescent="0.25">
      <c r="A14">
        <v>2</v>
      </c>
      <c r="B14">
        <v>1</v>
      </c>
      <c r="J14" s="7">
        <v>3</v>
      </c>
      <c r="K14" s="7">
        <v>0.94444444444444442</v>
      </c>
      <c r="L14">
        <v>2</v>
      </c>
      <c r="N14" s="532">
        <v>9</v>
      </c>
      <c r="O14" s="533">
        <v>0.54166666666666663</v>
      </c>
    </row>
    <row r="15" spans="1:15" x14ac:dyDescent="0.25">
      <c r="A15">
        <v>11</v>
      </c>
      <c r="B15">
        <v>1</v>
      </c>
      <c r="J15" s="7">
        <v>5</v>
      </c>
      <c r="K15" s="7">
        <v>0.88888888888888884</v>
      </c>
      <c r="L15">
        <v>3</v>
      </c>
      <c r="N15" s="532">
        <v>10</v>
      </c>
      <c r="O15" s="533">
        <v>0.54166666666666663</v>
      </c>
    </row>
    <row r="16" spans="1:15" x14ac:dyDescent="0.25">
      <c r="A16">
        <v>10</v>
      </c>
      <c r="B16">
        <v>0</v>
      </c>
      <c r="J16" s="7">
        <v>8</v>
      </c>
      <c r="K16" s="7">
        <v>0.72222222222222221</v>
      </c>
      <c r="L16">
        <v>4</v>
      </c>
      <c r="N16" s="532">
        <v>10</v>
      </c>
      <c r="O16" s="533">
        <v>0.54166666666666663</v>
      </c>
    </row>
    <row r="17" spans="1:15" x14ac:dyDescent="0.25">
      <c r="A17">
        <v>9</v>
      </c>
      <c r="B17">
        <v>0</v>
      </c>
      <c r="J17" s="7">
        <v>9</v>
      </c>
      <c r="K17" s="7">
        <v>0.54166666666666663</v>
      </c>
      <c r="L17">
        <v>5</v>
      </c>
      <c r="N17" s="532">
        <v>11</v>
      </c>
      <c r="O17" s="533">
        <v>0.54166666666666663</v>
      </c>
    </row>
    <row r="18" spans="1:15" x14ac:dyDescent="0.25">
      <c r="A18">
        <v>12</v>
      </c>
      <c r="B18">
        <v>1</v>
      </c>
      <c r="J18" s="7">
        <v>10</v>
      </c>
      <c r="K18" s="7">
        <v>0.54166666666666663</v>
      </c>
      <c r="L18">
        <v>6</v>
      </c>
      <c r="N18" s="532">
        <v>11</v>
      </c>
      <c r="O18" s="533">
        <v>0.3611111111111111</v>
      </c>
    </row>
    <row r="19" spans="1:15" x14ac:dyDescent="0.25">
      <c r="A19">
        <v>5</v>
      </c>
      <c r="B19">
        <v>1</v>
      </c>
      <c r="J19" s="7">
        <v>11</v>
      </c>
      <c r="K19" s="7">
        <v>0.54166666666666663</v>
      </c>
      <c r="L19">
        <v>7</v>
      </c>
      <c r="N19" s="532">
        <v>12</v>
      </c>
      <c r="O19" s="533">
        <v>0.3611111111111111</v>
      </c>
    </row>
    <row r="20" spans="1:15" x14ac:dyDescent="0.25">
      <c r="A20">
        <v>8</v>
      </c>
      <c r="B20">
        <v>1</v>
      </c>
      <c r="J20" s="7">
        <v>12</v>
      </c>
      <c r="K20" s="7">
        <v>0.3611111111111111</v>
      </c>
      <c r="L20">
        <v>8</v>
      </c>
      <c r="N20" s="409">
        <v>12</v>
      </c>
      <c r="O20" s="417">
        <v>0.18055555555555555</v>
      </c>
    </row>
    <row r="21" spans="1:15" x14ac:dyDescent="0.25">
      <c r="A21" s="762">
        <v>11</v>
      </c>
      <c r="B21" s="762">
        <v>1</v>
      </c>
    </row>
    <row r="24" spans="1:15" x14ac:dyDescent="0.25">
      <c r="A24" s="1190" t="s">
        <v>2511</v>
      </c>
      <c r="B24" s="1190" t="s">
        <v>1245</v>
      </c>
      <c r="D24" s="13" t="s">
        <v>63</v>
      </c>
      <c r="E24" s="13" t="s">
        <v>44</v>
      </c>
      <c r="F24" s="13" t="s">
        <v>31</v>
      </c>
      <c r="G24" s="13" t="s">
        <v>2512</v>
      </c>
      <c r="H24" s="13" t="s">
        <v>2513</v>
      </c>
      <c r="J24" s="13" t="s">
        <v>63</v>
      </c>
      <c r="K24" s="13" t="s">
        <v>2513</v>
      </c>
      <c r="N24" s="25" t="s">
        <v>63</v>
      </c>
      <c r="O24" s="25" t="s">
        <v>2513</v>
      </c>
    </row>
    <row r="25" spans="1:15" x14ac:dyDescent="0.25">
      <c r="A25">
        <v>1</v>
      </c>
      <c r="B25">
        <v>1</v>
      </c>
      <c r="D25" s="1172">
        <v>0</v>
      </c>
      <c r="E25" s="827"/>
      <c r="F25" s="827">
        <f>COUNTIF($A$4:$A$21, "&gt;"&amp;D25-1)</f>
        <v>18</v>
      </c>
      <c r="G25" s="827"/>
      <c r="H25" s="1173">
        <v>1</v>
      </c>
      <c r="J25" s="1172">
        <v>0</v>
      </c>
      <c r="K25" s="1173">
        <v>1</v>
      </c>
      <c r="L25">
        <v>1</v>
      </c>
      <c r="N25" s="1172">
        <v>0</v>
      </c>
      <c r="O25" s="1173">
        <v>1</v>
      </c>
    </row>
    <row r="26" spans="1:15" x14ac:dyDescent="0.25">
      <c r="A26">
        <v>4</v>
      </c>
      <c r="B26">
        <v>1</v>
      </c>
      <c r="D26" s="532">
        <v>1</v>
      </c>
      <c r="E26" s="7">
        <f>COUNTIFS($A$25:$A$42,D26,$B$25:$B$42,1)</f>
        <v>1</v>
      </c>
      <c r="F26" s="7">
        <f>COUNTIF($A$25:$A$42, "&gt;"&amp;D26-1)</f>
        <v>18</v>
      </c>
      <c r="G26" s="7">
        <f t="shared" ref="G26:G34" si="4">1-E26/F26</f>
        <v>0.94444444444444442</v>
      </c>
      <c r="H26" s="533">
        <f>H25*G26</f>
        <v>0.94444444444444442</v>
      </c>
      <c r="J26" s="532">
        <v>1</v>
      </c>
      <c r="K26" s="533">
        <v>0.94444444444444442</v>
      </c>
      <c r="L26">
        <v>2</v>
      </c>
      <c r="N26" s="532">
        <v>1</v>
      </c>
      <c r="O26" s="533">
        <v>1</v>
      </c>
    </row>
    <row r="27" spans="1:15" x14ac:dyDescent="0.25">
      <c r="A27">
        <v>9</v>
      </c>
      <c r="B27">
        <v>0</v>
      </c>
      <c r="D27" s="532">
        <v>3</v>
      </c>
      <c r="E27" s="7">
        <f t="shared" ref="E27:E34" si="5">COUNTIFS($A$25:$A$42,D27,$B$25:$B$42,1)</f>
        <v>1</v>
      </c>
      <c r="F27" s="7">
        <f t="shared" ref="F27:F34" si="6">COUNTIF($A$25:$A$42, "&gt;"&amp;D27-1)</f>
        <v>17</v>
      </c>
      <c r="G27" s="7">
        <f t="shared" si="4"/>
        <v>0.94117647058823528</v>
      </c>
      <c r="H27" s="533">
        <f t="shared" ref="H27:H34" si="7">H26*G27</f>
        <v>0.88888888888888884</v>
      </c>
      <c r="J27" s="532">
        <v>3</v>
      </c>
      <c r="K27" s="533">
        <v>0.88888888888888884</v>
      </c>
      <c r="L27">
        <v>3</v>
      </c>
      <c r="N27" s="532">
        <v>1</v>
      </c>
      <c r="O27" s="533">
        <v>0.94444444444444442</v>
      </c>
    </row>
    <row r="28" spans="1:15" x14ac:dyDescent="0.25">
      <c r="A28">
        <v>10</v>
      </c>
      <c r="B28">
        <v>0</v>
      </c>
      <c r="D28" s="532">
        <v>4</v>
      </c>
      <c r="E28" s="7">
        <f t="shared" si="5"/>
        <v>1</v>
      </c>
      <c r="F28" s="7">
        <f t="shared" si="6"/>
        <v>16</v>
      </c>
      <c r="G28" s="7">
        <f t="shared" si="4"/>
        <v>0.9375</v>
      </c>
      <c r="H28" s="533">
        <f t="shared" si="7"/>
        <v>0.83333333333333326</v>
      </c>
      <c r="J28" s="532">
        <v>4</v>
      </c>
      <c r="K28" s="533">
        <v>0.83333333333333326</v>
      </c>
      <c r="L28">
        <v>4</v>
      </c>
      <c r="N28" s="532">
        <v>3</v>
      </c>
      <c r="O28" s="533">
        <v>0.94444444444444442</v>
      </c>
    </row>
    <row r="29" spans="1:15" x14ac:dyDescent="0.25">
      <c r="A29">
        <v>6</v>
      </c>
      <c r="B29">
        <v>1</v>
      </c>
      <c r="D29" s="532">
        <v>6</v>
      </c>
      <c r="E29" s="7">
        <f t="shared" si="5"/>
        <v>1</v>
      </c>
      <c r="F29" s="7">
        <f t="shared" si="6"/>
        <v>15</v>
      </c>
      <c r="G29" s="7">
        <f t="shared" si="4"/>
        <v>0.93333333333333335</v>
      </c>
      <c r="H29" s="533">
        <f t="shared" si="7"/>
        <v>0.77777777777777768</v>
      </c>
      <c r="J29" s="532">
        <v>6</v>
      </c>
      <c r="K29" s="533">
        <v>0.77777777777777768</v>
      </c>
      <c r="L29">
        <v>5</v>
      </c>
      <c r="N29" s="532">
        <v>3</v>
      </c>
      <c r="O29" s="533">
        <v>0.88888888888888884</v>
      </c>
    </row>
    <row r="30" spans="1:15" x14ac:dyDescent="0.25">
      <c r="A30">
        <v>6</v>
      </c>
      <c r="B30">
        <v>0</v>
      </c>
      <c r="D30" s="532">
        <v>8</v>
      </c>
      <c r="E30" s="7">
        <f t="shared" si="5"/>
        <v>1</v>
      </c>
      <c r="F30" s="7">
        <f t="shared" si="6"/>
        <v>12</v>
      </c>
      <c r="G30" s="7">
        <f t="shared" si="4"/>
        <v>0.91666666666666663</v>
      </c>
      <c r="H30" s="533">
        <f t="shared" si="7"/>
        <v>0.7129629629629628</v>
      </c>
      <c r="J30" s="532">
        <v>8</v>
      </c>
      <c r="K30" s="533">
        <v>0.7129629629629628</v>
      </c>
      <c r="L30">
        <v>6</v>
      </c>
      <c r="N30" s="532">
        <v>4</v>
      </c>
      <c r="O30" s="533">
        <v>0.88888888888888884</v>
      </c>
    </row>
    <row r="31" spans="1:15" x14ac:dyDescent="0.25">
      <c r="A31">
        <v>10</v>
      </c>
      <c r="B31">
        <v>1</v>
      </c>
      <c r="D31" s="532">
        <v>9</v>
      </c>
      <c r="E31" s="7">
        <f t="shared" si="5"/>
        <v>0</v>
      </c>
      <c r="F31" s="7">
        <f t="shared" si="6"/>
        <v>10</v>
      </c>
      <c r="G31" s="7">
        <f t="shared" si="4"/>
        <v>1</v>
      </c>
      <c r="H31" s="533">
        <f t="shared" si="7"/>
        <v>0.7129629629629628</v>
      </c>
      <c r="J31" s="556">
        <v>9</v>
      </c>
      <c r="K31" s="533">
        <v>0.7129629629629628</v>
      </c>
      <c r="L31">
        <v>7</v>
      </c>
      <c r="N31" s="532">
        <v>4</v>
      </c>
      <c r="O31" s="533">
        <v>0.83333333333333326</v>
      </c>
    </row>
    <row r="32" spans="1:15" x14ac:dyDescent="0.25">
      <c r="A32">
        <v>10</v>
      </c>
      <c r="B32">
        <v>1</v>
      </c>
      <c r="D32" s="532">
        <v>10</v>
      </c>
      <c r="E32" s="7">
        <f t="shared" si="5"/>
        <v>2</v>
      </c>
      <c r="F32" s="7">
        <f t="shared" si="6"/>
        <v>9</v>
      </c>
      <c r="G32" s="7">
        <f t="shared" si="4"/>
        <v>0.77777777777777779</v>
      </c>
      <c r="H32" s="533">
        <f t="shared" si="7"/>
        <v>0.55452674897119325</v>
      </c>
      <c r="J32" s="532">
        <v>10</v>
      </c>
      <c r="K32" s="533">
        <v>0.55452674897119325</v>
      </c>
      <c r="L32">
        <v>8</v>
      </c>
      <c r="N32" s="532">
        <v>6</v>
      </c>
      <c r="O32" s="533">
        <v>0.83333333333333326</v>
      </c>
    </row>
    <row r="33" spans="1:15" x14ac:dyDescent="0.25">
      <c r="A33">
        <v>12</v>
      </c>
      <c r="B33">
        <v>0</v>
      </c>
      <c r="D33" s="532">
        <v>12</v>
      </c>
      <c r="E33" s="7">
        <f t="shared" si="5"/>
        <v>0</v>
      </c>
      <c r="F33" s="7">
        <f t="shared" si="6"/>
        <v>5</v>
      </c>
      <c r="G33" s="7">
        <f t="shared" si="4"/>
        <v>1</v>
      </c>
      <c r="H33" s="533">
        <f t="shared" si="7"/>
        <v>0.55452674897119325</v>
      </c>
      <c r="J33" s="532">
        <v>12</v>
      </c>
      <c r="K33" s="533">
        <v>0.55452674897119325</v>
      </c>
      <c r="L33">
        <v>9</v>
      </c>
      <c r="N33" s="532">
        <v>6</v>
      </c>
      <c r="O33" s="533">
        <v>0.77777777777777768</v>
      </c>
    </row>
    <row r="34" spans="1:15" x14ac:dyDescent="0.25">
      <c r="A34">
        <v>13</v>
      </c>
      <c r="B34">
        <v>0</v>
      </c>
      <c r="D34" s="409">
        <v>13</v>
      </c>
      <c r="E34" s="762">
        <f t="shared" si="5"/>
        <v>1</v>
      </c>
      <c r="F34" s="762">
        <f t="shared" si="6"/>
        <v>3</v>
      </c>
      <c r="G34" s="762">
        <f t="shared" si="4"/>
        <v>0.66666666666666674</v>
      </c>
      <c r="H34" s="417">
        <f t="shared" si="7"/>
        <v>0.36968449931412889</v>
      </c>
      <c r="J34" s="532">
        <v>13</v>
      </c>
      <c r="K34" s="533">
        <v>0.3666292555181444</v>
      </c>
      <c r="L34">
        <v>10</v>
      </c>
      <c r="N34" s="532">
        <v>7</v>
      </c>
      <c r="O34" s="533">
        <v>0.77777777777777768</v>
      </c>
    </row>
    <row r="35" spans="1:15" x14ac:dyDescent="0.25">
      <c r="A35">
        <v>3</v>
      </c>
      <c r="B35">
        <v>1</v>
      </c>
      <c r="J35" s="532">
        <v>1</v>
      </c>
      <c r="K35" s="533">
        <v>1</v>
      </c>
      <c r="L35">
        <v>1</v>
      </c>
      <c r="N35" s="532">
        <v>7</v>
      </c>
      <c r="O35" s="533">
        <v>0.7129629629629628</v>
      </c>
    </row>
    <row r="36" spans="1:15" x14ac:dyDescent="0.25">
      <c r="A36">
        <v>13</v>
      </c>
      <c r="B36">
        <v>0</v>
      </c>
      <c r="J36" s="532">
        <v>3</v>
      </c>
      <c r="K36" s="533">
        <v>0.94444444444444442</v>
      </c>
      <c r="L36">
        <v>2</v>
      </c>
      <c r="N36" s="556">
        <v>8</v>
      </c>
      <c r="O36" s="533">
        <v>0.7129629629629628</v>
      </c>
    </row>
    <row r="37" spans="1:15" x14ac:dyDescent="0.25">
      <c r="A37">
        <v>8</v>
      </c>
      <c r="B37">
        <v>0</v>
      </c>
      <c r="J37" s="532">
        <v>4</v>
      </c>
      <c r="K37" s="533">
        <v>0.88888888888888884</v>
      </c>
      <c r="L37">
        <v>3</v>
      </c>
      <c r="N37" s="556">
        <v>8</v>
      </c>
      <c r="O37" s="533">
        <v>0.7129629629629628</v>
      </c>
    </row>
    <row r="38" spans="1:15" x14ac:dyDescent="0.25">
      <c r="A38">
        <v>10</v>
      </c>
      <c r="B38">
        <v>0</v>
      </c>
      <c r="J38" s="532">
        <v>6</v>
      </c>
      <c r="K38" s="533">
        <v>0.83333333333333326</v>
      </c>
      <c r="L38">
        <v>4</v>
      </c>
      <c r="N38" s="532">
        <v>10</v>
      </c>
      <c r="O38" s="533">
        <v>0.7129629629629628</v>
      </c>
    </row>
    <row r="39" spans="1:15" x14ac:dyDescent="0.25">
      <c r="A39">
        <v>13</v>
      </c>
      <c r="B39">
        <v>1</v>
      </c>
      <c r="J39" s="532">
        <v>8</v>
      </c>
      <c r="K39" s="533">
        <v>0.77777777777777768</v>
      </c>
      <c r="L39">
        <v>5</v>
      </c>
      <c r="N39" s="532">
        <v>10</v>
      </c>
      <c r="O39" s="533">
        <v>0.55452674897119325</v>
      </c>
    </row>
    <row r="40" spans="1:15" x14ac:dyDescent="0.25">
      <c r="A40">
        <v>6</v>
      </c>
      <c r="B40">
        <v>0</v>
      </c>
      <c r="J40" s="556">
        <v>9</v>
      </c>
      <c r="K40" s="533">
        <v>0.7129629629629628</v>
      </c>
      <c r="L40">
        <v>6</v>
      </c>
      <c r="N40" s="532">
        <v>12</v>
      </c>
      <c r="O40" s="533">
        <v>0.55452674897119325</v>
      </c>
    </row>
    <row r="41" spans="1:15" x14ac:dyDescent="0.25">
      <c r="A41">
        <v>8</v>
      </c>
      <c r="B41">
        <v>1</v>
      </c>
      <c r="J41" s="532">
        <v>10</v>
      </c>
      <c r="K41" s="533">
        <v>0.7129629629629628</v>
      </c>
      <c r="L41">
        <v>7</v>
      </c>
      <c r="N41" s="532">
        <v>12</v>
      </c>
      <c r="O41" s="533">
        <v>0.55452674897119325</v>
      </c>
    </row>
    <row r="42" spans="1:15" x14ac:dyDescent="0.25">
      <c r="A42" s="762">
        <v>12</v>
      </c>
      <c r="B42" s="762">
        <v>0</v>
      </c>
      <c r="J42" s="532">
        <v>12</v>
      </c>
      <c r="K42" s="533">
        <v>0.55452674897119325</v>
      </c>
      <c r="L42">
        <v>8</v>
      </c>
      <c r="N42" s="532">
        <v>13</v>
      </c>
      <c r="O42" s="533">
        <v>0.55452674897119325</v>
      </c>
    </row>
    <row r="43" spans="1:15" x14ac:dyDescent="0.25">
      <c r="J43" s="409">
        <v>13</v>
      </c>
      <c r="K43" s="417">
        <v>0.55452674897119325</v>
      </c>
      <c r="L43">
        <v>9</v>
      </c>
      <c r="N43" s="409">
        <v>13</v>
      </c>
      <c r="O43" s="417">
        <v>0.3666292555181444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42"/>
  <sheetViews>
    <sheetView workbookViewId="0"/>
  </sheetViews>
  <sheetFormatPr defaultRowHeight="15" x14ac:dyDescent="0.25"/>
  <cols>
    <col min="1" max="1" width="9.85546875" customWidth="1"/>
    <col min="2" max="2" width="10" customWidth="1"/>
    <col min="4" max="6" width="6.42578125" customWidth="1"/>
  </cols>
  <sheetData>
    <row r="1" spans="1:11" x14ac:dyDescent="0.25">
      <c r="A1" s="1" t="s">
        <v>2510</v>
      </c>
    </row>
    <row r="3" spans="1:11" x14ac:dyDescent="0.25">
      <c r="A3" s="1182" t="s">
        <v>2511</v>
      </c>
      <c r="B3" s="1182" t="s">
        <v>1245</v>
      </c>
      <c r="I3" t="s">
        <v>34</v>
      </c>
      <c r="J3">
        <v>0.05</v>
      </c>
    </row>
    <row r="4" spans="1:11" x14ac:dyDescent="0.25">
      <c r="A4" s="1184">
        <v>3</v>
      </c>
      <c r="B4" s="1184">
        <v>1</v>
      </c>
    </row>
    <row r="5" spans="1:11" x14ac:dyDescent="0.25">
      <c r="A5" s="1184">
        <v>5</v>
      </c>
      <c r="B5" s="1184">
        <v>1</v>
      </c>
      <c r="D5" s="1184" t="s">
        <v>63</v>
      </c>
      <c r="E5" s="1184" t="s">
        <v>44</v>
      </c>
      <c r="F5" s="1184" t="s">
        <v>31</v>
      </c>
      <c r="G5" s="1184" t="s">
        <v>2512</v>
      </c>
      <c r="H5" s="1184" t="s">
        <v>2513</v>
      </c>
      <c r="I5" s="1184" t="s">
        <v>425</v>
      </c>
      <c r="J5" s="1184" t="s">
        <v>29</v>
      </c>
      <c r="K5" s="1184" t="s">
        <v>30</v>
      </c>
    </row>
    <row r="6" spans="1:11" x14ac:dyDescent="0.25">
      <c r="A6" s="1184">
        <v>8</v>
      </c>
      <c r="B6" s="1184">
        <v>1</v>
      </c>
      <c r="D6" s="1194">
        <v>0</v>
      </c>
      <c r="E6" s="864"/>
      <c r="F6" s="864">
        <f>COUNTIF($A$4:$A$21, "&gt;"&amp;D6-1)</f>
        <v>18</v>
      </c>
      <c r="G6" s="827"/>
      <c r="H6" s="1173">
        <v>1</v>
      </c>
      <c r="I6" s="1172"/>
      <c r="J6" s="827"/>
      <c r="K6" s="1173"/>
    </row>
    <row r="7" spans="1:11" x14ac:dyDescent="0.25">
      <c r="A7" s="1184">
        <v>10</v>
      </c>
      <c r="B7" s="1184">
        <v>0</v>
      </c>
      <c r="D7" s="540">
        <v>2</v>
      </c>
      <c r="E7" s="1185">
        <f>COUNTIFS($A$4:$A$21,D7,$B$4:$B$21,1)</f>
        <v>1</v>
      </c>
      <c r="F7" s="1185">
        <f t="shared" ref="F7:F14" si="0">COUNTIF($A$4:$A$21, "&gt;"&amp;D7-1)</f>
        <v>18</v>
      </c>
      <c r="G7" s="7">
        <f t="shared" ref="G7:G14" si="1">1-E7/F7</f>
        <v>0.94444444444444442</v>
      </c>
      <c r="H7" s="533">
        <f>H6*G7</f>
        <v>0.94444444444444442</v>
      </c>
      <c r="I7" s="532">
        <f>SQRT(E7/(F7*(F7-E7))+(I6/H6)^2)*H7</f>
        <v>5.3990295322641671E-2</v>
      </c>
      <c r="J7" s="7">
        <f t="shared" ref="J7:J14" si="2">H7^EXP(NORMSINV($J$3/2)/LN(H7)*I7)</f>
        <v>0.69489073268773727</v>
      </c>
      <c r="K7" s="533">
        <f t="shared" ref="K7:K14" si="3">H7^EXP(-NORMSINV($J$3/2)/LN(H7)*I7)</f>
        <v>0.99106466962106132</v>
      </c>
    </row>
    <row r="8" spans="1:11" x14ac:dyDescent="0.25">
      <c r="A8" s="1184">
        <v>5</v>
      </c>
      <c r="B8" s="1184">
        <v>1</v>
      </c>
      <c r="D8" s="540">
        <v>3</v>
      </c>
      <c r="E8" s="1185">
        <f t="shared" ref="E8:E14" si="4">COUNTIFS($A$4:$A$21,D8,$B$4:$B$21,1)</f>
        <v>1</v>
      </c>
      <c r="F8" s="1185">
        <f t="shared" si="0"/>
        <v>17</v>
      </c>
      <c r="G8" s="7">
        <f t="shared" si="1"/>
        <v>0.94117647058823528</v>
      </c>
      <c r="H8" s="533">
        <f t="shared" ref="H8:H14" si="5">H7*G8</f>
        <v>0.88888888888888884</v>
      </c>
      <c r="I8" s="532">
        <f>SQRT(E8/(F8*(F8-E8))+(I7/H7)^2)*H8</f>
        <v>7.4074074074074084E-2</v>
      </c>
      <c r="J8" s="7">
        <f t="shared" si="2"/>
        <v>0.66762899004798093</v>
      </c>
      <c r="K8" s="533">
        <f t="shared" si="3"/>
        <v>0.96624602275190852</v>
      </c>
    </row>
    <row r="9" spans="1:11" x14ac:dyDescent="0.25">
      <c r="A9" s="1184">
        <v>5</v>
      </c>
      <c r="B9" s="1184">
        <v>0</v>
      </c>
      <c r="D9" s="540">
        <v>5</v>
      </c>
      <c r="E9" s="1185">
        <f t="shared" si="4"/>
        <v>3</v>
      </c>
      <c r="F9" s="1185">
        <f t="shared" si="0"/>
        <v>16</v>
      </c>
      <c r="G9" s="7">
        <f t="shared" si="1"/>
        <v>0.8125</v>
      </c>
      <c r="H9" s="533">
        <f t="shared" si="5"/>
        <v>0.72222222222222221</v>
      </c>
      <c r="I9" s="532">
        <f t="shared" ref="I9:I14" si="6">SQRT(E9/(F9*(F9-E9))+(I8/H8)^2)*H9</f>
        <v>0.10557179862029056</v>
      </c>
      <c r="J9" s="7">
        <f t="shared" si="2"/>
        <v>0.54085937571829679</v>
      </c>
      <c r="K9" s="533">
        <f t="shared" si="3"/>
        <v>0.841719970252925</v>
      </c>
    </row>
    <row r="10" spans="1:11" x14ac:dyDescent="0.25">
      <c r="A10" s="1184">
        <v>8</v>
      </c>
      <c r="B10" s="1184">
        <v>1</v>
      </c>
      <c r="D10" s="540">
        <v>8</v>
      </c>
      <c r="E10" s="1185">
        <f t="shared" si="4"/>
        <v>3</v>
      </c>
      <c r="F10" s="1185">
        <f t="shared" si="0"/>
        <v>12</v>
      </c>
      <c r="G10" s="7">
        <f t="shared" si="1"/>
        <v>0.75</v>
      </c>
      <c r="H10" s="533">
        <f t="shared" si="5"/>
        <v>0.54166666666666663</v>
      </c>
      <c r="I10" s="532">
        <f t="shared" si="6"/>
        <v>0.12008066990132348</v>
      </c>
      <c r="J10" s="7">
        <f t="shared" si="2"/>
        <v>0.40656496566815448</v>
      </c>
      <c r="K10" s="533">
        <f t="shared" si="3"/>
        <v>0.6585873737234369</v>
      </c>
    </row>
    <row r="11" spans="1:11" x14ac:dyDescent="0.25">
      <c r="A11" s="1184">
        <v>12</v>
      </c>
      <c r="B11" s="1184">
        <v>1</v>
      </c>
      <c r="D11" s="540">
        <v>9</v>
      </c>
      <c r="E11" s="1185">
        <f t="shared" si="4"/>
        <v>0</v>
      </c>
      <c r="F11" s="1185">
        <f t="shared" si="0"/>
        <v>9</v>
      </c>
      <c r="G11" s="7">
        <f t="shared" si="1"/>
        <v>1</v>
      </c>
      <c r="H11" s="533">
        <f t="shared" si="5"/>
        <v>0.54166666666666663</v>
      </c>
      <c r="I11" s="532">
        <f t="shared" si="6"/>
        <v>0.12008066990132348</v>
      </c>
      <c r="J11" s="7">
        <f t="shared" si="2"/>
        <v>0.40656496566815448</v>
      </c>
      <c r="K11" s="533">
        <f t="shared" si="3"/>
        <v>0.6585873737234369</v>
      </c>
    </row>
    <row r="12" spans="1:11" x14ac:dyDescent="0.25">
      <c r="A12" s="1184">
        <v>15</v>
      </c>
      <c r="B12" s="1184">
        <v>0</v>
      </c>
      <c r="D12" s="540">
        <v>10</v>
      </c>
      <c r="E12" s="1185">
        <f t="shared" si="4"/>
        <v>0</v>
      </c>
      <c r="F12" s="1185">
        <f t="shared" si="0"/>
        <v>8</v>
      </c>
      <c r="G12" s="7">
        <f t="shared" si="1"/>
        <v>1</v>
      </c>
      <c r="H12" s="533">
        <f t="shared" si="5"/>
        <v>0.54166666666666663</v>
      </c>
      <c r="I12" s="532">
        <f t="shared" si="6"/>
        <v>0.12008066990132348</v>
      </c>
      <c r="J12" s="7">
        <f t="shared" si="2"/>
        <v>0.40656496566815448</v>
      </c>
      <c r="K12" s="533">
        <f t="shared" si="3"/>
        <v>0.6585873737234369</v>
      </c>
    </row>
    <row r="13" spans="1:11" x14ac:dyDescent="0.25">
      <c r="A13" s="1184">
        <v>14</v>
      </c>
      <c r="B13" s="1184">
        <v>0</v>
      </c>
      <c r="D13" s="540">
        <v>11</v>
      </c>
      <c r="E13" s="1185">
        <f t="shared" si="4"/>
        <v>2</v>
      </c>
      <c r="F13" s="1185">
        <f t="shared" si="0"/>
        <v>6</v>
      </c>
      <c r="G13" s="7">
        <f t="shared" si="1"/>
        <v>0.66666666666666674</v>
      </c>
      <c r="H13" s="533">
        <f t="shared" si="5"/>
        <v>0.3611111111111111</v>
      </c>
      <c r="I13" s="532">
        <f t="shared" si="6"/>
        <v>0.13143582932017028</v>
      </c>
      <c r="J13" s="7">
        <f t="shared" si="2"/>
        <v>0.26936589682353268</v>
      </c>
      <c r="K13" s="533">
        <f t="shared" si="3"/>
        <v>0.45341141145439479</v>
      </c>
    </row>
    <row r="14" spans="1:11" x14ac:dyDescent="0.25">
      <c r="A14" s="1184">
        <v>2</v>
      </c>
      <c r="B14" s="1184">
        <v>1</v>
      </c>
      <c r="D14" s="436">
        <v>12</v>
      </c>
      <c r="E14" s="1186">
        <f t="shared" si="4"/>
        <v>2</v>
      </c>
      <c r="F14" s="1186">
        <f t="shared" si="0"/>
        <v>4</v>
      </c>
      <c r="G14" s="762">
        <f t="shared" si="1"/>
        <v>0.5</v>
      </c>
      <c r="H14" s="417">
        <f t="shared" si="5"/>
        <v>0.18055555555555555</v>
      </c>
      <c r="I14" s="409">
        <f t="shared" si="6"/>
        <v>0.1116643249554846</v>
      </c>
      <c r="J14" s="762">
        <f t="shared" si="2"/>
        <v>0.1429611804769266</v>
      </c>
      <c r="K14" s="417">
        <f t="shared" si="3"/>
        <v>0.22173496897283737</v>
      </c>
    </row>
    <row r="15" spans="1:11" x14ac:dyDescent="0.25">
      <c r="A15" s="1184">
        <v>11</v>
      </c>
      <c r="B15" s="1184">
        <v>1</v>
      </c>
    </row>
    <row r="16" spans="1:11" x14ac:dyDescent="0.25">
      <c r="A16" s="1184">
        <v>10</v>
      </c>
      <c r="B16" s="1184">
        <v>0</v>
      </c>
    </row>
    <row r="17" spans="1:11" x14ac:dyDescent="0.25">
      <c r="A17" s="1184">
        <v>9</v>
      </c>
      <c r="B17" s="1184">
        <v>0</v>
      </c>
    </row>
    <row r="18" spans="1:11" x14ac:dyDescent="0.25">
      <c r="A18" s="1184">
        <v>12</v>
      </c>
      <c r="B18" s="1184">
        <v>1</v>
      </c>
    </row>
    <row r="19" spans="1:11" x14ac:dyDescent="0.25">
      <c r="A19" s="1184">
        <v>5</v>
      </c>
      <c r="B19" s="1184">
        <v>1</v>
      </c>
    </row>
    <row r="20" spans="1:11" x14ac:dyDescent="0.25">
      <c r="A20" s="1184">
        <v>8</v>
      </c>
      <c r="B20" s="1184">
        <v>1</v>
      </c>
    </row>
    <row r="21" spans="1:11" x14ac:dyDescent="0.25">
      <c r="A21" s="1186">
        <v>11</v>
      </c>
      <c r="B21" s="1186">
        <v>1</v>
      </c>
    </row>
    <row r="22" spans="1:11" x14ac:dyDescent="0.25">
      <c r="I22" t="s">
        <v>34</v>
      </c>
      <c r="J22">
        <v>0.05</v>
      </c>
    </row>
    <row r="24" spans="1:11" x14ac:dyDescent="0.25">
      <c r="A24" s="1190" t="s">
        <v>2511</v>
      </c>
      <c r="B24" s="1190" t="s">
        <v>1245</v>
      </c>
      <c r="D24" s="13" t="s">
        <v>63</v>
      </c>
      <c r="E24" s="13" t="s">
        <v>44</v>
      </c>
      <c r="F24" s="13" t="s">
        <v>31</v>
      </c>
      <c r="G24" s="13" t="s">
        <v>2512</v>
      </c>
      <c r="H24" s="13" t="s">
        <v>2513</v>
      </c>
      <c r="I24" s="1184" t="s">
        <v>425</v>
      </c>
      <c r="J24" s="1184" t="s">
        <v>29</v>
      </c>
      <c r="K24" s="1184" t="s">
        <v>30</v>
      </c>
    </row>
    <row r="25" spans="1:11" x14ac:dyDescent="0.25">
      <c r="A25">
        <v>1</v>
      </c>
      <c r="B25">
        <v>1</v>
      </c>
      <c r="D25" s="1172">
        <v>0</v>
      </c>
      <c r="E25" s="827"/>
      <c r="F25" s="827">
        <f>COUNTIF($A$4:$A$21, "&gt;"&amp;D25-1)</f>
        <v>18</v>
      </c>
      <c r="G25" s="827"/>
      <c r="H25" s="1173">
        <v>1</v>
      </c>
      <c r="I25" s="1172"/>
      <c r="J25" s="827"/>
      <c r="K25" s="1173"/>
    </row>
    <row r="26" spans="1:11" x14ac:dyDescent="0.25">
      <c r="A26">
        <v>4</v>
      </c>
      <c r="B26">
        <v>1</v>
      </c>
      <c r="D26" s="532">
        <v>1</v>
      </c>
      <c r="E26" s="7">
        <f>COUNTIFS($A$25:$A$42,D26,$B$25:$B$42,1)</f>
        <v>1</v>
      </c>
      <c r="F26" s="7">
        <f>COUNTIF($A$25:$A$42, "&gt;"&amp;D26-1)</f>
        <v>18</v>
      </c>
      <c r="G26" s="7">
        <f t="shared" ref="G26:G34" si="7">1-E26/F26</f>
        <v>0.94444444444444442</v>
      </c>
      <c r="H26" s="533">
        <f>H25*G26</f>
        <v>0.94444444444444442</v>
      </c>
      <c r="I26" s="532">
        <f>SQRT(E26/(F26*(F26-E26))+(I25/H25)^2)*H26</f>
        <v>5.3990295322641671E-2</v>
      </c>
      <c r="J26" s="7">
        <f t="shared" ref="J26:J34" si="8">H26^EXP(NORMSINV($J$22/2)/LN(H26)*I26)</f>
        <v>0.69489073268773727</v>
      </c>
      <c r="K26" s="533">
        <f t="shared" ref="K26:K33" si="9">H26^EXP(-NORMSINV($J$22/2)/LN(H26)*I26)</f>
        <v>0.99106466962106132</v>
      </c>
    </row>
    <row r="27" spans="1:11" x14ac:dyDescent="0.25">
      <c r="A27">
        <v>9</v>
      </c>
      <c r="B27">
        <v>0</v>
      </c>
      <c r="D27" s="532">
        <v>3</v>
      </c>
      <c r="E27" s="7">
        <f t="shared" ref="E27:E34" si="10">COUNTIFS($A$25:$A$42,D27,$B$25:$B$42,1)</f>
        <v>1</v>
      </c>
      <c r="F27" s="7">
        <f t="shared" ref="F27:F34" si="11">COUNTIF($A$25:$A$42, "&gt;"&amp;D27-1)</f>
        <v>17</v>
      </c>
      <c r="G27" s="7">
        <f t="shared" si="7"/>
        <v>0.94117647058823528</v>
      </c>
      <c r="H27" s="533">
        <f t="shared" ref="H27:H34" si="12">H26*G27</f>
        <v>0.88888888888888884</v>
      </c>
      <c r="I27" s="532">
        <f>SQRT(E27/(F27*(F27-E27))+(I26/H26)^2)*H27</f>
        <v>7.4074074074074084E-2</v>
      </c>
      <c r="J27" s="7">
        <f t="shared" si="8"/>
        <v>0.66762899004798093</v>
      </c>
      <c r="K27" s="533">
        <f t="shared" si="9"/>
        <v>0.96624602275190852</v>
      </c>
    </row>
    <row r="28" spans="1:11" x14ac:dyDescent="0.25">
      <c r="A28">
        <v>10</v>
      </c>
      <c r="B28">
        <v>0</v>
      </c>
      <c r="D28" s="532">
        <v>4</v>
      </c>
      <c r="E28" s="7">
        <f t="shared" si="10"/>
        <v>1</v>
      </c>
      <c r="F28" s="7">
        <f t="shared" si="11"/>
        <v>16</v>
      </c>
      <c r="G28" s="7">
        <f t="shared" si="7"/>
        <v>0.9375</v>
      </c>
      <c r="H28" s="533">
        <f t="shared" si="12"/>
        <v>0.83333333333333326</v>
      </c>
      <c r="I28" s="532">
        <f t="shared" ref="I28:I33" si="13">SQRT(E28/(F28*(F28-E28))+(I27/H27)^2)*H28</f>
        <v>8.7841046115788315E-2</v>
      </c>
      <c r="J28" s="7">
        <f t="shared" si="8"/>
        <v>0.62578486477517026</v>
      </c>
      <c r="K28" s="533">
        <f t="shared" si="9"/>
        <v>0.93154138626728511</v>
      </c>
    </row>
    <row r="29" spans="1:11" x14ac:dyDescent="0.25">
      <c r="A29">
        <v>6</v>
      </c>
      <c r="B29">
        <v>1</v>
      </c>
      <c r="D29" s="532">
        <v>6</v>
      </c>
      <c r="E29" s="7">
        <f t="shared" si="10"/>
        <v>1</v>
      </c>
      <c r="F29" s="7">
        <f t="shared" si="11"/>
        <v>15</v>
      </c>
      <c r="G29" s="7">
        <f t="shared" si="7"/>
        <v>0.93333333333333335</v>
      </c>
      <c r="H29" s="533">
        <f t="shared" si="12"/>
        <v>0.77777777777777768</v>
      </c>
      <c r="I29" s="532">
        <f t="shared" si="13"/>
        <v>9.7990789298688541E-2</v>
      </c>
      <c r="J29" s="7">
        <f t="shared" si="8"/>
        <v>0.58295233774884547</v>
      </c>
      <c r="K29" s="533">
        <f t="shared" si="9"/>
        <v>0.8895523740059873</v>
      </c>
    </row>
    <row r="30" spans="1:11" x14ac:dyDescent="0.25">
      <c r="A30">
        <v>6</v>
      </c>
      <c r="B30">
        <v>0</v>
      </c>
      <c r="D30" s="532">
        <v>8</v>
      </c>
      <c r="E30" s="7">
        <f t="shared" si="10"/>
        <v>1</v>
      </c>
      <c r="F30" s="7">
        <f t="shared" si="11"/>
        <v>12</v>
      </c>
      <c r="G30" s="7">
        <f t="shared" si="7"/>
        <v>0.91666666666666663</v>
      </c>
      <c r="H30" s="533">
        <f t="shared" si="12"/>
        <v>0.7129629629629628</v>
      </c>
      <c r="I30" s="532">
        <f t="shared" si="13"/>
        <v>0.10917596392483944</v>
      </c>
      <c r="J30" s="7">
        <f t="shared" si="8"/>
        <v>0.52897443791079735</v>
      </c>
      <c r="K30" s="533">
        <f t="shared" si="9"/>
        <v>0.83548322222447258</v>
      </c>
    </row>
    <row r="31" spans="1:11" x14ac:dyDescent="0.25">
      <c r="A31">
        <v>10</v>
      </c>
      <c r="B31">
        <v>1</v>
      </c>
      <c r="D31" s="532">
        <v>9</v>
      </c>
      <c r="E31" s="7">
        <f t="shared" si="10"/>
        <v>0</v>
      </c>
      <c r="F31" s="7">
        <f t="shared" si="11"/>
        <v>10</v>
      </c>
      <c r="G31" s="7">
        <f t="shared" si="7"/>
        <v>1</v>
      </c>
      <c r="H31" s="533">
        <f t="shared" si="12"/>
        <v>0.7129629629629628</v>
      </c>
      <c r="I31" s="532">
        <f t="shared" si="13"/>
        <v>0.10917596392483944</v>
      </c>
      <c r="J31" s="7">
        <f t="shared" si="8"/>
        <v>0.52897443791079735</v>
      </c>
      <c r="K31" s="533">
        <f t="shared" si="9"/>
        <v>0.83548322222447258</v>
      </c>
    </row>
    <row r="32" spans="1:11" x14ac:dyDescent="0.25">
      <c r="A32">
        <v>10</v>
      </c>
      <c r="B32">
        <v>1</v>
      </c>
      <c r="D32" s="532">
        <v>10</v>
      </c>
      <c r="E32" s="7">
        <f t="shared" si="10"/>
        <v>2</v>
      </c>
      <c r="F32" s="7">
        <f t="shared" si="11"/>
        <v>9</v>
      </c>
      <c r="G32" s="7">
        <f t="shared" si="7"/>
        <v>0.77777777777777779</v>
      </c>
      <c r="H32" s="533">
        <f t="shared" si="12"/>
        <v>0.55452674897119325</v>
      </c>
      <c r="I32" s="532">
        <f t="shared" si="13"/>
        <v>0.13027815597312631</v>
      </c>
      <c r="J32" s="7">
        <f t="shared" si="8"/>
        <v>0.40284928693685773</v>
      </c>
      <c r="K32" s="533">
        <f t="shared" si="9"/>
        <v>0.68222189085099494</v>
      </c>
    </row>
    <row r="33" spans="1:11" x14ac:dyDescent="0.25">
      <c r="A33">
        <v>12</v>
      </c>
      <c r="B33">
        <v>0</v>
      </c>
      <c r="D33" s="532">
        <v>12</v>
      </c>
      <c r="E33" s="7">
        <f t="shared" si="10"/>
        <v>0</v>
      </c>
      <c r="F33" s="7">
        <f t="shared" si="11"/>
        <v>5</v>
      </c>
      <c r="G33" s="7">
        <f t="shared" si="7"/>
        <v>1</v>
      </c>
      <c r="H33" s="533">
        <f t="shared" si="12"/>
        <v>0.55452674897119325</v>
      </c>
      <c r="I33" s="532">
        <f t="shared" si="13"/>
        <v>0.13027815597312631</v>
      </c>
      <c r="J33" s="7">
        <f t="shared" si="8"/>
        <v>0.40284928693685773</v>
      </c>
      <c r="K33" s="533">
        <f t="shared" si="9"/>
        <v>0.68222189085099494</v>
      </c>
    </row>
    <row r="34" spans="1:11" x14ac:dyDescent="0.25">
      <c r="A34">
        <v>13</v>
      </c>
      <c r="B34">
        <v>0</v>
      </c>
      <c r="D34" s="409">
        <v>13</v>
      </c>
      <c r="E34" s="762">
        <f t="shared" si="10"/>
        <v>1</v>
      </c>
      <c r="F34" s="762">
        <f t="shared" si="11"/>
        <v>3</v>
      </c>
      <c r="G34" s="762">
        <f t="shared" si="7"/>
        <v>0.66666666666666674</v>
      </c>
      <c r="H34" s="417">
        <f t="shared" si="12"/>
        <v>0.36968449931412889</v>
      </c>
      <c r="I34" s="409">
        <f>SQRT(E34/(F34*(F34-E34))+(I33/H33)^2)*H34</f>
        <v>0.17412943309974277</v>
      </c>
      <c r="J34" s="762">
        <f t="shared" si="8"/>
        <v>0.24604917775781465</v>
      </c>
      <c r="K34" s="417">
        <f>H34^EXP(-NORMSINV($J$3/2)/LN(H34)*I34)</f>
        <v>0.49352157605433233</v>
      </c>
    </row>
    <row r="35" spans="1:11" x14ac:dyDescent="0.25">
      <c r="A35">
        <v>3</v>
      </c>
      <c r="B35">
        <v>1</v>
      </c>
    </row>
    <row r="36" spans="1:11" x14ac:dyDescent="0.25">
      <c r="A36">
        <v>13</v>
      </c>
      <c r="B36">
        <v>0</v>
      </c>
    </row>
    <row r="37" spans="1:11" x14ac:dyDescent="0.25">
      <c r="A37">
        <v>8</v>
      </c>
      <c r="B37">
        <v>0</v>
      </c>
    </row>
    <row r="38" spans="1:11" x14ac:dyDescent="0.25">
      <c r="A38">
        <v>10</v>
      </c>
      <c r="B38">
        <v>0</v>
      </c>
    </row>
    <row r="39" spans="1:11" x14ac:dyDescent="0.25">
      <c r="A39">
        <v>13</v>
      </c>
      <c r="B39">
        <v>1</v>
      </c>
    </row>
    <row r="40" spans="1:11" x14ac:dyDescent="0.25">
      <c r="A40">
        <v>6</v>
      </c>
      <c r="B40">
        <v>0</v>
      </c>
    </row>
    <row r="41" spans="1:11" x14ac:dyDescent="0.25">
      <c r="A41">
        <v>8</v>
      </c>
      <c r="B41">
        <v>1</v>
      </c>
    </row>
    <row r="42" spans="1:11" x14ac:dyDescent="0.25">
      <c r="A42" s="762">
        <v>12</v>
      </c>
      <c r="B42" s="76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1"/>
  <sheetViews>
    <sheetView workbookViewId="0">
      <selection activeCell="K13" sqref="K13"/>
    </sheetView>
  </sheetViews>
  <sheetFormatPr defaultRowHeight="15" x14ac:dyDescent="0.25"/>
  <cols>
    <col min="1" max="1" width="10" customWidth="1"/>
    <col min="2" max="3" width="9.140625" customWidth="1"/>
  </cols>
  <sheetData>
    <row r="1" spans="1:11" x14ac:dyDescent="0.25">
      <c r="A1" s="1" t="s">
        <v>2510</v>
      </c>
    </row>
    <row r="2" spans="1:11" x14ac:dyDescent="0.25">
      <c r="D2" t="s">
        <v>2577</v>
      </c>
      <c r="I2" t="s">
        <v>34</v>
      </c>
      <c r="J2">
        <v>0.05</v>
      </c>
    </row>
    <row r="3" spans="1:11" ht="15.75" thickBot="1" x14ac:dyDescent="0.3">
      <c r="A3" s="1187" t="s">
        <v>2511</v>
      </c>
      <c r="B3" s="1187" t="s">
        <v>1245</v>
      </c>
    </row>
    <row r="4" spans="1:11" ht="15.75" thickTop="1" x14ac:dyDescent="0.25">
      <c r="A4" s="1188">
        <v>3</v>
      </c>
      <c r="B4" s="1188">
        <v>1</v>
      </c>
      <c r="D4" s="826" t="s">
        <v>63</v>
      </c>
      <c r="E4" s="826" t="s">
        <v>44</v>
      </c>
      <c r="F4" s="826" t="s">
        <v>31</v>
      </c>
      <c r="G4" s="826" t="s">
        <v>2512</v>
      </c>
      <c r="H4" s="826" t="s">
        <v>2513</v>
      </c>
      <c r="I4" s="826" t="s">
        <v>425</v>
      </c>
      <c r="J4" s="826" t="s">
        <v>29</v>
      </c>
      <c r="K4" s="826" t="s">
        <v>30</v>
      </c>
    </row>
    <row r="5" spans="1:11" x14ac:dyDescent="0.25">
      <c r="A5" s="1188">
        <v>5</v>
      </c>
      <c r="B5" s="1188">
        <v>1</v>
      </c>
      <c r="D5">
        <v>0</v>
      </c>
      <c r="F5">
        <f>COUNT(A4:A21)</f>
        <v>18</v>
      </c>
      <c r="H5">
        <v>1</v>
      </c>
    </row>
    <row r="6" spans="1:11" x14ac:dyDescent="0.25">
      <c r="A6" s="1188">
        <v>8</v>
      </c>
      <c r="B6" s="1188">
        <v>1</v>
      </c>
      <c r="D6">
        <f t="array" ref="D6:D13">[1]!SortUnique(A4:A21)</f>
        <v>2</v>
      </c>
      <c r="E6">
        <f>COUNTIFS($A$4:$A$21,D6,$B$4:$B$21,1)</f>
        <v>1</v>
      </c>
      <c r="F6">
        <f>COUNTIF($A$4:$A$21,"&gt;"&amp;D6-1)</f>
        <v>18</v>
      </c>
      <c r="G6">
        <f>1-E6/F6</f>
        <v>0.94444444444444442</v>
      </c>
      <c r="H6">
        <f>H5*G6</f>
        <v>0.94444444444444442</v>
      </c>
      <c r="I6">
        <f>IF(H6&gt;0,SQRT(E6/(F6*(F6-E6))+(I5/H5)^2)*H6,0)</f>
        <v>5.3990295322641671E-2</v>
      </c>
      <c r="J6">
        <f>IF(I6&gt;0,H6^EXP(NORMSINV($J$2/2)/LN(H6)*I6),"")</f>
        <v>0.69489073268773727</v>
      </c>
      <c r="K6">
        <f>IF(I6&gt;0,H6^EXP(-NORMSINV($J$2/2)/LN(H6)*I6),"")</f>
        <v>0.99106466962106132</v>
      </c>
    </row>
    <row r="7" spans="1:11" x14ac:dyDescent="0.25">
      <c r="A7" s="1188">
        <v>10</v>
      </c>
      <c r="B7" s="1188">
        <v>0</v>
      </c>
      <c r="D7">
        <v>3</v>
      </c>
      <c r="E7">
        <f t="shared" ref="E7:E13" si="0">COUNTIFS($A$4:$A$21,D7,$B$4:$B$21,1)</f>
        <v>1</v>
      </c>
      <c r="F7">
        <f t="shared" ref="F7:F13" si="1">COUNTIF($A$4:$A$21,"&gt;"&amp;D7-1)</f>
        <v>17</v>
      </c>
      <c r="G7">
        <f t="shared" ref="G7:G13" si="2">1-E7/F7</f>
        <v>0.94117647058823528</v>
      </c>
      <c r="H7">
        <f t="shared" ref="H7:H13" si="3">H6*G7</f>
        <v>0.88888888888888884</v>
      </c>
      <c r="I7">
        <f t="shared" ref="I7:I13" si="4">IF(H7&gt;0,SQRT(E7/(F7*(F7-E7))+(I6/H6)^2)*H7,0)</f>
        <v>7.4074074074074084E-2</v>
      </c>
      <c r="J7">
        <f t="shared" ref="J7:J13" si="5">IF(I7&gt;0,H7^EXP(NORMSINV($J$2/2)/LN(H7)*I7),"")</f>
        <v>0.66762899004798093</v>
      </c>
      <c r="K7">
        <f t="shared" ref="K7:K13" si="6">IF(I7&gt;0,H7^EXP(-NORMSINV($J$2/2)/LN(H7)*I7),"")</f>
        <v>0.96624602275190852</v>
      </c>
    </row>
    <row r="8" spans="1:11" x14ac:dyDescent="0.25">
      <c r="A8" s="1188">
        <v>5</v>
      </c>
      <c r="B8" s="1188">
        <v>1</v>
      </c>
      <c r="D8">
        <v>5</v>
      </c>
      <c r="E8">
        <f t="shared" si="0"/>
        <v>3</v>
      </c>
      <c r="F8">
        <f t="shared" si="1"/>
        <v>16</v>
      </c>
      <c r="G8">
        <f t="shared" si="2"/>
        <v>0.8125</v>
      </c>
      <c r="H8">
        <f t="shared" si="3"/>
        <v>0.72222222222222221</v>
      </c>
      <c r="I8">
        <f t="shared" si="4"/>
        <v>0.10557179862029056</v>
      </c>
      <c r="J8">
        <f t="shared" si="5"/>
        <v>0.54085937571829679</v>
      </c>
      <c r="K8">
        <f t="shared" si="6"/>
        <v>0.841719970252925</v>
      </c>
    </row>
    <row r="9" spans="1:11" x14ac:dyDescent="0.25">
      <c r="A9" s="1188">
        <v>5</v>
      </c>
      <c r="B9" s="1188">
        <v>0</v>
      </c>
      <c r="D9">
        <v>8</v>
      </c>
      <c r="E9">
        <f t="shared" si="0"/>
        <v>3</v>
      </c>
      <c r="F9">
        <f t="shared" si="1"/>
        <v>12</v>
      </c>
      <c r="G9">
        <f t="shared" si="2"/>
        <v>0.75</v>
      </c>
      <c r="H9">
        <f t="shared" si="3"/>
        <v>0.54166666666666663</v>
      </c>
      <c r="I9">
        <f t="shared" si="4"/>
        <v>0.12008066990132348</v>
      </c>
      <c r="J9">
        <f t="shared" si="5"/>
        <v>0.40656496566815448</v>
      </c>
      <c r="K9">
        <f t="shared" si="6"/>
        <v>0.6585873737234369</v>
      </c>
    </row>
    <row r="10" spans="1:11" x14ac:dyDescent="0.25">
      <c r="A10" s="1188">
        <v>8</v>
      </c>
      <c r="B10" s="1188">
        <v>1</v>
      </c>
      <c r="D10">
        <v>9</v>
      </c>
      <c r="E10">
        <f t="shared" si="0"/>
        <v>0</v>
      </c>
      <c r="F10">
        <f t="shared" si="1"/>
        <v>9</v>
      </c>
      <c r="G10">
        <f t="shared" si="2"/>
        <v>1</v>
      </c>
      <c r="H10">
        <f t="shared" si="3"/>
        <v>0.54166666666666663</v>
      </c>
      <c r="I10">
        <f t="shared" si="4"/>
        <v>0.12008066990132348</v>
      </c>
      <c r="J10">
        <f t="shared" si="5"/>
        <v>0.40656496566815448</v>
      </c>
      <c r="K10">
        <f t="shared" si="6"/>
        <v>0.6585873737234369</v>
      </c>
    </row>
    <row r="11" spans="1:11" x14ac:dyDescent="0.25">
      <c r="A11" s="1188">
        <v>12</v>
      </c>
      <c r="B11" s="1188">
        <v>1</v>
      </c>
      <c r="D11">
        <v>10</v>
      </c>
      <c r="E11">
        <f t="shared" si="0"/>
        <v>0</v>
      </c>
      <c r="F11">
        <f t="shared" si="1"/>
        <v>8</v>
      </c>
      <c r="G11">
        <f t="shared" si="2"/>
        <v>1</v>
      </c>
      <c r="H11">
        <f t="shared" si="3"/>
        <v>0.54166666666666663</v>
      </c>
      <c r="I11">
        <f t="shared" si="4"/>
        <v>0.12008066990132348</v>
      </c>
      <c r="J11">
        <f t="shared" si="5"/>
        <v>0.40656496566815448</v>
      </c>
      <c r="K11">
        <f t="shared" si="6"/>
        <v>0.6585873737234369</v>
      </c>
    </row>
    <row r="12" spans="1:11" x14ac:dyDescent="0.25">
      <c r="A12" s="1188">
        <v>15</v>
      </c>
      <c r="B12" s="1188">
        <v>0</v>
      </c>
      <c r="D12">
        <v>11</v>
      </c>
      <c r="E12">
        <f t="shared" si="0"/>
        <v>2</v>
      </c>
      <c r="F12">
        <f t="shared" si="1"/>
        <v>6</v>
      </c>
      <c r="G12">
        <f t="shared" si="2"/>
        <v>0.66666666666666674</v>
      </c>
      <c r="H12">
        <f t="shared" si="3"/>
        <v>0.3611111111111111</v>
      </c>
      <c r="I12">
        <f t="shared" si="4"/>
        <v>0.13143582932017028</v>
      </c>
      <c r="J12">
        <f t="shared" si="5"/>
        <v>0.26936589682353268</v>
      </c>
      <c r="K12">
        <f t="shared" si="6"/>
        <v>0.45341141145439479</v>
      </c>
    </row>
    <row r="13" spans="1:11" x14ac:dyDescent="0.25">
      <c r="A13" s="1188">
        <v>14</v>
      </c>
      <c r="B13" s="1188">
        <v>0</v>
      </c>
      <c r="D13">
        <v>12</v>
      </c>
      <c r="E13">
        <f t="shared" si="0"/>
        <v>2</v>
      </c>
      <c r="F13">
        <f t="shared" si="1"/>
        <v>4</v>
      </c>
      <c r="G13">
        <f t="shared" si="2"/>
        <v>0.5</v>
      </c>
      <c r="H13">
        <f t="shared" si="3"/>
        <v>0.18055555555555555</v>
      </c>
      <c r="I13">
        <f t="shared" si="4"/>
        <v>0.1116643249554846</v>
      </c>
      <c r="J13">
        <f t="shared" si="5"/>
        <v>0.1429611804769266</v>
      </c>
      <c r="K13">
        <f t="shared" si="6"/>
        <v>0.22173496897283737</v>
      </c>
    </row>
    <row r="14" spans="1:11" x14ac:dyDescent="0.25">
      <c r="A14" s="1188">
        <v>2</v>
      </c>
      <c r="B14" s="1188">
        <v>1</v>
      </c>
      <c r="D14" s="827"/>
      <c r="E14" s="827"/>
      <c r="F14" s="827"/>
      <c r="G14" s="827"/>
      <c r="H14" s="827"/>
      <c r="I14" s="827"/>
      <c r="J14" s="827"/>
      <c r="K14" s="827"/>
    </row>
    <row r="15" spans="1:11" x14ac:dyDescent="0.25">
      <c r="A15" s="1188">
        <v>11</v>
      </c>
      <c r="B15" s="1188">
        <v>1</v>
      </c>
    </row>
    <row r="16" spans="1:11" x14ac:dyDescent="0.25">
      <c r="A16" s="1188">
        <v>10</v>
      </c>
      <c r="B16" s="1188">
        <v>0</v>
      </c>
    </row>
    <row r="17" spans="1:2" x14ac:dyDescent="0.25">
      <c r="A17" s="1188">
        <v>9</v>
      </c>
      <c r="B17" s="1188">
        <v>0</v>
      </c>
    </row>
    <row r="18" spans="1:2" x14ac:dyDescent="0.25">
      <c r="A18" s="1188">
        <v>12</v>
      </c>
      <c r="B18" s="1188">
        <v>1</v>
      </c>
    </row>
    <row r="19" spans="1:2" x14ac:dyDescent="0.25">
      <c r="A19" s="1188">
        <v>5</v>
      </c>
      <c r="B19" s="1188">
        <v>1</v>
      </c>
    </row>
    <row r="20" spans="1:2" x14ac:dyDescent="0.25">
      <c r="A20" s="1188">
        <v>8</v>
      </c>
      <c r="B20" s="1188">
        <v>1</v>
      </c>
    </row>
    <row r="21" spans="1:2" x14ac:dyDescent="0.25">
      <c r="A21" s="1189">
        <v>11</v>
      </c>
      <c r="B21" s="1189">
        <v>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23"/>
  <sheetViews>
    <sheetView workbookViewId="0"/>
  </sheetViews>
  <sheetFormatPr defaultRowHeight="15" x14ac:dyDescent="0.25"/>
  <cols>
    <col min="1" max="1" width="10.42578125" customWidth="1"/>
    <col min="2" max="2" width="6.7109375" customWidth="1"/>
    <col min="3" max="3" width="4.28515625" customWidth="1"/>
    <col min="4" max="4" width="10.42578125" customWidth="1"/>
    <col min="5" max="5" width="6.7109375" customWidth="1"/>
    <col min="6" max="6" width="9.140625" customWidth="1"/>
    <col min="9" max="9" width="9.140625" customWidth="1"/>
    <col min="22" max="22" width="9.140625" customWidth="1"/>
    <col min="23" max="23" width="13.85546875" customWidth="1"/>
  </cols>
  <sheetData>
    <row r="1" spans="1:25" x14ac:dyDescent="0.25">
      <c r="A1" s="1" t="s">
        <v>2580</v>
      </c>
    </row>
    <row r="3" spans="1:25" x14ac:dyDescent="0.25">
      <c r="A3" s="1309" t="s">
        <v>2515</v>
      </c>
      <c r="B3" s="1309"/>
      <c r="D3" s="1309" t="s">
        <v>2516</v>
      </c>
      <c r="E3" s="1309"/>
      <c r="G3" t="s">
        <v>2577</v>
      </c>
      <c r="L3" t="s">
        <v>34</v>
      </c>
      <c r="M3">
        <v>0.05</v>
      </c>
    </row>
    <row r="5" spans="1:25" ht="15.75" thickBot="1" x14ac:dyDescent="0.3">
      <c r="A5" s="1187" t="s">
        <v>2511</v>
      </c>
      <c r="B5" s="1187" t="s">
        <v>1245</v>
      </c>
      <c r="C5" s="1188"/>
      <c r="D5" s="1187" t="s">
        <v>2511</v>
      </c>
      <c r="E5" s="1187" t="s">
        <v>1245</v>
      </c>
      <c r="H5" t="s">
        <v>2578</v>
      </c>
      <c r="O5" t="s">
        <v>2579</v>
      </c>
    </row>
    <row r="6" spans="1:25" ht="15.75" thickTop="1" x14ac:dyDescent="0.25">
      <c r="A6" s="1188">
        <v>3</v>
      </c>
      <c r="B6" s="1188">
        <v>1</v>
      </c>
      <c r="C6" s="1188"/>
      <c r="D6" s="1188">
        <v>1</v>
      </c>
      <c r="E6" s="1188">
        <v>1</v>
      </c>
      <c r="G6" s="1210" t="s">
        <v>63</v>
      </c>
      <c r="H6" s="1210" t="s">
        <v>44</v>
      </c>
      <c r="I6" s="1211" t="s">
        <v>31</v>
      </c>
      <c r="J6" s="1211" t="s">
        <v>2512</v>
      </c>
      <c r="K6" s="1211" t="s">
        <v>2513</v>
      </c>
      <c r="L6" s="1211" t="s">
        <v>425</v>
      </c>
      <c r="M6" s="1211" t="s">
        <v>29</v>
      </c>
      <c r="N6" s="1212" t="s">
        <v>30</v>
      </c>
      <c r="O6" s="1211" t="s">
        <v>44</v>
      </c>
      <c r="P6" s="1211" t="s">
        <v>31</v>
      </c>
      <c r="Q6" s="1211" t="s">
        <v>2512</v>
      </c>
      <c r="R6" s="1211" t="s">
        <v>2513</v>
      </c>
      <c r="S6" s="1211" t="s">
        <v>425</v>
      </c>
      <c r="T6" s="1211" t="s">
        <v>29</v>
      </c>
      <c r="U6" s="1212" t="s">
        <v>30</v>
      </c>
      <c r="W6" t="s">
        <v>2581</v>
      </c>
    </row>
    <row r="7" spans="1:25" x14ac:dyDescent="0.25">
      <c r="A7" s="1188">
        <v>5</v>
      </c>
      <c r="B7" s="1188">
        <v>1</v>
      </c>
      <c r="C7" s="1188"/>
      <c r="D7" s="1188">
        <v>4</v>
      </c>
      <c r="E7" s="1188">
        <v>1</v>
      </c>
      <c r="G7" s="501">
        <v>0</v>
      </c>
      <c r="H7" s="501"/>
      <c r="I7" s="7">
        <f>COUNT(A6:A23)</f>
        <v>18</v>
      </c>
      <c r="J7" s="7"/>
      <c r="K7" s="7">
        <v>1</v>
      </c>
      <c r="L7" s="7"/>
      <c r="M7" s="7"/>
      <c r="N7" s="57"/>
      <c r="O7" s="7"/>
      <c r="P7" s="7">
        <f>COUNT(D6:D23)</f>
        <v>18</v>
      </c>
      <c r="Q7" s="7"/>
      <c r="R7" s="7">
        <v>1</v>
      </c>
      <c r="S7" s="7"/>
      <c r="T7" s="7"/>
      <c r="U7" s="57"/>
    </row>
    <row r="8" spans="1:25" x14ac:dyDescent="0.25">
      <c r="A8" s="1188">
        <v>8</v>
      </c>
      <c r="B8" s="1188">
        <v>1</v>
      </c>
      <c r="C8" s="1188"/>
      <c r="D8" s="1188">
        <v>9</v>
      </c>
      <c r="E8" s="1188">
        <v>0</v>
      </c>
      <c r="G8" s="501">
        <f t="array" ref="G8:G19">[1]!SortUnique([1]!MERGE(A6:A23,D6:D23))</f>
        <v>1</v>
      </c>
      <c r="H8" s="501">
        <f>COUNTIFS($A$6:$A$23,G8,$B$6:$B$23,1)</f>
        <v>0</v>
      </c>
      <c r="I8" s="7">
        <f>COUNTIF($A$6:$A$23,"&gt;"&amp;G8-1)</f>
        <v>18</v>
      </c>
      <c r="J8" s="7">
        <f>IF(I8&gt;0,1-H8/I8,0)</f>
        <v>1</v>
      </c>
      <c r="K8" s="7">
        <f>K7*J8</f>
        <v>1</v>
      </c>
      <c r="L8" s="7">
        <f>IF(K8&gt;0,SQRT(H8/(I8*(I8-H8))+(L7/K7)^2)*K8,0)</f>
        <v>0</v>
      </c>
      <c r="M8" s="7">
        <f>IF(L8&gt;0,K8^EXP(NORMSINV($M$3/2)/LN(K8)*L8),K8)</f>
        <v>1</v>
      </c>
      <c r="N8" s="57" t="str">
        <f>IF(L8&gt;0,K8^EXP(-NORMSINV($M$3/2)/LN(K8)*L8),"")</f>
        <v/>
      </c>
      <c r="O8" s="7">
        <f>COUNTIFS($D$6:$D$23,G8,$E$6:$E$23,1)</f>
        <v>1</v>
      </c>
      <c r="P8" s="7">
        <f>COUNTIF($D$6:$D$23,"&gt;"&amp;G8-1)</f>
        <v>18</v>
      </c>
      <c r="Q8" s="7">
        <f>IF(P8&gt;0,1-O8/P8,0)</f>
        <v>0.94444444444444442</v>
      </c>
      <c r="R8" s="7">
        <f>R7*Q8</f>
        <v>0.94444444444444442</v>
      </c>
      <c r="S8" s="7">
        <f>IF(R8&gt;0,SQRT(O8/(P8*(P8-O8))+(S7/R7)^2)*R8,0)</f>
        <v>5.3990295322641671E-2</v>
      </c>
      <c r="T8" s="7">
        <f>IF(S8&gt;0,R8^EXP(NORMSINV($M$3/2)/LN(R8)*S8),"")</f>
        <v>0.69489073268773727</v>
      </c>
      <c r="U8" s="57">
        <f>IF(S8&gt;0,R8^EXP(-NORMSINV($M$3/2)/LN(R8)*S8),"")</f>
        <v>0.99106466962106132</v>
      </c>
      <c r="W8" t="str">
        <f t="array" ref="W8:Y12">[1]!LOGRANK(H8:I19,O8:P19,TRUE)</f>
        <v/>
      </c>
      <c r="X8" s="1188" t="str">
        <v>stat</v>
      </c>
      <c r="Y8" s="1188" t="str">
        <v>p-value</v>
      </c>
    </row>
    <row r="9" spans="1:25" x14ac:dyDescent="0.25">
      <c r="A9" s="1188">
        <v>10</v>
      </c>
      <c r="B9" s="1188">
        <v>0</v>
      </c>
      <c r="C9" s="1188"/>
      <c r="D9" s="1188">
        <v>10</v>
      </c>
      <c r="E9" s="1188">
        <v>0</v>
      </c>
      <c r="G9" s="501">
        <v>2</v>
      </c>
      <c r="H9" s="501">
        <f t="shared" ref="H9:H19" si="0">COUNTIFS($A$6:$A$23,G9,$B$6:$B$23,1)</f>
        <v>1</v>
      </c>
      <c r="I9" s="7">
        <f t="shared" ref="I9:I19" si="1">COUNTIF($A$6:$A$23,"&gt;"&amp;G9-1)</f>
        <v>18</v>
      </c>
      <c r="J9" s="7">
        <f t="shared" ref="J9:J19" si="2">IF(I9&gt;0,1-H9/I9,0)</f>
        <v>0.94444444444444442</v>
      </c>
      <c r="K9" s="7">
        <f t="shared" ref="K9:K19" si="3">K8*J9</f>
        <v>0.94444444444444442</v>
      </c>
      <c r="L9" s="7">
        <f t="shared" ref="L9:L19" si="4">IF(K9&gt;0,SQRT(H9/(I9*(I9-H9))+(L8/K8)^2)*K9,0)</f>
        <v>5.3990295322641671E-2</v>
      </c>
      <c r="M9" s="7">
        <f t="shared" ref="M9:M19" si="5">IF(L9&gt;0,K9^EXP(NORMSINV($M$3/2)/LN(K9)*L9),K9)</f>
        <v>0.69489073268773727</v>
      </c>
      <c r="N9" s="57">
        <f t="shared" ref="N9:N19" si="6">IF(L9&gt;0,K9^EXP(-NORMSINV($M$3/2)/LN(K9)*L9),"")</f>
        <v>0.99106466962106132</v>
      </c>
      <c r="O9" s="7">
        <f t="shared" ref="O9:O19" si="7">COUNTIFS($D$6:$D$23,G9,$E$6:$E$23,1)</f>
        <v>0</v>
      </c>
      <c r="P9" s="7">
        <f t="shared" ref="P9:P19" si="8">COUNTIF($D$6:$D$23,"&gt;"&amp;G9-1)</f>
        <v>17</v>
      </c>
      <c r="Q9" s="7">
        <f t="shared" ref="Q9:Q19" si="9">IF(P9&gt;0,1-O9/P9,0)</f>
        <v>1</v>
      </c>
      <c r="R9" s="7">
        <f t="shared" ref="R9:R19" si="10">R8*Q9</f>
        <v>0.94444444444444442</v>
      </c>
      <c r="S9" s="7">
        <f t="shared" ref="S9:S19" si="11">IF(R9&gt;0,SQRT(O9/(P9*(P9-O9))+(S8/R8)^2)*R9,0)</f>
        <v>5.3990295322641671E-2</v>
      </c>
      <c r="T9" s="7">
        <f t="shared" ref="T9:T19" si="12">IF(S9&gt;0,R9^EXP(NORMSINV($M$3/2)/LN(R9)*S9),"")</f>
        <v>0.69489073268773727</v>
      </c>
      <c r="U9" s="57">
        <f t="shared" ref="U9:U19" si="13">IF(S9&gt;0,R9^EXP(-NORMSINV($M$3/2)/LN(R9)*S9),"")</f>
        <v>0.99106466962106132</v>
      </c>
      <c r="W9" t="str">
        <v>Log-rank 1</v>
      </c>
      <c r="X9" s="1154">
        <v>0.94371601891821644</v>
      </c>
      <c r="Y9" s="1176">
        <v>0.33132400545242807</v>
      </c>
    </row>
    <row r="10" spans="1:25" x14ac:dyDescent="0.25">
      <c r="A10" s="1188">
        <v>5</v>
      </c>
      <c r="B10" s="1188">
        <v>1</v>
      </c>
      <c r="C10" s="1188"/>
      <c r="D10" s="1188">
        <v>6</v>
      </c>
      <c r="E10" s="1188">
        <v>1</v>
      </c>
      <c r="G10" s="501">
        <v>3</v>
      </c>
      <c r="H10" s="501">
        <f t="shared" si="0"/>
        <v>1</v>
      </c>
      <c r="I10" s="7">
        <f t="shared" si="1"/>
        <v>17</v>
      </c>
      <c r="J10" s="7">
        <f t="shared" si="2"/>
        <v>0.94117647058823528</v>
      </c>
      <c r="K10" s="7">
        <f t="shared" si="3"/>
        <v>0.88888888888888884</v>
      </c>
      <c r="L10" s="7">
        <f t="shared" si="4"/>
        <v>7.4074074074074084E-2</v>
      </c>
      <c r="M10" s="7">
        <f t="shared" si="5"/>
        <v>0.66762899004798093</v>
      </c>
      <c r="N10" s="57">
        <f t="shared" si="6"/>
        <v>0.96624602275190852</v>
      </c>
      <c r="O10" s="7">
        <f t="shared" si="7"/>
        <v>1</v>
      </c>
      <c r="P10" s="7">
        <f t="shared" si="8"/>
        <v>17</v>
      </c>
      <c r="Q10" s="7">
        <f t="shared" si="9"/>
        <v>0.94117647058823528</v>
      </c>
      <c r="R10" s="7">
        <f t="shared" si="10"/>
        <v>0.88888888888888884</v>
      </c>
      <c r="S10" s="7">
        <f t="shared" si="11"/>
        <v>7.4074074074074084E-2</v>
      </c>
      <c r="T10" s="7">
        <f t="shared" si="12"/>
        <v>0.66762899004798093</v>
      </c>
      <c r="U10" s="57">
        <f t="shared" si="13"/>
        <v>0.96624602275190852</v>
      </c>
      <c r="W10" t="str">
        <v>Log-rank 2</v>
      </c>
      <c r="X10" s="501">
        <v>1.0175333840309242</v>
      </c>
      <c r="Y10" s="57">
        <v>0.31310481272620255</v>
      </c>
    </row>
    <row r="11" spans="1:25" x14ac:dyDescent="0.25">
      <c r="A11" s="1188">
        <v>5</v>
      </c>
      <c r="B11" s="1188">
        <v>0</v>
      </c>
      <c r="C11" s="1188"/>
      <c r="D11" s="1188">
        <v>6</v>
      </c>
      <c r="E11" s="1188">
        <v>0</v>
      </c>
      <c r="G11" s="501">
        <v>4</v>
      </c>
      <c r="H11" s="501">
        <f t="shared" si="0"/>
        <v>0</v>
      </c>
      <c r="I11" s="7">
        <f t="shared" si="1"/>
        <v>16</v>
      </c>
      <c r="J11" s="7">
        <f t="shared" si="2"/>
        <v>1</v>
      </c>
      <c r="K11" s="7">
        <f t="shared" si="3"/>
        <v>0.88888888888888884</v>
      </c>
      <c r="L11" s="7">
        <f t="shared" si="4"/>
        <v>7.4074074074074084E-2</v>
      </c>
      <c r="M11" s="7">
        <f t="shared" si="5"/>
        <v>0.66762899004798093</v>
      </c>
      <c r="N11" s="57">
        <f t="shared" si="6"/>
        <v>0.96624602275190852</v>
      </c>
      <c r="O11" s="7">
        <f t="shared" si="7"/>
        <v>1</v>
      </c>
      <c r="P11" s="7">
        <f t="shared" si="8"/>
        <v>16</v>
      </c>
      <c r="Q11" s="7">
        <f t="shared" si="9"/>
        <v>0.9375</v>
      </c>
      <c r="R11" s="7">
        <f t="shared" si="10"/>
        <v>0.83333333333333326</v>
      </c>
      <c r="S11" s="7">
        <f t="shared" si="11"/>
        <v>8.7841046115788315E-2</v>
      </c>
      <c r="T11" s="7">
        <f t="shared" si="12"/>
        <v>0.62578486477517026</v>
      </c>
      <c r="U11" s="57">
        <f t="shared" si="13"/>
        <v>0.93154138626728511</v>
      </c>
      <c r="W11" t="str">
        <v>Wilcoxon</v>
      </c>
      <c r="X11" s="501">
        <v>0.58230228593298772</v>
      </c>
      <c r="Y11" s="57">
        <v>0.4454113106855242</v>
      </c>
    </row>
    <row r="12" spans="1:25" x14ac:dyDescent="0.25">
      <c r="A12" s="1188">
        <v>8</v>
      </c>
      <c r="B12" s="1188">
        <v>1</v>
      </c>
      <c r="C12" s="1188"/>
      <c r="D12" s="1188">
        <v>10</v>
      </c>
      <c r="E12" s="1188">
        <v>1</v>
      </c>
      <c r="G12" s="501">
        <v>5</v>
      </c>
      <c r="H12" s="501">
        <f t="shared" si="0"/>
        <v>3</v>
      </c>
      <c r="I12" s="7">
        <f t="shared" si="1"/>
        <v>16</v>
      </c>
      <c r="J12" s="7">
        <f t="shared" si="2"/>
        <v>0.8125</v>
      </c>
      <c r="K12" s="7">
        <f t="shared" si="3"/>
        <v>0.72222222222222221</v>
      </c>
      <c r="L12" s="7">
        <f t="shared" si="4"/>
        <v>0.10557179862029056</v>
      </c>
      <c r="M12" s="7">
        <f t="shared" si="5"/>
        <v>0.54085937571829679</v>
      </c>
      <c r="N12" s="57">
        <f t="shared" si="6"/>
        <v>0.841719970252925</v>
      </c>
      <c r="O12" s="7">
        <f t="shared" si="7"/>
        <v>0</v>
      </c>
      <c r="P12" s="7">
        <f t="shared" si="8"/>
        <v>15</v>
      </c>
      <c r="Q12" s="7">
        <f t="shared" si="9"/>
        <v>1</v>
      </c>
      <c r="R12" s="7">
        <f t="shared" si="10"/>
        <v>0.83333333333333326</v>
      </c>
      <c r="S12" s="7">
        <f t="shared" si="11"/>
        <v>8.7841046115788315E-2</v>
      </c>
      <c r="T12" s="7">
        <f t="shared" si="12"/>
        <v>0.62578486477517026</v>
      </c>
      <c r="U12" s="57">
        <f t="shared" si="13"/>
        <v>0.93154138626728511</v>
      </c>
      <c r="W12" t="str">
        <v>Tarone-Ware</v>
      </c>
      <c r="X12" s="759">
        <v>0.78908810588817824</v>
      </c>
      <c r="Y12" s="761">
        <v>0.37437600473328969</v>
      </c>
    </row>
    <row r="13" spans="1:25" x14ac:dyDescent="0.25">
      <c r="A13" s="1188">
        <v>12</v>
      </c>
      <c r="B13" s="1188">
        <v>1</v>
      </c>
      <c r="C13" s="1188"/>
      <c r="D13" s="1188">
        <v>10</v>
      </c>
      <c r="E13" s="1188">
        <v>1</v>
      </c>
      <c r="G13" s="501">
        <v>6</v>
      </c>
      <c r="H13" s="501">
        <f t="shared" si="0"/>
        <v>0</v>
      </c>
      <c r="I13" s="7">
        <f t="shared" si="1"/>
        <v>12</v>
      </c>
      <c r="J13" s="7">
        <f t="shared" si="2"/>
        <v>1</v>
      </c>
      <c r="K13" s="7">
        <f t="shared" si="3"/>
        <v>0.72222222222222221</v>
      </c>
      <c r="L13" s="7">
        <f t="shared" si="4"/>
        <v>0.10557179862029056</v>
      </c>
      <c r="M13" s="7">
        <f t="shared" si="5"/>
        <v>0.54085937571829679</v>
      </c>
      <c r="N13" s="57">
        <f t="shared" si="6"/>
        <v>0.841719970252925</v>
      </c>
      <c r="O13" s="7">
        <f t="shared" si="7"/>
        <v>1</v>
      </c>
      <c r="P13" s="7">
        <f t="shared" si="8"/>
        <v>15</v>
      </c>
      <c r="Q13" s="7">
        <f t="shared" si="9"/>
        <v>0.93333333333333335</v>
      </c>
      <c r="R13" s="7">
        <f t="shared" si="10"/>
        <v>0.77777777777777768</v>
      </c>
      <c r="S13" s="7">
        <f t="shared" si="11"/>
        <v>9.7990789298688541E-2</v>
      </c>
      <c r="T13" s="7">
        <f t="shared" si="12"/>
        <v>0.58295233774884547</v>
      </c>
      <c r="U13" s="57">
        <f t="shared" si="13"/>
        <v>0.8895523740059873</v>
      </c>
    </row>
    <row r="14" spans="1:25" x14ac:dyDescent="0.25">
      <c r="A14" s="1188">
        <v>15</v>
      </c>
      <c r="B14" s="1188">
        <v>0</v>
      </c>
      <c r="C14" s="1188"/>
      <c r="D14" s="1188">
        <v>12</v>
      </c>
      <c r="E14" s="1188">
        <v>0</v>
      </c>
      <c r="G14" s="501">
        <v>8</v>
      </c>
      <c r="H14" s="501">
        <f t="shared" si="0"/>
        <v>3</v>
      </c>
      <c r="I14" s="7">
        <f t="shared" si="1"/>
        <v>12</v>
      </c>
      <c r="J14" s="7">
        <f t="shared" si="2"/>
        <v>0.75</v>
      </c>
      <c r="K14" s="7">
        <f t="shared" si="3"/>
        <v>0.54166666666666663</v>
      </c>
      <c r="L14" s="7">
        <f t="shared" si="4"/>
        <v>0.12008066990132348</v>
      </c>
      <c r="M14" s="7">
        <f t="shared" si="5"/>
        <v>0.40656496566815448</v>
      </c>
      <c r="N14" s="57">
        <f t="shared" si="6"/>
        <v>0.6585873737234369</v>
      </c>
      <c r="O14" s="7">
        <f t="shared" si="7"/>
        <v>1</v>
      </c>
      <c r="P14" s="7">
        <f t="shared" si="8"/>
        <v>12</v>
      </c>
      <c r="Q14" s="7">
        <f t="shared" si="9"/>
        <v>0.91666666666666663</v>
      </c>
      <c r="R14" s="7">
        <f t="shared" si="10"/>
        <v>0.7129629629629628</v>
      </c>
      <c r="S14" s="7">
        <f t="shared" si="11"/>
        <v>0.10917596392483944</v>
      </c>
      <c r="T14" s="7">
        <f t="shared" si="12"/>
        <v>0.52897443791079735</v>
      </c>
      <c r="U14" s="57">
        <f t="shared" si="13"/>
        <v>0.83548322222447258</v>
      </c>
    </row>
    <row r="15" spans="1:25" x14ac:dyDescent="0.25">
      <c r="A15" s="1188">
        <v>14</v>
      </c>
      <c r="B15" s="1188">
        <v>0</v>
      </c>
      <c r="C15" s="1188"/>
      <c r="D15" s="1188">
        <v>13</v>
      </c>
      <c r="E15" s="1188">
        <v>0</v>
      </c>
      <c r="G15" s="501">
        <v>9</v>
      </c>
      <c r="H15" s="501">
        <f t="shared" si="0"/>
        <v>0</v>
      </c>
      <c r="I15" s="7">
        <f t="shared" si="1"/>
        <v>9</v>
      </c>
      <c r="J15" s="7">
        <f t="shared" si="2"/>
        <v>1</v>
      </c>
      <c r="K15" s="7">
        <f t="shared" si="3"/>
        <v>0.54166666666666663</v>
      </c>
      <c r="L15" s="7">
        <f t="shared" si="4"/>
        <v>0.12008066990132348</v>
      </c>
      <c r="M15" s="7">
        <f t="shared" si="5"/>
        <v>0.40656496566815448</v>
      </c>
      <c r="N15" s="57">
        <f t="shared" si="6"/>
        <v>0.6585873737234369</v>
      </c>
      <c r="O15" s="7">
        <f t="shared" si="7"/>
        <v>0</v>
      </c>
      <c r="P15" s="7">
        <f t="shared" si="8"/>
        <v>10</v>
      </c>
      <c r="Q15" s="7">
        <f t="shared" si="9"/>
        <v>1</v>
      </c>
      <c r="R15" s="7">
        <f t="shared" si="10"/>
        <v>0.7129629629629628</v>
      </c>
      <c r="S15" s="7">
        <f t="shared" si="11"/>
        <v>0.10917596392483944</v>
      </c>
      <c r="T15" s="7">
        <f t="shared" si="12"/>
        <v>0.52897443791079735</v>
      </c>
      <c r="U15" s="57">
        <f t="shared" si="13"/>
        <v>0.83548322222447258</v>
      </c>
    </row>
    <row r="16" spans="1:25" x14ac:dyDescent="0.25">
      <c r="A16" s="1188">
        <v>2</v>
      </c>
      <c r="B16" s="1188">
        <v>1</v>
      </c>
      <c r="C16" s="1188"/>
      <c r="D16" s="1188">
        <v>3</v>
      </c>
      <c r="E16" s="1188">
        <v>1</v>
      </c>
      <c r="G16" s="501">
        <v>10</v>
      </c>
      <c r="H16" s="501">
        <f t="shared" si="0"/>
        <v>0</v>
      </c>
      <c r="I16" s="7">
        <f t="shared" si="1"/>
        <v>8</v>
      </c>
      <c r="J16" s="7">
        <f t="shared" si="2"/>
        <v>1</v>
      </c>
      <c r="K16" s="7">
        <f t="shared" si="3"/>
        <v>0.54166666666666663</v>
      </c>
      <c r="L16" s="7">
        <f t="shared" si="4"/>
        <v>0.12008066990132348</v>
      </c>
      <c r="M16" s="7">
        <f t="shared" si="5"/>
        <v>0.40656496566815448</v>
      </c>
      <c r="N16" s="57">
        <f t="shared" si="6"/>
        <v>0.6585873737234369</v>
      </c>
      <c r="O16" s="7">
        <f t="shared" si="7"/>
        <v>2</v>
      </c>
      <c r="P16" s="7">
        <f t="shared" si="8"/>
        <v>9</v>
      </c>
      <c r="Q16" s="7">
        <f t="shared" si="9"/>
        <v>0.77777777777777779</v>
      </c>
      <c r="R16" s="7">
        <f t="shared" si="10"/>
        <v>0.55452674897119325</v>
      </c>
      <c r="S16" s="7">
        <f t="shared" si="11"/>
        <v>0.13027815597312631</v>
      </c>
      <c r="T16" s="7">
        <f t="shared" si="12"/>
        <v>0.40284928693685773</v>
      </c>
      <c r="U16" s="57">
        <f t="shared" si="13"/>
        <v>0.68222189085099494</v>
      </c>
    </row>
    <row r="17" spans="1:21" x14ac:dyDescent="0.25">
      <c r="A17" s="1188">
        <v>11</v>
      </c>
      <c r="B17" s="1188">
        <v>1</v>
      </c>
      <c r="C17" s="1188"/>
      <c r="D17" s="1188">
        <v>13</v>
      </c>
      <c r="E17" s="1188">
        <v>0</v>
      </c>
      <c r="G17" s="501">
        <v>11</v>
      </c>
      <c r="H17" s="501">
        <f t="shared" si="0"/>
        <v>2</v>
      </c>
      <c r="I17" s="7">
        <f t="shared" si="1"/>
        <v>6</v>
      </c>
      <c r="J17" s="7">
        <f t="shared" si="2"/>
        <v>0.66666666666666674</v>
      </c>
      <c r="K17" s="7">
        <f t="shared" si="3"/>
        <v>0.3611111111111111</v>
      </c>
      <c r="L17" s="7">
        <f t="shared" si="4"/>
        <v>0.13143582932017028</v>
      </c>
      <c r="M17" s="7">
        <f t="shared" si="5"/>
        <v>0.26936589682353268</v>
      </c>
      <c r="N17" s="57">
        <f t="shared" si="6"/>
        <v>0.45341141145439479</v>
      </c>
      <c r="O17" s="7">
        <f t="shared" si="7"/>
        <v>0</v>
      </c>
      <c r="P17" s="7">
        <f t="shared" si="8"/>
        <v>5</v>
      </c>
      <c r="Q17" s="7">
        <f t="shared" si="9"/>
        <v>1</v>
      </c>
      <c r="R17" s="7">
        <f t="shared" si="10"/>
        <v>0.55452674897119325</v>
      </c>
      <c r="S17" s="7">
        <f t="shared" si="11"/>
        <v>0.13027815597312631</v>
      </c>
      <c r="T17" s="7">
        <f t="shared" si="12"/>
        <v>0.40284928693685773</v>
      </c>
      <c r="U17" s="57">
        <f t="shared" si="13"/>
        <v>0.68222189085099494</v>
      </c>
    </row>
    <row r="18" spans="1:21" x14ac:dyDescent="0.25">
      <c r="A18" s="1188">
        <v>10</v>
      </c>
      <c r="B18" s="1188">
        <v>0</v>
      </c>
      <c r="C18" s="1188"/>
      <c r="D18" s="1188">
        <v>8</v>
      </c>
      <c r="E18" s="1188">
        <v>0</v>
      </c>
      <c r="G18" s="501">
        <v>12</v>
      </c>
      <c r="H18" s="501">
        <f t="shared" si="0"/>
        <v>2</v>
      </c>
      <c r="I18" s="7">
        <f t="shared" si="1"/>
        <v>4</v>
      </c>
      <c r="J18" s="7">
        <f t="shared" si="2"/>
        <v>0.5</v>
      </c>
      <c r="K18" s="7">
        <f t="shared" si="3"/>
        <v>0.18055555555555555</v>
      </c>
      <c r="L18" s="7">
        <f t="shared" si="4"/>
        <v>0.1116643249554846</v>
      </c>
      <c r="M18" s="7">
        <f t="shared" si="5"/>
        <v>0.1429611804769266</v>
      </c>
      <c r="N18" s="57">
        <f t="shared" si="6"/>
        <v>0.22173496897283737</v>
      </c>
      <c r="O18" s="7">
        <f t="shared" si="7"/>
        <v>0</v>
      </c>
      <c r="P18" s="7">
        <f t="shared" si="8"/>
        <v>5</v>
      </c>
      <c r="Q18" s="7">
        <f t="shared" si="9"/>
        <v>1</v>
      </c>
      <c r="R18" s="7">
        <f t="shared" si="10"/>
        <v>0.55452674897119325</v>
      </c>
      <c r="S18" s="7">
        <f t="shared" si="11"/>
        <v>0.13027815597312631</v>
      </c>
      <c r="T18" s="7">
        <f t="shared" si="12"/>
        <v>0.40284928693685773</v>
      </c>
      <c r="U18" s="57">
        <f t="shared" si="13"/>
        <v>0.68222189085099494</v>
      </c>
    </row>
    <row r="19" spans="1:21" x14ac:dyDescent="0.25">
      <c r="A19" s="1188">
        <v>9</v>
      </c>
      <c r="B19" s="1188">
        <v>0</v>
      </c>
      <c r="C19" s="1188"/>
      <c r="D19" s="1188">
        <v>10</v>
      </c>
      <c r="E19" s="1188">
        <v>0</v>
      </c>
      <c r="G19" s="759">
        <v>13</v>
      </c>
      <c r="H19" s="759">
        <f t="shared" si="0"/>
        <v>0</v>
      </c>
      <c r="I19" s="760">
        <f t="shared" si="1"/>
        <v>2</v>
      </c>
      <c r="J19" s="760">
        <f t="shared" si="2"/>
        <v>1</v>
      </c>
      <c r="K19" s="760">
        <f t="shared" si="3"/>
        <v>0.18055555555555555</v>
      </c>
      <c r="L19" s="760">
        <f t="shared" si="4"/>
        <v>0.1116643249554846</v>
      </c>
      <c r="M19" s="760">
        <f t="shared" si="5"/>
        <v>0.1429611804769266</v>
      </c>
      <c r="N19" s="761">
        <f t="shared" si="6"/>
        <v>0.22173496897283737</v>
      </c>
      <c r="O19" s="760">
        <f t="shared" si="7"/>
        <v>1</v>
      </c>
      <c r="P19" s="760">
        <f t="shared" si="8"/>
        <v>3</v>
      </c>
      <c r="Q19" s="760">
        <f t="shared" si="9"/>
        <v>0.66666666666666674</v>
      </c>
      <c r="R19" s="760">
        <f t="shared" si="10"/>
        <v>0.36968449931412889</v>
      </c>
      <c r="S19" s="760">
        <f t="shared" si="11"/>
        <v>0.17412943309974277</v>
      </c>
      <c r="T19" s="760">
        <f t="shared" si="12"/>
        <v>0.24604917775781465</v>
      </c>
      <c r="U19" s="761">
        <f t="shared" si="13"/>
        <v>0.49352157605433233</v>
      </c>
    </row>
    <row r="20" spans="1:21" x14ac:dyDescent="0.25">
      <c r="A20" s="1188">
        <v>12</v>
      </c>
      <c r="B20" s="1188">
        <v>1</v>
      </c>
      <c r="C20" s="1188"/>
      <c r="D20" s="1188">
        <v>13</v>
      </c>
      <c r="E20" s="1188">
        <v>1</v>
      </c>
    </row>
    <row r="21" spans="1:21" x14ac:dyDescent="0.25">
      <c r="A21" s="1188">
        <v>5</v>
      </c>
      <c r="B21" s="1188">
        <v>1</v>
      </c>
      <c r="C21" s="1188"/>
      <c r="D21" s="1188">
        <v>6</v>
      </c>
      <c r="E21" s="1188">
        <v>0</v>
      </c>
    </row>
    <row r="22" spans="1:21" x14ac:dyDescent="0.25">
      <c r="A22" s="1188">
        <v>8</v>
      </c>
      <c r="B22" s="1188">
        <v>1</v>
      </c>
      <c r="C22" s="1188"/>
      <c r="D22" s="1188">
        <v>8</v>
      </c>
      <c r="E22" s="1188">
        <v>1</v>
      </c>
    </row>
    <row r="23" spans="1:21" x14ac:dyDescent="0.25">
      <c r="A23" s="1189">
        <v>11</v>
      </c>
      <c r="B23" s="1189">
        <v>1</v>
      </c>
      <c r="C23" s="1188"/>
      <c r="D23" s="1189">
        <v>12</v>
      </c>
      <c r="E23" s="1189">
        <v>0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W39"/>
  <sheetViews>
    <sheetView workbookViewId="0"/>
  </sheetViews>
  <sheetFormatPr defaultRowHeight="15" x14ac:dyDescent="0.25"/>
  <cols>
    <col min="1" max="1" width="10.42578125" customWidth="1"/>
    <col min="2" max="2" width="6.7109375" customWidth="1"/>
    <col min="3" max="3" width="9.140625" style="1188"/>
    <col min="21" max="21" width="12.7109375" customWidth="1"/>
  </cols>
  <sheetData>
    <row r="1" spans="1:23" x14ac:dyDescent="0.25">
      <c r="A1" s="1" t="s">
        <v>2580</v>
      </c>
    </row>
    <row r="3" spans="1:23" x14ac:dyDescent="0.25">
      <c r="A3" s="1187" t="s">
        <v>2511</v>
      </c>
      <c r="B3" s="1187" t="s">
        <v>1245</v>
      </c>
      <c r="C3" s="1187" t="s">
        <v>105</v>
      </c>
      <c r="E3" t="s">
        <v>2577</v>
      </c>
      <c r="J3" t="s">
        <v>34</v>
      </c>
      <c r="K3">
        <v>0.05</v>
      </c>
    </row>
    <row r="4" spans="1:23" x14ac:dyDescent="0.25">
      <c r="A4" s="1188">
        <v>3</v>
      </c>
      <c r="B4" s="1188">
        <v>1</v>
      </c>
      <c r="C4" s="1188">
        <v>0</v>
      </c>
    </row>
    <row r="5" spans="1:23" ht="15.75" thickBot="1" x14ac:dyDescent="0.3">
      <c r="A5" s="1188">
        <v>5</v>
      </c>
      <c r="B5" s="1188">
        <v>1</v>
      </c>
      <c r="C5" s="1188">
        <v>0</v>
      </c>
      <c r="F5" t="s">
        <v>2578</v>
      </c>
      <c r="M5" t="s">
        <v>2579</v>
      </c>
    </row>
    <row r="6" spans="1:23" ht="15.75" thickTop="1" x14ac:dyDescent="0.25">
      <c r="A6" s="1188">
        <v>8</v>
      </c>
      <c r="B6" s="1188">
        <v>1</v>
      </c>
      <c r="C6" s="1188">
        <v>0</v>
      </c>
      <c r="E6" s="1210" t="s">
        <v>63</v>
      </c>
      <c r="F6" s="1210" t="s">
        <v>44</v>
      </c>
      <c r="G6" s="1211" t="s">
        <v>31</v>
      </c>
      <c r="H6" s="1211" t="s">
        <v>2512</v>
      </c>
      <c r="I6" s="1211" t="s">
        <v>2513</v>
      </c>
      <c r="J6" s="1211" t="s">
        <v>425</v>
      </c>
      <c r="K6" s="1211" t="s">
        <v>29</v>
      </c>
      <c r="L6" s="1212" t="s">
        <v>30</v>
      </c>
      <c r="M6" s="1211" t="s">
        <v>44</v>
      </c>
      <c r="N6" s="1211" t="s">
        <v>31</v>
      </c>
      <c r="O6" s="1211" t="s">
        <v>2512</v>
      </c>
      <c r="P6" s="1211" t="s">
        <v>2513</v>
      </c>
      <c r="Q6" s="1211" t="s">
        <v>425</v>
      </c>
      <c r="R6" s="1211" t="s">
        <v>29</v>
      </c>
      <c r="S6" s="1212" t="s">
        <v>30</v>
      </c>
      <c r="U6" t="s">
        <v>2581</v>
      </c>
    </row>
    <row r="7" spans="1:23" x14ac:dyDescent="0.25">
      <c r="A7" s="1188">
        <v>10</v>
      </c>
      <c r="B7" s="1188">
        <v>0</v>
      </c>
      <c r="C7" s="1188">
        <v>0</v>
      </c>
      <c r="E7" s="501">
        <v>0</v>
      </c>
      <c r="F7" s="501"/>
      <c r="G7" s="7">
        <f>COUNTIF(C4:C39,$C$4)</f>
        <v>18</v>
      </c>
      <c r="H7" s="7"/>
      <c r="I7" s="7">
        <v>1</v>
      </c>
      <c r="J7" s="7"/>
      <c r="K7" s="7"/>
      <c r="L7" s="57"/>
      <c r="M7" s="7"/>
      <c r="N7" s="7">
        <f>COUNT(A4:A39)-G7</f>
        <v>18</v>
      </c>
      <c r="O7" s="7"/>
      <c r="P7" s="7">
        <v>1</v>
      </c>
      <c r="Q7" s="7"/>
      <c r="R7" s="7"/>
      <c r="S7" s="57"/>
    </row>
    <row r="8" spans="1:23" x14ac:dyDescent="0.25">
      <c r="A8" s="1188">
        <v>5</v>
      </c>
      <c r="B8" s="1188">
        <v>1</v>
      </c>
      <c r="C8" s="1188">
        <v>0</v>
      </c>
      <c r="E8" s="501">
        <f t="array" ref="E8:E19">[1]!SortUnique(A4:A39)</f>
        <v>1</v>
      </c>
      <c r="F8" s="501">
        <f>COUNTIFS($A$4:$A$39,E8,$B$4:$B$39,1,$C$4:$C$39,$C$4)</f>
        <v>0</v>
      </c>
      <c r="G8" s="7">
        <f>COUNTIFS($A$4:$A$39,"&gt;"&amp;E8-1,$C$4:$C$39,$C$4)</f>
        <v>18</v>
      </c>
      <c r="H8" s="7">
        <f>IF(G8&gt;0,1-F8/G8,0)</f>
        <v>1</v>
      </c>
      <c r="I8" s="7">
        <f>I7*H8</f>
        <v>1</v>
      </c>
      <c r="J8" s="7">
        <f>IF(I8&gt;0,SQRT(F8/(G8*(G8-F8))+(J7/I7)^2)*I8,0)</f>
        <v>0</v>
      </c>
      <c r="K8" s="7" t="str">
        <f>IF(J8&gt;0,I8^EXP(NORMSINV($K$3/2)/LN(I8)*J8),"")</f>
        <v/>
      </c>
      <c r="L8" s="57" t="str">
        <f>IF(J8&gt;0,I8^EXP(-NORMSINV($K$3/2)/LN(I8)*J8),"")</f>
        <v/>
      </c>
      <c r="M8" s="7">
        <f>COUNTIFS($A$4:$A$39,E8,$B$4:$B$39,1,$C$4:$C$39,"&lt;&gt;"&amp;$C$4)</f>
        <v>1</v>
      </c>
      <c r="N8" s="7">
        <f>COUNTIFS($A$4:$A$39,"&gt;"&amp;E8-1,$C$4:$C$39,"&lt;&gt;"&amp;$C$4)</f>
        <v>18</v>
      </c>
      <c r="O8" s="7">
        <f>IF(N8&gt;0,1-M8/N8,0)</f>
        <v>0.94444444444444442</v>
      </c>
      <c r="P8" s="7">
        <f>P7*O8</f>
        <v>0.94444444444444442</v>
      </c>
      <c r="Q8" s="7">
        <f>IF(P8&gt;0,SQRT(M8/(N8*(N8-M8))+(Q7/P7)^2)*P8,0)</f>
        <v>5.3990295322641671E-2</v>
      </c>
      <c r="R8" s="7">
        <f>IF(Q8&gt;0,P8^EXP(NORMSINV($K$3/2)/LN(P8)*Q8),"")</f>
        <v>0.69489073268773727</v>
      </c>
      <c r="S8" s="57">
        <f>IF(Q8&gt;0,P8^EXP(-NORMSINV($K$3/2)/LN(P8)*Q8),"")</f>
        <v>0.99106466962106132</v>
      </c>
      <c r="U8" t="str">
        <f t="array" ref="U8:W12">[1]!LOGRANK(F8:G19,M8:N19,TRUE)</f>
        <v/>
      </c>
      <c r="V8" s="1223" t="str">
        <v>stat</v>
      </c>
      <c r="W8" s="1223" t="str">
        <v>p-value</v>
      </c>
    </row>
    <row r="9" spans="1:23" x14ac:dyDescent="0.25">
      <c r="A9" s="1188">
        <v>5</v>
      </c>
      <c r="B9" s="1188">
        <v>0</v>
      </c>
      <c r="C9" s="1188">
        <v>0</v>
      </c>
      <c r="E9" s="501">
        <v>2</v>
      </c>
      <c r="F9" s="501">
        <f t="shared" ref="F9:F19" si="0">COUNTIFS($A$4:$A$39,E9,$B$4:$B$39,1,$C$4:$C$39,$C$4)</f>
        <v>1</v>
      </c>
      <c r="G9" s="7">
        <f t="shared" ref="G9:G19" si="1">COUNTIFS($A$4:$A$39,"&gt;"&amp;E9-1,$C$4:$C$39,$C$4)</f>
        <v>18</v>
      </c>
      <c r="H9" s="7">
        <f t="shared" ref="H9:H19" si="2">IF(G9&gt;0,1-F9/G9,0)</f>
        <v>0.94444444444444442</v>
      </c>
      <c r="I9" s="7">
        <f t="shared" ref="I9:I19" si="3">I8*H9</f>
        <v>0.94444444444444442</v>
      </c>
      <c r="J9" s="7">
        <f t="shared" ref="J9:J19" si="4">IF(I9&gt;0,SQRT(F9/(G9*(G9-F9))+(J8/I8)^2)*I9,0)</f>
        <v>5.3990295322641671E-2</v>
      </c>
      <c r="K9" s="7">
        <f t="shared" ref="K9:K19" si="5">IF(J9&gt;0,I9^EXP(NORMSINV($K$3/2)/LN(I9)*J9),"")</f>
        <v>0.69489073268773727</v>
      </c>
      <c r="L9" s="57">
        <f t="shared" ref="L9:L19" si="6">IF(J9&gt;0,I9^EXP(-NORMSINV($K$3/2)/LN(I9)*J9),"")</f>
        <v>0.99106466962106132</v>
      </c>
      <c r="M9" s="7">
        <f t="shared" ref="M9:M19" si="7">COUNTIFS($A$4:$A$39,E9,$B$4:$B$39,1,$C$4:$C$39,"&lt;&gt;"&amp;$C$4)</f>
        <v>0</v>
      </c>
      <c r="N9" s="7">
        <f t="shared" ref="N9:N19" si="8">COUNTIFS($A$4:$A$39,"&gt;"&amp;E9-1,$C$4:$C$39,"&lt;&gt;"&amp;$C$4)</f>
        <v>17</v>
      </c>
      <c r="O9" s="7">
        <f t="shared" ref="O9:O19" si="9">IF(N9&gt;0,1-M9/N9,0)</f>
        <v>1</v>
      </c>
      <c r="P9" s="7">
        <f t="shared" ref="P9:P19" si="10">P8*O9</f>
        <v>0.94444444444444442</v>
      </c>
      <c r="Q9" s="7">
        <f t="shared" ref="Q9:Q19" si="11">IF(P9&gt;0,SQRT(M9/(N9*(N9-M9))+(Q8/P8)^2)*P9,0)</f>
        <v>5.3990295322641671E-2</v>
      </c>
      <c r="R9" s="7">
        <f t="shared" ref="R9:R19" si="12">IF(Q9&gt;0,P9^EXP(NORMSINV($K$3/2)/LN(P9)*Q9),"")</f>
        <v>0.69489073268773727</v>
      </c>
      <c r="S9" s="57">
        <f t="shared" ref="S9:S19" si="13">IF(Q9&gt;0,P9^EXP(-NORMSINV($K$3/2)/LN(P9)*Q9),"")</f>
        <v>0.99106466962106132</v>
      </c>
      <c r="U9" t="str">
        <v>Log-rank 1</v>
      </c>
      <c r="V9" s="1154">
        <v>0.94371601891821644</v>
      </c>
      <c r="W9" s="1176">
        <v>0.33132400545242807</v>
      </c>
    </row>
    <row r="10" spans="1:23" x14ac:dyDescent="0.25">
      <c r="A10" s="1188">
        <v>8</v>
      </c>
      <c r="B10" s="1188">
        <v>1</v>
      </c>
      <c r="C10" s="1188">
        <v>0</v>
      </c>
      <c r="E10" s="501">
        <v>3</v>
      </c>
      <c r="F10" s="501">
        <f t="shared" si="0"/>
        <v>1</v>
      </c>
      <c r="G10" s="7">
        <f t="shared" si="1"/>
        <v>17</v>
      </c>
      <c r="H10" s="7">
        <f t="shared" si="2"/>
        <v>0.94117647058823528</v>
      </c>
      <c r="I10" s="7">
        <f t="shared" si="3"/>
        <v>0.88888888888888884</v>
      </c>
      <c r="J10" s="7">
        <f t="shared" si="4"/>
        <v>7.4074074074074084E-2</v>
      </c>
      <c r="K10" s="7">
        <f t="shared" si="5"/>
        <v>0.66762899004798093</v>
      </c>
      <c r="L10" s="57">
        <f t="shared" si="6"/>
        <v>0.96624602275190852</v>
      </c>
      <c r="M10" s="7">
        <f t="shared" si="7"/>
        <v>1</v>
      </c>
      <c r="N10" s="7">
        <f t="shared" si="8"/>
        <v>17</v>
      </c>
      <c r="O10" s="7">
        <f t="shared" si="9"/>
        <v>0.94117647058823528</v>
      </c>
      <c r="P10" s="7">
        <f t="shared" si="10"/>
        <v>0.88888888888888884</v>
      </c>
      <c r="Q10" s="7">
        <f t="shared" si="11"/>
        <v>7.4074074074074084E-2</v>
      </c>
      <c r="R10" s="7">
        <f t="shared" si="12"/>
        <v>0.66762899004798093</v>
      </c>
      <c r="S10" s="57">
        <f t="shared" si="13"/>
        <v>0.96624602275190852</v>
      </c>
      <c r="U10" t="str">
        <v>Log-rank 2</v>
      </c>
      <c r="V10" s="501">
        <v>1.0175333840309242</v>
      </c>
      <c r="W10" s="57">
        <v>0.31310481272620255</v>
      </c>
    </row>
    <row r="11" spans="1:23" x14ac:dyDescent="0.25">
      <c r="A11" s="1188">
        <v>12</v>
      </c>
      <c r="B11" s="1188">
        <v>1</v>
      </c>
      <c r="C11" s="1188">
        <v>0</v>
      </c>
      <c r="E11" s="501">
        <v>4</v>
      </c>
      <c r="F11" s="501">
        <f t="shared" si="0"/>
        <v>0</v>
      </c>
      <c r="G11" s="7">
        <f t="shared" si="1"/>
        <v>16</v>
      </c>
      <c r="H11" s="7">
        <f t="shared" si="2"/>
        <v>1</v>
      </c>
      <c r="I11" s="7">
        <f t="shared" si="3"/>
        <v>0.88888888888888884</v>
      </c>
      <c r="J11" s="7">
        <f t="shared" si="4"/>
        <v>7.4074074074074084E-2</v>
      </c>
      <c r="K11" s="7">
        <f t="shared" si="5"/>
        <v>0.66762899004798093</v>
      </c>
      <c r="L11" s="57">
        <f t="shared" si="6"/>
        <v>0.96624602275190852</v>
      </c>
      <c r="M11" s="7">
        <f t="shared" si="7"/>
        <v>1</v>
      </c>
      <c r="N11" s="7">
        <f t="shared" si="8"/>
        <v>16</v>
      </c>
      <c r="O11" s="7">
        <f t="shared" si="9"/>
        <v>0.9375</v>
      </c>
      <c r="P11" s="7">
        <f t="shared" si="10"/>
        <v>0.83333333333333326</v>
      </c>
      <c r="Q11" s="7">
        <f t="shared" si="11"/>
        <v>8.7841046115788315E-2</v>
      </c>
      <c r="R11" s="7">
        <f t="shared" si="12"/>
        <v>0.62578486477517026</v>
      </c>
      <c r="S11" s="57">
        <f t="shared" si="13"/>
        <v>0.93154138626728511</v>
      </c>
      <c r="U11" t="str">
        <v>Wilcoxon</v>
      </c>
      <c r="V11" s="501">
        <v>0.58230228593298772</v>
      </c>
      <c r="W11" s="57">
        <v>0.4454113106855242</v>
      </c>
    </row>
    <row r="12" spans="1:23" x14ac:dyDescent="0.25">
      <c r="A12" s="1188">
        <v>15</v>
      </c>
      <c r="B12" s="1188">
        <v>0</v>
      </c>
      <c r="C12" s="1188">
        <v>0</v>
      </c>
      <c r="E12" s="501">
        <v>5</v>
      </c>
      <c r="F12" s="501">
        <f t="shared" si="0"/>
        <v>3</v>
      </c>
      <c r="G12" s="7">
        <f t="shared" si="1"/>
        <v>16</v>
      </c>
      <c r="H12" s="7">
        <f t="shared" si="2"/>
        <v>0.8125</v>
      </c>
      <c r="I12" s="7">
        <f t="shared" si="3"/>
        <v>0.72222222222222221</v>
      </c>
      <c r="J12" s="7">
        <f t="shared" si="4"/>
        <v>0.10557179862029056</v>
      </c>
      <c r="K12" s="7">
        <f t="shared" si="5"/>
        <v>0.54085937571829679</v>
      </c>
      <c r="L12" s="57">
        <f t="shared" si="6"/>
        <v>0.841719970252925</v>
      </c>
      <c r="M12" s="7">
        <f t="shared" si="7"/>
        <v>0</v>
      </c>
      <c r="N12" s="7">
        <f t="shared" si="8"/>
        <v>15</v>
      </c>
      <c r="O12" s="7">
        <f t="shared" si="9"/>
        <v>1</v>
      </c>
      <c r="P12" s="7">
        <f t="shared" si="10"/>
        <v>0.83333333333333326</v>
      </c>
      <c r="Q12" s="7">
        <f t="shared" si="11"/>
        <v>8.7841046115788315E-2</v>
      </c>
      <c r="R12" s="7">
        <f t="shared" si="12"/>
        <v>0.62578486477517026</v>
      </c>
      <c r="S12" s="57">
        <f t="shared" si="13"/>
        <v>0.93154138626728511</v>
      </c>
      <c r="U12" t="str">
        <v>Tarone-Ware</v>
      </c>
      <c r="V12" s="759">
        <v>0.78908810588817824</v>
      </c>
      <c r="W12" s="761">
        <v>0.37437600473328969</v>
      </c>
    </row>
    <row r="13" spans="1:23" x14ac:dyDescent="0.25">
      <c r="A13" s="1188">
        <v>14</v>
      </c>
      <c r="B13" s="1188">
        <v>0</v>
      </c>
      <c r="C13" s="1188">
        <v>0</v>
      </c>
      <c r="E13" s="501">
        <v>6</v>
      </c>
      <c r="F13" s="501">
        <f t="shared" si="0"/>
        <v>0</v>
      </c>
      <c r="G13" s="7">
        <f t="shared" si="1"/>
        <v>12</v>
      </c>
      <c r="H13" s="7">
        <f t="shared" si="2"/>
        <v>1</v>
      </c>
      <c r="I13" s="7">
        <f t="shared" si="3"/>
        <v>0.72222222222222221</v>
      </c>
      <c r="J13" s="7">
        <f t="shared" si="4"/>
        <v>0.10557179862029056</v>
      </c>
      <c r="K13" s="7">
        <f t="shared" si="5"/>
        <v>0.54085937571829679</v>
      </c>
      <c r="L13" s="57">
        <f t="shared" si="6"/>
        <v>0.841719970252925</v>
      </c>
      <c r="M13" s="7">
        <f t="shared" si="7"/>
        <v>1</v>
      </c>
      <c r="N13" s="7">
        <f t="shared" si="8"/>
        <v>15</v>
      </c>
      <c r="O13" s="7">
        <f t="shared" si="9"/>
        <v>0.93333333333333335</v>
      </c>
      <c r="P13" s="7">
        <f t="shared" si="10"/>
        <v>0.77777777777777768</v>
      </c>
      <c r="Q13" s="7">
        <f t="shared" si="11"/>
        <v>9.7990789298688541E-2</v>
      </c>
      <c r="R13" s="7">
        <f t="shared" si="12"/>
        <v>0.58295233774884547</v>
      </c>
      <c r="S13" s="57">
        <f t="shared" si="13"/>
        <v>0.8895523740059873</v>
      </c>
    </row>
    <row r="14" spans="1:23" x14ac:dyDescent="0.25">
      <c r="A14" s="1188">
        <v>2</v>
      </c>
      <c r="B14" s="1188">
        <v>1</v>
      </c>
      <c r="C14" s="1188">
        <v>0</v>
      </c>
      <c r="E14" s="501">
        <v>8</v>
      </c>
      <c r="F14" s="501">
        <f t="shared" si="0"/>
        <v>3</v>
      </c>
      <c r="G14" s="7">
        <f t="shared" si="1"/>
        <v>12</v>
      </c>
      <c r="H14" s="7">
        <f t="shared" si="2"/>
        <v>0.75</v>
      </c>
      <c r="I14" s="7">
        <f t="shared" si="3"/>
        <v>0.54166666666666663</v>
      </c>
      <c r="J14" s="7">
        <f t="shared" si="4"/>
        <v>0.12008066990132348</v>
      </c>
      <c r="K14" s="7">
        <f t="shared" si="5"/>
        <v>0.40656496566815448</v>
      </c>
      <c r="L14" s="57">
        <f t="shared" si="6"/>
        <v>0.6585873737234369</v>
      </c>
      <c r="M14" s="7">
        <f t="shared" si="7"/>
        <v>1</v>
      </c>
      <c r="N14" s="7">
        <f t="shared" si="8"/>
        <v>12</v>
      </c>
      <c r="O14" s="7">
        <f t="shared" si="9"/>
        <v>0.91666666666666663</v>
      </c>
      <c r="P14" s="7">
        <f t="shared" si="10"/>
        <v>0.7129629629629628</v>
      </c>
      <c r="Q14" s="7">
        <f t="shared" si="11"/>
        <v>0.10917596392483944</v>
      </c>
      <c r="R14" s="7">
        <f t="shared" si="12"/>
        <v>0.52897443791079735</v>
      </c>
      <c r="S14" s="57">
        <f t="shared" si="13"/>
        <v>0.83548322222447258</v>
      </c>
    </row>
    <row r="15" spans="1:23" x14ac:dyDescent="0.25">
      <c r="A15" s="1188">
        <v>11</v>
      </c>
      <c r="B15" s="1188">
        <v>1</v>
      </c>
      <c r="C15" s="1188">
        <v>0</v>
      </c>
      <c r="E15" s="501">
        <v>9</v>
      </c>
      <c r="F15" s="501">
        <f t="shared" si="0"/>
        <v>0</v>
      </c>
      <c r="G15" s="7">
        <f t="shared" si="1"/>
        <v>9</v>
      </c>
      <c r="H15" s="7">
        <f t="shared" si="2"/>
        <v>1</v>
      </c>
      <c r="I15" s="7">
        <f t="shared" si="3"/>
        <v>0.54166666666666663</v>
      </c>
      <c r="J15" s="7">
        <f t="shared" si="4"/>
        <v>0.12008066990132348</v>
      </c>
      <c r="K15" s="7">
        <f t="shared" si="5"/>
        <v>0.40656496566815448</v>
      </c>
      <c r="L15" s="57">
        <f t="shared" si="6"/>
        <v>0.6585873737234369</v>
      </c>
      <c r="M15" s="7">
        <f t="shared" si="7"/>
        <v>0</v>
      </c>
      <c r="N15" s="7">
        <f t="shared" si="8"/>
        <v>10</v>
      </c>
      <c r="O15" s="7">
        <f t="shared" si="9"/>
        <v>1</v>
      </c>
      <c r="P15" s="7">
        <f t="shared" si="10"/>
        <v>0.7129629629629628</v>
      </c>
      <c r="Q15" s="7">
        <f t="shared" si="11"/>
        <v>0.10917596392483944</v>
      </c>
      <c r="R15" s="7">
        <f t="shared" si="12"/>
        <v>0.52897443791079735</v>
      </c>
      <c r="S15" s="57">
        <f t="shared" si="13"/>
        <v>0.83548322222447258</v>
      </c>
    </row>
    <row r="16" spans="1:23" x14ac:dyDescent="0.25">
      <c r="A16" s="1188">
        <v>10</v>
      </c>
      <c r="B16" s="1188">
        <v>0</v>
      </c>
      <c r="C16" s="1188">
        <v>0</v>
      </c>
      <c r="E16" s="501">
        <v>10</v>
      </c>
      <c r="F16" s="501">
        <f t="shared" si="0"/>
        <v>0</v>
      </c>
      <c r="G16" s="7">
        <f t="shared" si="1"/>
        <v>8</v>
      </c>
      <c r="H16" s="7">
        <f t="shared" si="2"/>
        <v>1</v>
      </c>
      <c r="I16" s="7">
        <f t="shared" si="3"/>
        <v>0.54166666666666663</v>
      </c>
      <c r="J16" s="7">
        <f t="shared" si="4"/>
        <v>0.12008066990132348</v>
      </c>
      <c r="K16" s="7">
        <f t="shared" si="5"/>
        <v>0.40656496566815448</v>
      </c>
      <c r="L16" s="57">
        <f t="shared" si="6"/>
        <v>0.6585873737234369</v>
      </c>
      <c r="M16" s="7">
        <f t="shared" si="7"/>
        <v>2</v>
      </c>
      <c r="N16" s="7">
        <f t="shared" si="8"/>
        <v>9</v>
      </c>
      <c r="O16" s="7">
        <f t="shared" si="9"/>
        <v>0.77777777777777779</v>
      </c>
      <c r="P16" s="7">
        <f t="shared" si="10"/>
        <v>0.55452674897119325</v>
      </c>
      <c r="Q16" s="7">
        <f t="shared" si="11"/>
        <v>0.13027815597312631</v>
      </c>
      <c r="R16" s="7">
        <f t="shared" si="12"/>
        <v>0.40284928693685773</v>
      </c>
      <c r="S16" s="57">
        <f t="shared" si="13"/>
        <v>0.68222189085099494</v>
      </c>
    </row>
    <row r="17" spans="1:19" x14ac:dyDescent="0.25">
      <c r="A17" s="1188">
        <v>9</v>
      </c>
      <c r="B17" s="1188">
        <v>0</v>
      </c>
      <c r="C17" s="1188">
        <v>0</v>
      </c>
      <c r="E17" s="501">
        <v>11</v>
      </c>
      <c r="F17" s="501">
        <f t="shared" si="0"/>
        <v>2</v>
      </c>
      <c r="G17" s="7">
        <f t="shared" si="1"/>
        <v>6</v>
      </c>
      <c r="H17" s="7">
        <f t="shared" si="2"/>
        <v>0.66666666666666674</v>
      </c>
      <c r="I17" s="7">
        <f t="shared" si="3"/>
        <v>0.3611111111111111</v>
      </c>
      <c r="J17" s="7">
        <f t="shared" si="4"/>
        <v>0.13143582932017028</v>
      </c>
      <c r="K17" s="7">
        <f t="shared" si="5"/>
        <v>0.26936589682353268</v>
      </c>
      <c r="L17" s="57">
        <f t="shared" si="6"/>
        <v>0.45341141145439479</v>
      </c>
      <c r="M17" s="7">
        <f t="shared" si="7"/>
        <v>0</v>
      </c>
      <c r="N17" s="7">
        <f t="shared" si="8"/>
        <v>5</v>
      </c>
      <c r="O17" s="7">
        <f t="shared" si="9"/>
        <v>1</v>
      </c>
      <c r="P17" s="7">
        <f t="shared" si="10"/>
        <v>0.55452674897119325</v>
      </c>
      <c r="Q17" s="7">
        <f t="shared" si="11"/>
        <v>0.13027815597312631</v>
      </c>
      <c r="R17" s="7">
        <f t="shared" si="12"/>
        <v>0.40284928693685773</v>
      </c>
      <c r="S17" s="57">
        <f t="shared" si="13"/>
        <v>0.68222189085099494</v>
      </c>
    </row>
    <row r="18" spans="1:19" x14ac:dyDescent="0.25">
      <c r="A18" s="1188">
        <v>12</v>
      </c>
      <c r="B18" s="1188">
        <v>1</v>
      </c>
      <c r="C18" s="1188">
        <v>0</v>
      </c>
      <c r="E18" s="501">
        <v>12</v>
      </c>
      <c r="F18" s="501">
        <f t="shared" si="0"/>
        <v>2</v>
      </c>
      <c r="G18" s="7">
        <f t="shared" si="1"/>
        <v>4</v>
      </c>
      <c r="H18" s="7">
        <f t="shared" si="2"/>
        <v>0.5</v>
      </c>
      <c r="I18" s="7">
        <f t="shared" si="3"/>
        <v>0.18055555555555555</v>
      </c>
      <c r="J18" s="7">
        <f t="shared" si="4"/>
        <v>0.1116643249554846</v>
      </c>
      <c r="K18" s="7">
        <f t="shared" si="5"/>
        <v>0.1429611804769266</v>
      </c>
      <c r="L18" s="57">
        <f t="shared" si="6"/>
        <v>0.22173496897283737</v>
      </c>
      <c r="M18" s="7">
        <f t="shared" si="7"/>
        <v>0</v>
      </c>
      <c r="N18" s="7">
        <f t="shared" si="8"/>
        <v>5</v>
      </c>
      <c r="O18" s="7">
        <f t="shared" si="9"/>
        <v>1</v>
      </c>
      <c r="P18" s="7">
        <f t="shared" si="10"/>
        <v>0.55452674897119325</v>
      </c>
      <c r="Q18" s="7">
        <f t="shared" si="11"/>
        <v>0.13027815597312631</v>
      </c>
      <c r="R18" s="7">
        <f t="shared" si="12"/>
        <v>0.40284928693685773</v>
      </c>
      <c r="S18" s="57">
        <f t="shared" si="13"/>
        <v>0.68222189085099494</v>
      </c>
    </row>
    <row r="19" spans="1:19" x14ac:dyDescent="0.25">
      <c r="A19" s="1188">
        <v>5</v>
      </c>
      <c r="B19" s="1188">
        <v>1</v>
      </c>
      <c r="C19" s="1188">
        <v>0</v>
      </c>
      <c r="E19" s="759">
        <v>13</v>
      </c>
      <c r="F19" s="759">
        <f t="shared" si="0"/>
        <v>0</v>
      </c>
      <c r="G19" s="760">
        <f t="shared" si="1"/>
        <v>2</v>
      </c>
      <c r="H19" s="760">
        <f t="shared" si="2"/>
        <v>1</v>
      </c>
      <c r="I19" s="760">
        <f t="shared" si="3"/>
        <v>0.18055555555555555</v>
      </c>
      <c r="J19" s="760">
        <f t="shared" si="4"/>
        <v>0.1116643249554846</v>
      </c>
      <c r="K19" s="760">
        <f t="shared" si="5"/>
        <v>0.1429611804769266</v>
      </c>
      <c r="L19" s="761">
        <f t="shared" si="6"/>
        <v>0.22173496897283737</v>
      </c>
      <c r="M19" s="760">
        <f t="shared" si="7"/>
        <v>1</v>
      </c>
      <c r="N19" s="760">
        <f t="shared" si="8"/>
        <v>3</v>
      </c>
      <c r="O19" s="760">
        <f t="shared" si="9"/>
        <v>0.66666666666666674</v>
      </c>
      <c r="P19" s="760">
        <f t="shared" si="10"/>
        <v>0.36968449931412889</v>
      </c>
      <c r="Q19" s="760">
        <f t="shared" si="11"/>
        <v>0.17412943309974277</v>
      </c>
      <c r="R19" s="760">
        <f t="shared" si="12"/>
        <v>0.24604917775781465</v>
      </c>
      <c r="S19" s="761">
        <f t="shared" si="13"/>
        <v>0.49352157605433233</v>
      </c>
    </row>
    <row r="20" spans="1:19" x14ac:dyDescent="0.25">
      <c r="A20" s="1188">
        <v>8</v>
      </c>
      <c r="B20" s="1188">
        <v>1</v>
      </c>
      <c r="C20" s="1188">
        <v>0</v>
      </c>
    </row>
    <row r="21" spans="1:19" x14ac:dyDescent="0.25">
      <c r="A21" s="1189">
        <v>11</v>
      </c>
      <c r="B21" s="1189">
        <v>1</v>
      </c>
      <c r="C21" s="1189">
        <v>0</v>
      </c>
    </row>
    <row r="22" spans="1:19" x14ac:dyDescent="0.25">
      <c r="A22" s="1188">
        <v>1</v>
      </c>
      <c r="B22" s="1188">
        <v>1</v>
      </c>
      <c r="C22" s="1188">
        <v>1</v>
      </c>
    </row>
    <row r="23" spans="1:19" x14ac:dyDescent="0.25">
      <c r="A23" s="1188">
        <v>4</v>
      </c>
      <c r="B23" s="1188">
        <v>1</v>
      </c>
      <c r="C23" s="1188">
        <v>1</v>
      </c>
    </row>
    <row r="24" spans="1:19" x14ac:dyDescent="0.25">
      <c r="A24" s="1188">
        <v>9</v>
      </c>
      <c r="B24" s="1188">
        <v>0</v>
      </c>
      <c r="C24" s="1188">
        <v>1</v>
      </c>
    </row>
    <row r="25" spans="1:19" x14ac:dyDescent="0.25">
      <c r="A25" s="1188">
        <v>10</v>
      </c>
      <c r="B25" s="1188">
        <v>0</v>
      </c>
      <c r="C25" s="1188">
        <v>1</v>
      </c>
    </row>
    <row r="26" spans="1:19" x14ac:dyDescent="0.25">
      <c r="A26" s="1188">
        <v>6</v>
      </c>
      <c r="B26" s="1188">
        <v>1</v>
      </c>
      <c r="C26" s="1188">
        <v>1</v>
      </c>
    </row>
    <row r="27" spans="1:19" x14ac:dyDescent="0.25">
      <c r="A27" s="1188">
        <v>6</v>
      </c>
      <c r="B27" s="1188">
        <v>0</v>
      </c>
      <c r="C27" s="1188">
        <v>1</v>
      </c>
    </row>
    <row r="28" spans="1:19" x14ac:dyDescent="0.25">
      <c r="A28" s="1188">
        <v>10</v>
      </c>
      <c r="B28" s="1188">
        <v>1</v>
      </c>
      <c r="C28" s="1188">
        <v>1</v>
      </c>
    </row>
    <row r="29" spans="1:19" x14ac:dyDescent="0.25">
      <c r="A29" s="1188">
        <v>10</v>
      </c>
      <c r="B29" s="1188">
        <v>1</v>
      </c>
      <c r="C29" s="1188">
        <v>1</v>
      </c>
    </row>
    <row r="30" spans="1:19" x14ac:dyDescent="0.25">
      <c r="A30" s="1188">
        <v>12</v>
      </c>
      <c r="B30" s="1188">
        <v>0</v>
      </c>
      <c r="C30" s="1188">
        <v>1</v>
      </c>
    </row>
    <row r="31" spans="1:19" x14ac:dyDescent="0.25">
      <c r="A31" s="1188">
        <v>13</v>
      </c>
      <c r="B31" s="1188">
        <v>0</v>
      </c>
      <c r="C31" s="1188">
        <v>1</v>
      </c>
    </row>
    <row r="32" spans="1:19" x14ac:dyDescent="0.25">
      <c r="A32" s="1188">
        <v>3</v>
      </c>
      <c r="B32" s="1188">
        <v>1</v>
      </c>
      <c r="C32" s="1188">
        <v>1</v>
      </c>
    </row>
    <row r="33" spans="1:3" x14ac:dyDescent="0.25">
      <c r="A33" s="1188">
        <v>13</v>
      </c>
      <c r="B33" s="1188">
        <v>0</v>
      </c>
      <c r="C33" s="1188">
        <v>1</v>
      </c>
    </row>
    <row r="34" spans="1:3" x14ac:dyDescent="0.25">
      <c r="A34" s="1188">
        <v>8</v>
      </c>
      <c r="B34" s="1188">
        <v>0</v>
      </c>
      <c r="C34" s="1188">
        <v>1</v>
      </c>
    </row>
    <row r="35" spans="1:3" x14ac:dyDescent="0.25">
      <c r="A35" s="1188">
        <v>10</v>
      </c>
      <c r="B35" s="1188">
        <v>0</v>
      </c>
      <c r="C35" s="1188">
        <v>1</v>
      </c>
    </row>
    <row r="36" spans="1:3" x14ac:dyDescent="0.25">
      <c r="A36" s="1188">
        <v>13</v>
      </c>
      <c r="B36" s="1188">
        <v>1</v>
      </c>
      <c r="C36" s="1188">
        <v>1</v>
      </c>
    </row>
    <row r="37" spans="1:3" x14ac:dyDescent="0.25">
      <c r="A37" s="1188">
        <v>6</v>
      </c>
      <c r="B37" s="1188">
        <v>0</v>
      </c>
      <c r="C37" s="1188">
        <v>1</v>
      </c>
    </row>
    <row r="38" spans="1:3" x14ac:dyDescent="0.25">
      <c r="A38" s="1188">
        <v>8</v>
      </c>
      <c r="B38" s="1188">
        <v>1</v>
      </c>
      <c r="C38" s="1188">
        <v>1</v>
      </c>
    </row>
    <row r="39" spans="1:3" x14ac:dyDescent="0.25">
      <c r="A39" s="1189">
        <v>12</v>
      </c>
      <c r="B39" s="1189">
        <v>0</v>
      </c>
      <c r="C39" s="1189">
        <v>1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T34"/>
  <sheetViews>
    <sheetView workbookViewId="0"/>
  </sheetViews>
  <sheetFormatPr defaultRowHeight="15" x14ac:dyDescent="0.25"/>
  <cols>
    <col min="1" max="1" width="10.42578125" customWidth="1"/>
    <col min="2" max="2" width="6.7109375" customWidth="1"/>
    <col min="3" max="3" width="4.28515625" customWidth="1"/>
    <col min="4" max="4" width="10.42578125" customWidth="1"/>
    <col min="5" max="5" width="6.7109375" customWidth="1"/>
    <col min="7" max="8" width="5.7109375" customWidth="1"/>
    <col min="11" max="12" width="5.7109375" customWidth="1"/>
    <col min="33" max="33" width="5.85546875" customWidth="1"/>
    <col min="34" max="35" width="9.140625" customWidth="1"/>
    <col min="37" max="38" width="9.140625" customWidth="1"/>
    <col min="40" max="41" width="9.140625" customWidth="1"/>
    <col min="42" max="42" width="6.7109375" customWidth="1"/>
    <col min="45" max="45" width="4" customWidth="1"/>
    <col min="46" max="46" width="40.140625" customWidth="1"/>
  </cols>
  <sheetData>
    <row r="1" spans="1:46" x14ac:dyDescent="0.25">
      <c r="A1" s="1" t="s">
        <v>2514</v>
      </c>
    </row>
    <row r="3" spans="1:46" x14ac:dyDescent="0.25">
      <c r="A3" s="1309" t="s">
        <v>2515</v>
      </c>
      <c r="B3" s="1309"/>
      <c r="D3" s="1309" t="s">
        <v>2516</v>
      </c>
      <c r="E3" s="1309"/>
    </row>
    <row r="4" spans="1:46" x14ac:dyDescent="0.25">
      <c r="G4" s="1309" t="s">
        <v>2515</v>
      </c>
      <c r="H4" s="1309"/>
      <c r="I4" s="1309"/>
      <c r="J4" s="1309"/>
      <c r="K4" s="1309" t="s">
        <v>2516</v>
      </c>
      <c r="L4" s="1309"/>
      <c r="M4" s="1309"/>
      <c r="N4" s="1309"/>
    </row>
    <row r="5" spans="1:46" x14ac:dyDescent="0.25">
      <c r="A5" s="1182" t="s">
        <v>2511</v>
      </c>
      <c r="B5" s="1182" t="s">
        <v>1245</v>
      </c>
      <c r="C5" s="1184"/>
      <c r="D5" s="1182" t="s">
        <v>2511</v>
      </c>
      <c r="E5" s="1182" t="s">
        <v>1245</v>
      </c>
      <c r="F5" s="26" t="s">
        <v>63</v>
      </c>
      <c r="G5" s="1191" t="s">
        <v>44</v>
      </c>
      <c r="H5" s="1190" t="s">
        <v>31</v>
      </c>
      <c r="I5" s="1190" t="s">
        <v>2512</v>
      </c>
      <c r="J5" s="1190" t="s">
        <v>2513</v>
      </c>
      <c r="K5" s="1191" t="s">
        <v>44</v>
      </c>
      <c r="L5" s="1190" t="s">
        <v>31</v>
      </c>
      <c r="M5" s="1190" t="s">
        <v>2512</v>
      </c>
      <c r="N5" s="1192" t="s">
        <v>2513</v>
      </c>
      <c r="P5" s="13" t="s">
        <v>63</v>
      </c>
      <c r="Q5" s="13" t="s">
        <v>213</v>
      </c>
      <c r="R5" s="13" t="s">
        <v>131</v>
      </c>
      <c r="U5" s="13" t="s">
        <v>63</v>
      </c>
      <c r="V5" s="13" t="s">
        <v>213</v>
      </c>
      <c r="W5" s="13" t="s">
        <v>131</v>
      </c>
      <c r="AH5" s="1309" t="s">
        <v>2515</v>
      </c>
      <c r="AI5" s="1309"/>
      <c r="AJ5" s="1309"/>
      <c r="AK5" s="1309" t="s">
        <v>2516</v>
      </c>
      <c r="AL5" s="1309"/>
      <c r="AM5" s="1309"/>
      <c r="AN5" s="1309" t="s">
        <v>2517</v>
      </c>
      <c r="AO5" s="1309"/>
    </row>
    <row r="6" spans="1:46" x14ac:dyDescent="0.25">
      <c r="A6" s="1184">
        <v>3</v>
      </c>
      <c r="B6" s="1184">
        <v>1</v>
      </c>
      <c r="C6" s="1184"/>
      <c r="D6" s="1184">
        <v>1</v>
      </c>
      <c r="E6" s="1184">
        <v>1</v>
      </c>
      <c r="F6">
        <v>0</v>
      </c>
      <c r="G6" s="1172"/>
      <c r="H6" s="827">
        <f t="shared" ref="H6:H17" si="0">COUNTIF($A$6:$A$23, "&gt;"&amp;F6-1)</f>
        <v>18</v>
      </c>
      <c r="I6" s="827"/>
      <c r="J6" s="827">
        <v>1</v>
      </c>
      <c r="K6" s="1172"/>
      <c r="L6" s="827">
        <f t="shared" ref="L6:L18" si="1">COUNTIF($D$6:$D$23, "&gt;"&amp;F6-1)</f>
        <v>18</v>
      </c>
      <c r="M6" s="827"/>
      <c r="N6" s="1173">
        <v>1</v>
      </c>
      <c r="P6">
        <v>0</v>
      </c>
      <c r="Q6">
        <v>1</v>
      </c>
      <c r="R6">
        <v>1</v>
      </c>
      <c r="S6">
        <v>1</v>
      </c>
      <c r="U6">
        <v>0</v>
      </c>
      <c r="V6" s="1172">
        <v>1</v>
      </c>
      <c r="W6" s="1173">
        <v>1</v>
      </c>
      <c r="AG6" s="26" t="s">
        <v>63</v>
      </c>
      <c r="AH6" s="1181" t="s">
        <v>44</v>
      </c>
      <c r="AI6" s="1182" t="s">
        <v>31</v>
      </c>
      <c r="AJ6" s="1182" t="s">
        <v>2529</v>
      </c>
      <c r="AK6" s="1181" t="s">
        <v>44</v>
      </c>
      <c r="AL6" s="1182" t="s">
        <v>31</v>
      </c>
      <c r="AM6" s="1183" t="s">
        <v>2529</v>
      </c>
      <c r="AN6" s="1182" t="s">
        <v>44</v>
      </c>
      <c r="AO6" s="1183" t="s">
        <v>31</v>
      </c>
      <c r="AQ6" s="132" t="s">
        <v>107</v>
      </c>
      <c r="AR6" s="1193">
        <f>(AH20-AJ20)^2/AJ20+(AK20-AM20)^2/AM20</f>
        <v>0.94371601891821699</v>
      </c>
      <c r="AT6" t="str">
        <f>[1]!FTEXT(AR6)</f>
        <v>=(AH20-AJ20)^2/AJ20+(AK20-AM20)^2/AM20</v>
      </c>
    </row>
    <row r="7" spans="1:46" x14ac:dyDescent="0.25">
      <c r="A7" s="1184">
        <v>5</v>
      </c>
      <c r="B7" s="1184">
        <v>1</v>
      </c>
      <c r="C7" s="1184"/>
      <c r="D7" s="1184">
        <v>4</v>
      </c>
      <c r="E7" s="1184">
        <v>1</v>
      </c>
      <c r="F7">
        <v>1</v>
      </c>
      <c r="G7" s="532">
        <f t="shared" ref="G7:G17" si="2">COUNTIFS($A$6:$A$23,F7,$B$6:$B$23,1)</f>
        <v>0</v>
      </c>
      <c r="H7" s="7">
        <f t="shared" si="0"/>
        <v>18</v>
      </c>
      <c r="I7" s="7">
        <f t="shared" ref="I7:I17" si="3">1-G7/H7</f>
        <v>1</v>
      </c>
      <c r="J7" s="7">
        <f t="shared" ref="J7:J17" si="4">J6*I7</f>
        <v>1</v>
      </c>
      <c r="K7" s="532">
        <f t="shared" ref="K7:K18" si="5">COUNTIFS($D$6:$D$23,F7,$E$6:$E$23,1)</f>
        <v>1</v>
      </c>
      <c r="L7" s="7">
        <f t="shared" si="1"/>
        <v>18</v>
      </c>
      <c r="M7" s="7">
        <f t="shared" ref="M7:M18" si="6">1-K7/L7</f>
        <v>0.94444444444444442</v>
      </c>
      <c r="N7" s="533">
        <f t="shared" ref="N7:N18" si="7">N6*M7</f>
        <v>0.94444444444444442</v>
      </c>
      <c r="P7">
        <v>1</v>
      </c>
      <c r="Q7">
        <v>1</v>
      </c>
      <c r="R7">
        <v>0.94444444444444442</v>
      </c>
      <c r="S7">
        <v>2</v>
      </c>
      <c r="U7">
        <v>1</v>
      </c>
      <c r="V7" s="532">
        <v>1</v>
      </c>
      <c r="W7" s="533">
        <v>1</v>
      </c>
      <c r="AG7">
        <v>0</v>
      </c>
      <c r="AH7" s="1194"/>
      <c r="AI7" s="864">
        <f t="shared" ref="AI7:AI18" si="8">COUNTIF($A$6:$A$23, "&gt;"&amp;AG7-1)</f>
        <v>18</v>
      </c>
      <c r="AJ7" s="1173">
        <f>AI7/AO7*AN7</f>
        <v>0</v>
      </c>
      <c r="AK7" s="1194"/>
      <c r="AL7" s="864">
        <f t="shared" ref="AL7:AL19" si="9">COUNTIF($D$6:$D$23, "&gt;"&amp;AG7-1)</f>
        <v>18</v>
      </c>
      <c r="AM7" s="1173">
        <f>AN7-AJ7</f>
        <v>0</v>
      </c>
      <c r="AN7" s="1194">
        <f>AH7+AK7</f>
        <v>0</v>
      </c>
      <c r="AO7" s="1195">
        <f>AI7+AL7</f>
        <v>36</v>
      </c>
      <c r="AQ7" t="s">
        <v>60</v>
      </c>
      <c r="AR7" s="503">
        <v>1</v>
      </c>
      <c r="AT7" t="str">
        <f>[1]!FTEXT(AR7)</f>
        <v>1</v>
      </c>
    </row>
    <row r="8" spans="1:46" x14ac:dyDescent="0.25">
      <c r="A8" s="1184">
        <v>8</v>
      </c>
      <c r="B8" s="1184">
        <v>1</v>
      </c>
      <c r="C8" s="1184"/>
      <c r="D8" s="1184">
        <v>9</v>
      </c>
      <c r="E8" s="1184">
        <v>0</v>
      </c>
      <c r="F8">
        <v>2</v>
      </c>
      <c r="G8" s="532">
        <f t="shared" si="2"/>
        <v>1</v>
      </c>
      <c r="H8" s="7">
        <f t="shared" si="0"/>
        <v>18</v>
      </c>
      <c r="I8" s="7">
        <f t="shared" si="3"/>
        <v>0.94444444444444442</v>
      </c>
      <c r="J8" s="7">
        <f t="shared" si="4"/>
        <v>0.94444444444444442</v>
      </c>
      <c r="K8" s="532">
        <f t="shared" si="5"/>
        <v>0</v>
      </c>
      <c r="L8" s="7">
        <f t="shared" si="1"/>
        <v>17</v>
      </c>
      <c r="M8" s="7">
        <f t="shared" si="6"/>
        <v>1</v>
      </c>
      <c r="N8" s="533">
        <f t="shared" si="7"/>
        <v>0.94444444444444442</v>
      </c>
      <c r="P8">
        <v>2</v>
      </c>
      <c r="Q8">
        <v>0.94444444444444442</v>
      </c>
      <c r="R8">
        <v>0.94444444444444442</v>
      </c>
      <c r="S8">
        <v>3</v>
      </c>
      <c r="U8">
        <v>1</v>
      </c>
      <c r="V8" s="532">
        <v>1</v>
      </c>
      <c r="W8" s="533">
        <v>0.94444444444444442</v>
      </c>
      <c r="AG8">
        <v>1</v>
      </c>
      <c r="AH8" s="540">
        <f t="shared" ref="AH8:AH18" si="10">COUNTIFS($A$6:$A$23,AG8,$B$6:$B$23,1)</f>
        <v>0</v>
      </c>
      <c r="AI8" s="1185">
        <f t="shared" si="8"/>
        <v>18</v>
      </c>
      <c r="AJ8" s="533">
        <f t="shared" ref="AJ8:AJ19" si="11">AI8/AO8*AN8</f>
        <v>0.5</v>
      </c>
      <c r="AK8" s="540">
        <f t="shared" ref="AK8:AK19" si="12">COUNTIFS($D$6:$D$23,AG8,$E$6:$E$23,1)</f>
        <v>1</v>
      </c>
      <c r="AL8" s="1185">
        <f t="shared" si="9"/>
        <v>18</v>
      </c>
      <c r="AM8" s="533">
        <f t="shared" ref="AM8:AM19" si="13">AN8-AJ8</f>
        <v>0.5</v>
      </c>
      <c r="AN8" s="540">
        <f t="shared" ref="AN8:AO19" si="14">AH8+AK8</f>
        <v>1</v>
      </c>
      <c r="AO8" s="494">
        <f t="shared" si="14"/>
        <v>36</v>
      </c>
      <c r="AQ8" t="s">
        <v>67</v>
      </c>
      <c r="AR8" s="420">
        <f>CHIDIST(AR6,AR7)</f>
        <v>0.33132400545242796</v>
      </c>
      <c r="AT8" t="str">
        <f>[1]!FTEXT(AR8)</f>
        <v>=CHIDIST(AR6,AR7)</v>
      </c>
    </row>
    <row r="9" spans="1:46" x14ac:dyDescent="0.25">
      <c r="A9" s="1184">
        <v>10</v>
      </c>
      <c r="B9" s="1184">
        <v>0</v>
      </c>
      <c r="C9" s="1184"/>
      <c r="D9" s="1184">
        <v>10</v>
      </c>
      <c r="E9" s="1184">
        <v>0</v>
      </c>
      <c r="F9">
        <v>3</v>
      </c>
      <c r="G9" s="532">
        <f t="shared" si="2"/>
        <v>1</v>
      </c>
      <c r="H9" s="7">
        <f t="shared" si="0"/>
        <v>17</v>
      </c>
      <c r="I9" s="7">
        <f t="shared" si="3"/>
        <v>0.94117647058823528</v>
      </c>
      <c r="J9" s="7">
        <f t="shared" si="4"/>
        <v>0.88888888888888884</v>
      </c>
      <c r="K9" s="532">
        <f t="shared" si="5"/>
        <v>1</v>
      </c>
      <c r="L9" s="7">
        <f t="shared" si="1"/>
        <v>17</v>
      </c>
      <c r="M9" s="7">
        <f t="shared" si="6"/>
        <v>0.94117647058823528</v>
      </c>
      <c r="N9" s="533">
        <f t="shared" si="7"/>
        <v>0.88888888888888884</v>
      </c>
      <c r="P9">
        <v>3</v>
      </c>
      <c r="Q9">
        <v>0.88888888888888884</v>
      </c>
      <c r="R9">
        <v>0.88888888888888884</v>
      </c>
      <c r="S9">
        <v>4</v>
      </c>
      <c r="U9">
        <v>2</v>
      </c>
      <c r="V9" s="532">
        <v>1</v>
      </c>
      <c r="W9" s="533">
        <v>0.94444444444444442</v>
      </c>
      <c r="AG9">
        <v>2</v>
      </c>
      <c r="AH9" s="540">
        <f t="shared" si="10"/>
        <v>1</v>
      </c>
      <c r="AI9" s="1185">
        <f t="shared" si="8"/>
        <v>18</v>
      </c>
      <c r="AJ9" s="533">
        <f>AI9/AO9*AN9</f>
        <v>0.51428571428571423</v>
      </c>
      <c r="AK9" s="540">
        <f t="shared" si="12"/>
        <v>0</v>
      </c>
      <c r="AL9" s="1185">
        <f t="shared" si="9"/>
        <v>17</v>
      </c>
      <c r="AM9" s="533">
        <f t="shared" si="13"/>
        <v>0.48571428571428577</v>
      </c>
      <c r="AN9" s="540">
        <f t="shared" si="14"/>
        <v>1</v>
      </c>
      <c r="AO9" s="494">
        <f t="shared" si="14"/>
        <v>35</v>
      </c>
    </row>
    <row r="10" spans="1:46" x14ac:dyDescent="0.25">
      <c r="A10" s="1184">
        <v>5</v>
      </c>
      <c r="B10" s="1184">
        <v>1</v>
      </c>
      <c r="C10" s="1184"/>
      <c r="D10" s="1184">
        <v>6</v>
      </c>
      <c r="E10" s="1184">
        <v>1</v>
      </c>
      <c r="F10">
        <v>4</v>
      </c>
      <c r="G10" s="532">
        <f t="shared" si="2"/>
        <v>0</v>
      </c>
      <c r="H10" s="7">
        <f t="shared" si="0"/>
        <v>16</v>
      </c>
      <c r="I10" s="7">
        <f t="shared" si="3"/>
        <v>1</v>
      </c>
      <c r="J10" s="7">
        <f t="shared" si="4"/>
        <v>0.88888888888888884</v>
      </c>
      <c r="K10" s="532">
        <f t="shared" si="5"/>
        <v>1</v>
      </c>
      <c r="L10" s="7">
        <f t="shared" si="1"/>
        <v>16</v>
      </c>
      <c r="M10" s="7">
        <f t="shared" si="6"/>
        <v>0.9375</v>
      </c>
      <c r="N10" s="533">
        <f t="shared" si="7"/>
        <v>0.83333333333333326</v>
      </c>
      <c r="P10">
        <v>4</v>
      </c>
      <c r="Q10">
        <v>0.88888888888888884</v>
      </c>
      <c r="R10">
        <v>0.83333333333333326</v>
      </c>
      <c r="S10">
        <v>5</v>
      </c>
      <c r="U10">
        <v>2</v>
      </c>
      <c r="V10" s="532">
        <v>0.94444444444444442</v>
      </c>
      <c r="W10" s="533">
        <v>0.94444444444444442</v>
      </c>
      <c r="AG10">
        <v>3</v>
      </c>
      <c r="AH10" s="540">
        <f t="shared" si="10"/>
        <v>1</v>
      </c>
      <c r="AI10" s="1185">
        <f t="shared" si="8"/>
        <v>17</v>
      </c>
      <c r="AJ10" s="533">
        <f t="shared" si="11"/>
        <v>1</v>
      </c>
      <c r="AK10" s="540">
        <f t="shared" si="12"/>
        <v>1</v>
      </c>
      <c r="AL10" s="1185">
        <f t="shared" si="9"/>
        <v>17</v>
      </c>
      <c r="AM10" s="533">
        <f t="shared" si="13"/>
        <v>1</v>
      </c>
      <c r="AN10" s="540">
        <f t="shared" si="14"/>
        <v>2</v>
      </c>
      <c r="AO10" s="494">
        <f t="shared" si="14"/>
        <v>34</v>
      </c>
    </row>
    <row r="11" spans="1:46" x14ac:dyDescent="0.25">
      <c r="A11" s="1184">
        <v>5</v>
      </c>
      <c r="B11" s="1184">
        <v>0</v>
      </c>
      <c r="C11" s="1184"/>
      <c r="D11" s="1184">
        <v>6</v>
      </c>
      <c r="E11" s="1184">
        <v>0</v>
      </c>
      <c r="F11">
        <v>5</v>
      </c>
      <c r="G11" s="532">
        <f t="shared" si="2"/>
        <v>3</v>
      </c>
      <c r="H11" s="7">
        <f t="shared" si="0"/>
        <v>16</v>
      </c>
      <c r="I11" s="7">
        <f t="shared" si="3"/>
        <v>0.8125</v>
      </c>
      <c r="J11" s="7">
        <f t="shared" si="4"/>
        <v>0.72222222222222221</v>
      </c>
      <c r="K11" s="532">
        <f t="shared" si="5"/>
        <v>0</v>
      </c>
      <c r="L11" s="7">
        <f t="shared" si="1"/>
        <v>15</v>
      </c>
      <c r="M11" s="7">
        <f t="shared" si="6"/>
        <v>1</v>
      </c>
      <c r="N11" s="533">
        <f t="shared" si="7"/>
        <v>0.83333333333333326</v>
      </c>
      <c r="P11">
        <v>5</v>
      </c>
      <c r="Q11">
        <v>0.72222222222222221</v>
      </c>
      <c r="R11">
        <v>0.83333333333333326</v>
      </c>
      <c r="S11">
        <v>6</v>
      </c>
      <c r="U11">
        <v>3</v>
      </c>
      <c r="V11" s="532">
        <v>0.94444444444444442</v>
      </c>
      <c r="W11" s="533">
        <v>0.94444444444444442</v>
      </c>
      <c r="AG11">
        <v>4</v>
      </c>
      <c r="AH11" s="540">
        <f t="shared" si="10"/>
        <v>0</v>
      </c>
      <c r="AI11" s="1185">
        <f t="shared" si="8"/>
        <v>16</v>
      </c>
      <c r="AJ11" s="533">
        <f t="shared" si="11"/>
        <v>0.5</v>
      </c>
      <c r="AK11" s="540">
        <f t="shared" si="12"/>
        <v>1</v>
      </c>
      <c r="AL11" s="1185">
        <f t="shared" si="9"/>
        <v>16</v>
      </c>
      <c r="AM11" s="533">
        <f t="shared" si="13"/>
        <v>0.5</v>
      </c>
      <c r="AN11" s="540">
        <f t="shared" si="14"/>
        <v>1</v>
      </c>
      <c r="AO11" s="494">
        <f t="shared" si="14"/>
        <v>32</v>
      </c>
    </row>
    <row r="12" spans="1:46" x14ac:dyDescent="0.25">
      <c r="A12" s="1184">
        <v>8</v>
      </c>
      <c r="B12" s="1184">
        <v>1</v>
      </c>
      <c r="C12" s="1184"/>
      <c r="D12" s="1184">
        <v>10</v>
      </c>
      <c r="E12" s="1184">
        <v>1</v>
      </c>
      <c r="F12">
        <v>6</v>
      </c>
      <c r="G12" s="532">
        <f t="shared" si="2"/>
        <v>0</v>
      </c>
      <c r="H12" s="7">
        <f t="shared" si="0"/>
        <v>12</v>
      </c>
      <c r="I12" s="7">
        <f t="shared" si="3"/>
        <v>1</v>
      </c>
      <c r="J12" s="7">
        <f t="shared" si="4"/>
        <v>0.72222222222222221</v>
      </c>
      <c r="K12" s="532">
        <f t="shared" si="5"/>
        <v>1</v>
      </c>
      <c r="L12" s="7">
        <f t="shared" si="1"/>
        <v>15</v>
      </c>
      <c r="M12" s="7">
        <f t="shared" si="6"/>
        <v>0.93333333333333335</v>
      </c>
      <c r="N12" s="533">
        <f t="shared" si="7"/>
        <v>0.77777777777777768</v>
      </c>
      <c r="P12">
        <v>6</v>
      </c>
      <c r="Q12">
        <v>0.72222222222222221</v>
      </c>
      <c r="R12">
        <v>0.77777777777777768</v>
      </c>
      <c r="S12">
        <v>7</v>
      </c>
      <c r="U12">
        <v>3</v>
      </c>
      <c r="V12" s="532">
        <v>0.88888888888888884</v>
      </c>
      <c r="W12" s="533">
        <v>0.88888888888888884</v>
      </c>
      <c r="AG12">
        <v>5</v>
      </c>
      <c r="AH12" s="540">
        <f t="shared" si="10"/>
        <v>3</v>
      </c>
      <c r="AI12" s="1185">
        <f t="shared" si="8"/>
        <v>16</v>
      </c>
      <c r="AJ12" s="533">
        <f t="shared" si="11"/>
        <v>1.5483870967741935</v>
      </c>
      <c r="AK12" s="540">
        <f t="shared" si="12"/>
        <v>0</v>
      </c>
      <c r="AL12" s="1185">
        <f t="shared" si="9"/>
        <v>15</v>
      </c>
      <c r="AM12" s="533">
        <f t="shared" si="13"/>
        <v>1.4516129032258065</v>
      </c>
      <c r="AN12" s="540">
        <f t="shared" si="14"/>
        <v>3</v>
      </c>
      <c r="AO12" s="494">
        <f t="shared" si="14"/>
        <v>31</v>
      </c>
    </row>
    <row r="13" spans="1:46" x14ac:dyDescent="0.25">
      <c r="A13" s="1184">
        <v>12</v>
      </c>
      <c r="B13" s="1184">
        <v>1</v>
      </c>
      <c r="C13" s="1184"/>
      <c r="D13" s="1184">
        <v>10</v>
      </c>
      <c r="E13" s="1184">
        <v>1</v>
      </c>
      <c r="F13">
        <v>8</v>
      </c>
      <c r="G13" s="532">
        <f t="shared" si="2"/>
        <v>3</v>
      </c>
      <c r="H13" s="7">
        <f t="shared" si="0"/>
        <v>12</v>
      </c>
      <c r="I13" s="7">
        <f t="shared" si="3"/>
        <v>0.75</v>
      </c>
      <c r="J13" s="7">
        <f t="shared" si="4"/>
        <v>0.54166666666666663</v>
      </c>
      <c r="K13" s="532">
        <f t="shared" si="5"/>
        <v>1</v>
      </c>
      <c r="L13" s="7">
        <f t="shared" si="1"/>
        <v>12</v>
      </c>
      <c r="M13" s="7">
        <f t="shared" si="6"/>
        <v>0.91666666666666663</v>
      </c>
      <c r="N13" s="533">
        <f t="shared" si="7"/>
        <v>0.7129629629629628</v>
      </c>
      <c r="P13">
        <v>8</v>
      </c>
      <c r="Q13">
        <v>0.54166666666666663</v>
      </c>
      <c r="R13">
        <v>0.7129629629629628</v>
      </c>
      <c r="S13">
        <v>8</v>
      </c>
      <c r="U13">
        <v>4</v>
      </c>
      <c r="V13" s="532">
        <v>0.88888888888888884</v>
      </c>
      <c r="W13" s="533">
        <v>0.88888888888888884</v>
      </c>
      <c r="AG13">
        <v>6</v>
      </c>
      <c r="AH13" s="540">
        <f t="shared" si="10"/>
        <v>0</v>
      </c>
      <c r="AI13" s="1185">
        <f t="shared" si="8"/>
        <v>12</v>
      </c>
      <c r="AJ13" s="533">
        <f t="shared" si="11"/>
        <v>0.44444444444444442</v>
      </c>
      <c r="AK13" s="540">
        <f t="shared" si="12"/>
        <v>1</v>
      </c>
      <c r="AL13" s="1185">
        <f t="shared" si="9"/>
        <v>15</v>
      </c>
      <c r="AM13" s="533">
        <f t="shared" si="13"/>
        <v>0.55555555555555558</v>
      </c>
      <c r="AN13" s="540">
        <f t="shared" si="14"/>
        <v>1</v>
      </c>
      <c r="AO13" s="494">
        <f t="shared" si="14"/>
        <v>27</v>
      </c>
    </row>
    <row r="14" spans="1:46" x14ac:dyDescent="0.25">
      <c r="A14" s="1184">
        <v>15</v>
      </c>
      <c r="B14" s="1184">
        <v>0</v>
      </c>
      <c r="C14" s="1184"/>
      <c r="D14" s="1184">
        <v>12</v>
      </c>
      <c r="E14" s="1184">
        <v>0</v>
      </c>
      <c r="F14">
        <v>9</v>
      </c>
      <c r="G14" s="532">
        <f t="shared" si="2"/>
        <v>0</v>
      </c>
      <c r="H14" s="7">
        <f t="shared" si="0"/>
        <v>9</v>
      </c>
      <c r="I14" s="7">
        <f t="shared" si="3"/>
        <v>1</v>
      </c>
      <c r="J14" s="7">
        <f t="shared" si="4"/>
        <v>0.54166666666666663</v>
      </c>
      <c r="K14" s="532">
        <f t="shared" si="5"/>
        <v>0</v>
      </c>
      <c r="L14" s="7">
        <f t="shared" si="1"/>
        <v>10</v>
      </c>
      <c r="M14" s="7">
        <f t="shared" si="6"/>
        <v>1</v>
      </c>
      <c r="N14" s="533">
        <f t="shared" si="7"/>
        <v>0.7129629629629628</v>
      </c>
      <c r="P14">
        <v>9</v>
      </c>
      <c r="Q14">
        <v>0.54166666666666663</v>
      </c>
      <c r="R14">
        <v>0.7129629629629628</v>
      </c>
      <c r="S14">
        <v>9</v>
      </c>
      <c r="U14">
        <v>4</v>
      </c>
      <c r="V14" s="532">
        <v>0.88888888888888884</v>
      </c>
      <c r="W14" s="533">
        <v>0.83333333333333326</v>
      </c>
      <c r="AG14">
        <v>8</v>
      </c>
      <c r="AH14" s="540">
        <f t="shared" si="10"/>
        <v>3</v>
      </c>
      <c r="AI14" s="1185">
        <f t="shared" si="8"/>
        <v>12</v>
      </c>
      <c r="AJ14" s="533">
        <f t="shared" si="11"/>
        <v>2</v>
      </c>
      <c r="AK14" s="540">
        <f t="shared" si="12"/>
        <v>1</v>
      </c>
      <c r="AL14" s="1185">
        <f t="shared" si="9"/>
        <v>12</v>
      </c>
      <c r="AM14" s="533">
        <f t="shared" si="13"/>
        <v>2</v>
      </c>
      <c r="AN14" s="540">
        <f t="shared" si="14"/>
        <v>4</v>
      </c>
      <c r="AO14" s="494">
        <f t="shared" si="14"/>
        <v>24</v>
      </c>
    </row>
    <row r="15" spans="1:46" x14ac:dyDescent="0.25">
      <c r="A15" s="1184">
        <v>14</v>
      </c>
      <c r="B15" s="1184">
        <v>0</v>
      </c>
      <c r="C15" s="1184"/>
      <c r="D15" s="1184">
        <v>13</v>
      </c>
      <c r="E15" s="1184">
        <v>0</v>
      </c>
      <c r="F15">
        <v>10</v>
      </c>
      <c r="G15" s="532">
        <f t="shared" si="2"/>
        <v>0</v>
      </c>
      <c r="H15" s="7">
        <f t="shared" si="0"/>
        <v>8</v>
      </c>
      <c r="I15" s="7">
        <f t="shared" si="3"/>
        <v>1</v>
      </c>
      <c r="J15" s="7">
        <f t="shared" si="4"/>
        <v>0.54166666666666663</v>
      </c>
      <c r="K15" s="532">
        <f t="shared" si="5"/>
        <v>2</v>
      </c>
      <c r="L15" s="7">
        <f t="shared" si="1"/>
        <v>9</v>
      </c>
      <c r="M15" s="7">
        <f t="shared" si="6"/>
        <v>0.77777777777777779</v>
      </c>
      <c r="N15" s="533">
        <f t="shared" si="7"/>
        <v>0.55452674897119325</v>
      </c>
      <c r="P15">
        <v>10</v>
      </c>
      <c r="Q15">
        <v>0.54166666666666663</v>
      </c>
      <c r="R15">
        <v>0.55452674897119325</v>
      </c>
      <c r="S15">
        <v>10</v>
      </c>
      <c r="U15">
        <v>5</v>
      </c>
      <c r="V15" s="532">
        <v>0.88888888888888884</v>
      </c>
      <c r="W15" s="533">
        <v>0.83333333333333326</v>
      </c>
      <c r="AG15">
        <v>9</v>
      </c>
      <c r="AH15" s="540">
        <f t="shared" si="10"/>
        <v>0</v>
      </c>
      <c r="AI15" s="1185">
        <f t="shared" si="8"/>
        <v>9</v>
      </c>
      <c r="AJ15" s="533">
        <f t="shared" si="11"/>
        <v>0</v>
      </c>
      <c r="AK15" s="540">
        <f t="shared" si="12"/>
        <v>0</v>
      </c>
      <c r="AL15" s="1185">
        <f t="shared" si="9"/>
        <v>10</v>
      </c>
      <c r="AM15" s="533">
        <f t="shared" si="13"/>
        <v>0</v>
      </c>
      <c r="AN15" s="540">
        <f t="shared" si="14"/>
        <v>0</v>
      </c>
      <c r="AO15" s="494">
        <f t="shared" si="14"/>
        <v>19</v>
      </c>
    </row>
    <row r="16" spans="1:46" x14ac:dyDescent="0.25">
      <c r="A16" s="1184">
        <v>2</v>
      </c>
      <c r="B16" s="1184">
        <v>1</v>
      </c>
      <c r="C16" s="1184"/>
      <c r="D16" s="1184">
        <v>3</v>
      </c>
      <c r="E16" s="1184">
        <v>1</v>
      </c>
      <c r="F16">
        <v>11</v>
      </c>
      <c r="G16" s="532">
        <f t="shared" si="2"/>
        <v>2</v>
      </c>
      <c r="H16" s="7">
        <f t="shared" si="0"/>
        <v>6</v>
      </c>
      <c r="I16" s="7">
        <f t="shared" si="3"/>
        <v>0.66666666666666674</v>
      </c>
      <c r="J16" s="7">
        <f t="shared" si="4"/>
        <v>0.3611111111111111</v>
      </c>
      <c r="K16" s="532">
        <f t="shared" si="5"/>
        <v>0</v>
      </c>
      <c r="L16" s="7">
        <f t="shared" si="1"/>
        <v>5</v>
      </c>
      <c r="M16" s="7">
        <f t="shared" si="6"/>
        <v>1</v>
      </c>
      <c r="N16" s="533">
        <f t="shared" si="7"/>
        <v>0.55452674897119325</v>
      </c>
      <c r="P16">
        <v>11</v>
      </c>
      <c r="Q16">
        <v>0.3611111111111111</v>
      </c>
      <c r="R16">
        <v>0.55452674897119325</v>
      </c>
      <c r="S16">
        <v>11</v>
      </c>
      <c r="U16">
        <v>5</v>
      </c>
      <c r="V16" s="532">
        <v>0.72222222222222221</v>
      </c>
      <c r="W16" s="533">
        <v>0.83333333333333326</v>
      </c>
      <c r="AG16">
        <v>10</v>
      </c>
      <c r="AH16" s="540">
        <f t="shared" si="10"/>
        <v>0</v>
      </c>
      <c r="AI16" s="1185">
        <f t="shared" si="8"/>
        <v>8</v>
      </c>
      <c r="AJ16" s="533">
        <f t="shared" si="11"/>
        <v>0.94117647058823528</v>
      </c>
      <c r="AK16" s="540">
        <f t="shared" si="12"/>
        <v>2</v>
      </c>
      <c r="AL16" s="1185">
        <f t="shared" si="9"/>
        <v>9</v>
      </c>
      <c r="AM16" s="533">
        <f t="shared" si="13"/>
        <v>1.0588235294117647</v>
      </c>
      <c r="AN16" s="540">
        <f t="shared" si="14"/>
        <v>2</v>
      </c>
      <c r="AO16" s="494">
        <f t="shared" si="14"/>
        <v>17</v>
      </c>
    </row>
    <row r="17" spans="1:41" x14ac:dyDescent="0.25">
      <c r="A17" s="1184">
        <v>11</v>
      </c>
      <c r="B17" s="1184">
        <v>1</v>
      </c>
      <c r="C17" s="1184"/>
      <c r="D17" s="1184">
        <v>13</v>
      </c>
      <c r="E17" s="1184">
        <v>0</v>
      </c>
      <c r="F17">
        <v>12</v>
      </c>
      <c r="G17" s="532">
        <f t="shared" si="2"/>
        <v>2</v>
      </c>
      <c r="H17" s="7">
        <f t="shared" si="0"/>
        <v>4</v>
      </c>
      <c r="I17" s="7">
        <f t="shared" si="3"/>
        <v>0.5</v>
      </c>
      <c r="J17" s="7">
        <f t="shared" si="4"/>
        <v>0.18055555555555555</v>
      </c>
      <c r="K17" s="532">
        <f t="shared" si="5"/>
        <v>0</v>
      </c>
      <c r="L17" s="7">
        <f t="shared" si="1"/>
        <v>5</v>
      </c>
      <c r="M17" s="7">
        <f t="shared" si="6"/>
        <v>1</v>
      </c>
      <c r="N17" s="533">
        <f t="shared" si="7"/>
        <v>0.55452674897119325</v>
      </c>
      <c r="P17">
        <v>12</v>
      </c>
      <c r="Q17">
        <v>0.18055555555555555</v>
      </c>
      <c r="R17">
        <v>0.55452674897119325</v>
      </c>
      <c r="S17">
        <v>12</v>
      </c>
      <c r="U17">
        <v>6</v>
      </c>
      <c r="V17" s="532">
        <v>0.72222222222222221</v>
      </c>
      <c r="W17" s="533">
        <v>0.83333333333333326</v>
      </c>
      <c r="AG17">
        <v>11</v>
      </c>
      <c r="AH17" s="540">
        <f t="shared" si="10"/>
        <v>2</v>
      </c>
      <c r="AI17" s="1185">
        <f t="shared" si="8"/>
        <v>6</v>
      </c>
      <c r="AJ17" s="533">
        <f t="shared" si="11"/>
        <v>1.0909090909090908</v>
      </c>
      <c r="AK17" s="540">
        <f t="shared" si="12"/>
        <v>0</v>
      </c>
      <c r="AL17" s="1185">
        <f t="shared" si="9"/>
        <v>5</v>
      </c>
      <c r="AM17" s="533">
        <f t="shared" si="13"/>
        <v>0.90909090909090917</v>
      </c>
      <c r="AN17" s="540">
        <f t="shared" si="14"/>
        <v>2</v>
      </c>
      <c r="AO17" s="494">
        <f t="shared" si="14"/>
        <v>11</v>
      </c>
    </row>
    <row r="18" spans="1:41" x14ac:dyDescent="0.25">
      <c r="A18" s="1184">
        <v>10</v>
      </c>
      <c r="B18" s="1184">
        <v>0</v>
      </c>
      <c r="C18" s="1184"/>
      <c r="D18" s="1184">
        <v>8</v>
      </c>
      <c r="E18" s="1184">
        <v>0</v>
      </c>
      <c r="F18">
        <v>13</v>
      </c>
      <c r="G18" s="409"/>
      <c r="H18" s="762"/>
      <c r="I18" s="762"/>
      <c r="J18" s="762"/>
      <c r="K18" s="409">
        <f t="shared" si="5"/>
        <v>1</v>
      </c>
      <c r="L18" s="762">
        <f t="shared" si="1"/>
        <v>3</v>
      </c>
      <c r="M18" s="762">
        <f t="shared" si="6"/>
        <v>0.66666666666666674</v>
      </c>
      <c r="N18" s="417">
        <f t="shared" si="7"/>
        <v>0.36968449931412889</v>
      </c>
      <c r="P18">
        <v>13</v>
      </c>
      <c r="R18">
        <v>0.36968449931412889</v>
      </c>
      <c r="S18">
        <v>13</v>
      </c>
      <c r="U18">
        <v>6</v>
      </c>
      <c r="V18" s="532">
        <v>0.72222222222222221</v>
      </c>
      <c r="W18" s="533">
        <v>0.77777777777777768</v>
      </c>
      <c r="AG18">
        <v>12</v>
      </c>
      <c r="AH18" s="540">
        <f t="shared" si="10"/>
        <v>2</v>
      </c>
      <c r="AI18" s="1185">
        <f t="shared" si="8"/>
        <v>4</v>
      </c>
      <c r="AJ18" s="533">
        <f t="shared" si="11"/>
        <v>0.88888888888888884</v>
      </c>
      <c r="AK18" s="540">
        <f t="shared" si="12"/>
        <v>0</v>
      </c>
      <c r="AL18" s="1185">
        <f t="shared" si="9"/>
        <v>5</v>
      </c>
      <c r="AM18" s="533">
        <f t="shared" si="13"/>
        <v>1.1111111111111112</v>
      </c>
      <c r="AN18" s="540">
        <f t="shared" si="14"/>
        <v>2</v>
      </c>
      <c r="AO18" s="494">
        <f t="shared" si="14"/>
        <v>9</v>
      </c>
    </row>
    <row r="19" spans="1:41" x14ac:dyDescent="0.25">
      <c r="A19" s="1184">
        <v>9</v>
      </c>
      <c r="B19" s="1184">
        <v>0</v>
      </c>
      <c r="C19" s="1184"/>
      <c r="D19" s="1184">
        <v>10</v>
      </c>
      <c r="E19" s="1184">
        <v>0</v>
      </c>
      <c r="P19">
        <v>1</v>
      </c>
      <c r="Q19">
        <v>1</v>
      </c>
      <c r="R19">
        <v>1</v>
      </c>
      <c r="S19">
        <v>1</v>
      </c>
      <c r="U19">
        <v>8</v>
      </c>
      <c r="V19" s="532">
        <v>0.72222222222222221</v>
      </c>
      <c r="W19" s="533">
        <v>0.77777777777777768</v>
      </c>
      <c r="AG19">
        <v>13</v>
      </c>
      <c r="AH19" s="540">
        <f>COUNTIFS($A$6:$A$23,AG19,$B$6:$B$23,1)</f>
        <v>0</v>
      </c>
      <c r="AI19" s="1185">
        <f>COUNTIF($A$6:$A$23, "&gt;"&amp;AG19-1)</f>
        <v>2</v>
      </c>
      <c r="AJ19" s="417">
        <f t="shared" si="11"/>
        <v>0.4</v>
      </c>
      <c r="AK19" s="436">
        <f t="shared" si="12"/>
        <v>1</v>
      </c>
      <c r="AL19" s="1186">
        <f t="shared" si="9"/>
        <v>3</v>
      </c>
      <c r="AM19" s="417">
        <f t="shared" si="13"/>
        <v>0.6</v>
      </c>
      <c r="AN19" s="436">
        <f t="shared" si="14"/>
        <v>1</v>
      </c>
      <c r="AO19" s="412">
        <f t="shared" si="14"/>
        <v>5</v>
      </c>
    </row>
    <row r="20" spans="1:41" x14ac:dyDescent="0.25">
      <c r="A20" s="1184">
        <v>12</v>
      </c>
      <c r="B20" s="1184">
        <v>1</v>
      </c>
      <c r="C20" s="1184"/>
      <c r="D20" s="1184">
        <v>13</v>
      </c>
      <c r="E20" s="1184">
        <v>1</v>
      </c>
      <c r="P20">
        <v>2</v>
      </c>
      <c r="Q20">
        <v>1</v>
      </c>
      <c r="R20">
        <v>0.94444444444444442</v>
      </c>
      <c r="S20">
        <v>2</v>
      </c>
      <c r="U20">
        <v>8</v>
      </c>
      <c r="V20" s="532">
        <v>0.54166666666666663</v>
      </c>
      <c r="W20" s="533">
        <v>0.7129629629629628</v>
      </c>
      <c r="AH20" s="1196">
        <f>SUM(AH7:AH19)</f>
        <v>12</v>
      </c>
      <c r="AI20" s="827"/>
      <c r="AJ20" s="964">
        <f>SUM(AJ7:AJ19)</f>
        <v>9.8280917058905697</v>
      </c>
      <c r="AK20" s="1196">
        <f>SUM(AK7:AK19)</f>
        <v>8</v>
      </c>
      <c r="AL20" s="827"/>
      <c r="AM20" s="964">
        <f>SUM(AM7:AM19)</f>
        <v>10.171908294109432</v>
      </c>
    </row>
    <row r="21" spans="1:41" x14ac:dyDescent="0.25">
      <c r="A21" s="1184">
        <v>5</v>
      </c>
      <c r="B21" s="1184">
        <v>1</v>
      </c>
      <c r="C21" s="1184"/>
      <c r="D21" s="1184">
        <v>6</v>
      </c>
      <c r="E21" s="1184">
        <v>0</v>
      </c>
      <c r="P21">
        <v>3</v>
      </c>
      <c r="Q21">
        <v>0.94444444444444442</v>
      </c>
      <c r="R21">
        <v>0.94444444444444442</v>
      </c>
      <c r="S21">
        <v>3</v>
      </c>
      <c r="U21">
        <v>9</v>
      </c>
      <c r="V21" s="532">
        <v>0.54166666666666663</v>
      </c>
      <c r="W21" s="533">
        <v>0.7129629629629628</v>
      </c>
    </row>
    <row r="22" spans="1:41" x14ac:dyDescent="0.25">
      <c r="A22" s="1184">
        <v>8</v>
      </c>
      <c r="B22" s="1184">
        <v>1</v>
      </c>
      <c r="C22" s="1184"/>
      <c r="D22" s="1184">
        <v>8</v>
      </c>
      <c r="E22" s="1184">
        <v>1</v>
      </c>
      <c r="P22">
        <v>4</v>
      </c>
      <c r="Q22">
        <v>0.88888888888888884</v>
      </c>
      <c r="R22">
        <v>0.88888888888888884</v>
      </c>
      <c r="S22">
        <v>4</v>
      </c>
      <c r="U22">
        <v>9</v>
      </c>
      <c r="V22" s="532">
        <v>0.54166666666666663</v>
      </c>
      <c r="W22" s="533">
        <v>0.7129629629629628</v>
      </c>
      <c r="AH22" t="s">
        <v>2518</v>
      </c>
      <c r="AJ22" s="580">
        <f>AH20/AJ20</f>
        <v>1.2209898278429447</v>
      </c>
      <c r="AM22" s="580">
        <f>AK20/AM20</f>
        <v>0.78647976060035973</v>
      </c>
    </row>
    <row r="23" spans="1:41" x14ac:dyDescent="0.25">
      <c r="A23" s="1186">
        <v>11</v>
      </c>
      <c r="B23" s="1186">
        <v>1</v>
      </c>
      <c r="C23" s="1184"/>
      <c r="D23" s="1186">
        <v>12</v>
      </c>
      <c r="E23" s="1186">
        <v>0</v>
      </c>
      <c r="P23">
        <v>5</v>
      </c>
      <c r="Q23">
        <v>0.88888888888888884</v>
      </c>
      <c r="R23">
        <v>0.83333333333333326</v>
      </c>
      <c r="S23">
        <v>5</v>
      </c>
      <c r="U23">
        <v>10</v>
      </c>
      <c r="V23" s="532">
        <v>0.54166666666666663</v>
      </c>
      <c r="W23" s="533">
        <v>0.7129629629629628</v>
      </c>
    </row>
    <row r="24" spans="1:41" x14ac:dyDescent="0.25">
      <c r="P24">
        <v>6</v>
      </c>
      <c r="Q24">
        <v>0.72222222222222221</v>
      </c>
      <c r="R24">
        <v>0.83333333333333326</v>
      </c>
      <c r="S24">
        <v>6</v>
      </c>
      <c r="U24">
        <v>10</v>
      </c>
      <c r="V24" s="532">
        <v>0.54166666666666663</v>
      </c>
      <c r="W24" s="533">
        <v>0.55452674897119325</v>
      </c>
      <c r="AH24" t="s">
        <v>2519</v>
      </c>
      <c r="AJ24" s="580">
        <f>AJ22/AM22</f>
        <v>1.5524745696073623</v>
      </c>
      <c r="AL24" s="16" t="s">
        <v>2520</v>
      </c>
    </row>
    <row r="25" spans="1:41" x14ac:dyDescent="0.25">
      <c r="P25">
        <v>8</v>
      </c>
      <c r="Q25">
        <v>0.72222222222222221</v>
      </c>
      <c r="R25">
        <v>0.77777777777777768</v>
      </c>
      <c r="S25">
        <v>7</v>
      </c>
      <c r="U25">
        <v>11</v>
      </c>
      <c r="V25" s="532">
        <v>0.54166666666666663</v>
      </c>
      <c r="W25" s="533">
        <v>0.55452674897119325</v>
      </c>
    </row>
    <row r="26" spans="1:41" x14ac:dyDescent="0.25">
      <c r="P26">
        <v>9</v>
      </c>
      <c r="Q26">
        <v>0.54166666666666663</v>
      </c>
      <c r="R26">
        <v>0.7129629629629628</v>
      </c>
      <c r="S26">
        <v>8</v>
      </c>
      <c r="U26">
        <v>11</v>
      </c>
      <c r="V26" s="532">
        <v>0.3611111111111111</v>
      </c>
      <c r="W26" s="533">
        <v>0.55452674897119325</v>
      </c>
      <c r="AH26" t="s">
        <v>2521</v>
      </c>
      <c r="AJ26" s="1193">
        <f>LN(AJ24)</f>
        <v>0.4398501544062256</v>
      </c>
      <c r="AL26" t="str">
        <f>[1]!FTEXT(AJ26)</f>
        <v>=LN(AJ24)</v>
      </c>
    </row>
    <row r="27" spans="1:41" x14ac:dyDescent="0.25">
      <c r="P27">
        <v>10</v>
      </c>
      <c r="Q27">
        <v>0.54166666666666663</v>
      </c>
      <c r="R27">
        <v>0.7129629629629628</v>
      </c>
      <c r="S27">
        <v>9</v>
      </c>
      <c r="U27">
        <v>12</v>
      </c>
      <c r="V27" s="532">
        <v>0.3611111111111111</v>
      </c>
      <c r="W27" s="533">
        <v>0.55452674897119325</v>
      </c>
      <c r="AH27" t="s">
        <v>2522</v>
      </c>
      <c r="AJ27" s="503">
        <f>SQRT(1/AJ20+1/AM20)</f>
        <v>0.44727969146306024</v>
      </c>
      <c r="AL27" t="str">
        <f>[1]!FTEXT(AJ27)</f>
        <v>=SQRT(1/AJ20+1/AM20)</v>
      </c>
    </row>
    <row r="28" spans="1:41" x14ac:dyDescent="0.25">
      <c r="P28">
        <v>11</v>
      </c>
      <c r="Q28">
        <v>0.54166666666666663</v>
      </c>
      <c r="R28">
        <v>0.55452674897119325</v>
      </c>
      <c r="S28">
        <v>10</v>
      </c>
      <c r="U28">
        <v>12</v>
      </c>
      <c r="V28" s="532">
        <v>0.18055555555555555</v>
      </c>
      <c r="W28" s="533">
        <v>0.55452674897119325</v>
      </c>
      <c r="AH28" t="s">
        <v>211</v>
      </c>
      <c r="AJ28" s="420">
        <f>NORMSINV(0.975)</f>
        <v>1.9599639845400536</v>
      </c>
      <c r="AL28" t="str">
        <f>[1]!FTEXT(AJ28)</f>
        <v>=NORMSINV(0.975)</v>
      </c>
    </row>
    <row r="29" spans="1:41" x14ac:dyDescent="0.25">
      <c r="P29">
        <v>12</v>
      </c>
      <c r="Q29">
        <v>0.3611111111111111</v>
      </c>
      <c r="R29">
        <v>0.55452674897119325</v>
      </c>
      <c r="S29">
        <v>11</v>
      </c>
      <c r="U29">
        <v>13</v>
      </c>
      <c r="V29" s="532">
        <v>0.18055555555555555</v>
      </c>
      <c r="W29" s="533">
        <v>0.55452674897119325</v>
      </c>
    </row>
    <row r="30" spans="1:41" x14ac:dyDescent="0.25">
      <c r="P30">
        <v>13</v>
      </c>
      <c r="Q30">
        <v>0.18055555555555555</v>
      </c>
      <c r="R30">
        <v>0.55452674897119325</v>
      </c>
      <c r="S30">
        <v>12</v>
      </c>
      <c r="U30">
        <v>13</v>
      </c>
      <c r="V30" s="409"/>
      <c r="W30" s="417">
        <v>0.36968449931412889</v>
      </c>
      <c r="AH30" t="s">
        <v>2523</v>
      </c>
      <c r="AJ30" s="1193">
        <f>AJ26-AJ27*AJ28</f>
        <v>-0.43680193187755972</v>
      </c>
      <c r="AL30" t="str">
        <f>[1]!FTEXT(AJ30)</f>
        <v>=AJ26-AJ27*AJ28</v>
      </c>
    </row>
    <row r="31" spans="1:41" x14ac:dyDescent="0.25">
      <c r="AH31" t="s">
        <v>2524</v>
      </c>
      <c r="AJ31" s="420">
        <f>AJ26+AJ27*AJ28</f>
        <v>1.3165022406900109</v>
      </c>
      <c r="AL31" t="str">
        <f>[1]!FTEXT(AJ31)</f>
        <v>=AJ26+AJ27*AJ28</v>
      </c>
    </row>
    <row r="33" spans="34:38" x14ac:dyDescent="0.25">
      <c r="AH33" t="s">
        <v>2525</v>
      </c>
      <c r="AJ33" s="1193">
        <f>EXP(AJ30)</f>
        <v>0.64609939043107723</v>
      </c>
      <c r="AL33" t="str">
        <f>[1]!FTEXT(AJ33)</f>
        <v>=EXP(AJ30)</v>
      </c>
    </row>
    <row r="34" spans="34:38" x14ac:dyDescent="0.25">
      <c r="AH34" t="s">
        <v>2526</v>
      </c>
      <c r="AJ34" s="420">
        <f>EXP(AJ31)</f>
        <v>3.7303506627200123</v>
      </c>
      <c r="AL34" t="str">
        <f>[1]!FTEXT(AJ34)</f>
        <v>=EXP(AJ31)</v>
      </c>
    </row>
  </sheetData>
  <mergeCells count="7">
    <mergeCell ref="AN5:AO5"/>
    <mergeCell ref="A3:B3"/>
    <mergeCell ref="D3:E3"/>
    <mergeCell ref="G4:J4"/>
    <mergeCell ref="K4:N4"/>
    <mergeCell ref="AH5:AJ5"/>
    <mergeCell ref="AK5:AM5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T18"/>
  <sheetViews>
    <sheetView workbookViewId="0">
      <selection activeCell="D7" sqref="D7"/>
    </sheetView>
  </sheetViews>
  <sheetFormatPr defaultRowHeight="15" x14ac:dyDescent="0.25"/>
  <cols>
    <col min="1" max="1" width="5.42578125" customWidth="1"/>
    <col min="2" max="3" width="7" customWidth="1"/>
    <col min="5" max="6" width="7" customWidth="1"/>
    <col min="7" max="7" width="3.28515625" customWidth="1"/>
    <col min="10" max="10" width="3.28515625" customWidth="1"/>
    <col min="13" max="13" width="3.28515625" customWidth="1"/>
    <col min="16" max="16" width="6.85546875" customWidth="1"/>
    <col min="17" max="17" width="12.7109375" customWidth="1"/>
    <col min="19" max="19" width="3.7109375" customWidth="1"/>
    <col min="20" max="20" width="17.140625" customWidth="1"/>
  </cols>
  <sheetData>
    <row r="1" spans="1:20" x14ac:dyDescent="0.25">
      <c r="A1" s="1" t="s">
        <v>2530</v>
      </c>
    </row>
    <row r="3" spans="1:20" x14ac:dyDescent="0.25">
      <c r="B3" s="1309" t="s">
        <v>2515</v>
      </c>
      <c r="C3" s="1309"/>
      <c r="D3" s="1309"/>
      <c r="E3" s="1309" t="s">
        <v>2517</v>
      </c>
      <c r="F3" s="1309"/>
      <c r="H3" s="1313" t="s">
        <v>2531</v>
      </c>
      <c r="I3" s="1313"/>
      <c r="J3" s="1185"/>
      <c r="K3" s="1313" t="s">
        <v>2532</v>
      </c>
      <c r="L3" s="1313"/>
      <c r="M3" s="1185"/>
      <c r="N3" s="1313" t="s">
        <v>2533</v>
      </c>
      <c r="O3" s="1313"/>
      <c r="P3" s="1185"/>
    </row>
    <row r="4" spans="1:20" x14ac:dyDescent="0.25">
      <c r="A4" s="26" t="s">
        <v>63</v>
      </c>
      <c r="B4" s="1181" t="s">
        <v>44</v>
      </c>
      <c r="C4" s="1182" t="s">
        <v>31</v>
      </c>
      <c r="D4" s="1182" t="s">
        <v>2529</v>
      </c>
      <c r="E4" s="1181" t="s">
        <v>44</v>
      </c>
      <c r="F4" s="1183" t="s">
        <v>31</v>
      </c>
      <c r="H4" s="1197" t="s">
        <v>1564</v>
      </c>
      <c r="I4" s="1198" t="s">
        <v>1852</v>
      </c>
      <c r="J4" s="101"/>
      <c r="K4" s="1197" t="s">
        <v>1564</v>
      </c>
      <c r="L4" s="1198" t="s">
        <v>1852</v>
      </c>
      <c r="M4" s="101"/>
      <c r="N4" s="1197" t="s">
        <v>1564</v>
      </c>
      <c r="O4" s="1198" t="s">
        <v>1852</v>
      </c>
      <c r="P4" s="101"/>
      <c r="Q4" s="132" t="s">
        <v>2531</v>
      </c>
      <c r="R4" s="1193">
        <f>H18^2/I18</f>
        <v>1.0175333840309242</v>
      </c>
      <c r="T4" t="str">
        <f>[1]!FTEXT(R4)</f>
        <v>=H18^2/I18</v>
      </c>
    </row>
    <row r="5" spans="1:20" x14ac:dyDescent="0.25">
      <c r="A5">
        <v>0</v>
      </c>
      <c r="B5" s="1194"/>
      <c r="C5" s="864">
        <f>'Log-Rank'!AI7</f>
        <v>18</v>
      </c>
      <c r="D5" s="602">
        <f>C5/F5*E5</f>
        <v>0</v>
      </c>
      <c r="E5" s="1194">
        <f>'Log-Rank'!AN7</f>
        <v>0</v>
      </c>
      <c r="F5" s="1195">
        <f>'Log-Rank'!AO7</f>
        <v>36</v>
      </c>
      <c r="H5" s="1172">
        <f>B5-D5</f>
        <v>0</v>
      </c>
      <c r="I5" s="1173">
        <f>C5*(F5-C5)*E5*(F5-E5)/(F5^2*(F5-1))</f>
        <v>0</v>
      </c>
      <c r="J5" s="7"/>
      <c r="K5" s="1172">
        <f>F5*(B5-D5)</f>
        <v>0</v>
      </c>
      <c r="L5" s="1173">
        <f>C5*(F5-C5)*E5*(F5-E5)/(F5-1)</f>
        <v>0</v>
      </c>
      <c r="M5" s="7"/>
      <c r="N5" s="1172">
        <f>SQRT(F5)*(B5-D5)</f>
        <v>0</v>
      </c>
      <c r="O5" s="1173">
        <f>C5*(F5-C5)*E5*(F5-E5)/(F5*(F5-1))</f>
        <v>0</v>
      </c>
      <c r="P5" s="7"/>
      <c r="Q5" t="s">
        <v>60</v>
      </c>
      <c r="R5" s="503">
        <v>1</v>
      </c>
    </row>
    <row r="6" spans="1:20" x14ac:dyDescent="0.25">
      <c r="A6">
        <v>1</v>
      </c>
      <c r="B6" s="540">
        <f>'Log-Rank'!AH8</f>
        <v>0</v>
      </c>
      <c r="C6" s="1185">
        <f>'Log-Rank'!AI8</f>
        <v>18</v>
      </c>
      <c r="D6" s="602">
        <f>C6/F6*E6</f>
        <v>0.5</v>
      </c>
      <c r="E6" s="540">
        <f>'Log-Rank'!AN8</f>
        <v>1</v>
      </c>
      <c r="F6" s="494">
        <f>'Log-Rank'!AO8</f>
        <v>36</v>
      </c>
      <c r="H6" s="532">
        <f t="shared" ref="H6:H17" si="0">B6-D6</f>
        <v>-0.5</v>
      </c>
      <c r="I6" s="533">
        <f t="shared" ref="I6:I17" si="1">C6*(F6-C6)*E6*(F6-E6)/(F6^2*(F6-1))</f>
        <v>0.25</v>
      </c>
      <c r="J6" s="7"/>
      <c r="K6" s="532">
        <f t="shared" ref="K6:K17" si="2">F6*(B6-D6)</f>
        <v>-18</v>
      </c>
      <c r="L6" s="533">
        <f t="shared" ref="L6:L17" si="3">C6*(F6-C6)*E6*(F6-E6)/(F6-1)</f>
        <v>324</v>
      </c>
      <c r="M6" s="7"/>
      <c r="N6" s="532">
        <f t="shared" ref="N6:N17" si="4">SQRT(F6)*(B6-D6)</f>
        <v>-3</v>
      </c>
      <c r="O6" s="533">
        <f t="shared" ref="O6:O17" si="5">C6*(F6-C6)*E6*(F6-E6)/(F6*(F6-1))</f>
        <v>9</v>
      </c>
      <c r="P6" s="7"/>
      <c r="Q6" t="s">
        <v>67</v>
      </c>
      <c r="R6" s="420">
        <f>CHIDIST(R4,R5)</f>
        <v>0.31310481272620255</v>
      </c>
      <c r="T6" t="str">
        <f>[1]!FTEXT(R6)</f>
        <v>=CHIDIST(R4,R5)</v>
      </c>
    </row>
    <row r="7" spans="1:20" x14ac:dyDescent="0.25">
      <c r="A7">
        <v>2</v>
      </c>
      <c r="B7" s="540">
        <f>'Log-Rank'!AH9</f>
        <v>1</v>
      </c>
      <c r="C7" s="1185">
        <f>'Log-Rank'!AI9</f>
        <v>18</v>
      </c>
      <c r="D7" s="602">
        <f>C7/F7*E7</f>
        <v>0.51428571428571423</v>
      </c>
      <c r="E7" s="540">
        <f>'Log-Rank'!AN9</f>
        <v>1</v>
      </c>
      <c r="F7" s="494">
        <f>'Log-Rank'!AO9</f>
        <v>35</v>
      </c>
      <c r="H7" s="532">
        <f t="shared" si="0"/>
        <v>0.48571428571428577</v>
      </c>
      <c r="I7" s="533">
        <f t="shared" si="1"/>
        <v>0.24979591836734694</v>
      </c>
      <c r="J7" s="7"/>
      <c r="K7" s="532">
        <f t="shared" si="2"/>
        <v>17</v>
      </c>
      <c r="L7" s="533">
        <f t="shared" si="3"/>
        <v>306</v>
      </c>
      <c r="M7" s="7"/>
      <c r="N7" s="532">
        <f t="shared" si="4"/>
        <v>2.8735244660769568</v>
      </c>
      <c r="O7" s="533">
        <f t="shared" si="5"/>
        <v>8.742857142857142</v>
      </c>
      <c r="P7" s="7"/>
    </row>
    <row r="8" spans="1:20" x14ac:dyDescent="0.25">
      <c r="A8">
        <v>3</v>
      </c>
      <c r="B8" s="540">
        <f>'Log-Rank'!AH10</f>
        <v>1</v>
      </c>
      <c r="C8" s="1185">
        <f>'Log-Rank'!AI10</f>
        <v>17</v>
      </c>
      <c r="D8" s="602">
        <f t="shared" ref="D8:D16" si="6">C8/F8*E8</f>
        <v>1</v>
      </c>
      <c r="E8" s="540">
        <f>'Log-Rank'!AN10</f>
        <v>2</v>
      </c>
      <c r="F8" s="494">
        <f>'Log-Rank'!AO10</f>
        <v>34</v>
      </c>
      <c r="H8" s="532">
        <f t="shared" si="0"/>
        <v>0</v>
      </c>
      <c r="I8" s="533">
        <f t="shared" si="1"/>
        <v>0.48484848484848486</v>
      </c>
      <c r="J8" s="7"/>
      <c r="K8" s="532">
        <f t="shared" si="2"/>
        <v>0</v>
      </c>
      <c r="L8" s="533">
        <f t="shared" si="3"/>
        <v>560.4848484848485</v>
      </c>
      <c r="M8" s="7"/>
      <c r="N8" s="532">
        <f t="shared" si="4"/>
        <v>0</v>
      </c>
      <c r="O8" s="533">
        <f t="shared" si="5"/>
        <v>16.484848484848484</v>
      </c>
      <c r="P8" s="7"/>
      <c r="Q8" s="132" t="s">
        <v>2532</v>
      </c>
      <c r="R8" s="1193">
        <f>K18^2/L18</f>
        <v>0.58230228593298772</v>
      </c>
      <c r="T8" t="str">
        <f>[1]!FTEXT(R8)</f>
        <v>=K18^2/L18</v>
      </c>
    </row>
    <row r="9" spans="1:20" x14ac:dyDescent="0.25">
      <c r="A9">
        <v>4</v>
      </c>
      <c r="B9" s="540">
        <f>'Log-Rank'!AH11</f>
        <v>0</v>
      </c>
      <c r="C9" s="1185">
        <f>'Log-Rank'!AI11</f>
        <v>16</v>
      </c>
      <c r="D9" s="602">
        <f t="shared" si="6"/>
        <v>0.5</v>
      </c>
      <c r="E9" s="540">
        <f>'Log-Rank'!AN11</f>
        <v>1</v>
      </c>
      <c r="F9" s="494">
        <f>'Log-Rank'!AO11</f>
        <v>32</v>
      </c>
      <c r="H9" s="532">
        <f t="shared" si="0"/>
        <v>-0.5</v>
      </c>
      <c r="I9" s="533">
        <f t="shared" si="1"/>
        <v>0.25</v>
      </c>
      <c r="J9" s="7"/>
      <c r="K9" s="532">
        <f t="shared" si="2"/>
        <v>-16</v>
      </c>
      <c r="L9" s="533">
        <f t="shared" si="3"/>
        <v>256</v>
      </c>
      <c r="M9" s="7"/>
      <c r="N9" s="532">
        <f t="shared" si="4"/>
        <v>-2.8284271247461903</v>
      </c>
      <c r="O9" s="533">
        <f t="shared" si="5"/>
        <v>8</v>
      </c>
      <c r="P9" s="7"/>
      <c r="Q9" t="s">
        <v>60</v>
      </c>
      <c r="R9" s="503">
        <v>1</v>
      </c>
    </row>
    <row r="10" spans="1:20" x14ac:dyDescent="0.25">
      <c r="A10">
        <v>5</v>
      </c>
      <c r="B10" s="540">
        <f>'Log-Rank'!AH12</f>
        <v>3</v>
      </c>
      <c r="C10" s="1185">
        <f>'Log-Rank'!AI12</f>
        <v>16</v>
      </c>
      <c r="D10" s="602">
        <f t="shared" si="6"/>
        <v>1.5483870967741935</v>
      </c>
      <c r="E10" s="540">
        <f>'Log-Rank'!AN12</f>
        <v>3</v>
      </c>
      <c r="F10" s="494">
        <f>'Log-Rank'!AO12</f>
        <v>31</v>
      </c>
      <c r="H10" s="532">
        <f t="shared" si="0"/>
        <v>1.4516129032258065</v>
      </c>
      <c r="I10" s="533">
        <f t="shared" si="1"/>
        <v>0.6992715920915713</v>
      </c>
      <c r="J10" s="7"/>
      <c r="K10" s="532">
        <f t="shared" si="2"/>
        <v>45</v>
      </c>
      <c r="L10" s="533">
        <f t="shared" si="3"/>
        <v>672</v>
      </c>
      <c r="M10" s="7"/>
      <c r="N10" s="532">
        <f t="shared" si="4"/>
        <v>8.0822385912048702</v>
      </c>
      <c r="O10" s="533">
        <f t="shared" si="5"/>
        <v>21.677419354838708</v>
      </c>
      <c r="P10" s="7"/>
      <c r="Q10" t="s">
        <v>67</v>
      </c>
      <c r="R10" s="420">
        <f>CHIDIST(R8,R9)</f>
        <v>0.4454113106855242</v>
      </c>
      <c r="T10" t="str">
        <f>[1]!FTEXT(R10)</f>
        <v>=CHIDIST(R8,R9)</v>
      </c>
    </row>
    <row r="11" spans="1:20" x14ac:dyDescent="0.25">
      <c r="A11">
        <v>6</v>
      </c>
      <c r="B11" s="540">
        <f>'Log-Rank'!AH13</f>
        <v>0</v>
      </c>
      <c r="C11" s="1185">
        <f>'Log-Rank'!AI13</f>
        <v>12</v>
      </c>
      <c r="D11" s="602">
        <f t="shared" si="6"/>
        <v>0.44444444444444442</v>
      </c>
      <c r="E11" s="540">
        <f>'Log-Rank'!AN13</f>
        <v>1</v>
      </c>
      <c r="F11" s="494">
        <f>'Log-Rank'!AO13</f>
        <v>27</v>
      </c>
      <c r="H11" s="532">
        <f t="shared" si="0"/>
        <v>-0.44444444444444442</v>
      </c>
      <c r="I11" s="533">
        <f t="shared" si="1"/>
        <v>0.24691358024691357</v>
      </c>
      <c r="J11" s="7"/>
      <c r="K11" s="532">
        <f t="shared" si="2"/>
        <v>-12</v>
      </c>
      <c r="L11" s="533">
        <f t="shared" si="3"/>
        <v>180</v>
      </c>
      <c r="M11" s="7"/>
      <c r="N11" s="532">
        <f t="shared" si="4"/>
        <v>-2.3094010767585029</v>
      </c>
      <c r="O11" s="533">
        <f t="shared" si="5"/>
        <v>6.666666666666667</v>
      </c>
      <c r="P11" s="7"/>
    </row>
    <row r="12" spans="1:20" x14ac:dyDescent="0.25">
      <c r="A12">
        <v>8</v>
      </c>
      <c r="B12" s="540">
        <f>'Log-Rank'!AH14</f>
        <v>3</v>
      </c>
      <c r="C12" s="1185">
        <f>'Log-Rank'!AI14</f>
        <v>12</v>
      </c>
      <c r="D12" s="602">
        <f t="shared" si="6"/>
        <v>2</v>
      </c>
      <c r="E12" s="540">
        <f>'Log-Rank'!AN14</f>
        <v>4</v>
      </c>
      <c r="F12" s="494">
        <f>'Log-Rank'!AO14</f>
        <v>24</v>
      </c>
      <c r="H12" s="532">
        <f t="shared" si="0"/>
        <v>1</v>
      </c>
      <c r="I12" s="533">
        <f t="shared" si="1"/>
        <v>0.86956521739130432</v>
      </c>
      <c r="J12" s="7"/>
      <c r="K12" s="532">
        <f t="shared" si="2"/>
        <v>24</v>
      </c>
      <c r="L12" s="533">
        <f t="shared" si="3"/>
        <v>500.86956521739131</v>
      </c>
      <c r="M12" s="7"/>
      <c r="N12" s="532">
        <f t="shared" si="4"/>
        <v>4.8989794855663558</v>
      </c>
      <c r="O12" s="533">
        <f t="shared" si="5"/>
        <v>20.869565217391305</v>
      </c>
      <c r="P12" s="7"/>
      <c r="Q12" s="132" t="s">
        <v>2534</v>
      </c>
      <c r="R12" s="1193">
        <f>N18^2/O18</f>
        <v>0.78908810588817824</v>
      </c>
      <c r="T12" t="str">
        <f>[1]!FTEXT(R12)</f>
        <v>=N18^2/O18</v>
      </c>
    </row>
    <row r="13" spans="1:20" x14ac:dyDescent="0.25">
      <c r="A13">
        <v>9</v>
      </c>
      <c r="B13" s="540">
        <f>'Log-Rank'!AH15</f>
        <v>0</v>
      </c>
      <c r="C13" s="1185">
        <f>'Log-Rank'!AI15</f>
        <v>9</v>
      </c>
      <c r="D13" s="602">
        <f t="shared" si="6"/>
        <v>0</v>
      </c>
      <c r="E13" s="540">
        <f>'Log-Rank'!AN15</f>
        <v>0</v>
      </c>
      <c r="F13" s="494">
        <f>'Log-Rank'!AO15</f>
        <v>19</v>
      </c>
      <c r="H13" s="532">
        <f t="shared" si="0"/>
        <v>0</v>
      </c>
      <c r="I13" s="533">
        <f t="shared" si="1"/>
        <v>0</v>
      </c>
      <c r="J13" s="7"/>
      <c r="K13" s="532">
        <f t="shared" si="2"/>
        <v>0</v>
      </c>
      <c r="L13" s="533">
        <f t="shared" si="3"/>
        <v>0</v>
      </c>
      <c r="M13" s="7"/>
      <c r="N13" s="532">
        <f t="shared" si="4"/>
        <v>0</v>
      </c>
      <c r="O13" s="533">
        <f t="shared" si="5"/>
        <v>0</v>
      </c>
      <c r="P13" s="7"/>
      <c r="Q13" t="s">
        <v>60</v>
      </c>
      <c r="R13" s="503">
        <v>1</v>
      </c>
    </row>
    <row r="14" spans="1:20" x14ac:dyDescent="0.25">
      <c r="A14">
        <v>10</v>
      </c>
      <c r="B14" s="540">
        <f>'Log-Rank'!AH16</f>
        <v>0</v>
      </c>
      <c r="C14" s="1185">
        <f>'Log-Rank'!AI16</f>
        <v>8</v>
      </c>
      <c r="D14" s="602">
        <f t="shared" si="6"/>
        <v>0.94117647058823528</v>
      </c>
      <c r="E14" s="540">
        <f>'Log-Rank'!AN16</f>
        <v>2</v>
      </c>
      <c r="F14" s="494">
        <f>'Log-Rank'!AO16</f>
        <v>17</v>
      </c>
      <c r="H14" s="532">
        <f t="shared" si="0"/>
        <v>-0.94117647058823528</v>
      </c>
      <c r="I14" s="533">
        <f t="shared" si="1"/>
        <v>0.4671280276816609</v>
      </c>
      <c r="J14" s="7"/>
      <c r="K14" s="532">
        <f t="shared" si="2"/>
        <v>-16</v>
      </c>
      <c r="L14" s="533">
        <f t="shared" si="3"/>
        <v>135</v>
      </c>
      <c r="M14" s="7"/>
      <c r="N14" s="532">
        <f t="shared" si="4"/>
        <v>-3.8805700005813275</v>
      </c>
      <c r="O14" s="533">
        <f t="shared" si="5"/>
        <v>7.9411764705882355</v>
      </c>
      <c r="P14" s="7"/>
      <c r="Q14" t="s">
        <v>67</v>
      </c>
      <c r="R14" s="420">
        <f>CHIDIST(R12,R13)</f>
        <v>0.37437600473328969</v>
      </c>
      <c r="T14" t="str">
        <f>[1]!FTEXT(R14)</f>
        <v>=CHIDIST(R12,R13)</v>
      </c>
    </row>
    <row r="15" spans="1:20" x14ac:dyDescent="0.25">
      <c r="A15">
        <v>11</v>
      </c>
      <c r="B15" s="540">
        <f>'Log-Rank'!AH17</f>
        <v>2</v>
      </c>
      <c r="C15" s="1185">
        <f>'Log-Rank'!AI17</f>
        <v>6</v>
      </c>
      <c r="D15" s="602">
        <f t="shared" si="6"/>
        <v>1.0909090909090908</v>
      </c>
      <c r="E15" s="540">
        <f>'Log-Rank'!AN17</f>
        <v>2</v>
      </c>
      <c r="F15" s="494">
        <f>'Log-Rank'!AO17</f>
        <v>11</v>
      </c>
      <c r="H15" s="532">
        <f t="shared" si="0"/>
        <v>0.90909090909090917</v>
      </c>
      <c r="I15" s="533">
        <f t="shared" si="1"/>
        <v>0.4462809917355372</v>
      </c>
      <c r="J15" s="7"/>
      <c r="K15" s="532">
        <f t="shared" si="2"/>
        <v>10</v>
      </c>
      <c r="L15" s="533">
        <f t="shared" si="3"/>
        <v>54</v>
      </c>
      <c r="M15" s="7"/>
      <c r="N15" s="532">
        <f t="shared" si="4"/>
        <v>3.0151134457776365</v>
      </c>
      <c r="O15" s="533">
        <f t="shared" si="5"/>
        <v>4.9090909090909092</v>
      </c>
      <c r="P15" s="7"/>
    </row>
    <row r="16" spans="1:20" x14ac:dyDescent="0.25">
      <c r="A16">
        <v>12</v>
      </c>
      <c r="B16" s="540">
        <f>'Log-Rank'!AH18</f>
        <v>2</v>
      </c>
      <c r="C16" s="1185">
        <f>'Log-Rank'!AI18</f>
        <v>4</v>
      </c>
      <c r="D16" s="602">
        <f t="shared" si="6"/>
        <v>0.88888888888888884</v>
      </c>
      <c r="E16" s="540">
        <f>'Log-Rank'!AN18</f>
        <v>2</v>
      </c>
      <c r="F16" s="494">
        <f>'Log-Rank'!AO18</f>
        <v>9</v>
      </c>
      <c r="H16" s="532">
        <f t="shared" si="0"/>
        <v>1.1111111111111112</v>
      </c>
      <c r="I16" s="533">
        <f t="shared" si="1"/>
        <v>0.43209876543209874</v>
      </c>
      <c r="J16" s="7"/>
      <c r="K16" s="532">
        <f t="shared" si="2"/>
        <v>10</v>
      </c>
      <c r="L16" s="533">
        <f t="shared" si="3"/>
        <v>35</v>
      </c>
      <c r="M16" s="7"/>
      <c r="N16" s="532">
        <f t="shared" si="4"/>
        <v>3.3333333333333335</v>
      </c>
      <c r="O16" s="533">
        <f t="shared" si="5"/>
        <v>3.8888888888888888</v>
      </c>
      <c r="P16" s="7"/>
    </row>
    <row r="17" spans="1:16" x14ac:dyDescent="0.25">
      <c r="A17">
        <v>13</v>
      </c>
      <c r="B17" s="436">
        <f>'Log-Rank'!AH19</f>
        <v>0</v>
      </c>
      <c r="C17" s="1186">
        <f>'Log-Rank'!AI19</f>
        <v>2</v>
      </c>
      <c r="D17" s="602">
        <f>C17/F17*E17</f>
        <v>0.4</v>
      </c>
      <c r="E17" s="436">
        <f>'Log-Rank'!AN19</f>
        <v>1</v>
      </c>
      <c r="F17" s="412">
        <f>'Log-Rank'!AO19</f>
        <v>5</v>
      </c>
      <c r="H17" s="409">
        <f t="shared" si="0"/>
        <v>-0.4</v>
      </c>
      <c r="I17" s="417">
        <f t="shared" si="1"/>
        <v>0.24</v>
      </c>
      <c r="J17" s="7"/>
      <c r="K17" s="409">
        <f t="shared" si="2"/>
        <v>-2</v>
      </c>
      <c r="L17" s="417">
        <f t="shared" si="3"/>
        <v>6</v>
      </c>
      <c r="M17" s="7"/>
      <c r="N17" s="409">
        <f t="shared" si="4"/>
        <v>-0.89442719099991597</v>
      </c>
      <c r="O17" s="417">
        <f t="shared" si="5"/>
        <v>1.2</v>
      </c>
      <c r="P17" s="7"/>
    </row>
    <row r="18" spans="1:16" x14ac:dyDescent="0.25">
      <c r="B18" s="1196"/>
      <c r="C18" s="827"/>
      <c r="D18" s="964"/>
      <c r="H18">
        <f>SUM(H5:H17)</f>
        <v>2.171908294109433</v>
      </c>
      <c r="I18">
        <f>SUM(I5:I17)</f>
        <v>4.6359025777949174</v>
      </c>
      <c r="K18">
        <f>SUM(K5:K17)</f>
        <v>42</v>
      </c>
      <c r="L18">
        <f>SUM(L5:L17)</f>
        <v>3029.35441370224</v>
      </c>
      <c r="N18">
        <f>SUM(N5:N17)</f>
        <v>9.2903639288732158</v>
      </c>
      <c r="O18">
        <f>SUM(O5:O17)</f>
        <v>109.38051313517035</v>
      </c>
    </row>
  </sheetData>
  <mergeCells count="5">
    <mergeCell ref="H3:I3"/>
    <mergeCell ref="K3:L3"/>
    <mergeCell ref="N3:O3"/>
    <mergeCell ref="B3:D3"/>
    <mergeCell ref="E3:F3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D28"/>
  <sheetViews>
    <sheetView workbookViewId="0"/>
  </sheetViews>
  <sheetFormatPr defaultRowHeight="15" x14ac:dyDescent="0.25"/>
  <cols>
    <col min="1" max="1" width="3" customWidth="1"/>
    <col min="5" max="5" width="9.140625" customWidth="1"/>
    <col min="10" max="10" width="9.140625" customWidth="1"/>
    <col min="14" max="14" width="9.140625" customWidth="1"/>
    <col min="16" max="16" width="9.140625" customWidth="1"/>
    <col min="18" max="18" width="10" bestFit="1" customWidth="1"/>
    <col min="22" max="24" width="9.140625" customWidth="1"/>
  </cols>
  <sheetData>
    <row r="1" spans="1:30" x14ac:dyDescent="0.25">
      <c r="A1" s="1" t="s">
        <v>2535</v>
      </c>
      <c r="B1" s="1"/>
      <c r="C1" s="1"/>
    </row>
    <row r="3" spans="1:30" x14ac:dyDescent="0.25">
      <c r="B3" s="13" t="s">
        <v>2536</v>
      </c>
      <c r="C3" s="13" t="s">
        <v>2537</v>
      </c>
      <c r="D3" s="13" t="s">
        <v>1829</v>
      </c>
      <c r="E3" s="13" t="s">
        <v>2538</v>
      </c>
      <c r="G3" s="13" t="s">
        <v>2536</v>
      </c>
      <c r="H3" s="13" t="s">
        <v>2537</v>
      </c>
      <c r="I3" s="13" t="s">
        <v>1829</v>
      </c>
      <c r="J3" s="13" t="s">
        <v>2538</v>
      </c>
      <c r="K3" s="13" t="s">
        <v>2539</v>
      </c>
      <c r="L3" s="13" t="s">
        <v>2540</v>
      </c>
      <c r="M3" s="13" t="s">
        <v>1253</v>
      </c>
      <c r="O3" s="13" t="s">
        <v>131</v>
      </c>
      <c r="Q3" s="13" t="s">
        <v>826</v>
      </c>
      <c r="R3" s="13" t="s">
        <v>2541</v>
      </c>
      <c r="S3" s="13" t="s">
        <v>2542</v>
      </c>
      <c r="T3" s="13" t="s">
        <v>2554</v>
      </c>
      <c r="U3" s="13" t="s">
        <v>2555</v>
      </c>
      <c r="V3" s="13" t="s">
        <v>2543</v>
      </c>
      <c r="W3" s="13" t="s">
        <v>2544</v>
      </c>
      <c r="X3" s="13" t="s">
        <v>2545</v>
      </c>
      <c r="Y3" s="13" t="s">
        <v>2556</v>
      </c>
      <c r="Z3" s="13" t="s">
        <v>2557</v>
      </c>
      <c r="AA3" s="13" t="s">
        <v>2558</v>
      </c>
      <c r="AC3" s="53" t="s">
        <v>2547</v>
      </c>
    </row>
    <row r="4" spans="1:30" x14ac:dyDescent="0.25">
      <c r="B4" s="1172">
        <v>64</v>
      </c>
      <c r="C4" s="827">
        <v>0</v>
      </c>
      <c r="D4" s="827">
        <v>67</v>
      </c>
      <c r="E4" s="1173">
        <v>34</v>
      </c>
      <c r="G4" s="1172">
        <f t="array" ref="G4:J21">[1]!QSORTRows(B4:E21)</f>
        <v>5</v>
      </c>
      <c r="H4" s="827">
        <v>1</v>
      </c>
      <c r="I4" s="827">
        <v>77</v>
      </c>
      <c r="J4" s="1173">
        <v>15</v>
      </c>
      <c r="K4" s="1172">
        <f t="shared" ref="K4:K21" si="0">MMULT(I4:J4,$O$4:$O$5)</f>
        <v>0</v>
      </c>
      <c r="L4" s="827">
        <f>EXP(K4)</f>
        <v>1</v>
      </c>
      <c r="M4" s="1173">
        <f>IF(H4=1,K4-LN(SUM(L4:L$21)),0)</f>
        <v>-2.8903717578961645</v>
      </c>
      <c r="O4" s="1193">
        <v>0</v>
      </c>
      <c r="Q4" s="1172">
        <f t="shared" ref="Q4:Q19" si="1">L4+Q5</f>
        <v>18</v>
      </c>
      <c r="R4" s="1172">
        <f>I4*L4+R5</f>
        <v>1238</v>
      </c>
      <c r="S4" s="827">
        <f>J4*L4+S5</f>
        <v>239</v>
      </c>
      <c r="T4" s="827">
        <f>IF(H4=1,I4-R4/Q4,0)</f>
        <v>8.2222222222222285</v>
      </c>
      <c r="U4" s="1173">
        <f>IF(H4=1,J4-S4/Q4,0)</f>
        <v>1.7222222222222214</v>
      </c>
      <c r="V4" s="827">
        <f>I4*I4*L4+V5</f>
        <v>85912</v>
      </c>
      <c r="W4" s="827">
        <f>I4*J4*L4+W5</f>
        <v>16431</v>
      </c>
      <c r="X4" s="827">
        <f>J4*J4*L4+X5</f>
        <v>5043</v>
      </c>
      <c r="Y4" s="827">
        <f>IF(H4=1,(V4-R4*R4/Q4)/Q4,0)</f>
        <v>42.506172839506085</v>
      </c>
      <c r="Z4" s="827">
        <f>IF(H4=1,(W4-R4*S4/Q4)/Q4,0)</f>
        <v>-0.3827160493828059</v>
      </c>
      <c r="AA4" s="1173">
        <f>IF(H4=1,(X4-S4*S4/Q4)/Q4,0)</f>
        <v>103.86728395061729</v>
      </c>
      <c r="AC4" s="1172">
        <f>Y22</f>
        <v>241.35167706637316</v>
      </c>
      <c r="AD4" s="1173">
        <f>Z22</f>
        <v>-31.898941880822278</v>
      </c>
    </row>
    <row r="5" spans="1:30" x14ac:dyDescent="0.25">
      <c r="B5" s="532">
        <v>59</v>
      </c>
      <c r="C5" s="7">
        <v>0</v>
      </c>
      <c r="D5" s="7">
        <v>63</v>
      </c>
      <c r="E5" s="533">
        <v>6</v>
      </c>
      <c r="G5" s="532">
        <v>14</v>
      </c>
      <c r="H5" s="7">
        <v>1</v>
      </c>
      <c r="I5" s="7">
        <v>72</v>
      </c>
      <c r="J5" s="533">
        <v>27</v>
      </c>
      <c r="K5" s="532">
        <f t="shared" si="0"/>
        <v>0</v>
      </c>
      <c r="L5" s="7">
        <f t="shared" ref="L5:L21" si="2">EXP(K5)</f>
        <v>1</v>
      </c>
      <c r="M5" s="533">
        <f>IF(H5=1,K5-LN(SUM(L5:L$21)),0)</f>
        <v>-2.8332133440562162</v>
      </c>
      <c r="O5" s="420">
        <v>0</v>
      </c>
      <c r="Q5" s="532">
        <f t="shared" si="1"/>
        <v>17</v>
      </c>
      <c r="R5" s="532">
        <f t="shared" ref="R5:R19" si="3">I5*L5+R6</f>
        <v>1161</v>
      </c>
      <c r="S5" s="7">
        <f t="shared" ref="S5:S19" si="4">J5*L5+S6</f>
        <v>224</v>
      </c>
      <c r="T5" s="7">
        <f t="shared" ref="T5:T21" si="5">IF(H5=1,I5-R5/Q5,0)</f>
        <v>3.705882352941174</v>
      </c>
      <c r="U5" s="533">
        <f t="shared" ref="U5:U21" si="6">IF(H5=1,J5-S5/Q5,0)</f>
        <v>13.823529411764707</v>
      </c>
      <c r="V5" s="7">
        <f t="shared" ref="V5:V19" si="7">I5*I5*L5+V6</f>
        <v>79983</v>
      </c>
      <c r="W5" s="7">
        <f t="shared" ref="W5:W19" si="8">I5*J5*L5+W6</f>
        <v>15276</v>
      </c>
      <c r="X5" s="7">
        <f t="shared" ref="X5:X19" si="9">J5*J5*L5+X6</f>
        <v>4818</v>
      </c>
      <c r="Y5" s="7">
        <f t="shared" ref="Y5:Y21" si="10">IF(H5=1,(V5-R5*R5/Q5)/Q5,0)</f>
        <v>40.795847750864652</v>
      </c>
      <c r="Z5" s="7">
        <f t="shared" ref="Z5:Z21" si="11">IF(H5=1,(W5-R5*S5/Q5)/Q5,0)</f>
        <v>-1.2871972318339164</v>
      </c>
      <c r="AA5" s="533">
        <f t="shared" ref="AA5:AA21" si="12">IF(H5=1,(X5-S5*S5/Q5)/Q5,0)</f>
        <v>109.7923875432526</v>
      </c>
      <c r="AC5" s="409">
        <f>Z22</f>
        <v>-31.898941880822278</v>
      </c>
      <c r="AD5" s="417">
        <f>AA22</f>
        <v>579.44719779235777</v>
      </c>
    </row>
    <row r="6" spans="1:30" x14ac:dyDescent="0.25">
      <c r="B6" s="532">
        <v>51</v>
      </c>
      <c r="C6" s="7">
        <v>0</v>
      </c>
      <c r="D6" s="7">
        <v>60</v>
      </c>
      <c r="E6" s="533">
        <v>8</v>
      </c>
      <c r="G6" s="532">
        <v>25</v>
      </c>
      <c r="H6" s="7">
        <v>0</v>
      </c>
      <c r="I6" s="7">
        <v>68</v>
      </c>
      <c r="J6" s="533">
        <v>3</v>
      </c>
      <c r="K6" s="532">
        <f t="shared" si="0"/>
        <v>0</v>
      </c>
      <c r="L6" s="7">
        <f t="shared" si="2"/>
        <v>1</v>
      </c>
      <c r="M6" s="533">
        <f>IF(H6=1,K6-LN(SUM(L6:L$21)),0)</f>
        <v>0</v>
      </c>
      <c r="Q6" s="532">
        <f t="shared" si="1"/>
        <v>16</v>
      </c>
      <c r="R6" s="532">
        <f t="shared" si="3"/>
        <v>1089</v>
      </c>
      <c r="S6" s="7">
        <f t="shared" si="4"/>
        <v>197</v>
      </c>
      <c r="T6" s="7">
        <f t="shared" si="5"/>
        <v>0</v>
      </c>
      <c r="U6" s="533">
        <f t="shared" si="6"/>
        <v>0</v>
      </c>
      <c r="V6" s="7">
        <f t="shared" si="7"/>
        <v>74799</v>
      </c>
      <c r="W6" s="7">
        <f t="shared" si="8"/>
        <v>13332</v>
      </c>
      <c r="X6" s="7">
        <f t="shared" si="9"/>
        <v>4089</v>
      </c>
      <c r="Y6" s="7">
        <f t="shared" si="10"/>
        <v>0</v>
      </c>
      <c r="Z6" s="7">
        <f t="shared" si="11"/>
        <v>0</v>
      </c>
      <c r="AA6" s="533">
        <f t="shared" si="12"/>
        <v>0</v>
      </c>
    </row>
    <row r="7" spans="1:30" x14ac:dyDescent="0.25">
      <c r="B7" s="532">
        <v>14</v>
      </c>
      <c r="C7" s="7">
        <v>1</v>
      </c>
      <c r="D7" s="7">
        <v>72</v>
      </c>
      <c r="E7" s="533">
        <v>27</v>
      </c>
      <c r="G7" s="532">
        <v>27</v>
      </c>
      <c r="H7" s="7">
        <v>1</v>
      </c>
      <c r="I7" s="7">
        <v>72</v>
      </c>
      <c r="J7" s="533">
        <v>36</v>
      </c>
      <c r="K7" s="532">
        <f t="shared" si="0"/>
        <v>0</v>
      </c>
      <c r="L7" s="7">
        <f t="shared" si="2"/>
        <v>1</v>
      </c>
      <c r="M7" s="533">
        <f>IF(H7=1,K7-LN(SUM(L7:L$21)),0)</f>
        <v>-2.7080502011022101</v>
      </c>
      <c r="Q7" s="532">
        <f t="shared" si="1"/>
        <v>15</v>
      </c>
      <c r="R7" s="532">
        <f t="shared" si="3"/>
        <v>1021</v>
      </c>
      <c r="S7" s="7">
        <f t="shared" si="4"/>
        <v>194</v>
      </c>
      <c r="T7" s="7">
        <f t="shared" si="5"/>
        <v>3.9333333333333371</v>
      </c>
      <c r="U7" s="533">
        <f t="shared" si="6"/>
        <v>23.066666666666666</v>
      </c>
      <c r="V7" s="7">
        <f t="shared" si="7"/>
        <v>70175</v>
      </c>
      <c r="W7" s="7">
        <f t="shared" si="8"/>
        <v>13128</v>
      </c>
      <c r="X7" s="7">
        <f t="shared" si="9"/>
        <v>4080</v>
      </c>
      <c r="Y7" s="7">
        <f t="shared" si="10"/>
        <v>45.262222222222285</v>
      </c>
      <c r="Z7" s="7">
        <f t="shared" si="11"/>
        <v>-5.1288888888888327</v>
      </c>
      <c r="AA7" s="533">
        <f t="shared" si="12"/>
        <v>104.72888888888889</v>
      </c>
      <c r="AC7" t="s">
        <v>2548</v>
      </c>
    </row>
    <row r="8" spans="1:30" x14ac:dyDescent="0.25">
      <c r="B8" s="532">
        <v>43</v>
      </c>
      <c r="C8" s="7">
        <v>0</v>
      </c>
      <c r="D8" s="7">
        <v>59</v>
      </c>
      <c r="E8" s="533">
        <v>6</v>
      </c>
      <c r="G8" s="532">
        <v>30</v>
      </c>
      <c r="H8" s="7">
        <v>0</v>
      </c>
      <c r="I8" s="7">
        <v>70</v>
      </c>
      <c r="J8" s="533">
        <v>11</v>
      </c>
      <c r="K8" s="532">
        <f t="shared" si="0"/>
        <v>0</v>
      </c>
      <c r="L8" s="7">
        <f t="shared" si="2"/>
        <v>1</v>
      </c>
      <c r="M8" s="533">
        <f>IF(H8=1,K8-LN(SUM(L8:L$21)),0)</f>
        <v>0</v>
      </c>
      <c r="Q8" s="532">
        <f t="shared" si="1"/>
        <v>14</v>
      </c>
      <c r="R8" s="532">
        <f t="shared" si="3"/>
        <v>949</v>
      </c>
      <c r="S8" s="7">
        <f t="shared" si="4"/>
        <v>158</v>
      </c>
      <c r="T8" s="7">
        <f t="shared" si="5"/>
        <v>0</v>
      </c>
      <c r="U8" s="533">
        <f t="shared" si="6"/>
        <v>0</v>
      </c>
      <c r="V8" s="7">
        <f t="shared" si="7"/>
        <v>64991</v>
      </c>
      <c r="W8" s="7">
        <f t="shared" si="8"/>
        <v>10536</v>
      </c>
      <c r="X8" s="7">
        <f t="shared" si="9"/>
        <v>2784</v>
      </c>
      <c r="Y8" s="7">
        <f t="shared" si="10"/>
        <v>0</v>
      </c>
      <c r="Z8" s="7">
        <f t="shared" si="11"/>
        <v>0</v>
      </c>
      <c r="AA8" s="533">
        <f t="shared" si="12"/>
        <v>0</v>
      </c>
      <c r="AC8" s="1172">
        <f t="array" ref="AC8:AD9">MINVERSE(AC4:AD5)</f>
        <v>4.1736990060907324E-3</v>
      </c>
      <c r="AD8" s="1173">
        <v>2.2976482159301574E-4</v>
      </c>
    </row>
    <row r="9" spans="1:30" x14ac:dyDescent="0.25">
      <c r="B9" s="532">
        <v>52</v>
      </c>
      <c r="C9" s="7">
        <v>0</v>
      </c>
      <c r="D9" s="7">
        <v>74</v>
      </c>
      <c r="E9" s="533">
        <v>4</v>
      </c>
      <c r="G9" s="532">
        <v>37</v>
      </c>
      <c r="H9" s="7">
        <v>1</v>
      </c>
      <c r="I9" s="7">
        <v>80</v>
      </c>
      <c r="J9" s="533">
        <v>8</v>
      </c>
      <c r="K9" s="532">
        <f t="shared" si="0"/>
        <v>0</v>
      </c>
      <c r="L9" s="7">
        <f t="shared" si="2"/>
        <v>1</v>
      </c>
      <c r="M9" s="533">
        <f>IF(H9=1,K9-LN(SUM(L9:L$21)),0)</f>
        <v>-2.5649493574615367</v>
      </c>
      <c r="Q9" s="532">
        <f t="shared" si="1"/>
        <v>13</v>
      </c>
      <c r="R9" s="532">
        <f t="shared" si="3"/>
        <v>879</v>
      </c>
      <c r="S9" s="7">
        <f t="shared" si="4"/>
        <v>147</v>
      </c>
      <c r="T9" s="7">
        <f t="shared" si="5"/>
        <v>12.384615384615387</v>
      </c>
      <c r="U9" s="533">
        <f t="shared" si="6"/>
        <v>-3.3076923076923084</v>
      </c>
      <c r="V9" s="7">
        <f t="shared" si="7"/>
        <v>60091</v>
      </c>
      <c r="W9" s="7">
        <f t="shared" si="8"/>
        <v>9766</v>
      </c>
      <c r="X9" s="7">
        <f t="shared" si="9"/>
        <v>2663</v>
      </c>
      <c r="Y9" s="7">
        <f t="shared" si="10"/>
        <v>50.544378698224769</v>
      </c>
      <c r="Z9" s="7">
        <f t="shared" si="11"/>
        <v>-13.343195266272232</v>
      </c>
      <c r="AA9" s="533">
        <f t="shared" si="12"/>
        <v>76.982248520710058</v>
      </c>
      <c r="AC9" s="409">
        <v>2.2976482159301574E-4</v>
      </c>
      <c r="AD9" s="417">
        <v>1.7384314887156031E-3</v>
      </c>
    </row>
    <row r="10" spans="1:30" x14ac:dyDescent="0.25">
      <c r="B10" s="532">
        <v>59</v>
      </c>
      <c r="C10" s="7">
        <v>0</v>
      </c>
      <c r="D10" s="7">
        <v>77</v>
      </c>
      <c r="E10" s="533">
        <v>6</v>
      </c>
      <c r="G10" s="532">
        <v>41</v>
      </c>
      <c r="H10" s="7">
        <v>1</v>
      </c>
      <c r="I10" s="7">
        <v>58</v>
      </c>
      <c r="J10" s="533">
        <v>25</v>
      </c>
      <c r="K10" s="532">
        <f t="shared" si="0"/>
        <v>0</v>
      </c>
      <c r="L10" s="7">
        <f t="shared" si="2"/>
        <v>1</v>
      </c>
      <c r="M10" s="533">
        <f>IF(H10=1,K10-LN(SUM(L10:L$21)),0)</f>
        <v>-2.4849066497880004</v>
      </c>
      <c r="Q10" s="532">
        <f t="shared" si="1"/>
        <v>12</v>
      </c>
      <c r="R10" s="532">
        <f t="shared" si="3"/>
        <v>799</v>
      </c>
      <c r="S10" s="7">
        <f t="shared" si="4"/>
        <v>139</v>
      </c>
      <c r="T10" s="7">
        <f t="shared" si="5"/>
        <v>-8.5833333333333286</v>
      </c>
      <c r="U10" s="533">
        <f t="shared" si="6"/>
        <v>13.416666666666666</v>
      </c>
      <c r="V10" s="7">
        <f t="shared" si="7"/>
        <v>53691</v>
      </c>
      <c r="W10" s="7">
        <f t="shared" si="8"/>
        <v>9126</v>
      </c>
      <c r="X10" s="7">
        <f t="shared" si="9"/>
        <v>2599</v>
      </c>
      <c r="Y10" s="7">
        <f t="shared" si="10"/>
        <v>40.909722222222022</v>
      </c>
      <c r="Z10" s="7">
        <f t="shared" si="11"/>
        <v>-10.756944444444494</v>
      </c>
      <c r="AA10" s="533">
        <f t="shared" si="12"/>
        <v>82.409722222222229</v>
      </c>
    </row>
    <row r="11" spans="1:30" x14ac:dyDescent="0.25">
      <c r="B11" s="532">
        <v>5</v>
      </c>
      <c r="C11" s="7">
        <v>1</v>
      </c>
      <c r="D11" s="7">
        <v>77</v>
      </c>
      <c r="E11" s="533">
        <v>15</v>
      </c>
      <c r="G11" s="532">
        <v>43</v>
      </c>
      <c r="H11" s="7">
        <v>0</v>
      </c>
      <c r="I11" s="7">
        <v>59</v>
      </c>
      <c r="J11" s="533">
        <v>6</v>
      </c>
      <c r="K11" s="532">
        <f t="shared" si="0"/>
        <v>0</v>
      </c>
      <c r="L11" s="7">
        <f t="shared" si="2"/>
        <v>1</v>
      </c>
      <c r="M11" s="533">
        <f>IF(H11=1,K11-LN(SUM(L11:L$21)),0)</f>
        <v>0</v>
      </c>
      <c r="Q11" s="532">
        <f t="shared" si="1"/>
        <v>11</v>
      </c>
      <c r="R11" s="532">
        <f t="shared" si="3"/>
        <v>741</v>
      </c>
      <c r="S11" s="7">
        <f t="shared" si="4"/>
        <v>114</v>
      </c>
      <c r="T11" s="7">
        <f t="shared" si="5"/>
        <v>0</v>
      </c>
      <c r="U11" s="533">
        <f t="shared" si="6"/>
        <v>0</v>
      </c>
      <c r="V11" s="7">
        <f t="shared" si="7"/>
        <v>50327</v>
      </c>
      <c r="W11" s="7">
        <f t="shared" si="8"/>
        <v>7676</v>
      </c>
      <c r="X11" s="7">
        <f t="shared" si="9"/>
        <v>1974</v>
      </c>
      <c r="Y11" s="7">
        <f t="shared" si="10"/>
        <v>0</v>
      </c>
      <c r="Z11" s="7">
        <f t="shared" si="11"/>
        <v>0</v>
      </c>
      <c r="AA11" s="533">
        <f t="shared" si="12"/>
        <v>0</v>
      </c>
      <c r="AC11" s="53" t="s">
        <v>2549</v>
      </c>
    </row>
    <row r="12" spans="1:30" x14ac:dyDescent="0.25">
      <c r="B12" s="532">
        <v>67</v>
      </c>
      <c r="C12" s="7">
        <v>0</v>
      </c>
      <c r="D12" s="7">
        <v>70</v>
      </c>
      <c r="E12" s="533">
        <v>8</v>
      </c>
      <c r="G12" s="532">
        <v>51</v>
      </c>
      <c r="H12" s="7">
        <v>0</v>
      </c>
      <c r="I12" s="7">
        <v>60</v>
      </c>
      <c r="J12" s="533">
        <v>8</v>
      </c>
      <c r="K12" s="532">
        <f t="shared" si="0"/>
        <v>0</v>
      </c>
      <c r="L12" s="7">
        <f t="shared" si="2"/>
        <v>1</v>
      </c>
      <c r="M12" s="533">
        <f>IF(H12=1,K12-LN(SUM(L12:L$21)),0)</f>
        <v>0</v>
      </c>
      <c r="Q12" s="532">
        <f t="shared" si="1"/>
        <v>10</v>
      </c>
      <c r="R12" s="532">
        <f t="shared" si="3"/>
        <v>682</v>
      </c>
      <c r="S12" s="7">
        <f t="shared" si="4"/>
        <v>108</v>
      </c>
      <c r="T12" s="7">
        <f t="shared" si="5"/>
        <v>0</v>
      </c>
      <c r="U12" s="533">
        <f t="shared" si="6"/>
        <v>0</v>
      </c>
      <c r="V12" s="7">
        <f t="shared" si="7"/>
        <v>46846</v>
      </c>
      <c r="W12" s="7">
        <f t="shared" si="8"/>
        <v>7322</v>
      </c>
      <c r="X12" s="7">
        <f t="shared" si="9"/>
        <v>1938</v>
      </c>
      <c r="Y12" s="7">
        <f t="shared" si="10"/>
        <v>0</v>
      </c>
      <c r="Z12" s="7">
        <f t="shared" si="11"/>
        <v>0</v>
      </c>
      <c r="AA12" s="533">
        <f t="shared" si="12"/>
        <v>0</v>
      </c>
      <c r="AC12" s="1193">
        <f>T22</f>
        <v>26.662719959778798</v>
      </c>
    </row>
    <row r="13" spans="1:30" x14ac:dyDescent="0.25">
      <c r="B13" s="532">
        <v>70</v>
      </c>
      <c r="C13" s="7">
        <v>1</v>
      </c>
      <c r="D13" s="7">
        <v>61</v>
      </c>
      <c r="E13" s="533">
        <v>16</v>
      </c>
      <c r="G13" s="532">
        <v>52</v>
      </c>
      <c r="H13" s="7">
        <v>0</v>
      </c>
      <c r="I13" s="7">
        <v>74</v>
      </c>
      <c r="J13" s="533">
        <v>4</v>
      </c>
      <c r="K13" s="532">
        <f t="shared" si="0"/>
        <v>0</v>
      </c>
      <c r="L13" s="7">
        <f t="shared" si="2"/>
        <v>1</v>
      </c>
      <c r="M13" s="533">
        <f>IF(H13=1,K13-LN(SUM(L13:L$21)),0)</f>
        <v>0</v>
      </c>
      <c r="Q13" s="532">
        <f t="shared" si="1"/>
        <v>9</v>
      </c>
      <c r="R13" s="532">
        <f t="shared" si="3"/>
        <v>622</v>
      </c>
      <c r="S13" s="7">
        <f t="shared" si="4"/>
        <v>100</v>
      </c>
      <c r="T13" s="7">
        <f t="shared" si="5"/>
        <v>0</v>
      </c>
      <c r="U13" s="533">
        <f t="shared" si="6"/>
        <v>0</v>
      </c>
      <c r="V13" s="7">
        <f t="shared" si="7"/>
        <v>43246</v>
      </c>
      <c r="W13" s="7">
        <f t="shared" si="8"/>
        <v>6842</v>
      </c>
      <c r="X13" s="7">
        <f t="shared" si="9"/>
        <v>1874</v>
      </c>
      <c r="Y13" s="7">
        <f t="shared" si="10"/>
        <v>0</v>
      </c>
      <c r="Z13" s="7">
        <f t="shared" si="11"/>
        <v>0</v>
      </c>
      <c r="AA13" s="533">
        <f t="shared" si="12"/>
        <v>0</v>
      </c>
      <c r="AC13" s="420">
        <f>U22</f>
        <v>49.721392659627952</v>
      </c>
    </row>
    <row r="14" spans="1:30" x14ac:dyDescent="0.25">
      <c r="B14" s="532">
        <v>67</v>
      </c>
      <c r="C14" s="7">
        <v>0</v>
      </c>
      <c r="D14" s="7">
        <v>71</v>
      </c>
      <c r="E14" s="533">
        <v>9</v>
      </c>
      <c r="G14" s="532">
        <v>59</v>
      </c>
      <c r="H14" s="7">
        <v>0</v>
      </c>
      <c r="I14" s="7">
        <v>77</v>
      </c>
      <c r="J14" s="533">
        <v>6</v>
      </c>
      <c r="K14" s="532">
        <f t="shared" si="0"/>
        <v>0</v>
      </c>
      <c r="L14" s="7">
        <f t="shared" si="2"/>
        <v>1</v>
      </c>
      <c r="M14" s="533">
        <f>IF(H14=1,K14-LN(SUM(L14:L$21)),0)</f>
        <v>0</v>
      </c>
      <c r="Q14" s="532">
        <f t="shared" si="1"/>
        <v>8</v>
      </c>
      <c r="R14" s="532">
        <f t="shared" si="3"/>
        <v>548</v>
      </c>
      <c r="S14" s="7">
        <f t="shared" si="4"/>
        <v>96</v>
      </c>
      <c r="T14" s="7">
        <f t="shared" si="5"/>
        <v>0</v>
      </c>
      <c r="U14" s="533">
        <f t="shared" si="6"/>
        <v>0</v>
      </c>
      <c r="V14" s="7">
        <f t="shared" si="7"/>
        <v>37770</v>
      </c>
      <c r="W14" s="7">
        <f t="shared" si="8"/>
        <v>6546</v>
      </c>
      <c r="X14" s="7">
        <f t="shared" si="9"/>
        <v>1858</v>
      </c>
      <c r="Y14" s="7">
        <f t="shared" si="10"/>
        <v>0</v>
      </c>
      <c r="Z14" s="7">
        <f t="shared" si="11"/>
        <v>0</v>
      </c>
      <c r="AA14" s="533">
        <f t="shared" si="12"/>
        <v>0</v>
      </c>
    </row>
    <row r="15" spans="1:30" x14ac:dyDescent="0.25">
      <c r="B15" s="532">
        <v>30</v>
      </c>
      <c r="C15" s="7">
        <v>0</v>
      </c>
      <c r="D15" s="7">
        <v>70</v>
      </c>
      <c r="E15" s="533">
        <v>11</v>
      </c>
      <c r="G15" s="532">
        <v>59</v>
      </c>
      <c r="H15" s="7">
        <v>0</v>
      </c>
      <c r="I15" s="7">
        <v>63</v>
      </c>
      <c r="J15" s="533">
        <v>6</v>
      </c>
      <c r="K15" s="532">
        <f t="shared" si="0"/>
        <v>0</v>
      </c>
      <c r="L15" s="7">
        <f t="shared" si="2"/>
        <v>1</v>
      </c>
      <c r="M15" s="533">
        <f>IF(H15=1,K15-LN(SUM(L15:L$21)),0)</f>
        <v>0</v>
      </c>
      <c r="Q15" s="532">
        <f t="shared" si="1"/>
        <v>7</v>
      </c>
      <c r="R15" s="532">
        <f t="shared" si="3"/>
        <v>471</v>
      </c>
      <c r="S15" s="7">
        <f t="shared" si="4"/>
        <v>90</v>
      </c>
      <c r="T15" s="7">
        <f t="shared" si="5"/>
        <v>0</v>
      </c>
      <c r="U15" s="533">
        <f t="shared" si="6"/>
        <v>0</v>
      </c>
      <c r="V15" s="7">
        <f t="shared" si="7"/>
        <v>31841</v>
      </c>
      <c r="W15" s="7">
        <f t="shared" si="8"/>
        <v>6084</v>
      </c>
      <c r="X15" s="7">
        <f t="shared" si="9"/>
        <v>1822</v>
      </c>
      <c r="Y15" s="7">
        <f t="shared" si="10"/>
        <v>0</v>
      </c>
      <c r="Z15" s="7">
        <f t="shared" si="11"/>
        <v>0</v>
      </c>
      <c r="AA15" s="533">
        <f t="shared" si="12"/>
        <v>0</v>
      </c>
    </row>
    <row r="16" spans="1:30" x14ac:dyDescent="0.25">
      <c r="B16" s="532">
        <v>62</v>
      </c>
      <c r="C16" s="7">
        <v>1</v>
      </c>
      <c r="D16" s="7">
        <v>75</v>
      </c>
      <c r="E16" s="533">
        <v>15</v>
      </c>
      <c r="G16" s="532">
        <v>62</v>
      </c>
      <c r="H16" s="7">
        <v>1</v>
      </c>
      <c r="I16" s="7">
        <v>75</v>
      </c>
      <c r="J16" s="533">
        <v>15</v>
      </c>
      <c r="K16" s="532">
        <f t="shared" si="0"/>
        <v>0</v>
      </c>
      <c r="L16" s="7">
        <f t="shared" si="2"/>
        <v>1</v>
      </c>
      <c r="M16" s="533">
        <f>IF(H16=1,K16-LN(SUM(L16:L$21)),0)</f>
        <v>-1.791759469228055</v>
      </c>
      <c r="Q16" s="532">
        <f t="shared" si="1"/>
        <v>6</v>
      </c>
      <c r="R16" s="532">
        <f t="shared" si="3"/>
        <v>408</v>
      </c>
      <c r="S16" s="7">
        <f t="shared" si="4"/>
        <v>84</v>
      </c>
      <c r="T16" s="7">
        <f t="shared" si="5"/>
        <v>7</v>
      </c>
      <c r="U16" s="533">
        <f t="shared" si="6"/>
        <v>1</v>
      </c>
      <c r="V16" s="7">
        <f t="shared" si="7"/>
        <v>27872</v>
      </c>
      <c r="W16" s="7">
        <f t="shared" si="8"/>
        <v>5706</v>
      </c>
      <c r="X16" s="7">
        <f t="shared" si="9"/>
        <v>1786</v>
      </c>
      <c r="Y16" s="7">
        <f t="shared" si="10"/>
        <v>21.333333333333332</v>
      </c>
      <c r="Z16" s="7">
        <f t="shared" si="11"/>
        <v>-1</v>
      </c>
      <c r="AA16" s="533">
        <f t="shared" si="12"/>
        <v>101.66666666666667</v>
      </c>
    </row>
    <row r="17" spans="2:29" x14ac:dyDescent="0.25">
      <c r="B17" s="532">
        <v>27</v>
      </c>
      <c r="C17" s="7">
        <v>1</v>
      </c>
      <c r="D17" s="7">
        <v>72</v>
      </c>
      <c r="E17" s="533">
        <v>36</v>
      </c>
      <c r="G17" s="532">
        <v>62</v>
      </c>
      <c r="H17" s="7">
        <v>0</v>
      </c>
      <c r="I17" s="7">
        <v>64</v>
      </c>
      <c r="J17" s="533">
        <v>2</v>
      </c>
      <c r="K17" s="532">
        <f t="shared" si="0"/>
        <v>0</v>
      </c>
      <c r="L17" s="7">
        <f t="shared" si="2"/>
        <v>1</v>
      </c>
      <c r="M17" s="533">
        <f>IF(H17=1,K17-LN(SUM(L17:L$21)),0)</f>
        <v>0</v>
      </c>
      <c r="Q17" s="532">
        <f t="shared" si="1"/>
        <v>5</v>
      </c>
      <c r="R17" s="532">
        <f t="shared" si="3"/>
        <v>333</v>
      </c>
      <c r="S17" s="7">
        <f t="shared" si="4"/>
        <v>69</v>
      </c>
      <c r="T17" s="7">
        <f t="shared" si="5"/>
        <v>0</v>
      </c>
      <c r="U17" s="533">
        <f t="shared" si="6"/>
        <v>0</v>
      </c>
      <c r="V17" s="7">
        <f t="shared" si="7"/>
        <v>22247</v>
      </c>
      <c r="W17" s="7">
        <f t="shared" si="8"/>
        <v>4581</v>
      </c>
      <c r="X17" s="7">
        <f t="shared" si="9"/>
        <v>1561</v>
      </c>
      <c r="Y17" s="7">
        <f t="shared" si="10"/>
        <v>0</v>
      </c>
      <c r="Z17" s="7">
        <f t="shared" si="11"/>
        <v>0</v>
      </c>
      <c r="AA17" s="533">
        <f t="shared" si="12"/>
        <v>0</v>
      </c>
    </row>
    <row r="18" spans="2:29" x14ac:dyDescent="0.25">
      <c r="B18" s="532">
        <v>41</v>
      </c>
      <c r="C18" s="7">
        <v>1</v>
      </c>
      <c r="D18" s="7">
        <v>58</v>
      </c>
      <c r="E18" s="533">
        <v>25</v>
      </c>
      <c r="G18" s="532">
        <v>64</v>
      </c>
      <c r="H18" s="7">
        <v>0</v>
      </c>
      <c r="I18" s="7">
        <v>67</v>
      </c>
      <c r="J18" s="533">
        <v>34</v>
      </c>
      <c r="K18" s="532">
        <f t="shared" si="0"/>
        <v>0</v>
      </c>
      <c r="L18" s="7">
        <f t="shared" si="2"/>
        <v>1</v>
      </c>
      <c r="M18" s="533">
        <f>IF(H18=1,K18-LN(SUM(L18:L$21)),0)</f>
        <v>0</v>
      </c>
      <c r="Q18" s="532">
        <f t="shared" si="1"/>
        <v>4</v>
      </c>
      <c r="R18" s="532">
        <f t="shared" si="3"/>
        <v>269</v>
      </c>
      <c r="S18" s="7">
        <f t="shared" si="4"/>
        <v>67</v>
      </c>
      <c r="T18" s="7">
        <f t="shared" si="5"/>
        <v>0</v>
      </c>
      <c r="U18" s="533">
        <f t="shared" si="6"/>
        <v>0</v>
      </c>
      <c r="V18" s="7">
        <f t="shared" si="7"/>
        <v>18151</v>
      </c>
      <c r="W18" s="7">
        <f t="shared" si="8"/>
        <v>4453</v>
      </c>
      <c r="X18" s="7">
        <f t="shared" si="9"/>
        <v>1557</v>
      </c>
      <c r="Y18" s="7">
        <f t="shared" si="10"/>
        <v>0</v>
      </c>
      <c r="Z18" s="7">
        <f t="shared" si="11"/>
        <v>0</v>
      </c>
      <c r="AA18" s="533">
        <f t="shared" si="12"/>
        <v>0</v>
      </c>
    </row>
    <row r="19" spans="2:29" x14ac:dyDescent="0.25">
      <c r="B19" s="532">
        <v>37</v>
      </c>
      <c r="C19" s="7">
        <v>1</v>
      </c>
      <c r="D19" s="7">
        <v>80</v>
      </c>
      <c r="E19" s="533">
        <v>8</v>
      </c>
      <c r="G19" s="532">
        <v>67</v>
      </c>
      <c r="H19" s="7">
        <v>0</v>
      </c>
      <c r="I19" s="7">
        <v>71</v>
      </c>
      <c r="J19" s="533">
        <v>9</v>
      </c>
      <c r="K19" s="532">
        <f t="shared" si="0"/>
        <v>0</v>
      </c>
      <c r="L19" s="7">
        <f t="shared" si="2"/>
        <v>1</v>
      </c>
      <c r="M19" s="533">
        <f>IF(H19=1,K19-LN(SUM(L19:L$21)),0)</f>
        <v>0</v>
      </c>
      <c r="Q19" s="532">
        <f t="shared" si="1"/>
        <v>3</v>
      </c>
      <c r="R19" s="532">
        <f t="shared" si="3"/>
        <v>202</v>
      </c>
      <c r="S19" s="7">
        <f t="shared" si="4"/>
        <v>33</v>
      </c>
      <c r="T19" s="7">
        <f t="shared" si="5"/>
        <v>0</v>
      </c>
      <c r="U19" s="533">
        <f t="shared" si="6"/>
        <v>0</v>
      </c>
      <c r="V19" s="7">
        <f t="shared" si="7"/>
        <v>13662</v>
      </c>
      <c r="W19" s="7">
        <f t="shared" si="8"/>
        <v>2175</v>
      </c>
      <c r="X19" s="7">
        <f t="shared" si="9"/>
        <v>401</v>
      </c>
      <c r="Y19" s="7">
        <f t="shared" si="10"/>
        <v>0</v>
      </c>
      <c r="Z19" s="7">
        <f t="shared" si="11"/>
        <v>0</v>
      </c>
      <c r="AA19" s="533">
        <f t="shared" si="12"/>
        <v>0</v>
      </c>
    </row>
    <row r="20" spans="2:29" x14ac:dyDescent="0.25">
      <c r="B20" s="532">
        <v>25</v>
      </c>
      <c r="C20" s="7">
        <v>0</v>
      </c>
      <c r="D20" s="7">
        <v>68</v>
      </c>
      <c r="E20" s="533">
        <v>3</v>
      </c>
      <c r="G20" s="532">
        <v>67</v>
      </c>
      <c r="H20" s="7">
        <v>0</v>
      </c>
      <c r="I20" s="7">
        <v>70</v>
      </c>
      <c r="J20" s="533">
        <v>8</v>
      </c>
      <c r="K20" s="532">
        <f t="shared" si="0"/>
        <v>0</v>
      </c>
      <c r="L20" s="7">
        <f t="shared" si="2"/>
        <v>1</v>
      </c>
      <c r="M20" s="533">
        <f>IF(H20=1,K20-LN(SUM(L20:L$21)),0)</f>
        <v>0</v>
      </c>
      <c r="Q20" s="532">
        <f>L20+Q21</f>
        <v>2</v>
      </c>
      <c r="R20" s="532">
        <f>I20*L20+R21</f>
        <v>131</v>
      </c>
      <c r="S20" s="7">
        <f>J20*L20+S21</f>
        <v>24</v>
      </c>
      <c r="T20" s="7">
        <f t="shared" si="5"/>
        <v>0</v>
      </c>
      <c r="U20" s="533">
        <f t="shared" si="6"/>
        <v>0</v>
      </c>
      <c r="V20" s="7">
        <f>I20*I20*L20+V21</f>
        <v>8621</v>
      </c>
      <c r="W20" s="7">
        <f>I20*J20*L20+W21</f>
        <v>1536</v>
      </c>
      <c r="X20" s="7">
        <f>J20*J20*L20+X21</f>
        <v>320</v>
      </c>
      <c r="Y20" s="7">
        <f t="shared" si="10"/>
        <v>0</v>
      </c>
      <c r="Z20" s="7">
        <f t="shared" si="11"/>
        <v>0</v>
      </c>
      <c r="AA20" s="533">
        <f t="shared" si="12"/>
        <v>0</v>
      </c>
    </row>
    <row r="21" spans="2:29" x14ac:dyDescent="0.25">
      <c r="B21" s="409">
        <v>62</v>
      </c>
      <c r="C21" s="762">
        <v>0</v>
      </c>
      <c r="D21" s="762">
        <v>64</v>
      </c>
      <c r="E21" s="417">
        <v>2</v>
      </c>
      <c r="G21" s="409">
        <v>70</v>
      </c>
      <c r="H21" s="762">
        <v>1</v>
      </c>
      <c r="I21" s="762">
        <v>61</v>
      </c>
      <c r="J21" s="417">
        <v>16</v>
      </c>
      <c r="K21" s="409">
        <f t="shared" si="0"/>
        <v>0</v>
      </c>
      <c r="L21" s="762">
        <f t="shared" si="2"/>
        <v>1</v>
      </c>
      <c r="M21" s="417">
        <f>IF(H21=1,K21-LN(SUM(L21:L$21)),0)</f>
        <v>0</v>
      </c>
      <c r="Q21" s="409">
        <f>L21</f>
        <v>1</v>
      </c>
      <c r="R21" s="409">
        <f>I21*L21</f>
        <v>61</v>
      </c>
      <c r="S21" s="762">
        <f>J21*L21</f>
        <v>16</v>
      </c>
      <c r="T21" s="762">
        <f t="shared" si="5"/>
        <v>0</v>
      </c>
      <c r="U21" s="417">
        <f t="shared" si="6"/>
        <v>0</v>
      </c>
      <c r="V21" s="762">
        <f>I21*I21*L21</f>
        <v>3721</v>
      </c>
      <c r="W21" s="762">
        <f>I21*J21*L21</f>
        <v>976</v>
      </c>
      <c r="X21" s="762">
        <f>J21*J21*L21</f>
        <v>256</v>
      </c>
      <c r="Y21" s="762">
        <f t="shared" si="10"/>
        <v>0</v>
      </c>
      <c r="Z21" s="762">
        <f t="shared" si="11"/>
        <v>0</v>
      </c>
      <c r="AA21" s="417">
        <f t="shared" si="12"/>
        <v>0</v>
      </c>
    </row>
    <row r="22" spans="2:29" x14ac:dyDescent="0.25">
      <c r="M22" s="906">
        <f>SUM(M4:M21)</f>
        <v>-15.273250779532182</v>
      </c>
      <c r="T22" s="31">
        <f>SUM(T4:T21)</f>
        <v>26.662719959778798</v>
      </c>
      <c r="U22" s="31">
        <f>SUM(U4:U21)</f>
        <v>49.721392659627952</v>
      </c>
      <c r="Y22" s="31">
        <f>SUM(Y4:Y21)</f>
        <v>241.35167706637316</v>
      </c>
      <c r="Z22" s="31">
        <f>SUM(Z4:Z21)</f>
        <v>-31.898941880822278</v>
      </c>
      <c r="AA22" s="31">
        <f>SUM(AA4:AA21)</f>
        <v>579.44719779235777</v>
      </c>
    </row>
    <row r="24" spans="2:29" x14ac:dyDescent="0.25">
      <c r="U24" t="s">
        <v>106</v>
      </c>
      <c r="V24">
        <v>0.05</v>
      </c>
    </row>
    <row r="26" spans="2:29" x14ac:dyDescent="0.25">
      <c r="R26" s="1188" t="s">
        <v>42</v>
      </c>
      <c r="S26" s="1188" t="s">
        <v>342</v>
      </c>
      <c r="T26" s="1188" t="s">
        <v>35</v>
      </c>
      <c r="U26" s="1188" t="s">
        <v>67</v>
      </c>
      <c r="V26" s="1188" t="s">
        <v>29</v>
      </c>
      <c r="W26" s="1188" t="s">
        <v>30</v>
      </c>
      <c r="X26" s="1188" t="s">
        <v>1531</v>
      </c>
      <c r="Y26" s="1188" t="s">
        <v>29</v>
      </c>
      <c r="Z26" s="1188" t="s">
        <v>30</v>
      </c>
      <c r="AB26" s="1188" t="s">
        <v>2552</v>
      </c>
      <c r="AC26" s="1188" t="s">
        <v>67</v>
      </c>
    </row>
    <row r="27" spans="2:29" x14ac:dyDescent="0.25">
      <c r="Q27" t="s">
        <v>1829</v>
      </c>
      <c r="R27" s="1199">
        <f>O4</f>
        <v>0</v>
      </c>
      <c r="S27" s="1200">
        <f>SQRT(AC8)</f>
        <v>6.4604171739065991E-2</v>
      </c>
      <c r="T27" s="1199">
        <f>R27/S27</f>
        <v>0</v>
      </c>
      <c r="U27" s="1201">
        <f>2*(1-NORMSDIST(T27))</f>
        <v>1</v>
      </c>
      <c r="V27" s="1200">
        <f>R27-S27*NORMSINV(1-V24/2)</f>
        <v>-0.1266218498596097</v>
      </c>
      <c r="W27" s="1201">
        <f>R27+S27*NORMSINV(1-V24/2)</f>
        <v>0.1266218498596097</v>
      </c>
      <c r="X27" s="1172">
        <f>EXP(R27)</f>
        <v>1</v>
      </c>
      <c r="Y27" s="827">
        <f>EXP(V27)</f>
        <v>0.88106678513840364</v>
      </c>
      <c r="Z27" s="1173">
        <f>EXP(W27)</f>
        <v>1.1349877408474927</v>
      </c>
      <c r="AB27" s="1199">
        <f>(R27/S27)^2</f>
        <v>0</v>
      </c>
      <c r="AC27" s="1201">
        <f>CHIDIST(AB27,1)</f>
        <v>1</v>
      </c>
    </row>
    <row r="28" spans="2:29" x14ac:dyDescent="0.25">
      <c r="Q28" t="s">
        <v>2538</v>
      </c>
      <c r="R28" s="937">
        <f>O5</f>
        <v>0</v>
      </c>
      <c r="S28" s="1202">
        <f>SQRT(AD9)</f>
        <v>4.1694501900317781E-2</v>
      </c>
      <c r="T28" s="937">
        <f>R28/S28</f>
        <v>0</v>
      </c>
      <c r="U28" s="938">
        <f>2*(1-NORMSDIST(T28))</f>
        <v>1</v>
      </c>
      <c r="V28" s="1202">
        <f>R28-S28*NORMSINV(1-V24/2)</f>
        <v>-8.1719722077959675E-2</v>
      </c>
      <c r="W28" s="938">
        <f>R28+S28*NORMSINV(1-V24/2)</f>
        <v>8.1719722077959675E-2</v>
      </c>
      <c r="X28" s="409">
        <f>EXP(R28)</f>
        <v>1</v>
      </c>
      <c r="Y28" s="762">
        <f>EXP(V28)</f>
        <v>0.92153020707553501</v>
      </c>
      <c r="Z28" s="417">
        <f>EXP(W28)</f>
        <v>1.0851516231610985</v>
      </c>
      <c r="AB28" s="937">
        <f>(R28/S28)^2</f>
        <v>0</v>
      </c>
      <c r="AC28" s="938">
        <f>CHIDIST(AB28,1)</f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R28"/>
  <sheetViews>
    <sheetView workbookViewId="0"/>
  </sheetViews>
  <sheetFormatPr defaultRowHeight="15" x14ac:dyDescent="0.25"/>
  <cols>
    <col min="1" max="1" width="3" customWidth="1"/>
    <col min="6" max="6" width="9.140625" customWidth="1"/>
    <col min="16" max="16" width="3" customWidth="1"/>
    <col min="18" max="18" width="9.140625" customWidth="1"/>
    <col min="22" max="24" width="9.140625" customWidth="1"/>
    <col min="33" max="33" width="3.5703125" customWidth="1"/>
    <col min="39" max="39" width="9.140625" customWidth="1"/>
    <col min="41" max="43" width="9.28515625" bestFit="1" customWidth="1"/>
    <col min="44" max="44" width="9.140625" customWidth="1"/>
  </cols>
  <sheetData>
    <row r="1" spans="1:44" x14ac:dyDescent="0.25">
      <c r="A1" s="1" t="s">
        <v>2553</v>
      </c>
      <c r="B1" s="1"/>
      <c r="C1" s="1"/>
      <c r="AF1" t="s">
        <v>2570</v>
      </c>
    </row>
    <row r="2" spans="1:44" x14ac:dyDescent="0.25">
      <c r="AK2" s="1188" t="s">
        <v>2571</v>
      </c>
      <c r="AL2" s="1188" t="s">
        <v>2572</v>
      </c>
      <c r="AM2" s="1188" t="s">
        <v>1284</v>
      </c>
      <c r="AN2" s="1188" t="s">
        <v>1531</v>
      </c>
      <c r="AO2" s="1188" t="s">
        <v>8</v>
      </c>
    </row>
    <row r="3" spans="1:44" x14ac:dyDescent="0.25">
      <c r="B3" s="13" t="s">
        <v>2536</v>
      </c>
      <c r="C3" s="13" t="s">
        <v>2537</v>
      </c>
      <c r="D3" s="13" t="s">
        <v>1829</v>
      </c>
      <c r="E3" s="13" t="s">
        <v>2538</v>
      </c>
      <c r="G3" s="13" t="s">
        <v>2536</v>
      </c>
      <c r="H3" s="13" t="s">
        <v>2537</v>
      </c>
      <c r="I3" s="13" t="s">
        <v>1829</v>
      </c>
      <c r="J3" s="13" t="s">
        <v>2538</v>
      </c>
      <c r="K3" s="13" t="s">
        <v>2539</v>
      </c>
      <c r="L3" s="13" t="s">
        <v>2540</v>
      </c>
      <c r="M3" s="13" t="s">
        <v>1253</v>
      </c>
      <c r="O3" s="13" t="s">
        <v>131</v>
      </c>
      <c r="Q3" s="13" t="s">
        <v>826</v>
      </c>
      <c r="R3" s="13" t="s">
        <v>2541</v>
      </c>
      <c r="S3" s="13" t="s">
        <v>2542</v>
      </c>
      <c r="T3" s="13" t="s">
        <v>2554</v>
      </c>
      <c r="U3" s="13" t="s">
        <v>2555</v>
      </c>
      <c r="V3" s="13" t="s">
        <v>2543</v>
      </c>
      <c r="W3" s="13" t="s">
        <v>2544</v>
      </c>
      <c r="X3" s="13" t="s">
        <v>2545</v>
      </c>
      <c r="Y3" s="13" t="s">
        <v>2556</v>
      </c>
      <c r="Z3" s="13" t="s">
        <v>2557</v>
      </c>
      <c r="AA3" s="13" t="s">
        <v>2558</v>
      </c>
      <c r="AC3" s="53" t="s">
        <v>2547</v>
      </c>
      <c r="AF3" s="1209">
        <f>X28^2</f>
        <v>1.207937779270283</v>
      </c>
      <c r="AH3" t="str">
        <f>[1]!FTEXT(AF3)</f>
        <v>=X28^2</v>
      </c>
      <c r="AJ3" t="s">
        <v>2</v>
      </c>
      <c r="AK3" s="1172">
        <v>65</v>
      </c>
      <c r="AL3" s="827">
        <v>70</v>
      </c>
      <c r="AM3" s="827">
        <f>AL3-AK3</f>
        <v>5</v>
      </c>
      <c r="AN3" s="827">
        <f>X27</f>
        <v>1.2244176931265995</v>
      </c>
      <c r="AO3" s="827"/>
      <c r="AQ3" s="1172">
        <f>AM3*AM3</f>
        <v>25</v>
      </c>
      <c r="AR3" s="1173">
        <f>AQ4</f>
        <v>-25</v>
      </c>
    </row>
    <row r="4" spans="1:44" x14ac:dyDescent="0.25">
      <c r="B4" s="1172">
        <v>64</v>
      </c>
      <c r="C4" s="827">
        <v>0</v>
      </c>
      <c r="D4" s="827">
        <v>67</v>
      </c>
      <c r="E4" s="1173">
        <v>34</v>
      </c>
      <c r="G4" s="1172">
        <f t="array" ref="G4:J21">[1]!QSORTRows(B4:E21)</f>
        <v>5</v>
      </c>
      <c r="H4" s="827">
        <v>1</v>
      </c>
      <c r="I4" s="827">
        <v>77</v>
      </c>
      <c r="J4" s="1173">
        <v>15</v>
      </c>
      <c r="K4" s="1172">
        <f t="shared" ref="K4:K21" si="0">MMULT(I4:J4,$O$4:$O$5)</f>
        <v>17.006693571393676</v>
      </c>
      <c r="L4" s="827">
        <f>EXP(K4)</f>
        <v>24317177.981722351</v>
      </c>
      <c r="M4" s="1173">
        <f>IF(H4=1,K4-LN(SUM(L4:L$21)),0)</f>
        <v>-2.1380540883298345</v>
      </c>
      <c r="O4" s="1193">
        <v>0.20246537843113604</v>
      </c>
      <c r="Q4" s="1172">
        <f t="shared" ref="Q4:Q19" si="1">L4+Q5</f>
        <v>206280543.04859066</v>
      </c>
      <c r="R4" s="1172">
        <f>I4*L4+R5</f>
        <v>15100044239.562492</v>
      </c>
      <c r="S4" s="827">
        <f>J4*L4+S5</f>
        <v>4752910075.4770069</v>
      </c>
      <c r="T4" s="827">
        <f>IF(H4=1,I4-R4/Q4,0)</f>
        <v>3.7985045201011332</v>
      </c>
      <c r="U4" s="1173">
        <f>IF(H4=1,J4-S4/Q4,0)</f>
        <v>-8.04100040282243</v>
      </c>
      <c r="V4" s="827">
        <f>I4*I4*L4+V5</f>
        <v>1108665359264.7964</v>
      </c>
      <c r="W4" s="827">
        <f>I4*J4*L4+W5</f>
        <v>342360537087.53564</v>
      </c>
      <c r="X4" s="827">
        <f>J4*J4*L4+X5</f>
        <v>138820702104.51959</v>
      </c>
      <c r="Y4" s="827">
        <f>IF(H4=1,(V4-R4*R4/Q4)/Q4,0)</f>
        <v>16.09235203248306</v>
      </c>
      <c r="Z4" s="827">
        <f>IF(H4=1,(W4-R4*S4/Q4)/Q4,0)</f>
        <v>-26.951588534215919</v>
      </c>
      <c r="AA4" s="1173">
        <f>IF(H4=1,(X4-S4*S4/Q4)/Q4,0)</f>
        <v>142.08271273539938</v>
      </c>
      <c r="AC4" s="1172">
        <f>Y22</f>
        <v>122.29025047198725</v>
      </c>
      <c r="AD4" s="1173">
        <f>Z22</f>
        <v>-190.72147812760898</v>
      </c>
      <c r="AJ4" t="s">
        <v>2573</v>
      </c>
      <c r="AK4" s="409">
        <v>10</v>
      </c>
      <c r="AL4" s="762">
        <v>5</v>
      </c>
      <c r="AM4" s="762">
        <f>AL4-AK4</f>
        <v>-5</v>
      </c>
      <c r="AN4" s="762">
        <f>X28</f>
        <v>1.0990622272056678</v>
      </c>
      <c r="AO4" s="762"/>
      <c r="AQ4" s="409">
        <f>AM3*AM4</f>
        <v>-25</v>
      </c>
      <c r="AR4" s="417">
        <f>AM4*AM4</f>
        <v>25</v>
      </c>
    </row>
    <row r="5" spans="1:44" x14ac:dyDescent="0.25">
      <c r="B5" s="532">
        <v>59</v>
      </c>
      <c r="C5" s="7">
        <v>0</v>
      </c>
      <c r="D5" s="7">
        <v>63</v>
      </c>
      <c r="E5" s="533">
        <v>6</v>
      </c>
      <c r="G5" s="532">
        <v>14</v>
      </c>
      <c r="H5" s="7">
        <v>1</v>
      </c>
      <c r="I5" s="7">
        <v>72</v>
      </c>
      <c r="J5" s="533">
        <v>27</v>
      </c>
      <c r="K5" s="532">
        <f t="shared" si="0"/>
        <v>17.127854224994959</v>
      </c>
      <c r="L5" s="7">
        <f t="shared" ref="L5:L21" si="2">EXP(K5)</f>
        <v>27449382.35656153</v>
      </c>
      <c r="M5" s="533">
        <f>IF(H5=1,K5-LN(SUM(L5:L$21)),0)</f>
        <v>-1.8914617089430088</v>
      </c>
      <c r="O5" s="420">
        <v>9.4457295479746781E-2</v>
      </c>
      <c r="Q5" s="532">
        <f t="shared" si="1"/>
        <v>181963365.06686831</v>
      </c>
      <c r="R5" s="532">
        <f t="shared" ref="R5:R19" si="3">I5*L5+R6</f>
        <v>13227621534.969872</v>
      </c>
      <c r="S5" s="7">
        <f t="shared" ref="S5:S19" si="4">J5*L5+S6</f>
        <v>4388152405.7511721</v>
      </c>
      <c r="T5" s="7">
        <f t="shared" ref="T5:T21" si="5">IF(H5=1,I5-R5/Q5,0)</f>
        <v>-0.69387181375194018</v>
      </c>
      <c r="U5" s="533">
        <f t="shared" ref="U5:U21" si="6">IF(H5=1,J5-S5/Q5,0)</f>
        <v>2.8844182501318123</v>
      </c>
      <c r="V5" s="7">
        <f t="shared" ref="V5:V19" si="7">I5*I5*L5+V6</f>
        <v>964488811011.16455</v>
      </c>
      <c r="W5" s="7">
        <f t="shared" ref="W5:W19" si="8">I5*J5*L5+W6</f>
        <v>314274196518.6463</v>
      </c>
      <c r="X5" s="7">
        <f t="shared" ref="X5:X19" si="9">J5*J5*L5+X6</f>
        <v>133349337058.63205</v>
      </c>
      <c r="Y5" s="7">
        <f t="shared" ref="Y5:Y21" si="10">IF(H5=1,(V5-R5*R5/Q5)/Q5,0)</f>
        <v>16.057005464623526</v>
      </c>
      <c r="Z5" s="7">
        <f t="shared" ref="Z5:Z21" si="11">IF(H5=1,(W5-R5*S5/Q5)/Q5,0)</f>
        <v>-25.926053645484853</v>
      </c>
      <c r="AA5" s="533">
        <f t="shared" ref="AA5:AA21" si="12">IF(H5=1,(X5-S5*S5/Q5)/Q5,0)</f>
        <v>151.27489523368291</v>
      </c>
      <c r="AC5" s="409">
        <f>Z22</f>
        <v>-190.72147812760898</v>
      </c>
      <c r="AD5" s="417">
        <f>AA22</f>
        <v>839.60343686766055</v>
      </c>
      <c r="AJ5" t="s">
        <v>2574</v>
      </c>
      <c r="AN5">
        <f>AN3^AM3*AN4^AM4</f>
        <v>1.7160762155865534</v>
      </c>
      <c r="AO5">
        <f>SUMPRODUCT(AC8:AD9,AQ3:AR4)</f>
        <v>0.21887073709312083</v>
      </c>
    </row>
    <row r="6" spans="1:44" x14ac:dyDescent="0.25">
      <c r="B6" s="532">
        <v>51</v>
      </c>
      <c r="C6" s="7">
        <v>0</v>
      </c>
      <c r="D6" s="7">
        <v>60</v>
      </c>
      <c r="E6" s="533">
        <v>8</v>
      </c>
      <c r="G6" s="532">
        <v>25</v>
      </c>
      <c r="H6" s="7">
        <v>0</v>
      </c>
      <c r="I6" s="7">
        <v>68</v>
      </c>
      <c r="J6" s="533">
        <v>3</v>
      </c>
      <c r="K6" s="532">
        <f t="shared" si="0"/>
        <v>14.051017619756491</v>
      </c>
      <c r="L6" s="7">
        <f t="shared" si="2"/>
        <v>1265550.3182790421</v>
      </c>
      <c r="M6" s="533">
        <f>IF(H6=1,K6-LN(SUM(L6:L$21)),0)</f>
        <v>0</v>
      </c>
      <c r="Q6" s="532">
        <f t="shared" si="1"/>
        <v>154513982.71030676</v>
      </c>
      <c r="R6" s="532">
        <f t="shared" si="3"/>
        <v>11251266005.297441</v>
      </c>
      <c r="S6" s="7">
        <f t="shared" si="4"/>
        <v>3647019082.1240106</v>
      </c>
      <c r="T6" s="7">
        <f t="shared" si="5"/>
        <v>0</v>
      </c>
      <c r="U6" s="533">
        <f t="shared" si="6"/>
        <v>0</v>
      </c>
      <c r="V6" s="7">
        <f t="shared" si="7"/>
        <v>822191212874.74963</v>
      </c>
      <c r="W6" s="7">
        <f t="shared" si="8"/>
        <v>260912597217.49069</v>
      </c>
      <c r="X6" s="7">
        <f t="shared" si="9"/>
        <v>113338737320.69868</v>
      </c>
      <c r="Y6" s="7">
        <f t="shared" si="10"/>
        <v>0</v>
      </c>
      <c r="Z6" s="7">
        <f t="shared" si="11"/>
        <v>0</v>
      </c>
      <c r="AA6" s="533">
        <f t="shared" si="12"/>
        <v>0</v>
      </c>
    </row>
    <row r="7" spans="1:44" ht="15" customHeight="1" x14ac:dyDescent="0.25">
      <c r="B7" s="532">
        <v>14</v>
      </c>
      <c r="C7" s="7">
        <v>1</v>
      </c>
      <c r="D7" s="7">
        <v>72</v>
      </c>
      <c r="E7" s="533">
        <v>27</v>
      </c>
      <c r="G7" s="532">
        <v>27</v>
      </c>
      <c r="H7" s="7">
        <v>1</v>
      </c>
      <c r="I7" s="7">
        <v>72</v>
      </c>
      <c r="J7" s="533">
        <v>36</v>
      </c>
      <c r="K7" s="532">
        <f t="shared" si="0"/>
        <v>17.977969884312678</v>
      </c>
      <c r="L7" s="7">
        <f t="shared" si="2"/>
        <v>64229289.30403699</v>
      </c>
      <c r="M7" s="533">
        <f>IF(H7=1,K7-LN(SUM(L7:L$21)),0)</f>
        <v>-0.86960101932605838</v>
      </c>
      <c r="Q7" s="532">
        <f t="shared" si="1"/>
        <v>153248432.39202774</v>
      </c>
      <c r="R7" s="532">
        <f t="shared" si="3"/>
        <v>11165208583.654467</v>
      </c>
      <c r="S7" s="7">
        <f t="shared" si="4"/>
        <v>3643222431.1691732</v>
      </c>
      <c r="T7" s="7">
        <f t="shared" si="5"/>
        <v>-0.85691872587990758</v>
      </c>
      <c r="U7" s="533">
        <f t="shared" si="6"/>
        <v>12.226690385651864</v>
      </c>
      <c r="V7" s="7">
        <f t="shared" si="7"/>
        <v>816339308203.02734</v>
      </c>
      <c r="W7" s="7">
        <f t="shared" si="8"/>
        <v>260654424952.56177</v>
      </c>
      <c r="X7" s="7">
        <f t="shared" si="9"/>
        <v>113327347367.83417</v>
      </c>
      <c r="Y7" s="7">
        <f t="shared" si="10"/>
        <v>18.770918705767379</v>
      </c>
      <c r="Z7" s="7">
        <f t="shared" si="11"/>
        <v>-31.188153384869004</v>
      </c>
      <c r="AA7" s="533">
        <f t="shared" si="12"/>
        <v>174.33060880759183</v>
      </c>
      <c r="AC7" t="s">
        <v>2559</v>
      </c>
      <c r="AK7" s="1188" t="s">
        <v>42</v>
      </c>
      <c r="AL7" s="1188" t="s">
        <v>425</v>
      </c>
      <c r="AM7" s="1188" t="s">
        <v>211</v>
      </c>
      <c r="AN7" s="1188" t="s">
        <v>29</v>
      </c>
      <c r="AO7" s="1188" t="s">
        <v>30</v>
      </c>
      <c r="AP7" s="1188" t="s">
        <v>1531</v>
      </c>
      <c r="AQ7" s="1188" t="s">
        <v>29</v>
      </c>
      <c r="AR7" s="1188" t="s">
        <v>30</v>
      </c>
    </row>
    <row r="8" spans="1:44" ht="15" customHeight="1" x14ac:dyDescent="0.25">
      <c r="B8" s="532">
        <v>43</v>
      </c>
      <c r="C8" s="7">
        <v>0</v>
      </c>
      <c r="D8" s="7">
        <v>59</v>
      </c>
      <c r="E8" s="533">
        <v>6</v>
      </c>
      <c r="G8" s="532">
        <v>30</v>
      </c>
      <c r="H8" s="7">
        <v>0</v>
      </c>
      <c r="I8" s="7">
        <v>70</v>
      </c>
      <c r="J8" s="533">
        <v>11</v>
      </c>
      <c r="K8" s="532">
        <f t="shared" si="0"/>
        <v>15.211606740456737</v>
      </c>
      <c r="L8" s="7">
        <f t="shared" si="2"/>
        <v>4039400.0662474222</v>
      </c>
      <c r="M8" s="533">
        <f>IF(H8=1,K8-LN(SUM(L8:L$21)),0)</f>
        <v>0</v>
      </c>
      <c r="Q8" s="532">
        <f t="shared" si="1"/>
        <v>89019143.087990761</v>
      </c>
      <c r="R8" s="532">
        <f t="shared" si="3"/>
        <v>6540699753.7638035</v>
      </c>
      <c r="S8" s="7">
        <f t="shared" si="4"/>
        <v>1330968016.2238419</v>
      </c>
      <c r="T8" s="7">
        <f t="shared" si="5"/>
        <v>0</v>
      </c>
      <c r="U8" s="533">
        <f t="shared" si="6"/>
        <v>0</v>
      </c>
      <c r="V8" s="7">
        <f t="shared" si="7"/>
        <v>483374672450.89966</v>
      </c>
      <c r="W8" s="7">
        <f t="shared" si="8"/>
        <v>94172107076.49791</v>
      </c>
      <c r="X8" s="7">
        <f t="shared" si="9"/>
        <v>30086188429.802235</v>
      </c>
      <c r="Y8" s="7">
        <f t="shared" si="10"/>
        <v>0</v>
      </c>
      <c r="Z8" s="7">
        <f t="shared" si="11"/>
        <v>0</v>
      </c>
      <c r="AA8" s="533">
        <f t="shared" si="12"/>
        <v>0</v>
      </c>
      <c r="AC8" s="1172">
        <f t="array" ref="AC8:AD9">MINVERSE(AC4:AD5)</f>
        <v>1.2663581127709031E-2</v>
      </c>
      <c r="AD8" s="1173">
        <v>2.8766162750311014E-3</v>
      </c>
      <c r="AK8" s="609">
        <f>LN(AN5)</f>
        <v>0.54004041475694664</v>
      </c>
      <c r="AL8" s="1208">
        <f>SQRT(AO5)</f>
        <v>0.46783622892324278</v>
      </c>
      <c r="AM8" s="1208">
        <f>NORMSINV(0.975)</f>
        <v>1.9599639845400536</v>
      </c>
      <c r="AN8" s="1208">
        <f>AK8-AL8*AM8</f>
        <v>-0.37690174459564496</v>
      </c>
      <c r="AO8" s="1208">
        <f>AK8+AL8*AM8</f>
        <v>1.4569825741095381</v>
      </c>
      <c r="AP8" s="1208">
        <f>EXP(AK8)</f>
        <v>1.7160762155865534</v>
      </c>
      <c r="AQ8" s="1208">
        <f>EXP(AN8)</f>
        <v>0.68598347216828248</v>
      </c>
      <c r="AR8" s="610">
        <f>EXP(AO8)</f>
        <v>4.2929861974567114</v>
      </c>
    </row>
    <row r="9" spans="1:44" x14ac:dyDescent="0.25">
      <c r="B9" s="532">
        <v>52</v>
      </c>
      <c r="C9" s="7">
        <v>0</v>
      </c>
      <c r="D9" s="7">
        <v>74</v>
      </c>
      <c r="E9" s="533">
        <v>4</v>
      </c>
      <c r="G9" s="532">
        <v>37</v>
      </c>
      <c r="H9" s="7">
        <v>1</v>
      </c>
      <c r="I9" s="7">
        <v>80</v>
      </c>
      <c r="J9" s="533">
        <v>8</v>
      </c>
      <c r="K9" s="532">
        <f t="shared" si="0"/>
        <v>16.952888638328858</v>
      </c>
      <c r="L9" s="7">
        <f t="shared" si="2"/>
        <v>23043369.720525626</v>
      </c>
      <c r="M9" s="533">
        <f>IF(H9=1,K9-LN(SUM(L9:L$21)),0)</f>
        <v>-1.3050348303323744</v>
      </c>
      <c r="Q9" s="532">
        <f t="shared" si="1"/>
        <v>84979743.021743342</v>
      </c>
      <c r="R9" s="532">
        <f t="shared" si="3"/>
        <v>6257941749.1264839</v>
      </c>
      <c r="S9" s="7">
        <f t="shared" si="4"/>
        <v>1286534615.4951203</v>
      </c>
      <c r="T9" s="7">
        <f t="shared" si="5"/>
        <v>6.3596061060658258</v>
      </c>
      <c r="U9" s="533">
        <f t="shared" si="6"/>
        <v>-7.139309319468536</v>
      </c>
      <c r="V9" s="7">
        <f t="shared" si="7"/>
        <v>463581612126.28729</v>
      </c>
      <c r="W9" s="7">
        <f t="shared" si="8"/>
        <v>91061769025.487396</v>
      </c>
      <c r="X9" s="7">
        <f t="shared" si="9"/>
        <v>29597421021.786297</v>
      </c>
      <c r="Y9" s="7">
        <f t="shared" si="10"/>
        <v>32.293775642689958</v>
      </c>
      <c r="Z9" s="7">
        <f t="shared" si="11"/>
        <v>-43.294398016866737</v>
      </c>
      <c r="AA9" s="533">
        <f t="shared" si="12"/>
        <v>119.08926960408382</v>
      </c>
      <c r="AC9" s="409">
        <v>2.876616275031101E-3</v>
      </c>
      <c r="AD9" s="417">
        <v>1.8444809060780033E-3</v>
      </c>
    </row>
    <row r="10" spans="1:44" x14ac:dyDescent="0.25">
      <c r="B10" s="532">
        <v>59</v>
      </c>
      <c r="C10" s="7">
        <v>0</v>
      </c>
      <c r="D10" s="7">
        <v>77</v>
      </c>
      <c r="E10" s="533">
        <v>6</v>
      </c>
      <c r="G10" s="532">
        <v>41</v>
      </c>
      <c r="H10" s="7">
        <v>1</v>
      </c>
      <c r="I10" s="7">
        <v>58</v>
      </c>
      <c r="J10" s="533">
        <v>25</v>
      </c>
      <c r="K10" s="532">
        <f t="shared" si="0"/>
        <v>14.10442433599956</v>
      </c>
      <c r="L10" s="7">
        <f t="shared" si="2"/>
        <v>1334976.6192591467</v>
      </c>
      <c r="M10" s="533">
        <f>IF(H10=1,K10-LN(SUM(L10:L$21)),0)</f>
        <v>-3.8371938429908603</v>
      </c>
      <c r="Q10" s="532">
        <f t="shared" si="1"/>
        <v>61936373.301217712</v>
      </c>
      <c r="R10" s="532">
        <f t="shared" si="3"/>
        <v>4414472171.4844341</v>
      </c>
      <c r="S10" s="7">
        <f t="shared" si="4"/>
        <v>1102187657.7309153</v>
      </c>
      <c r="T10" s="7">
        <f t="shared" si="5"/>
        <v>-13.274308394121661</v>
      </c>
      <c r="U10" s="533">
        <f t="shared" si="6"/>
        <v>7.2045173298959462</v>
      </c>
      <c r="V10" s="7">
        <f t="shared" si="7"/>
        <v>316104045914.92328</v>
      </c>
      <c r="W10" s="7">
        <f t="shared" si="8"/>
        <v>76314012404.350998</v>
      </c>
      <c r="X10" s="7">
        <f t="shared" si="9"/>
        <v>28122645359.672657</v>
      </c>
      <c r="Y10" s="7">
        <f t="shared" si="10"/>
        <v>23.662912262332757</v>
      </c>
      <c r="Z10" s="7">
        <f t="shared" si="11"/>
        <v>-36.225088770458434</v>
      </c>
      <c r="AA10" s="533">
        <f t="shared" si="12"/>
        <v>137.37782087980742</v>
      </c>
      <c r="AJ10" t="s">
        <v>2316</v>
      </c>
    </row>
    <row r="11" spans="1:44" x14ac:dyDescent="0.25">
      <c r="B11" s="532">
        <v>5</v>
      </c>
      <c r="C11" s="7">
        <v>1</v>
      </c>
      <c r="D11" s="7">
        <v>77</v>
      </c>
      <c r="E11" s="533">
        <v>15</v>
      </c>
      <c r="G11" s="532">
        <v>43</v>
      </c>
      <c r="H11" s="7">
        <v>0</v>
      </c>
      <c r="I11" s="7">
        <v>59</v>
      </c>
      <c r="J11" s="533">
        <v>6</v>
      </c>
      <c r="K11" s="532">
        <f t="shared" si="0"/>
        <v>12.512201100315506</v>
      </c>
      <c r="L11" s="7">
        <f t="shared" si="2"/>
        <v>271631.35141556564</v>
      </c>
      <c r="M11" s="533">
        <f>IF(H11=1,K11-LN(SUM(L11:L$21)),0)</f>
        <v>0</v>
      </c>
      <c r="Q11" s="532">
        <f t="shared" si="1"/>
        <v>60601396.681958564</v>
      </c>
      <c r="R11" s="532">
        <f t="shared" si="3"/>
        <v>4337043527.5674038</v>
      </c>
      <c r="S11" s="7">
        <f t="shared" si="4"/>
        <v>1068813242.2494366</v>
      </c>
      <c r="T11" s="7">
        <f t="shared" si="5"/>
        <v>0</v>
      </c>
      <c r="U11" s="533">
        <f t="shared" si="6"/>
        <v>0</v>
      </c>
      <c r="V11" s="7">
        <f t="shared" si="7"/>
        <v>311613184567.73553</v>
      </c>
      <c r="W11" s="7">
        <f t="shared" si="8"/>
        <v>74378296306.425232</v>
      </c>
      <c r="X11" s="7">
        <f t="shared" si="9"/>
        <v>27288284972.635689</v>
      </c>
      <c r="Y11" s="7">
        <f t="shared" si="10"/>
        <v>0</v>
      </c>
      <c r="Z11" s="7">
        <f t="shared" si="11"/>
        <v>0</v>
      </c>
      <c r="AA11" s="533">
        <f t="shared" si="12"/>
        <v>0</v>
      </c>
      <c r="AC11" s="53" t="s">
        <v>2549</v>
      </c>
    </row>
    <row r="12" spans="1:44" x14ac:dyDescent="0.25">
      <c r="B12" s="532">
        <v>67</v>
      </c>
      <c r="C12" s="7">
        <v>0</v>
      </c>
      <c r="D12" s="7">
        <v>70</v>
      </c>
      <c r="E12" s="533">
        <v>8</v>
      </c>
      <c r="G12" s="532">
        <v>51</v>
      </c>
      <c r="H12" s="7">
        <v>0</v>
      </c>
      <c r="I12" s="7">
        <v>60</v>
      </c>
      <c r="J12" s="533">
        <v>8</v>
      </c>
      <c r="K12" s="532">
        <f t="shared" si="0"/>
        <v>12.903581069706137</v>
      </c>
      <c r="L12" s="7">
        <f t="shared" si="2"/>
        <v>401748.30707180419</v>
      </c>
      <c r="M12" s="533">
        <f>IF(H12=1,K12-LN(SUM(L12:L$21)),0)</f>
        <v>0</v>
      </c>
      <c r="Q12" s="532">
        <f t="shared" si="1"/>
        <v>60329765.330542997</v>
      </c>
      <c r="R12" s="532">
        <f t="shared" si="3"/>
        <v>4321017277.8338852</v>
      </c>
      <c r="S12" s="7">
        <f t="shared" si="4"/>
        <v>1067183454.1409432</v>
      </c>
      <c r="T12" s="7">
        <f t="shared" si="5"/>
        <v>0</v>
      </c>
      <c r="U12" s="533">
        <f t="shared" si="6"/>
        <v>0</v>
      </c>
      <c r="V12" s="7">
        <f t="shared" si="7"/>
        <v>310667635833.45795</v>
      </c>
      <c r="W12" s="7">
        <f t="shared" si="8"/>
        <v>74282138808.024124</v>
      </c>
      <c r="X12" s="7">
        <f t="shared" si="9"/>
        <v>27278506243.98473</v>
      </c>
      <c r="Y12" s="7">
        <f t="shared" si="10"/>
        <v>0</v>
      </c>
      <c r="Z12" s="7">
        <f t="shared" si="11"/>
        <v>0</v>
      </c>
      <c r="AA12" s="533">
        <f t="shared" si="12"/>
        <v>0</v>
      </c>
      <c r="AC12" s="1193">
        <f>T22</f>
        <v>1.4881778625408515E-5</v>
      </c>
      <c r="AK12" s="13" t="s">
        <v>2</v>
      </c>
      <c r="AL12" s="13" t="s">
        <v>2573</v>
      </c>
      <c r="AM12" s="13" t="s">
        <v>2574</v>
      </c>
    </row>
    <row r="13" spans="1:44" x14ac:dyDescent="0.25">
      <c r="B13" s="532">
        <v>70</v>
      </c>
      <c r="C13" s="7">
        <v>1</v>
      </c>
      <c r="D13" s="7">
        <v>61</v>
      </c>
      <c r="E13" s="533">
        <v>16</v>
      </c>
      <c r="G13" s="532">
        <v>52</v>
      </c>
      <c r="H13" s="7">
        <v>0</v>
      </c>
      <c r="I13" s="7">
        <v>74</v>
      </c>
      <c r="J13" s="533">
        <v>4</v>
      </c>
      <c r="K13" s="532">
        <f t="shared" si="0"/>
        <v>15.360267185823053</v>
      </c>
      <c r="L13" s="7">
        <f t="shared" si="2"/>
        <v>4686830.8441521777</v>
      </c>
      <c r="M13" s="533">
        <f>IF(H13=1,K13-LN(SUM(L13:L$21)),0)</f>
        <v>0</v>
      </c>
      <c r="Q13" s="532">
        <f t="shared" si="1"/>
        <v>59928017.023471192</v>
      </c>
      <c r="R13" s="532">
        <f t="shared" si="3"/>
        <v>4296912379.4095774</v>
      </c>
      <c r="S13" s="7">
        <f t="shared" si="4"/>
        <v>1063969467.6843687</v>
      </c>
      <c r="T13" s="7">
        <f t="shared" si="5"/>
        <v>0</v>
      </c>
      <c r="U13" s="533">
        <f t="shared" si="6"/>
        <v>0</v>
      </c>
      <c r="V13" s="7">
        <f t="shared" si="7"/>
        <v>309221341927.99945</v>
      </c>
      <c r="W13" s="7">
        <f t="shared" si="8"/>
        <v>74089299620.629654</v>
      </c>
      <c r="X13" s="7">
        <f t="shared" si="9"/>
        <v>27252794352.332134</v>
      </c>
      <c r="Y13" s="7">
        <f t="shared" si="10"/>
        <v>0</v>
      </c>
      <c r="Z13" s="7">
        <f t="shared" si="11"/>
        <v>0</v>
      </c>
      <c r="AA13" s="533">
        <f t="shared" si="12"/>
        <v>0</v>
      </c>
      <c r="AC13" s="420">
        <f>U22</f>
        <v>5.57610016391763E-4</v>
      </c>
      <c r="AJ13" t="s">
        <v>2571</v>
      </c>
      <c r="AK13" s="609">
        <v>70</v>
      </c>
      <c r="AL13" s="1208">
        <v>5</v>
      </c>
      <c r="AM13" s="610">
        <f>[1]!COXPRED0(AK13:AL13,B4:E21)</f>
        <v>2292133.9545640671</v>
      </c>
    </row>
    <row r="14" spans="1:44" x14ac:dyDescent="0.25">
      <c r="B14" s="532">
        <v>67</v>
      </c>
      <c r="C14" s="7">
        <v>0</v>
      </c>
      <c r="D14" s="7">
        <v>71</v>
      </c>
      <c r="E14" s="533">
        <v>9</v>
      </c>
      <c r="G14" s="532">
        <v>59</v>
      </c>
      <c r="H14" s="7">
        <v>0</v>
      </c>
      <c r="I14" s="7">
        <v>77</v>
      </c>
      <c r="J14" s="533">
        <v>6</v>
      </c>
      <c r="K14" s="532">
        <f t="shared" si="0"/>
        <v>16.156577912075957</v>
      </c>
      <c r="L14" s="7">
        <f t="shared" si="2"/>
        <v>10392322.933750762</v>
      </c>
      <c r="M14" s="533">
        <f>IF(H14=1,K14-LN(SUM(L14:L$21)),0)</f>
        <v>0</v>
      </c>
      <c r="Q14" s="532">
        <f t="shared" si="1"/>
        <v>55241186.179319017</v>
      </c>
      <c r="R14" s="532">
        <f t="shared" si="3"/>
        <v>3950086896.9423165</v>
      </c>
      <c r="S14" s="7">
        <f t="shared" si="4"/>
        <v>1045222144.30776</v>
      </c>
      <c r="T14" s="7">
        <f t="shared" si="5"/>
        <v>0</v>
      </c>
      <c r="U14" s="533">
        <f t="shared" si="6"/>
        <v>0</v>
      </c>
      <c r="V14" s="7">
        <f t="shared" si="7"/>
        <v>283556256225.42212</v>
      </c>
      <c r="W14" s="7">
        <f t="shared" si="8"/>
        <v>72701997690.760605</v>
      </c>
      <c r="X14" s="7">
        <f t="shared" si="9"/>
        <v>27177805058.825699</v>
      </c>
      <c r="Y14" s="7">
        <f t="shared" si="10"/>
        <v>0</v>
      </c>
      <c r="Z14" s="7">
        <f t="shared" si="11"/>
        <v>0</v>
      </c>
      <c r="AA14" s="533">
        <f t="shared" si="12"/>
        <v>0</v>
      </c>
    </row>
    <row r="15" spans="1:44" x14ac:dyDescent="0.25">
      <c r="B15" s="532">
        <v>30</v>
      </c>
      <c r="C15" s="7">
        <v>0</v>
      </c>
      <c r="D15" s="7">
        <v>70</v>
      </c>
      <c r="E15" s="533">
        <v>11</v>
      </c>
      <c r="G15" s="532">
        <v>59</v>
      </c>
      <c r="H15" s="7">
        <v>0</v>
      </c>
      <c r="I15" s="7">
        <v>63</v>
      </c>
      <c r="J15" s="533">
        <v>6</v>
      </c>
      <c r="K15" s="532">
        <f t="shared" si="0"/>
        <v>13.322062614040052</v>
      </c>
      <c r="L15" s="7">
        <f t="shared" si="2"/>
        <v>610517.73009757139</v>
      </c>
      <c r="M15" s="533">
        <f>IF(H15=1,K15-LN(SUM(L15:L$21)),0)</f>
        <v>0</v>
      </c>
      <c r="Q15" s="532">
        <f t="shared" si="1"/>
        <v>44848863.245568253</v>
      </c>
      <c r="R15" s="532">
        <f t="shared" si="3"/>
        <v>3149878031.0435081</v>
      </c>
      <c r="S15" s="7">
        <f t="shared" si="4"/>
        <v>982868206.70525539</v>
      </c>
      <c r="T15" s="7">
        <f t="shared" si="5"/>
        <v>0</v>
      </c>
      <c r="U15" s="533">
        <f t="shared" si="6"/>
        <v>0</v>
      </c>
      <c r="V15" s="7">
        <f t="shared" si="7"/>
        <v>221940173551.21387</v>
      </c>
      <c r="W15" s="7">
        <f t="shared" si="8"/>
        <v>67900744495.367752</v>
      </c>
      <c r="X15" s="7">
        <f t="shared" si="9"/>
        <v>26803681433.21067</v>
      </c>
      <c r="Y15" s="7">
        <f t="shared" si="10"/>
        <v>0</v>
      </c>
      <c r="Z15" s="7">
        <f t="shared" si="11"/>
        <v>0</v>
      </c>
      <c r="AA15" s="533">
        <f t="shared" si="12"/>
        <v>0</v>
      </c>
      <c r="AK15" s="1188" t="s">
        <v>2571</v>
      </c>
      <c r="AL15" s="1188" t="s">
        <v>2572</v>
      </c>
      <c r="AM15" s="13" t="s">
        <v>2575</v>
      </c>
    </row>
    <row r="16" spans="1:44" x14ac:dyDescent="0.25">
      <c r="B16" s="532">
        <v>62</v>
      </c>
      <c r="C16" s="7">
        <v>1</v>
      </c>
      <c r="D16" s="7">
        <v>75</v>
      </c>
      <c r="E16" s="533">
        <v>15</v>
      </c>
      <c r="G16" s="532">
        <v>62</v>
      </c>
      <c r="H16" s="7">
        <v>1</v>
      </c>
      <c r="I16" s="7">
        <v>75</v>
      </c>
      <c r="J16" s="533">
        <v>15</v>
      </c>
      <c r="K16" s="532">
        <f t="shared" si="0"/>
        <v>16.601762814531405</v>
      </c>
      <c r="L16" s="7">
        <f t="shared" si="2"/>
        <v>16220116.912232738</v>
      </c>
      <c r="M16" s="533">
        <f>IF(H16=1,K16-LN(SUM(L16:L$21)),0)</f>
        <v>-1.0033397020152286</v>
      </c>
      <c r="Q16" s="532">
        <f t="shared" si="1"/>
        <v>44238345.515470684</v>
      </c>
      <c r="R16" s="532">
        <f t="shared" si="3"/>
        <v>3111415414.0473609</v>
      </c>
      <c r="S16" s="7">
        <f t="shared" si="4"/>
        <v>979205100.32466996</v>
      </c>
      <c r="T16" s="7">
        <f t="shared" si="5"/>
        <v>4.6670031893651753</v>
      </c>
      <c r="U16" s="533">
        <f t="shared" si="6"/>
        <v>-7.1347586333722646</v>
      </c>
      <c r="V16" s="7">
        <f t="shared" si="7"/>
        <v>219517028680.4566</v>
      </c>
      <c r="W16" s="7">
        <f t="shared" si="8"/>
        <v>67669968793.390869</v>
      </c>
      <c r="X16" s="7">
        <f t="shared" si="9"/>
        <v>26781702794.927158</v>
      </c>
      <c r="Y16" s="7">
        <f t="shared" si="10"/>
        <v>15.413286364091039</v>
      </c>
      <c r="Z16" s="7">
        <f t="shared" si="11"/>
        <v>-27.136195775714008</v>
      </c>
      <c r="AA16" s="533">
        <f t="shared" si="12"/>
        <v>115.44812960709514</v>
      </c>
      <c r="AJ16" t="s">
        <v>2</v>
      </c>
      <c r="AK16" s="1172">
        <v>65</v>
      </c>
      <c r="AL16" s="1173">
        <v>70</v>
      </c>
      <c r="AO16" t="str">
        <f t="array" ref="AO16:AR17">[1]!COXPRED(AK16:AK17,AL16:AL17,B4:E21,TRUE)</f>
        <v>hazard</v>
      </c>
      <c r="AP16" t="str">
        <v>s.e.</v>
      </c>
      <c r="AQ16" t="str">
        <v>lower</v>
      </c>
      <c r="AR16" t="str">
        <v>upper</v>
      </c>
    </row>
    <row r="17" spans="2:44" x14ac:dyDescent="0.25">
      <c r="B17" s="532">
        <v>27</v>
      </c>
      <c r="C17" s="7">
        <v>1</v>
      </c>
      <c r="D17" s="7">
        <v>72</v>
      </c>
      <c r="E17" s="533">
        <v>36</v>
      </c>
      <c r="G17" s="532">
        <v>62</v>
      </c>
      <c r="H17" s="7">
        <v>0</v>
      </c>
      <c r="I17" s="7">
        <v>64</v>
      </c>
      <c r="J17" s="533">
        <v>2</v>
      </c>
      <c r="K17" s="532">
        <f t="shared" si="0"/>
        <v>13.1466988105522</v>
      </c>
      <c r="L17" s="7">
        <f t="shared" si="2"/>
        <v>512316.97822347254</v>
      </c>
      <c r="M17" s="533">
        <f>IF(H17=1,K17-LN(SUM(L17:L$21)),0)</f>
        <v>0</v>
      </c>
      <c r="Q17" s="532">
        <f t="shared" si="1"/>
        <v>28018228.603237942</v>
      </c>
      <c r="R17" s="532">
        <f t="shared" si="3"/>
        <v>1894906645.6299055</v>
      </c>
      <c r="S17" s="7">
        <f t="shared" si="4"/>
        <v>735903346.64117885</v>
      </c>
      <c r="T17" s="7">
        <f t="shared" si="5"/>
        <v>0</v>
      </c>
      <c r="U17" s="533">
        <f t="shared" si="6"/>
        <v>0</v>
      </c>
      <c r="V17" s="7">
        <f t="shared" si="7"/>
        <v>128278871049.14746</v>
      </c>
      <c r="W17" s="7">
        <f t="shared" si="8"/>
        <v>49422337267.129044</v>
      </c>
      <c r="X17" s="7">
        <f t="shared" si="9"/>
        <v>23132176489.674793</v>
      </c>
      <c r="Y17" s="7">
        <f t="shared" si="10"/>
        <v>0</v>
      </c>
      <c r="Z17" s="7">
        <f t="shared" si="11"/>
        <v>0</v>
      </c>
      <c r="AA17" s="533">
        <f t="shared" si="12"/>
        <v>0</v>
      </c>
      <c r="AJ17" t="s">
        <v>2573</v>
      </c>
      <c r="AK17" s="409">
        <v>10</v>
      </c>
      <c r="AL17" s="417">
        <v>5</v>
      </c>
      <c r="AO17" s="609">
        <v>1.7160824036764435</v>
      </c>
      <c r="AP17" s="1208">
        <v>0.46783866526991541</v>
      </c>
      <c r="AQ17" s="1208">
        <v>0.68598267011317038</v>
      </c>
      <c r="AR17" s="610">
        <v>4.293022177545792</v>
      </c>
    </row>
    <row r="18" spans="2:44" x14ac:dyDescent="0.25">
      <c r="B18" s="532">
        <v>41</v>
      </c>
      <c r="C18" s="7">
        <v>1</v>
      </c>
      <c r="D18" s="7">
        <v>58</v>
      </c>
      <c r="E18" s="533">
        <v>25</v>
      </c>
      <c r="G18" s="532">
        <v>64</v>
      </c>
      <c r="H18" s="7">
        <v>0</v>
      </c>
      <c r="I18" s="7">
        <v>67</v>
      </c>
      <c r="J18" s="533">
        <v>34</v>
      </c>
      <c r="K18" s="532">
        <f t="shared" si="0"/>
        <v>16.776728401197506</v>
      </c>
      <c r="L18" s="7">
        <f t="shared" si="2"/>
        <v>19321487.976449076</v>
      </c>
      <c r="M18" s="533">
        <f>IF(H18=1,K18-LN(SUM(L18:L$21)),0)</f>
        <v>0</v>
      </c>
      <c r="Q18" s="532">
        <f t="shared" si="1"/>
        <v>27505911.625014469</v>
      </c>
      <c r="R18" s="532">
        <f t="shared" si="3"/>
        <v>1862118359.0236032</v>
      </c>
      <c r="S18" s="7">
        <f t="shared" si="4"/>
        <v>734878712.68473196</v>
      </c>
      <c r="T18" s="7">
        <f t="shared" si="5"/>
        <v>0</v>
      </c>
      <c r="U18" s="533">
        <f t="shared" si="6"/>
        <v>0</v>
      </c>
      <c r="V18" s="7">
        <f t="shared" si="7"/>
        <v>126180420706.34412</v>
      </c>
      <c r="W18" s="7">
        <f t="shared" si="8"/>
        <v>49356760693.916443</v>
      </c>
      <c r="X18" s="7">
        <f t="shared" si="9"/>
        <v>23130127221.761898</v>
      </c>
      <c r="Y18" s="7">
        <f t="shared" si="10"/>
        <v>0</v>
      </c>
      <c r="Z18" s="7">
        <f t="shared" si="11"/>
        <v>0</v>
      </c>
      <c r="AA18" s="533">
        <f t="shared" si="12"/>
        <v>0</v>
      </c>
      <c r="AJ18" t="s">
        <v>2574</v>
      </c>
      <c r="AK18">
        <f>[1]!COXPRED0(AK16:AK17,B4:E21)</f>
        <v>1335678.2574388748</v>
      </c>
      <c r="AL18">
        <f>[1]!COXPRED0(AL16:AL17,B4:E21)</f>
        <v>2292133.9545640671</v>
      </c>
      <c r="AM18">
        <f>AL18/AK18</f>
        <v>1.716082403676443</v>
      </c>
    </row>
    <row r="19" spans="2:44" x14ac:dyDescent="0.25">
      <c r="B19" s="532">
        <v>37</v>
      </c>
      <c r="C19" s="7">
        <v>1</v>
      </c>
      <c r="D19" s="7">
        <v>80</v>
      </c>
      <c r="E19" s="533">
        <v>8</v>
      </c>
      <c r="G19" s="532">
        <v>67</v>
      </c>
      <c r="H19" s="7">
        <v>0</v>
      </c>
      <c r="I19" s="7">
        <v>71</v>
      </c>
      <c r="J19" s="533">
        <v>9</v>
      </c>
      <c r="K19" s="532">
        <f t="shared" si="0"/>
        <v>15.22515752792838</v>
      </c>
      <c r="L19" s="7">
        <f t="shared" si="2"/>
        <v>4094509.6639977046</v>
      </c>
      <c r="M19" s="533">
        <f>IF(H19=1,K19-LN(SUM(L19:L$21)),0)</f>
        <v>0</v>
      </c>
      <c r="Q19" s="532">
        <f t="shared" si="1"/>
        <v>8184423.6485653948</v>
      </c>
      <c r="R19" s="532">
        <f t="shared" si="3"/>
        <v>567578664.60151505</v>
      </c>
      <c r="S19" s="7">
        <f t="shared" si="4"/>
        <v>77948121.485463351</v>
      </c>
      <c r="T19" s="7">
        <f t="shared" si="5"/>
        <v>0</v>
      </c>
      <c r="U19" s="533">
        <f t="shared" si="6"/>
        <v>0</v>
      </c>
      <c r="V19" s="7">
        <f t="shared" si="7"/>
        <v>39446261180.064209</v>
      </c>
      <c r="W19" s="7">
        <f t="shared" si="8"/>
        <v>5342411083.5654488</v>
      </c>
      <c r="X19" s="7">
        <f t="shared" si="9"/>
        <v>794487120.98676586</v>
      </c>
      <c r="Y19" s="7">
        <f t="shared" si="10"/>
        <v>0</v>
      </c>
      <c r="Z19" s="7">
        <f t="shared" si="11"/>
        <v>0</v>
      </c>
      <c r="AA19" s="533">
        <f t="shared" si="12"/>
        <v>0</v>
      </c>
    </row>
    <row r="20" spans="2:44" x14ac:dyDescent="0.25">
      <c r="B20" s="532">
        <v>25</v>
      </c>
      <c r="C20" s="7">
        <v>0</v>
      </c>
      <c r="D20" s="7">
        <v>68</v>
      </c>
      <c r="E20" s="533">
        <v>3</v>
      </c>
      <c r="G20" s="532">
        <v>67</v>
      </c>
      <c r="H20" s="7">
        <v>0</v>
      </c>
      <c r="I20" s="7">
        <v>70</v>
      </c>
      <c r="J20" s="533">
        <v>8</v>
      </c>
      <c r="K20" s="532">
        <f t="shared" si="0"/>
        <v>14.928234854017497</v>
      </c>
      <c r="L20" s="7">
        <f t="shared" si="2"/>
        <v>3042636.1554498803</v>
      </c>
      <c r="M20" s="533">
        <f>IF(H20=1,K20-LN(SUM(L20:L$21)),0)</f>
        <v>0</v>
      </c>
      <c r="Q20" s="532">
        <f>L20+Q21</f>
        <v>4089913.9845676906</v>
      </c>
      <c r="R20" s="532">
        <f>I20*L20+R21</f>
        <v>276868478.45767808</v>
      </c>
      <c r="S20" s="7">
        <f>J20*L20+S21</f>
        <v>41097534.509484008</v>
      </c>
      <c r="T20" s="7">
        <f t="shared" si="5"/>
        <v>0</v>
      </c>
      <c r="U20" s="533">
        <f t="shared" si="6"/>
        <v>0</v>
      </c>
      <c r="V20" s="7">
        <f>I20*I20*L20+V21</f>
        <v>18805837963.851784</v>
      </c>
      <c r="W20" s="7">
        <f>I20*J20*L20+W21</f>
        <v>2726019408.270916</v>
      </c>
      <c r="X20" s="7">
        <f>J20*J20*L20+X21</f>
        <v>462831838.20295179</v>
      </c>
      <c r="Y20" s="7">
        <f t="shared" si="10"/>
        <v>0</v>
      </c>
      <c r="Z20" s="7">
        <f t="shared" si="11"/>
        <v>0</v>
      </c>
      <c r="AA20" s="533">
        <f t="shared" si="12"/>
        <v>0</v>
      </c>
      <c r="AK20" s="1215" t="s">
        <v>2571</v>
      </c>
      <c r="AL20" s="1215" t="s">
        <v>2572</v>
      </c>
    </row>
    <row r="21" spans="2:44" x14ac:dyDescent="0.25">
      <c r="B21" s="409">
        <v>62</v>
      </c>
      <c r="C21" s="762">
        <v>0</v>
      </c>
      <c r="D21" s="762">
        <v>64</v>
      </c>
      <c r="E21" s="417">
        <v>2</v>
      </c>
      <c r="G21" s="409">
        <v>70</v>
      </c>
      <c r="H21" s="762">
        <v>1</v>
      </c>
      <c r="I21" s="762">
        <v>61</v>
      </c>
      <c r="J21" s="417">
        <v>16</v>
      </c>
      <c r="K21" s="409">
        <f t="shared" si="0"/>
        <v>13.861704811975248</v>
      </c>
      <c r="L21" s="762">
        <f t="shared" si="2"/>
        <v>1047277.8291178104</v>
      </c>
      <c r="M21" s="417">
        <f>IF(H21=1,K21-LN(SUM(L21:L$21)),0)</f>
        <v>0</v>
      </c>
      <c r="Q21" s="409">
        <f>L21</f>
        <v>1047277.8291178104</v>
      </c>
      <c r="R21" s="409">
        <f>I21*L21</f>
        <v>63883947.576186433</v>
      </c>
      <c r="S21" s="762">
        <f>J21*L21</f>
        <v>16756445.265884966</v>
      </c>
      <c r="T21" s="762">
        <f t="shared" si="5"/>
        <v>0</v>
      </c>
      <c r="U21" s="417">
        <f t="shared" si="6"/>
        <v>0</v>
      </c>
      <c r="V21" s="762">
        <f>I21*I21*L21</f>
        <v>3896920802.1473722</v>
      </c>
      <c r="W21" s="762">
        <f>I21*J21*L21</f>
        <v>1022143161.2189829</v>
      </c>
      <c r="X21" s="762">
        <f>J21*J21*L21</f>
        <v>268103124.25415945</v>
      </c>
      <c r="Y21" s="762">
        <f t="shared" si="10"/>
        <v>-4.5531104062882309E-13</v>
      </c>
      <c r="Z21" s="762">
        <f t="shared" si="11"/>
        <v>0</v>
      </c>
      <c r="AA21" s="417">
        <f t="shared" si="12"/>
        <v>0</v>
      </c>
      <c r="AJ21" t="s">
        <v>2</v>
      </c>
      <c r="AK21" s="1172">
        <v>65</v>
      </c>
      <c r="AL21" s="1173">
        <v>70</v>
      </c>
      <c r="AN21" t="str">
        <f t="array" ref="AN21:AQ22">[1]!COXPRED(AK21:AK22,AL21:AL22,B4:E21,TRUE)</f>
        <v>hazard</v>
      </c>
      <c r="AO21" t="str">
        <v>s.e.</v>
      </c>
      <c r="AP21" t="str">
        <v>lower</v>
      </c>
      <c r="AQ21" t="str">
        <v>upper</v>
      </c>
    </row>
    <row r="22" spans="2:44" x14ac:dyDescent="0.25">
      <c r="M22" s="906">
        <f>SUM(M4:M21)</f>
        <v>-11.044685191937365</v>
      </c>
      <c r="T22" s="31">
        <f>SUM(T4:T21)</f>
        <v>1.4881778625408515E-5</v>
      </c>
      <c r="U22" s="31">
        <f>SUM(U4:U21)</f>
        <v>5.57610016391763E-4</v>
      </c>
      <c r="Y22" s="31">
        <f>SUM(Y4:Y21)</f>
        <v>122.29025047198725</v>
      </c>
      <c r="Z22" s="31">
        <f>SUM(Z4:Z21)</f>
        <v>-190.72147812760898</v>
      </c>
      <c r="AA22" s="31">
        <f>SUM(AA4:AA21)</f>
        <v>839.60343686766055</v>
      </c>
      <c r="AJ22" t="s">
        <v>2573</v>
      </c>
      <c r="AK22" s="409">
        <v>10</v>
      </c>
      <c r="AL22" s="417">
        <v>5</v>
      </c>
      <c r="AN22" s="609">
        <v>1.7160824036764435</v>
      </c>
      <c r="AO22" s="1208">
        <v>0.46783866526991541</v>
      </c>
      <c r="AP22" s="1208">
        <v>0.68598267011317038</v>
      </c>
      <c r="AQ22" s="610">
        <v>4.293022177545792</v>
      </c>
    </row>
    <row r="23" spans="2:44" x14ac:dyDescent="0.25">
      <c r="B23" t="s">
        <v>2576</v>
      </c>
    </row>
    <row r="24" spans="2:44" x14ac:dyDescent="0.25">
      <c r="U24" t="s">
        <v>106</v>
      </c>
      <c r="V24">
        <v>0.05</v>
      </c>
    </row>
    <row r="26" spans="2:44" x14ac:dyDescent="0.25">
      <c r="R26" s="1184" t="s">
        <v>42</v>
      </c>
      <c r="S26" s="1184" t="s">
        <v>342</v>
      </c>
      <c r="T26" s="1184" t="s">
        <v>35</v>
      </c>
      <c r="U26" s="1184" t="s">
        <v>67</v>
      </c>
      <c r="V26" s="1184" t="s">
        <v>29</v>
      </c>
      <c r="W26" s="1184" t="s">
        <v>30</v>
      </c>
      <c r="X26" s="1184" t="s">
        <v>1531</v>
      </c>
      <c r="Y26" s="1188" t="s">
        <v>29</v>
      </c>
      <c r="Z26" s="1188" t="s">
        <v>30</v>
      </c>
      <c r="AB26" s="1184" t="s">
        <v>2552</v>
      </c>
      <c r="AC26" s="1184" t="s">
        <v>67</v>
      </c>
    </row>
    <row r="27" spans="2:44" x14ac:dyDescent="0.25">
      <c r="Q27" t="s">
        <v>1829</v>
      </c>
      <c r="R27" s="1199">
        <f>O4</f>
        <v>0.20246537843113604</v>
      </c>
      <c r="S27" s="1200">
        <f>SQRT(AC8)</f>
        <v>0.11253257807279202</v>
      </c>
      <c r="T27" s="1199">
        <f>R27/S27</f>
        <v>1.7991712435502076</v>
      </c>
      <c r="U27" s="1201">
        <f>2*(1-NORMSDIST(T27))</f>
        <v>7.199159677185385E-2</v>
      </c>
      <c r="V27" s="1200">
        <f>R27-S27*NORMSINV(1-V24/2)</f>
        <v>-1.8094421678978068E-2</v>
      </c>
      <c r="W27" s="1201">
        <f>R27+S27*NORMSINV(1-V24/2)</f>
        <v>0.42302517854125016</v>
      </c>
      <c r="X27" s="1172">
        <f>EXP(R27)</f>
        <v>1.2244176931265995</v>
      </c>
      <c r="Y27" s="827">
        <f>EXP(V27)</f>
        <v>0.98206829944266627</v>
      </c>
      <c r="Z27" s="1173">
        <f>EXP(W27)</f>
        <v>1.5265727323570815</v>
      </c>
      <c r="AB27" s="1199">
        <f>(R27/S27)^2</f>
        <v>3.2370171636180007</v>
      </c>
      <c r="AC27" s="1201">
        <f>CHIDIST(AB27,1)</f>
        <v>7.1991596771853947E-2</v>
      </c>
    </row>
    <row r="28" spans="2:44" x14ac:dyDescent="0.25">
      <c r="Q28" t="s">
        <v>2538</v>
      </c>
      <c r="R28" s="937">
        <f>O5</f>
        <v>9.4457295479746781E-2</v>
      </c>
      <c r="S28" s="1202">
        <f>SQRT(AD9)</f>
        <v>4.2947420249393367E-2</v>
      </c>
      <c r="T28" s="937">
        <f>R28/S28</f>
        <v>2.1993706474390855</v>
      </c>
      <c r="U28" s="938">
        <f>2*(1-NORMSDIST(T28))</f>
        <v>2.7851578002099808E-2</v>
      </c>
      <c r="V28" s="1202">
        <f>R28-S28*NORMSINV(1-V24/2)</f>
        <v>1.0281898562029573E-2</v>
      </c>
      <c r="W28" s="938">
        <f>R28+S28*NORMSINV(1-V24/2)</f>
        <v>0.17863269239746399</v>
      </c>
      <c r="X28" s="409">
        <f>EXP(R28)</f>
        <v>1.0990622272056678</v>
      </c>
      <c r="Y28" s="762">
        <f>EXP(V28)</f>
        <v>1.0103349389103451</v>
      </c>
      <c r="Z28" s="417">
        <f>EXP(W28)</f>
        <v>1.1955815173263771</v>
      </c>
      <c r="AB28" s="937">
        <f>(R28/S28)^2</f>
        <v>4.8372312448166221</v>
      </c>
      <c r="AC28" s="938">
        <f>CHIDIST(AB28,1)</f>
        <v>2.7851578002099895E-2</v>
      </c>
    </row>
  </sheetData>
  <pageMargins left="0.7" right="0.7" top="0.75" bottom="0.75" header="0.3" footer="0.3"/>
  <pageSetup paperSize="9"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7"/>
  <sheetViews>
    <sheetView workbookViewId="0"/>
  </sheetViews>
  <sheetFormatPr defaultRowHeight="15" x14ac:dyDescent="0.25"/>
  <sheetData>
    <row r="1" spans="1:2" x14ac:dyDescent="0.25">
      <c r="A1" s="1" t="s">
        <v>2560</v>
      </c>
    </row>
    <row r="3" spans="1:2" x14ac:dyDescent="0.25">
      <c r="A3" t="s">
        <v>1252</v>
      </c>
      <c r="B3" s="1193">
        <f>'Cox Reg 1'!M22</f>
        <v>-15.273250779532182</v>
      </c>
    </row>
    <row r="4" spans="1:2" x14ac:dyDescent="0.25">
      <c r="A4" t="s">
        <v>1315</v>
      </c>
      <c r="B4" s="503">
        <f>'Cox Reg 2'!M22</f>
        <v>-11.044685191937365</v>
      </c>
    </row>
    <row r="5" spans="1:2" x14ac:dyDescent="0.25">
      <c r="A5" s="30" t="s">
        <v>109</v>
      </c>
      <c r="B5" s="503">
        <f>-2*(B3-B4)</f>
        <v>8.4571311751896339</v>
      </c>
    </row>
    <row r="6" spans="1:2" x14ac:dyDescent="0.25">
      <c r="A6" s="30" t="s">
        <v>60</v>
      </c>
      <c r="B6" s="503">
        <v>2</v>
      </c>
    </row>
    <row r="7" spans="1:2" x14ac:dyDescent="0.25">
      <c r="A7" s="30" t="s">
        <v>67</v>
      </c>
      <c r="B7" s="420">
        <f>CHIDIST(B5,B6)</f>
        <v>1.4573279656159807E-2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C27"/>
  <sheetViews>
    <sheetView workbookViewId="0"/>
  </sheetViews>
  <sheetFormatPr defaultRowHeight="15" x14ac:dyDescent="0.25"/>
  <cols>
    <col min="1" max="1" width="3" customWidth="1"/>
    <col min="5" max="5" width="9.140625" customWidth="1"/>
    <col min="10" max="10" width="9.140625" customWidth="1"/>
    <col min="14" max="14" width="9.140625" customWidth="1"/>
    <col min="18" max="18" width="10" bestFit="1" customWidth="1"/>
    <col min="22" max="24" width="9.140625" customWidth="1"/>
  </cols>
  <sheetData>
    <row r="1" spans="1:23" x14ac:dyDescent="0.25">
      <c r="A1" s="1" t="s">
        <v>2561</v>
      </c>
      <c r="B1" s="1"/>
      <c r="C1" s="1"/>
    </row>
    <row r="3" spans="1:23" x14ac:dyDescent="0.25">
      <c r="B3" s="13" t="s">
        <v>2536</v>
      </c>
      <c r="C3" s="13" t="s">
        <v>2537</v>
      </c>
      <c r="D3" s="13" t="s">
        <v>1829</v>
      </c>
      <c r="E3" s="13" t="s">
        <v>2538</v>
      </c>
      <c r="G3" s="13" t="s">
        <v>2536</v>
      </c>
      <c r="H3" s="13" t="s">
        <v>2537</v>
      </c>
      <c r="I3" s="13" t="s">
        <v>1829</v>
      </c>
      <c r="J3" s="13" t="s">
        <v>2538</v>
      </c>
      <c r="K3" s="13" t="s">
        <v>2539</v>
      </c>
      <c r="L3" s="13" t="s">
        <v>2540</v>
      </c>
      <c r="M3" s="13" t="s">
        <v>1253</v>
      </c>
      <c r="O3" s="13" t="s">
        <v>131</v>
      </c>
      <c r="Q3" s="13" t="s">
        <v>826</v>
      </c>
      <c r="R3" s="13" t="s">
        <v>2541</v>
      </c>
      <c r="S3" s="13" t="s">
        <v>1315</v>
      </c>
      <c r="T3" s="13" t="s">
        <v>2543</v>
      </c>
      <c r="U3" s="13" t="s">
        <v>2546</v>
      </c>
      <c r="W3" s="53" t="s">
        <v>2547</v>
      </c>
    </row>
    <row r="4" spans="1:23" x14ac:dyDescent="0.25">
      <c r="B4" s="1172">
        <v>64</v>
      </c>
      <c r="C4" s="827">
        <v>0</v>
      </c>
      <c r="D4" s="827">
        <v>67</v>
      </c>
      <c r="E4" s="1173">
        <v>34</v>
      </c>
      <c r="G4" s="1172">
        <f t="array" ref="G4:J21">[1]!QSORTRows(B4:E21)</f>
        <v>5</v>
      </c>
      <c r="H4" s="827">
        <v>1</v>
      </c>
      <c r="I4" s="827">
        <v>77</v>
      </c>
      <c r="J4" s="1173">
        <v>15</v>
      </c>
      <c r="K4" s="1172">
        <f>MMULT(I4:I4,$O$4)</f>
        <v>9.3011771429911771</v>
      </c>
      <c r="L4" s="827">
        <f>EXP(K4)</f>
        <v>10950.902402006453</v>
      </c>
      <c r="M4" s="1173">
        <f>IF(H4=1,K4-LN(SUM(L4:L$21)),0)</f>
        <v>-2.182701850909833</v>
      </c>
      <c r="O4" s="580">
        <v>0.12079450835053478</v>
      </c>
      <c r="Q4" s="1172">
        <f>IF(H4=1,SUM(L4:L$21),0)</f>
        <v>97137.132275374563</v>
      </c>
      <c r="R4" s="1172">
        <f>IF(H4=1,SUMPRODUCT(I4:I$21,L4:L$21),0)</f>
        <v>7112744.4840862928</v>
      </c>
      <c r="S4" s="827">
        <f t="shared" ref="S4:S21" si="0">IF(H4=1,I4-R4/Q4,0)</f>
        <v>3.7762562320417601</v>
      </c>
      <c r="T4" s="1172">
        <f>IF(H4=1,SUMPRODUCT(L4:L$21,I4:I$21^2),0)</f>
        <v>523652517.31305724</v>
      </c>
      <c r="U4" s="1173">
        <f t="shared" ref="U4:U21" si="1">IF(H4=1,(T4-R4*R4/Q4)/Q4,0)</f>
        <v>29.141664542240765</v>
      </c>
      <c r="W4" s="580">
        <f>U22</f>
        <v>180.94702271773468</v>
      </c>
    </row>
    <row r="5" spans="1:23" x14ac:dyDescent="0.25">
      <c r="B5" s="532">
        <v>59</v>
      </c>
      <c r="C5" s="7">
        <v>0</v>
      </c>
      <c r="D5" s="7">
        <v>63</v>
      </c>
      <c r="E5" s="533">
        <v>6</v>
      </c>
      <c r="G5" s="532">
        <v>14</v>
      </c>
      <c r="H5" s="7">
        <v>1</v>
      </c>
      <c r="I5" s="7">
        <v>72</v>
      </c>
      <c r="J5" s="533">
        <v>27</v>
      </c>
      <c r="K5" s="532">
        <f t="shared" ref="K5:K21" si="2">MMULT(I5:I5,$O$4)</f>
        <v>8.6972046012385036</v>
      </c>
      <c r="L5" s="7">
        <f t="shared" ref="L5:L21" si="3">EXP(K5)</f>
        <v>5986.1551161853349</v>
      </c>
      <c r="M5" s="533">
        <f>IF(H5=1,K5-LN(SUM(L5:L$21)),0)</f>
        <v>-2.6670610964038595</v>
      </c>
      <c r="Q5" s="532">
        <f>IF(H5=1,SUM(L5:L$21),0)</f>
        <v>86186.229873368124</v>
      </c>
      <c r="R5" s="532">
        <f>IF(H5=1,SUMPRODUCT(I5:I$21,L5:L$21),0)</f>
        <v>6269524.999131796</v>
      </c>
      <c r="S5" s="7">
        <f t="shared" si="0"/>
        <v>-0.74392914440620928</v>
      </c>
      <c r="T5" s="532">
        <f>IF(H5=1,SUMPRODUCT(L5:L$21,I5:I$21^2),0)</f>
        <v>458724616.97156096</v>
      </c>
      <c r="U5" s="533">
        <f t="shared" si="1"/>
        <v>30.802306465136816</v>
      </c>
    </row>
    <row r="6" spans="1:23" x14ac:dyDescent="0.25">
      <c r="B6" s="532">
        <v>51</v>
      </c>
      <c r="C6" s="7">
        <v>0</v>
      </c>
      <c r="D6" s="7">
        <v>60</v>
      </c>
      <c r="E6" s="533">
        <v>8</v>
      </c>
      <c r="G6" s="532">
        <v>25</v>
      </c>
      <c r="H6" s="7">
        <v>0</v>
      </c>
      <c r="I6" s="7">
        <v>68</v>
      </c>
      <c r="J6" s="533">
        <v>3</v>
      </c>
      <c r="K6" s="532">
        <f t="shared" si="2"/>
        <v>8.2140265678363651</v>
      </c>
      <c r="L6" s="7">
        <f t="shared" si="3"/>
        <v>3692.3801929870142</v>
      </c>
      <c r="M6" s="533">
        <f>IF(H6=1,K6-LN(SUM(L6:L$21)),0)</f>
        <v>0</v>
      </c>
      <c r="Q6" s="532">
        <f>IF(H6=1,SUM(L6:L$21),0)</f>
        <v>0</v>
      </c>
      <c r="R6" s="532">
        <f>IF(H6=1,SUMPRODUCT(I6:I$21,L6:L$21),0)</f>
        <v>0</v>
      </c>
      <c r="S6" s="7">
        <f t="shared" si="0"/>
        <v>0</v>
      </c>
      <c r="T6" s="532">
        <f>IF(H6=1,SUMPRODUCT(L6:L$21,I6:I$21^2),0)</f>
        <v>0</v>
      </c>
      <c r="U6" s="533">
        <f t="shared" si="1"/>
        <v>0</v>
      </c>
      <c r="W6" t="s">
        <v>2548</v>
      </c>
    </row>
    <row r="7" spans="1:23" x14ac:dyDescent="0.25">
      <c r="B7" s="532">
        <v>14</v>
      </c>
      <c r="C7" s="7">
        <v>1</v>
      </c>
      <c r="D7" s="7">
        <v>72</v>
      </c>
      <c r="E7" s="533">
        <v>27</v>
      </c>
      <c r="G7" s="532">
        <v>27</v>
      </c>
      <c r="H7" s="7">
        <v>1</v>
      </c>
      <c r="I7" s="7">
        <v>72</v>
      </c>
      <c r="J7" s="533">
        <v>36</v>
      </c>
      <c r="K7" s="532">
        <f t="shared" si="2"/>
        <v>8.6972046012385036</v>
      </c>
      <c r="L7" s="7">
        <f t="shared" si="3"/>
        <v>5986.1551161853349</v>
      </c>
      <c r="M7" s="533">
        <f>IF(H7=1,K7-LN(SUM(L7:L$21)),0)</f>
        <v>-2.5479419960565455</v>
      </c>
      <c r="Q7" s="532">
        <f>IF(H7=1,SUM(L7:L$21),0)</f>
        <v>76507.694564195772</v>
      </c>
      <c r="R7" s="532">
        <f>IF(H7=1,SUMPRODUCT(I7:I$21,L7:L$21),0)</f>
        <v>5587439.9776433352</v>
      </c>
      <c r="S7" s="7">
        <f t="shared" si="0"/>
        <v>-1.0310854283427489</v>
      </c>
      <c r="T7" s="532">
        <f>IF(H7=1,SUMPRODUCT(L7:L$21,I7:I$21^2),0)</f>
        <v>410618822.83688426</v>
      </c>
      <c r="U7" s="533">
        <f t="shared" si="1"/>
        <v>33.487043603524889</v>
      </c>
      <c r="W7" s="580">
        <f>MINVERSE(W4)</f>
        <v>5.5264794356961232E-3</v>
      </c>
    </row>
    <row r="8" spans="1:23" x14ac:dyDescent="0.25">
      <c r="B8" s="532">
        <v>43</v>
      </c>
      <c r="C8" s="7">
        <v>0</v>
      </c>
      <c r="D8" s="7">
        <v>59</v>
      </c>
      <c r="E8" s="533">
        <v>6</v>
      </c>
      <c r="G8" s="532">
        <v>30</v>
      </c>
      <c r="H8" s="7">
        <v>0</v>
      </c>
      <c r="I8" s="7">
        <v>70</v>
      </c>
      <c r="J8" s="533">
        <v>11</v>
      </c>
      <c r="K8" s="532">
        <f t="shared" si="2"/>
        <v>8.4556155845374352</v>
      </c>
      <c r="L8" s="7">
        <f t="shared" si="3"/>
        <v>4701.3998535702794</v>
      </c>
      <c r="M8" s="533">
        <f>IF(H8=1,K8-LN(SUM(L8:L$21)),0)</f>
        <v>0</v>
      </c>
      <c r="Q8" s="532">
        <f>IF(H8=1,SUM(L8:L$21),0)</f>
        <v>0</v>
      </c>
      <c r="R8" s="532">
        <f>IF(H8=1,SUMPRODUCT(I8:I$21,L8:L$21),0)</f>
        <v>0</v>
      </c>
      <c r="S8" s="7">
        <f t="shared" si="0"/>
        <v>0</v>
      </c>
      <c r="T8" s="532">
        <f>IF(H8=1,SUMPRODUCT(L8:L$21,I8:I$21^2),0)</f>
        <v>0</v>
      </c>
      <c r="U8" s="533">
        <f t="shared" si="1"/>
        <v>0</v>
      </c>
    </row>
    <row r="9" spans="1:23" x14ac:dyDescent="0.25">
      <c r="B9" s="532">
        <v>52</v>
      </c>
      <c r="C9" s="7">
        <v>0</v>
      </c>
      <c r="D9" s="7">
        <v>74</v>
      </c>
      <c r="E9" s="533">
        <v>4</v>
      </c>
      <c r="G9" s="532">
        <v>37</v>
      </c>
      <c r="H9" s="7">
        <v>1</v>
      </c>
      <c r="I9" s="7">
        <v>80</v>
      </c>
      <c r="J9" s="533">
        <v>8</v>
      </c>
      <c r="K9" s="532">
        <f t="shared" si="2"/>
        <v>9.6635606680427824</v>
      </c>
      <c r="L9" s="7">
        <f t="shared" si="3"/>
        <v>15733.707557276459</v>
      </c>
      <c r="M9" s="533">
        <f>IF(H9=1,K9-LN(SUM(L9:L$21)),0)</f>
        <v>-1.4311204753037146</v>
      </c>
      <c r="Q9" s="532">
        <f>IF(H9=1,SUM(L9:L$21),0)</f>
        <v>65820.139594440145</v>
      </c>
      <c r="R9" s="532">
        <f>IF(H9=1,SUMPRODUCT(I9:I$21,L9:L$21),0)</f>
        <v>4827338.8195280721</v>
      </c>
      <c r="S9" s="7">
        <f t="shared" si="0"/>
        <v>6.6586359543995997</v>
      </c>
      <c r="T9" s="532">
        <f>IF(H9=1,SUMPRODUCT(L9:L$21,I9:I$21^2),0)</f>
        <v>356549735.43208516</v>
      </c>
      <c r="U9" s="533">
        <f t="shared" si="1"/>
        <v>38.075302074103185</v>
      </c>
      <c r="W9" s="53" t="s">
        <v>2549</v>
      </c>
    </row>
    <row r="10" spans="1:23" x14ac:dyDescent="0.25">
      <c r="B10" s="532">
        <v>59</v>
      </c>
      <c r="C10" s="7">
        <v>0</v>
      </c>
      <c r="D10" s="7">
        <v>77</v>
      </c>
      <c r="E10" s="533">
        <v>6</v>
      </c>
      <c r="G10" s="532">
        <v>41</v>
      </c>
      <c r="H10" s="7">
        <v>1</v>
      </c>
      <c r="I10" s="7">
        <v>58</v>
      </c>
      <c r="J10" s="533">
        <v>25</v>
      </c>
      <c r="K10" s="532">
        <f t="shared" si="2"/>
        <v>7.0060814843310171</v>
      </c>
      <c r="L10" s="7">
        <f t="shared" si="3"/>
        <v>1103.3226361581033</v>
      </c>
      <c r="M10" s="533">
        <f>IF(H10=1,K10-LN(SUM(L10:L$21)),0)</f>
        <v>-3.8154239484427412</v>
      </c>
      <c r="Q10" s="532">
        <f>IF(H10=1,SUM(L10:L$21),0)</f>
        <v>50086.432037163679</v>
      </c>
      <c r="R10" s="532">
        <f>IF(H10=1,SUMPRODUCT(I10:I$21,L10:L$21),0)</f>
        <v>3568642.2149459552</v>
      </c>
      <c r="S10" s="7">
        <f t="shared" si="0"/>
        <v>-13.249679200507941</v>
      </c>
      <c r="T10" s="532">
        <f>IF(H10=1,SUMPRODUCT(L10:L$21,I10:I$21^2),0)</f>
        <v>255854007.06551588</v>
      </c>
      <c r="U10" s="533">
        <f t="shared" si="1"/>
        <v>31.733026382217794</v>
      </c>
      <c r="W10" s="1207">
        <f>S22</f>
        <v>-8.2691116176647483E-9</v>
      </c>
    </row>
    <row r="11" spans="1:23" x14ac:dyDescent="0.25">
      <c r="B11" s="532">
        <v>5</v>
      </c>
      <c r="C11" s="7">
        <v>1</v>
      </c>
      <c r="D11" s="7">
        <v>77</v>
      </c>
      <c r="E11" s="533">
        <v>15</v>
      </c>
      <c r="G11" s="532">
        <v>43</v>
      </c>
      <c r="H11" s="7">
        <v>0</v>
      </c>
      <c r="I11" s="7">
        <v>59</v>
      </c>
      <c r="J11" s="533">
        <v>6</v>
      </c>
      <c r="K11" s="532">
        <f t="shared" si="2"/>
        <v>7.1268759926815521</v>
      </c>
      <c r="L11" s="7">
        <f t="shared" si="3"/>
        <v>1244.9815539461672</v>
      </c>
      <c r="M11" s="533">
        <f>IF(H11=1,K11-LN(SUM(L11:L$21)),0)</f>
        <v>0</v>
      </c>
      <c r="Q11" s="532">
        <f>IF(H11=1,SUM(L11:L$21),0)</f>
        <v>0</v>
      </c>
      <c r="R11" s="532">
        <f>IF(H11=1,SUMPRODUCT(I11:I$21,L11:L$21),0)</f>
        <v>0</v>
      </c>
      <c r="S11" s="7">
        <f t="shared" si="0"/>
        <v>0</v>
      </c>
      <c r="T11" s="532">
        <f>IF(H11=1,SUMPRODUCT(L11:L$21,I11:I$21^2),0)</f>
        <v>0</v>
      </c>
      <c r="U11" s="533">
        <f t="shared" si="1"/>
        <v>0</v>
      </c>
    </row>
    <row r="12" spans="1:23" x14ac:dyDescent="0.25">
      <c r="B12" s="532">
        <v>67</v>
      </c>
      <c r="C12" s="7">
        <v>0</v>
      </c>
      <c r="D12" s="7">
        <v>70</v>
      </c>
      <c r="E12" s="533">
        <v>8</v>
      </c>
      <c r="G12" s="532">
        <v>51</v>
      </c>
      <c r="H12" s="7">
        <v>0</v>
      </c>
      <c r="I12" s="7">
        <v>60</v>
      </c>
      <c r="J12" s="533">
        <v>8</v>
      </c>
      <c r="K12" s="532">
        <f t="shared" si="2"/>
        <v>7.2476705010320863</v>
      </c>
      <c r="L12" s="7">
        <f t="shared" si="3"/>
        <v>1404.8284870356849</v>
      </c>
      <c r="M12" s="533">
        <f>IF(H12=1,K12-LN(SUM(L12:L$21)),0)</f>
        <v>0</v>
      </c>
      <c r="Q12" s="532">
        <f>IF(H12=1,SUM(L12:L$21),0)</f>
        <v>0</v>
      </c>
      <c r="R12" s="532">
        <f>IF(H12=1,SUMPRODUCT(I12:I$21,L12:L$21),0)</f>
        <v>0</v>
      </c>
      <c r="S12" s="7">
        <f t="shared" si="0"/>
        <v>0</v>
      </c>
      <c r="T12" s="532">
        <f>IF(H12=1,SUMPRODUCT(L12:L$21,I12:I$21^2),0)</f>
        <v>0</v>
      </c>
      <c r="U12" s="533">
        <f t="shared" si="1"/>
        <v>0</v>
      </c>
    </row>
    <row r="13" spans="1:23" x14ac:dyDescent="0.25">
      <c r="B13" s="532">
        <v>70</v>
      </c>
      <c r="C13" s="7">
        <v>1</v>
      </c>
      <c r="D13" s="7">
        <v>61</v>
      </c>
      <c r="E13" s="533">
        <v>16</v>
      </c>
      <c r="G13" s="532">
        <v>52</v>
      </c>
      <c r="H13" s="7">
        <v>0</v>
      </c>
      <c r="I13" s="7">
        <v>74</v>
      </c>
      <c r="J13" s="533">
        <v>4</v>
      </c>
      <c r="K13" s="532">
        <f t="shared" si="2"/>
        <v>8.9387936179395737</v>
      </c>
      <c r="L13" s="7">
        <f t="shared" si="3"/>
        <v>7621.9964672477836</v>
      </c>
      <c r="M13" s="533">
        <f>IF(H13=1,K13-LN(SUM(L13:L$21)),0)</f>
        <v>0</v>
      </c>
      <c r="Q13" s="532">
        <f>IF(H13=1,SUM(L13:L$21),0)</f>
        <v>0</v>
      </c>
      <c r="R13" s="532">
        <f>IF(H13=1,SUMPRODUCT(I13:I$21,L13:L$21),0)</f>
        <v>0</v>
      </c>
      <c r="S13" s="7">
        <f t="shared" si="0"/>
        <v>0</v>
      </c>
      <c r="T13" s="532">
        <f>IF(H13=1,SUMPRODUCT(L13:L$21,I13:I$21^2),0)</f>
        <v>0</v>
      </c>
      <c r="U13" s="533">
        <f t="shared" si="1"/>
        <v>0</v>
      </c>
    </row>
    <row r="14" spans="1:23" x14ac:dyDescent="0.25">
      <c r="B14" s="532">
        <v>67</v>
      </c>
      <c r="C14" s="7">
        <v>0</v>
      </c>
      <c r="D14" s="7">
        <v>71</v>
      </c>
      <c r="E14" s="533">
        <v>9</v>
      </c>
      <c r="G14" s="532">
        <v>59</v>
      </c>
      <c r="H14" s="7">
        <v>0</v>
      </c>
      <c r="I14" s="7">
        <v>77</v>
      </c>
      <c r="J14" s="533">
        <v>6</v>
      </c>
      <c r="K14" s="532">
        <f t="shared" si="2"/>
        <v>9.3011771429911771</v>
      </c>
      <c r="L14" s="7">
        <f t="shared" si="3"/>
        <v>10950.902402006453</v>
      </c>
      <c r="M14" s="533">
        <f>IF(H14=1,K14-LN(SUM(L14:L$21)),0)</f>
        <v>0</v>
      </c>
      <c r="Q14" s="532">
        <f>IF(H14=1,SUM(L14:L$21),0)</f>
        <v>0</v>
      </c>
      <c r="R14" s="532">
        <f>IF(H14=1,SUMPRODUCT(I14:I$21,L14:L$21),0)</f>
        <v>0</v>
      </c>
      <c r="S14" s="7">
        <f t="shared" si="0"/>
        <v>0</v>
      </c>
      <c r="T14" s="532">
        <f>IF(H14=1,SUMPRODUCT(L14:L$21,I14:I$21^2),0)</f>
        <v>0</v>
      </c>
      <c r="U14" s="533">
        <f t="shared" si="1"/>
        <v>0</v>
      </c>
    </row>
    <row r="15" spans="1:23" x14ac:dyDescent="0.25">
      <c r="B15" s="532">
        <v>30</v>
      </c>
      <c r="C15" s="7">
        <v>0</v>
      </c>
      <c r="D15" s="7">
        <v>70</v>
      </c>
      <c r="E15" s="533">
        <v>11</v>
      </c>
      <c r="G15" s="532">
        <v>59</v>
      </c>
      <c r="H15" s="7">
        <v>0</v>
      </c>
      <c r="I15" s="7">
        <v>63</v>
      </c>
      <c r="J15" s="533">
        <v>6</v>
      </c>
      <c r="K15" s="532">
        <f t="shared" si="2"/>
        <v>7.6100540260836906</v>
      </c>
      <c r="L15" s="7">
        <f t="shared" si="3"/>
        <v>2018.3871403237772</v>
      </c>
      <c r="M15" s="533">
        <f>IF(H15=1,K15-LN(SUM(L15:L$21)),0)</f>
        <v>0</v>
      </c>
      <c r="Q15" s="532">
        <f>IF(H15=1,SUM(L15:L$21),0)</f>
        <v>0</v>
      </c>
      <c r="R15" s="532">
        <f>IF(H15=1,SUMPRODUCT(I15:I$21,L15:L$21),0)</f>
        <v>0</v>
      </c>
      <c r="S15" s="7">
        <f t="shared" si="0"/>
        <v>0</v>
      </c>
      <c r="T15" s="532">
        <f>IF(H15=1,SUMPRODUCT(L15:L$21,I15:I$21^2),0)</f>
        <v>0</v>
      </c>
      <c r="U15" s="533">
        <f t="shared" si="1"/>
        <v>0</v>
      </c>
    </row>
    <row r="16" spans="1:23" x14ac:dyDescent="0.25">
      <c r="B16" s="532">
        <v>62</v>
      </c>
      <c r="C16" s="7">
        <v>1</v>
      </c>
      <c r="D16" s="7">
        <v>75</v>
      </c>
      <c r="E16" s="533">
        <v>15</v>
      </c>
      <c r="G16" s="532">
        <v>62</v>
      </c>
      <c r="H16" s="7">
        <v>1</v>
      </c>
      <c r="I16" s="7">
        <v>75</v>
      </c>
      <c r="J16" s="533">
        <v>15</v>
      </c>
      <c r="K16" s="532">
        <f t="shared" si="2"/>
        <v>9.0595881262901088</v>
      </c>
      <c r="L16" s="7">
        <f t="shared" si="3"/>
        <v>8600.6075602771889</v>
      </c>
      <c r="M16" s="533">
        <f>IF(H16=1,K16-LN(SUM(L16:L$21)),0)</f>
        <v>-1.0962915705441176</v>
      </c>
      <c r="Q16" s="532">
        <f>IF(H16=1,SUM(L16:L$21),0)</f>
        <v>25742.013350445712</v>
      </c>
      <c r="R16" s="532">
        <f>IF(H16=1,SUMPRODUCT(I16:I$21,L16:L$21),0)</f>
        <v>1812500.2677725896</v>
      </c>
      <c r="S16" s="7">
        <f t="shared" si="0"/>
        <v>4.5898015785464281</v>
      </c>
      <c r="T16" s="532">
        <f>IF(H16=1,SUMPRODUCT(L16:L$21,I16:I$21^2),0)</f>
        <v>128074334.81877467</v>
      </c>
      <c r="U16" s="533">
        <f t="shared" si="1"/>
        <v>17.707679650511832</v>
      </c>
    </row>
    <row r="17" spans="2:29" x14ac:dyDescent="0.25">
      <c r="B17" s="532">
        <v>27</v>
      </c>
      <c r="C17" s="7">
        <v>1</v>
      </c>
      <c r="D17" s="7">
        <v>72</v>
      </c>
      <c r="E17" s="533">
        <v>36</v>
      </c>
      <c r="G17" s="532">
        <v>62</v>
      </c>
      <c r="H17" s="7">
        <v>0</v>
      </c>
      <c r="I17" s="7">
        <v>64</v>
      </c>
      <c r="J17" s="533">
        <v>2</v>
      </c>
      <c r="K17" s="532">
        <f t="shared" si="2"/>
        <v>7.7308485344342257</v>
      </c>
      <c r="L17" s="7">
        <f t="shared" si="3"/>
        <v>2277.5339470740009</v>
      </c>
      <c r="M17" s="533">
        <f>IF(H17=1,K17-LN(SUM(L17:L$21)),0)</f>
        <v>0</v>
      </c>
      <c r="Q17" s="532">
        <f>IF(H17=1,SUM(L17:L$21),0)</f>
        <v>0</v>
      </c>
      <c r="R17" s="532">
        <f>IF(H17=1,SUMPRODUCT(I17:I$21,L17:L$21),0)</f>
        <v>0</v>
      </c>
      <c r="S17" s="7">
        <f t="shared" si="0"/>
        <v>0</v>
      </c>
      <c r="T17" s="532">
        <f>IF(H17=1,SUMPRODUCT(L17:L$21,I17:I$21^2),0)</f>
        <v>0</v>
      </c>
      <c r="U17" s="533">
        <f t="shared" si="1"/>
        <v>0</v>
      </c>
    </row>
    <row r="18" spans="2:29" x14ac:dyDescent="0.25">
      <c r="B18" s="532">
        <v>41</v>
      </c>
      <c r="C18" s="7">
        <v>1</v>
      </c>
      <c r="D18" s="7">
        <v>58</v>
      </c>
      <c r="E18" s="533">
        <v>25</v>
      </c>
      <c r="G18" s="532">
        <v>64</v>
      </c>
      <c r="H18" s="7">
        <v>0</v>
      </c>
      <c r="I18" s="7">
        <v>67</v>
      </c>
      <c r="J18" s="533">
        <v>34</v>
      </c>
      <c r="K18" s="532">
        <f t="shared" si="2"/>
        <v>8.09323205948583</v>
      </c>
      <c r="L18" s="7">
        <f t="shared" si="3"/>
        <v>3272.2465929808895</v>
      </c>
      <c r="M18" s="533">
        <f>IF(H18=1,K18-LN(SUM(L18:L$21)),0)</f>
        <v>0</v>
      </c>
      <c r="Q18" s="532">
        <f>IF(H18=1,SUM(L18:L$21),0)</f>
        <v>0</v>
      </c>
      <c r="R18" s="532">
        <f>IF(H18=1,SUMPRODUCT(I18:I$21,L18:L$21),0)</f>
        <v>0</v>
      </c>
      <c r="S18" s="7">
        <f t="shared" si="0"/>
        <v>0</v>
      </c>
      <c r="T18" s="532">
        <f>IF(H18=1,SUMPRODUCT(L18:L$21,I18:I$21^2),0)</f>
        <v>0</v>
      </c>
      <c r="U18" s="533">
        <f t="shared" si="1"/>
        <v>0</v>
      </c>
    </row>
    <row r="19" spans="2:29" x14ac:dyDescent="0.25">
      <c r="B19" s="532">
        <v>37</v>
      </c>
      <c r="C19" s="7">
        <v>1</v>
      </c>
      <c r="D19" s="7">
        <v>80</v>
      </c>
      <c r="E19" s="533">
        <v>8</v>
      </c>
      <c r="G19" s="532">
        <v>67</v>
      </c>
      <c r="H19" s="7">
        <v>0</v>
      </c>
      <c r="I19" s="7">
        <v>71</v>
      </c>
      <c r="J19" s="533">
        <v>9</v>
      </c>
      <c r="K19" s="532">
        <f t="shared" si="2"/>
        <v>8.5764100928879685</v>
      </c>
      <c r="L19" s="7">
        <f t="shared" si="3"/>
        <v>5305.0267470280169</v>
      </c>
      <c r="M19" s="533">
        <f>IF(H19=1,K19-LN(SUM(L19:L$21)),0)</f>
        <v>0</v>
      </c>
      <c r="Q19" s="532">
        <f>IF(H19=1,SUM(L19:L$21),0)</f>
        <v>0</v>
      </c>
      <c r="R19" s="532">
        <f>IF(H19=1,SUMPRODUCT(I19:I$21,L19:L$21),0)</f>
        <v>0</v>
      </c>
      <c r="S19" s="7">
        <f t="shared" si="0"/>
        <v>0</v>
      </c>
      <c r="T19" s="532">
        <f>IF(H19=1,SUMPRODUCT(L19:L$21,I19:I$21^2),0)</f>
        <v>0</v>
      </c>
      <c r="U19" s="533">
        <f t="shared" si="1"/>
        <v>0</v>
      </c>
    </row>
    <row r="20" spans="2:29" x14ac:dyDescent="0.25">
      <c r="B20" s="532">
        <v>25</v>
      </c>
      <c r="C20" s="7">
        <v>0</v>
      </c>
      <c r="D20" s="7">
        <v>68</v>
      </c>
      <c r="E20" s="533">
        <v>3</v>
      </c>
      <c r="G20" s="532">
        <v>67</v>
      </c>
      <c r="H20" s="7">
        <v>0</v>
      </c>
      <c r="I20" s="7">
        <v>70</v>
      </c>
      <c r="J20" s="533">
        <v>8</v>
      </c>
      <c r="K20" s="532">
        <f t="shared" si="2"/>
        <v>8.4556155845374352</v>
      </c>
      <c r="L20" s="7">
        <f t="shared" si="3"/>
        <v>4701.3998535702794</v>
      </c>
      <c r="M20" s="533">
        <f>IF(H20=1,K20-LN(SUM(L20:L$21)),0)</f>
        <v>0</v>
      </c>
      <c r="Q20" s="532">
        <f>IF(H20=1,SUM(L20:L$21),0)</f>
        <v>0</v>
      </c>
      <c r="R20" s="532">
        <f>IF(H20=1,SUMPRODUCT(I20:I$21,L20:L$21),0)</f>
        <v>0</v>
      </c>
      <c r="S20" s="7">
        <f t="shared" si="0"/>
        <v>0</v>
      </c>
      <c r="T20" s="532">
        <f>IF(H20=1,SUMPRODUCT(L20:L$21,I20:I$21^2),0)</f>
        <v>0</v>
      </c>
      <c r="U20" s="533">
        <f t="shared" si="1"/>
        <v>0</v>
      </c>
    </row>
    <row r="21" spans="2:29" x14ac:dyDescent="0.25">
      <c r="B21" s="409">
        <v>62</v>
      </c>
      <c r="C21" s="762">
        <v>0</v>
      </c>
      <c r="D21" s="762">
        <v>64</v>
      </c>
      <c r="E21" s="417">
        <v>2</v>
      </c>
      <c r="G21" s="409">
        <v>70</v>
      </c>
      <c r="H21" s="762">
        <v>1</v>
      </c>
      <c r="I21" s="762">
        <v>61</v>
      </c>
      <c r="J21" s="417">
        <v>16</v>
      </c>
      <c r="K21" s="409">
        <f t="shared" si="2"/>
        <v>7.3684650093826214</v>
      </c>
      <c r="L21" s="762">
        <f t="shared" si="3"/>
        <v>1585.1986495153396</v>
      </c>
      <c r="M21" s="417">
        <f>IF(H21=1,K21-LN(SUM(L21:L$21)),0)</f>
        <v>0</v>
      </c>
      <c r="Q21" s="409">
        <f>IF(H21=1,SUM(L21:L$21),0)</f>
        <v>1585.1986495153396</v>
      </c>
      <c r="R21" s="409">
        <f>IF(H21=1,SUMPRODUCT(I21:I$21,L21:L$21),0)</f>
        <v>96697.117620435718</v>
      </c>
      <c r="S21" s="762">
        <f t="shared" si="0"/>
        <v>0</v>
      </c>
      <c r="T21" s="409">
        <f>IF(H21=1,SUMPRODUCT(L21:L$21,I21:I$21^2),0)</f>
        <v>5898524.1748465784</v>
      </c>
      <c r="U21" s="417">
        <f t="shared" si="1"/>
        <v>-5.8751158720720714E-13</v>
      </c>
    </row>
    <row r="22" spans="2:29" x14ac:dyDescent="0.25">
      <c r="M22" s="1203">
        <f>SUM(M4:M21)</f>
        <v>-13.740540937660811</v>
      </c>
      <c r="S22" s="31">
        <f>SUM(S4:S21)</f>
        <v>-8.2691116176647483E-9</v>
      </c>
      <c r="U22" s="31">
        <f>SUM(U4:U21)</f>
        <v>180.94702271773468</v>
      </c>
    </row>
    <row r="24" spans="2:29" x14ac:dyDescent="0.25">
      <c r="U24" t="s">
        <v>106</v>
      </c>
      <c r="V24">
        <v>0.05</v>
      </c>
    </row>
    <row r="26" spans="2:29" x14ac:dyDescent="0.25">
      <c r="R26" s="1184" t="s">
        <v>42</v>
      </c>
      <c r="S26" s="1184" t="s">
        <v>342</v>
      </c>
      <c r="T26" s="1184" t="s">
        <v>35</v>
      </c>
      <c r="U26" s="1184" t="s">
        <v>67</v>
      </c>
      <c r="V26" s="1184" t="s">
        <v>2550</v>
      </c>
      <c r="W26" s="1184" t="s">
        <v>2551</v>
      </c>
      <c r="X26" s="1184" t="s">
        <v>2569</v>
      </c>
      <c r="Y26" s="1184" t="s">
        <v>2550</v>
      </c>
      <c r="Z26" s="1184" t="s">
        <v>2551</v>
      </c>
      <c r="AB26" s="1184" t="s">
        <v>2552</v>
      </c>
      <c r="AC26" s="1184" t="s">
        <v>67</v>
      </c>
    </row>
    <row r="27" spans="2:29" x14ac:dyDescent="0.25">
      <c r="Q27" t="s">
        <v>1829</v>
      </c>
      <c r="R27" s="1204">
        <f>O4</f>
        <v>0.12079450835053478</v>
      </c>
      <c r="S27" s="1205">
        <f>SQRT(W7)</f>
        <v>7.434029483191551E-2</v>
      </c>
      <c r="T27" s="1204">
        <f>R27/S27</f>
        <v>1.6248860543753951</v>
      </c>
      <c r="U27" s="1206">
        <f>2*(1-NORMSDIST(T27))</f>
        <v>0.10418684021732094</v>
      </c>
      <c r="V27" s="1205">
        <f>R27-S27*NORMSINV(1-V24/2)</f>
        <v>-2.4909792120108701E-2</v>
      </c>
      <c r="W27" s="1206">
        <f>R27+S27*NORMSINV(1-V24/2)</f>
        <v>0.26649880882117827</v>
      </c>
      <c r="X27" s="609">
        <f>EXP(R27)</f>
        <v>1.1283930131999613</v>
      </c>
      <c r="Y27" s="1208">
        <f>EXP(V27)</f>
        <v>0.97539789663612653</v>
      </c>
      <c r="Z27" s="610">
        <f>EXP(W27)</f>
        <v>1.3053860343862147</v>
      </c>
      <c r="AB27" s="1204">
        <f>(R27/S27)^2</f>
        <v>2.6402546897036396</v>
      </c>
      <c r="AC27" s="1206">
        <f>CHIDIST(AB27,1)</f>
        <v>0.10418684021732083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27"/>
  <sheetViews>
    <sheetView workbookViewId="0"/>
  </sheetViews>
  <sheetFormatPr defaultRowHeight="15" x14ac:dyDescent="0.25"/>
  <cols>
    <col min="1" max="1" width="3" customWidth="1"/>
    <col min="5" max="5" width="9.140625" customWidth="1"/>
    <col min="10" max="10" width="9.140625" customWidth="1"/>
    <col min="14" max="14" width="9.140625" customWidth="1"/>
    <col min="18" max="18" width="10" bestFit="1" customWidth="1"/>
    <col min="22" max="24" width="9.140625" customWidth="1"/>
  </cols>
  <sheetData>
    <row r="1" spans="1:23" x14ac:dyDescent="0.25">
      <c r="A1" s="1" t="s">
        <v>2562</v>
      </c>
      <c r="B1" s="1"/>
      <c r="C1" s="1"/>
    </row>
    <row r="3" spans="1:23" x14ac:dyDescent="0.25">
      <c r="B3" s="13" t="s">
        <v>2536</v>
      </c>
      <c r="C3" s="13" t="s">
        <v>2537</v>
      </c>
      <c r="D3" s="13" t="s">
        <v>1829</v>
      </c>
      <c r="E3" s="13" t="s">
        <v>2538</v>
      </c>
      <c r="G3" s="13" t="s">
        <v>2536</v>
      </c>
      <c r="H3" s="13" t="s">
        <v>2537</v>
      </c>
      <c r="I3" s="13" t="s">
        <v>1829</v>
      </c>
      <c r="J3" s="13" t="s">
        <v>2538</v>
      </c>
      <c r="K3" s="13" t="s">
        <v>2539</v>
      </c>
      <c r="L3" s="13" t="s">
        <v>2540</v>
      </c>
      <c r="M3" s="13" t="s">
        <v>1253</v>
      </c>
      <c r="O3" s="13" t="s">
        <v>131</v>
      </c>
      <c r="Q3" s="13" t="s">
        <v>826</v>
      </c>
      <c r="R3" s="13" t="s">
        <v>2541</v>
      </c>
      <c r="S3" s="13" t="s">
        <v>1315</v>
      </c>
      <c r="T3" s="13" t="s">
        <v>2543</v>
      </c>
      <c r="U3" s="13" t="s">
        <v>2546</v>
      </c>
      <c r="W3" s="53" t="s">
        <v>2547</v>
      </c>
    </row>
    <row r="4" spans="1:23" x14ac:dyDescent="0.25">
      <c r="B4" s="1172">
        <v>64</v>
      </c>
      <c r="C4" s="827">
        <v>0</v>
      </c>
      <c r="D4" s="827">
        <v>67</v>
      </c>
      <c r="E4" s="1173">
        <v>34</v>
      </c>
      <c r="G4" s="1172">
        <f t="array" ref="G4:J21">[1]!QSORTRows(B4:E21)</f>
        <v>5</v>
      </c>
      <c r="H4" s="827">
        <v>1</v>
      </c>
      <c r="I4" s="827">
        <v>77</v>
      </c>
      <c r="J4" s="1173">
        <v>15</v>
      </c>
      <c r="K4" s="1172">
        <f>MMULT(J4:J4,$O$4)</f>
        <v>0.98558583206738737</v>
      </c>
      <c r="L4" s="827">
        <f>EXP(K4)</f>
        <v>2.6793810920945833</v>
      </c>
      <c r="M4" s="1173">
        <f>IF(H4=1,K4-LN(SUM(L4:L$21)),0)</f>
        <v>-3.0454450070067947</v>
      </c>
      <c r="O4" s="580">
        <v>6.5705722137825828E-2</v>
      </c>
      <c r="Q4" s="1172">
        <f>IF(H4=1,SUM(L4:L$21),0)</f>
        <v>56.318937095307952</v>
      </c>
      <c r="R4" s="1172">
        <f>IF(H4=1,SUMPRODUCT(J4:J$21,L4:L$21),0)</f>
        <v>1232.6940839336357</v>
      </c>
      <c r="S4" s="1173">
        <f>IF(H4=1,J4-R4/Q4,0)</f>
        <v>-6.8877370119318897</v>
      </c>
      <c r="T4" s="1172">
        <f>IF(H4=1,SUMPRODUCT(L4:L$21,J4:J$21^2),0)</f>
        <v>34976.820528321994</v>
      </c>
      <c r="U4" s="1173">
        <f t="shared" ref="U4:U21" si="0">IF(H4=1,(T4-R4*R4/Q4)/Q4,0)</f>
        <v>141.9759856171795</v>
      </c>
      <c r="W4" s="580">
        <f>U22</f>
        <v>849.71019201008585</v>
      </c>
    </row>
    <row r="5" spans="1:23" x14ac:dyDescent="0.25">
      <c r="B5" s="532">
        <v>59</v>
      </c>
      <c r="C5" s="7">
        <v>0</v>
      </c>
      <c r="D5" s="7">
        <v>63</v>
      </c>
      <c r="E5" s="533">
        <v>6</v>
      </c>
      <c r="G5" s="532">
        <v>14</v>
      </c>
      <c r="H5" s="7">
        <v>1</v>
      </c>
      <c r="I5" s="7">
        <v>72</v>
      </c>
      <c r="J5" s="533">
        <v>27</v>
      </c>
      <c r="K5" s="532">
        <f t="shared" ref="K5:K21" si="1">MMULT(J5:J5,$O$4)</f>
        <v>1.7740544977212973</v>
      </c>
      <c r="L5" s="7">
        <f t="shared" ref="L5:L21" si="2">EXP(K5)</f>
        <v>5.8947050435792434</v>
      </c>
      <c r="M5" s="533">
        <f>IF(H5=1,K5-LN(SUM(L5:L$21)),0)</f>
        <v>-2.2082322833129071</v>
      </c>
      <c r="Q5" s="532">
        <f>IF(H5=1,SUM(L5:L$21),0)</f>
        <v>53.639556003213364</v>
      </c>
      <c r="R5" s="532">
        <f>IF(H5=1,SUMPRODUCT(J5:J$21,L5:L$21),0)</f>
        <v>1192.503367552217</v>
      </c>
      <c r="S5" s="533">
        <f t="shared" ref="S5:S21" si="3">IF(H5=1,J5-R5/Q5,0)</f>
        <v>4.7682095750237359</v>
      </c>
      <c r="T5" s="532">
        <f>IF(H5=1,SUMPRODUCT(L5:L$21,J5:J$21^2),0)</f>
        <v>34373.959782600708</v>
      </c>
      <c r="U5" s="533">
        <f t="shared" si="0"/>
        <v>146.57978961702005</v>
      </c>
    </row>
    <row r="6" spans="1:23" x14ac:dyDescent="0.25">
      <c r="B6" s="532">
        <v>51</v>
      </c>
      <c r="C6" s="7">
        <v>0</v>
      </c>
      <c r="D6" s="7">
        <v>60</v>
      </c>
      <c r="E6" s="533">
        <v>8</v>
      </c>
      <c r="G6" s="532">
        <v>25</v>
      </c>
      <c r="H6" s="7">
        <v>0</v>
      </c>
      <c r="I6" s="7">
        <v>68</v>
      </c>
      <c r="J6" s="533">
        <v>3</v>
      </c>
      <c r="K6" s="532">
        <f t="shared" si="1"/>
        <v>0.19711716641347748</v>
      </c>
      <c r="L6" s="7">
        <f t="shared" si="2"/>
        <v>1.2178867277665939</v>
      </c>
      <c r="M6" s="533">
        <f>IF(H6=1,K6-LN(SUM(L6:L$21)),0)</f>
        <v>0</v>
      </c>
      <c r="Q6" s="532">
        <f>IF(H6=1,SUM(L6:L$21),0)</f>
        <v>0</v>
      </c>
      <c r="R6" s="532">
        <f>IF(H6=1,SUMPRODUCT(J6:J$21,L6:L$21),0)</f>
        <v>0</v>
      </c>
      <c r="S6" s="533">
        <f t="shared" si="3"/>
        <v>0</v>
      </c>
      <c r="T6" s="532">
        <f>IF(H6=1,SUMPRODUCT(L6:L$21,J6:J$21^2),0)</f>
        <v>0</v>
      </c>
      <c r="U6" s="533">
        <f t="shared" si="0"/>
        <v>0</v>
      </c>
      <c r="W6" t="s">
        <v>2548</v>
      </c>
    </row>
    <row r="7" spans="1:23" x14ac:dyDescent="0.25">
      <c r="B7" s="532">
        <v>14</v>
      </c>
      <c r="C7" s="7">
        <v>1</v>
      </c>
      <c r="D7" s="7">
        <v>72</v>
      </c>
      <c r="E7" s="533">
        <v>27</v>
      </c>
      <c r="G7" s="532">
        <v>27</v>
      </c>
      <c r="H7" s="7">
        <v>1</v>
      </c>
      <c r="I7" s="7">
        <v>72</v>
      </c>
      <c r="J7" s="533">
        <v>36</v>
      </c>
      <c r="K7" s="532">
        <f t="shared" si="1"/>
        <v>2.36540599696173</v>
      </c>
      <c r="L7" s="7">
        <f t="shared" si="2"/>
        <v>10.648361142296448</v>
      </c>
      <c r="M7" s="533">
        <f>IF(H7=1,K7-LN(SUM(L7:L$21)),0)</f>
        <v>-1.4746260235226272</v>
      </c>
      <c r="Q7" s="532">
        <f>IF(H7=1,SUM(L7:L$21),0)</f>
        <v>46.526964231867531</v>
      </c>
      <c r="R7" s="532">
        <f>IF(H7=1,SUMPRODUCT(J7:J$21,L7:L$21),0)</f>
        <v>1029.6926711922777</v>
      </c>
      <c r="S7" s="533">
        <f t="shared" si="3"/>
        <v>13.868904877163374</v>
      </c>
      <c r="T7" s="532">
        <f>IF(H7=1,SUMPRODUCT(L7:L$21,J7:J$21^2),0)</f>
        <v>30065.758825281537</v>
      </c>
      <c r="U7" s="533">
        <f t="shared" si="0"/>
        <v>156.41537100013349</v>
      </c>
      <c r="W7" s="580">
        <f>MINVERSE(W4)</f>
        <v>1.1768718433686038E-3</v>
      </c>
    </row>
    <row r="8" spans="1:23" x14ac:dyDescent="0.25">
      <c r="B8" s="532">
        <v>43</v>
      </c>
      <c r="C8" s="7">
        <v>0</v>
      </c>
      <c r="D8" s="7">
        <v>59</v>
      </c>
      <c r="E8" s="533">
        <v>6</v>
      </c>
      <c r="G8" s="532">
        <v>30</v>
      </c>
      <c r="H8" s="7">
        <v>0</v>
      </c>
      <c r="I8" s="7">
        <v>70</v>
      </c>
      <c r="J8" s="533">
        <v>11</v>
      </c>
      <c r="K8" s="532">
        <f t="shared" si="1"/>
        <v>0.72276294351608406</v>
      </c>
      <c r="L8" s="7">
        <f t="shared" si="2"/>
        <v>2.0601173424139865</v>
      </c>
      <c r="M8" s="533">
        <f>IF(H8=1,K8-LN(SUM(L8:L$21)),0)</f>
        <v>0</v>
      </c>
      <c r="Q8" s="532">
        <f>IF(H8=1,SUM(L8:L$21),0)</f>
        <v>0</v>
      </c>
      <c r="R8" s="532">
        <f>IF(H8=1,SUMPRODUCT(J8:J$21,L8:L$21),0)</f>
        <v>0</v>
      </c>
      <c r="S8" s="533">
        <f t="shared" si="3"/>
        <v>0</v>
      </c>
      <c r="T8" s="532">
        <f>IF(H8=1,SUMPRODUCT(L8:L$21,J8:J$21^2),0)</f>
        <v>0</v>
      </c>
      <c r="U8" s="533">
        <f t="shared" si="0"/>
        <v>0</v>
      </c>
    </row>
    <row r="9" spans="1:23" x14ac:dyDescent="0.25">
      <c r="B9" s="532">
        <v>52</v>
      </c>
      <c r="C9" s="7">
        <v>0</v>
      </c>
      <c r="D9" s="7">
        <v>74</v>
      </c>
      <c r="E9" s="533">
        <v>4</v>
      </c>
      <c r="G9" s="532">
        <v>37</v>
      </c>
      <c r="H9" s="7">
        <v>1</v>
      </c>
      <c r="I9" s="7">
        <v>80</v>
      </c>
      <c r="J9" s="533">
        <v>8</v>
      </c>
      <c r="K9" s="532">
        <f t="shared" si="1"/>
        <v>0.52564577710260663</v>
      </c>
      <c r="L9" s="7">
        <f t="shared" si="2"/>
        <v>1.6915508605565535</v>
      </c>
      <c r="M9" s="533">
        <f>IF(H9=1,K9-LN(SUM(L9:L$21)),0)</f>
        <v>-2.9953617914789037</v>
      </c>
      <c r="Q9" s="532">
        <f>IF(H9=1,SUM(L9:L$21),0)</f>
        <v>33.818485747157098</v>
      </c>
      <c r="R9" s="532">
        <f>IF(H9=1,SUMPRODUCT(J9:J$21,L9:L$21),0)</f>
        <v>623.69037930305194</v>
      </c>
      <c r="S9" s="533">
        <f t="shared" si="3"/>
        <v>-10.442291708920809</v>
      </c>
      <c r="T9" s="532">
        <f>IF(H9=1,SUMPRODUCT(L9:L$21,J9:J$21^2),0)</f>
        <v>16016.208586433246</v>
      </c>
      <c r="U9" s="533">
        <f t="shared" si="0"/>
        <v>133.47518599818895</v>
      </c>
      <c r="W9" s="53" t="s">
        <v>2549</v>
      </c>
    </row>
    <row r="10" spans="1:23" x14ac:dyDescent="0.25">
      <c r="B10" s="532">
        <v>59</v>
      </c>
      <c r="C10" s="7">
        <v>0</v>
      </c>
      <c r="D10" s="7">
        <v>77</v>
      </c>
      <c r="E10" s="533">
        <v>6</v>
      </c>
      <c r="G10" s="532">
        <v>41</v>
      </c>
      <c r="H10" s="7">
        <v>1</v>
      </c>
      <c r="I10" s="7">
        <v>58</v>
      </c>
      <c r="J10" s="533">
        <v>25</v>
      </c>
      <c r="K10" s="532">
        <f t="shared" si="1"/>
        <v>1.6426430534456458</v>
      </c>
      <c r="L10" s="7">
        <f t="shared" si="2"/>
        <v>5.1688129229663202</v>
      </c>
      <c r="M10" s="533">
        <f>IF(H10=1,K10-LN(SUM(L10:L$21)),0)</f>
        <v>-1.8270517178890793</v>
      </c>
      <c r="Q10" s="532">
        <f>IF(H10=1,SUM(L10:L$21),0)</f>
        <v>32.126934886600544</v>
      </c>
      <c r="R10" s="532">
        <f>IF(H10=1,SUMPRODUCT(J10:J$21,L10:L$21),0)</f>
        <v>610.15797241859946</v>
      </c>
      <c r="S10" s="533">
        <f t="shared" si="3"/>
        <v>6.0078996153136508</v>
      </c>
      <c r="T10" s="532">
        <f>IF(H10=1,SUMPRODUCT(L10:L$21,J10:J$21^2),0)</f>
        <v>15907.949331357626</v>
      </c>
      <c r="U10" s="533">
        <f t="shared" si="0"/>
        <v>134.45938381344263</v>
      </c>
      <c r="W10" s="1207">
        <f>S22</f>
        <v>3.2051022813561758E-7</v>
      </c>
    </row>
    <row r="11" spans="1:23" x14ac:dyDescent="0.25">
      <c r="B11" s="532">
        <v>5</v>
      </c>
      <c r="C11" s="7">
        <v>1</v>
      </c>
      <c r="D11" s="7">
        <v>77</v>
      </c>
      <c r="E11" s="533">
        <v>15</v>
      </c>
      <c r="G11" s="532">
        <v>43</v>
      </c>
      <c r="H11" s="7">
        <v>0</v>
      </c>
      <c r="I11" s="7">
        <v>59</v>
      </c>
      <c r="J11" s="533">
        <v>6</v>
      </c>
      <c r="K11" s="532">
        <f t="shared" si="1"/>
        <v>0.39423433282695497</v>
      </c>
      <c r="L11" s="7">
        <f t="shared" si="2"/>
        <v>1.4832480816700215</v>
      </c>
      <c r="M11" s="533">
        <f>IF(H11=1,K11-LN(SUM(L11:L$21)),0)</f>
        <v>0</v>
      </c>
      <c r="Q11" s="532">
        <f>IF(H11=1,SUM(L11:L$21),0)</f>
        <v>0</v>
      </c>
      <c r="R11" s="532">
        <f>IF(H11=1,SUMPRODUCT(J11:J$21,L11:L$21),0)</f>
        <v>0</v>
      </c>
      <c r="S11" s="533">
        <f t="shared" si="3"/>
        <v>0</v>
      </c>
      <c r="T11" s="532">
        <f>IF(H11=1,SUMPRODUCT(L11:L$21,J11:J$21^2),0)</f>
        <v>0</v>
      </c>
      <c r="U11" s="533">
        <f t="shared" si="0"/>
        <v>0</v>
      </c>
    </row>
    <row r="12" spans="1:23" x14ac:dyDescent="0.25">
      <c r="B12" s="532">
        <v>67</v>
      </c>
      <c r="C12" s="7">
        <v>0</v>
      </c>
      <c r="D12" s="7">
        <v>70</v>
      </c>
      <c r="E12" s="533">
        <v>8</v>
      </c>
      <c r="G12" s="532">
        <v>51</v>
      </c>
      <c r="H12" s="7">
        <v>0</v>
      </c>
      <c r="I12" s="7">
        <v>60</v>
      </c>
      <c r="J12" s="533">
        <v>8</v>
      </c>
      <c r="K12" s="532">
        <f t="shared" si="1"/>
        <v>0.52564577710260663</v>
      </c>
      <c r="L12" s="7">
        <f t="shared" si="2"/>
        <v>1.6915508605565535</v>
      </c>
      <c r="M12" s="533">
        <f>IF(H12=1,K12-LN(SUM(L12:L$21)),0)</f>
        <v>0</v>
      </c>
      <c r="Q12" s="532">
        <f>IF(H12=1,SUM(L12:L$21),0)</f>
        <v>0</v>
      </c>
      <c r="R12" s="532">
        <f>IF(H12=1,SUMPRODUCT(J12:J$21,L12:L$21),0)</f>
        <v>0</v>
      </c>
      <c r="S12" s="533">
        <f t="shared" si="3"/>
        <v>0</v>
      </c>
      <c r="T12" s="532">
        <f>IF(H12=1,SUMPRODUCT(L12:L$21,J12:J$21^2),0)</f>
        <v>0</v>
      </c>
      <c r="U12" s="533">
        <f t="shared" si="0"/>
        <v>0</v>
      </c>
    </row>
    <row r="13" spans="1:23" x14ac:dyDescent="0.25">
      <c r="B13" s="532">
        <v>70</v>
      </c>
      <c r="C13" s="7">
        <v>1</v>
      </c>
      <c r="D13" s="7">
        <v>61</v>
      </c>
      <c r="E13" s="533">
        <v>16</v>
      </c>
      <c r="G13" s="532">
        <v>52</v>
      </c>
      <c r="H13" s="7">
        <v>0</v>
      </c>
      <c r="I13" s="7">
        <v>74</v>
      </c>
      <c r="J13" s="533">
        <v>4</v>
      </c>
      <c r="K13" s="532">
        <f t="shared" si="1"/>
        <v>0.26282288855130331</v>
      </c>
      <c r="L13" s="7">
        <f t="shared" si="2"/>
        <v>1.3005963480482918</v>
      </c>
      <c r="M13" s="533">
        <f>IF(H13=1,K13-LN(SUM(L13:L$21)),0)</f>
        <v>0</v>
      </c>
      <c r="Q13" s="532">
        <f>IF(H13=1,SUM(L13:L$21),0)</f>
        <v>0</v>
      </c>
      <c r="R13" s="532">
        <f>IF(H13=1,SUMPRODUCT(J13:J$21,L13:L$21),0)</f>
        <v>0</v>
      </c>
      <c r="S13" s="533">
        <f t="shared" si="3"/>
        <v>0</v>
      </c>
      <c r="T13" s="532">
        <f>IF(H13=1,SUMPRODUCT(L13:L$21,J13:J$21^2),0)</f>
        <v>0</v>
      </c>
      <c r="U13" s="533">
        <f t="shared" si="0"/>
        <v>0</v>
      </c>
    </row>
    <row r="14" spans="1:23" x14ac:dyDescent="0.25">
      <c r="B14" s="532">
        <v>67</v>
      </c>
      <c r="C14" s="7">
        <v>0</v>
      </c>
      <c r="D14" s="7">
        <v>71</v>
      </c>
      <c r="E14" s="533">
        <v>9</v>
      </c>
      <c r="G14" s="532">
        <v>59</v>
      </c>
      <c r="H14" s="7">
        <v>0</v>
      </c>
      <c r="I14" s="7">
        <v>77</v>
      </c>
      <c r="J14" s="533">
        <v>6</v>
      </c>
      <c r="K14" s="532">
        <f t="shared" si="1"/>
        <v>0.39423433282695497</v>
      </c>
      <c r="L14" s="7">
        <f t="shared" si="2"/>
        <v>1.4832480816700215</v>
      </c>
      <c r="M14" s="533">
        <f>IF(H14=1,K14-LN(SUM(L14:L$21)),0)</f>
        <v>0</v>
      </c>
      <c r="Q14" s="532">
        <f>IF(H14=1,SUM(L14:L$21),0)</f>
        <v>0</v>
      </c>
      <c r="R14" s="532">
        <f>IF(H14=1,SUMPRODUCT(J14:J$21,L14:L$21),0)</f>
        <v>0</v>
      </c>
      <c r="S14" s="533">
        <f t="shared" si="3"/>
        <v>0</v>
      </c>
      <c r="T14" s="532">
        <f>IF(H14=1,SUMPRODUCT(L14:L$21,J14:J$21^2),0)</f>
        <v>0</v>
      </c>
      <c r="U14" s="533">
        <f t="shared" si="0"/>
        <v>0</v>
      </c>
    </row>
    <row r="15" spans="1:23" x14ac:dyDescent="0.25">
      <c r="B15" s="532">
        <v>30</v>
      </c>
      <c r="C15" s="7">
        <v>0</v>
      </c>
      <c r="D15" s="7">
        <v>70</v>
      </c>
      <c r="E15" s="533">
        <v>11</v>
      </c>
      <c r="G15" s="532">
        <v>59</v>
      </c>
      <c r="H15" s="7">
        <v>0</v>
      </c>
      <c r="I15" s="7">
        <v>63</v>
      </c>
      <c r="J15" s="533">
        <v>6</v>
      </c>
      <c r="K15" s="532">
        <f t="shared" si="1"/>
        <v>0.39423433282695497</v>
      </c>
      <c r="L15" s="7">
        <f t="shared" si="2"/>
        <v>1.4832480816700215</v>
      </c>
      <c r="M15" s="533">
        <f>IF(H15=1,K15-LN(SUM(L15:L$21)),0)</f>
        <v>0</v>
      </c>
      <c r="Q15" s="532">
        <f>IF(H15=1,SUM(L15:L$21),0)</f>
        <v>0</v>
      </c>
      <c r="R15" s="532">
        <f>IF(H15=1,SUMPRODUCT(J15:J$21,L15:L$21),0)</f>
        <v>0</v>
      </c>
      <c r="S15" s="533">
        <f t="shared" si="3"/>
        <v>0</v>
      </c>
      <c r="T15" s="532">
        <f>IF(H15=1,SUMPRODUCT(L15:L$21,J15:J$21^2),0)</f>
        <v>0</v>
      </c>
      <c r="U15" s="533">
        <f t="shared" si="0"/>
        <v>0</v>
      </c>
    </row>
    <row r="16" spans="1:23" x14ac:dyDescent="0.25">
      <c r="B16" s="532">
        <v>62</v>
      </c>
      <c r="C16" s="7">
        <v>1</v>
      </c>
      <c r="D16" s="7">
        <v>75</v>
      </c>
      <c r="E16" s="533">
        <v>15</v>
      </c>
      <c r="G16" s="532">
        <v>62</v>
      </c>
      <c r="H16" s="7">
        <v>1</v>
      </c>
      <c r="I16" s="7">
        <v>75</v>
      </c>
      <c r="J16" s="533">
        <v>15</v>
      </c>
      <c r="K16" s="532">
        <f t="shared" si="1"/>
        <v>0.98558583206738737</v>
      </c>
      <c r="L16" s="7">
        <f t="shared" si="2"/>
        <v>2.6793810920945833</v>
      </c>
      <c r="M16" s="533">
        <f>IF(H16=1,K16-LN(SUM(L16:L$21)),0)</f>
        <v>-1.9856606211517298</v>
      </c>
      <c r="Q16" s="532">
        <f>IF(H16=1,SUM(L16:L$21),0)</f>
        <v>19.516230510019319</v>
      </c>
      <c r="R16" s="532">
        <f>IF(H16=1,SUMPRODUCT(J16:J$21,L16:L$21),0)</f>
        <v>435.50439159773543</v>
      </c>
      <c r="S16" s="533">
        <f t="shared" si="3"/>
        <v>-7.3149850261378333</v>
      </c>
      <c r="T16" s="532">
        <f>IF(H16=1,SUMPRODUCT(L16:L$21,J16:J$21^2),0)</f>
        <v>12388.181665038921</v>
      </c>
      <c r="U16" s="533">
        <f t="shared" si="0"/>
        <v>136.8044759641212</v>
      </c>
    </row>
    <row r="17" spans="2:29" x14ac:dyDescent="0.25">
      <c r="B17" s="532">
        <v>27</v>
      </c>
      <c r="C17" s="7">
        <v>1</v>
      </c>
      <c r="D17" s="7">
        <v>72</v>
      </c>
      <c r="E17" s="533">
        <v>36</v>
      </c>
      <c r="G17" s="532">
        <v>62</v>
      </c>
      <c r="H17" s="7">
        <v>0</v>
      </c>
      <c r="I17" s="7">
        <v>64</v>
      </c>
      <c r="J17" s="533">
        <v>2</v>
      </c>
      <c r="K17" s="532">
        <f t="shared" si="1"/>
        <v>0.13141144427565166</v>
      </c>
      <c r="L17" s="7">
        <f t="shared" si="2"/>
        <v>1.1404369110337895</v>
      </c>
      <c r="M17" s="533">
        <f>IF(H17=1,K17-LN(SUM(L17:L$21)),0)</f>
        <v>0</v>
      </c>
      <c r="Q17" s="532">
        <f>IF(H17=1,SUM(L17:L$21),0)</f>
        <v>0</v>
      </c>
      <c r="R17" s="532">
        <f>IF(H17=1,SUMPRODUCT(J17:J$21,L17:L$21),0)</f>
        <v>0</v>
      </c>
      <c r="S17" s="533">
        <f t="shared" si="3"/>
        <v>0</v>
      </c>
      <c r="T17" s="532">
        <f>IF(H17=1,SUMPRODUCT(L17:L$21,J17:J$21^2),0)</f>
        <v>0</v>
      </c>
      <c r="U17" s="533">
        <f t="shared" si="0"/>
        <v>0</v>
      </c>
    </row>
    <row r="18" spans="2:29" x14ac:dyDescent="0.25">
      <c r="B18" s="532">
        <v>41</v>
      </c>
      <c r="C18" s="7">
        <v>1</v>
      </c>
      <c r="D18" s="7">
        <v>58</v>
      </c>
      <c r="E18" s="533">
        <v>25</v>
      </c>
      <c r="G18" s="532">
        <v>64</v>
      </c>
      <c r="H18" s="7">
        <v>0</v>
      </c>
      <c r="I18" s="7">
        <v>67</v>
      </c>
      <c r="J18" s="533">
        <v>34</v>
      </c>
      <c r="K18" s="532">
        <f t="shared" si="1"/>
        <v>2.2339945526860783</v>
      </c>
      <c r="L18" s="7">
        <f t="shared" si="2"/>
        <v>9.3370891798335958</v>
      </c>
      <c r="M18" s="533">
        <f>IF(H18=1,K18-LN(SUM(L18:L$21)),0)</f>
        <v>0</v>
      </c>
      <c r="Q18" s="532">
        <f>IF(H18=1,SUM(L18:L$21),0)</f>
        <v>0</v>
      </c>
      <c r="R18" s="532">
        <f>IF(H18=1,SUMPRODUCT(J18:J$21,L18:L$21),0)</f>
        <v>0</v>
      </c>
      <c r="S18" s="533">
        <f t="shared" si="3"/>
        <v>0</v>
      </c>
      <c r="T18" s="532">
        <f>IF(H18=1,SUMPRODUCT(L18:L$21,J18:J$21^2),0)</f>
        <v>0</v>
      </c>
      <c r="U18" s="533">
        <f t="shared" si="0"/>
        <v>0</v>
      </c>
    </row>
    <row r="19" spans="2:29" x14ac:dyDescent="0.25">
      <c r="B19" s="532">
        <v>37</v>
      </c>
      <c r="C19" s="7">
        <v>1</v>
      </c>
      <c r="D19" s="7">
        <v>80</v>
      </c>
      <c r="E19" s="533">
        <v>8</v>
      </c>
      <c r="G19" s="532">
        <v>67</v>
      </c>
      <c r="H19" s="7">
        <v>0</v>
      </c>
      <c r="I19" s="7">
        <v>71</v>
      </c>
      <c r="J19" s="533">
        <v>9</v>
      </c>
      <c r="K19" s="532">
        <f t="shared" si="1"/>
        <v>0.59135149924043251</v>
      </c>
      <c r="L19" s="7">
        <f t="shared" si="2"/>
        <v>1.8064281526511801</v>
      </c>
      <c r="M19" s="533">
        <f>IF(H19=1,K19-LN(SUM(L19:L$21)),0)</f>
        <v>0</v>
      </c>
      <c r="Q19" s="532">
        <f>IF(H19=1,SUM(L19:L$21),0)</f>
        <v>0</v>
      </c>
      <c r="R19" s="532">
        <f>IF(H19=1,SUMPRODUCT(J19:J$21,L19:L$21),0)</f>
        <v>0</v>
      </c>
      <c r="S19" s="533">
        <f t="shared" si="3"/>
        <v>0</v>
      </c>
      <c r="T19" s="532">
        <f>IF(H19=1,SUMPRODUCT(L19:L$21,J19:J$21^2),0)</f>
        <v>0</v>
      </c>
      <c r="U19" s="533">
        <f t="shared" si="0"/>
        <v>0</v>
      </c>
    </row>
    <row r="20" spans="2:29" x14ac:dyDescent="0.25">
      <c r="B20" s="532">
        <v>25</v>
      </c>
      <c r="C20" s="7">
        <v>0</v>
      </c>
      <c r="D20" s="7">
        <v>68</v>
      </c>
      <c r="E20" s="533">
        <v>3</v>
      </c>
      <c r="G20" s="532">
        <v>67</v>
      </c>
      <c r="H20" s="7">
        <v>0</v>
      </c>
      <c r="I20" s="7">
        <v>70</v>
      </c>
      <c r="J20" s="533">
        <v>8</v>
      </c>
      <c r="K20" s="532">
        <f t="shared" si="1"/>
        <v>0.52564577710260663</v>
      </c>
      <c r="L20" s="7">
        <f t="shared" si="2"/>
        <v>1.6915508605565535</v>
      </c>
      <c r="M20" s="533">
        <f>IF(H20=1,K20-LN(SUM(L20:L$21)),0)</f>
        <v>0</v>
      </c>
      <c r="Q20" s="532">
        <f>IF(H20=1,SUM(L20:L$21),0)</f>
        <v>0</v>
      </c>
      <c r="R20" s="532">
        <f>IF(H20=1,SUMPRODUCT(J20:J$21,L20:L$21),0)</f>
        <v>0</v>
      </c>
      <c r="S20" s="533">
        <f t="shared" si="3"/>
        <v>0</v>
      </c>
      <c r="T20" s="532">
        <f>IF(H20=1,SUMPRODUCT(L20:L$21,J20:J$21^2),0)</f>
        <v>0</v>
      </c>
      <c r="U20" s="533">
        <f t="shared" si="0"/>
        <v>0</v>
      </c>
    </row>
    <row r="21" spans="2:29" x14ac:dyDescent="0.25">
      <c r="B21" s="409">
        <v>62</v>
      </c>
      <c r="C21" s="762">
        <v>0</v>
      </c>
      <c r="D21" s="762">
        <v>64</v>
      </c>
      <c r="E21" s="417">
        <v>2</v>
      </c>
      <c r="G21" s="409">
        <v>70</v>
      </c>
      <c r="H21" s="762">
        <v>1</v>
      </c>
      <c r="I21" s="762">
        <v>61</v>
      </c>
      <c r="J21" s="417">
        <v>16</v>
      </c>
      <c r="K21" s="409">
        <f t="shared" si="1"/>
        <v>1.0512915542052133</v>
      </c>
      <c r="L21" s="762">
        <f t="shared" si="2"/>
        <v>2.8613443138496164</v>
      </c>
      <c r="M21" s="417">
        <f>IF(H21=1,K21-LN(SUM(L21:L$21)),0)</f>
        <v>0</v>
      </c>
      <c r="Q21" s="409">
        <f>IF(H21=1,SUM(L21:L$21),0)</f>
        <v>2.8613443138496164</v>
      </c>
      <c r="R21" s="409">
        <f>IF(H21=1,SUMPRODUCT(J21:J$21,L21:L$21),0)</f>
        <v>45.781509021593862</v>
      </c>
      <c r="S21" s="417">
        <f t="shared" si="3"/>
        <v>0</v>
      </c>
      <c r="T21" s="409">
        <f>IF(H21=1,SUMPRODUCT(L21:L$21,J21:J$21^2),0)</f>
        <v>732.5041443455018</v>
      </c>
      <c r="U21" s="417">
        <f t="shared" si="0"/>
        <v>3.9731966953904684E-14</v>
      </c>
    </row>
    <row r="22" spans="2:29" x14ac:dyDescent="0.25">
      <c r="M22" s="1203">
        <f>SUM(M4:M21)</f>
        <v>-13.536377444362042</v>
      </c>
      <c r="S22" s="31">
        <f>SUM(S4:S21)</f>
        <v>3.2051022813561758E-7</v>
      </c>
      <c r="U22" s="31">
        <f>SUM(U4:U21)</f>
        <v>849.71019201008585</v>
      </c>
    </row>
    <row r="24" spans="2:29" x14ac:dyDescent="0.25">
      <c r="U24" t="s">
        <v>106</v>
      </c>
      <c r="V24">
        <v>0.05</v>
      </c>
    </row>
    <row r="26" spans="2:29" x14ac:dyDescent="0.25">
      <c r="R26" s="1184" t="s">
        <v>42</v>
      </c>
      <c r="S26" s="1184" t="s">
        <v>342</v>
      </c>
      <c r="T26" s="1184" t="s">
        <v>35</v>
      </c>
      <c r="U26" s="1184" t="s">
        <v>67</v>
      </c>
      <c r="V26" s="1184" t="s">
        <v>2550</v>
      </c>
      <c r="W26" s="1184" t="s">
        <v>2551</v>
      </c>
      <c r="X26" s="1184" t="s">
        <v>2569</v>
      </c>
      <c r="Y26" s="1184" t="s">
        <v>2550</v>
      </c>
      <c r="Z26" s="1184" t="s">
        <v>2551</v>
      </c>
      <c r="AB26" s="1184" t="s">
        <v>2552</v>
      </c>
      <c r="AC26" s="1184" t="s">
        <v>67</v>
      </c>
    </row>
    <row r="27" spans="2:29" x14ac:dyDescent="0.25">
      <c r="Q27" t="s">
        <v>2538</v>
      </c>
      <c r="R27" s="1204">
        <f>O4</f>
        <v>6.5705722137825828E-2</v>
      </c>
      <c r="S27" s="1205">
        <f>SQRT(W7)</f>
        <v>3.4305565778290317E-2</v>
      </c>
      <c r="T27" s="1204">
        <f>R27/S27</f>
        <v>1.9153079288203012</v>
      </c>
      <c r="U27" s="1206">
        <f>2*(1-NORMSDIST(T27))</f>
        <v>5.5453245033030951E-2</v>
      </c>
      <c r="V27" s="1205">
        <f>R27-S27*NORMSINV(1-V24/2)</f>
        <v>-1.5319512568929688E-3</v>
      </c>
      <c r="W27" s="1206">
        <f>R27+S27*NORMSINV(1-V24/2)</f>
        <v>0.13294339553254464</v>
      </c>
      <c r="X27" s="609">
        <f>EXP(R27)</f>
        <v>1.06791240794074</v>
      </c>
      <c r="Y27" s="1208">
        <f>EXP(V27)</f>
        <v>0.99846922158144691</v>
      </c>
      <c r="Z27" s="610">
        <f>EXP(W27)</f>
        <v>1.1421853437079252</v>
      </c>
      <c r="AB27" s="1204">
        <f>(R27/S27)^2</f>
        <v>3.6684044622019121</v>
      </c>
      <c r="AC27" s="1206">
        <f>CHIDIST(AB27,1)</f>
        <v>5.5453245033031041E-2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11"/>
  <sheetViews>
    <sheetView workbookViewId="0"/>
  </sheetViews>
  <sheetFormatPr defaultRowHeight="15" x14ac:dyDescent="0.25"/>
  <cols>
    <col min="3" max="3" width="4.28515625" customWidth="1"/>
  </cols>
  <sheetData>
    <row r="1" spans="1:15" x14ac:dyDescent="0.25">
      <c r="A1" s="1" t="s">
        <v>2560</v>
      </c>
    </row>
    <row r="2" spans="1:15" x14ac:dyDescent="0.25">
      <c r="A2" s="1"/>
    </row>
    <row r="3" spans="1:15" x14ac:dyDescent="0.25">
      <c r="A3" s="17" t="s">
        <v>2563</v>
      </c>
      <c r="D3" s="17" t="s">
        <v>2564</v>
      </c>
      <c r="G3" t="s">
        <v>2565</v>
      </c>
    </row>
    <row r="5" spans="1:15" x14ac:dyDescent="0.25">
      <c r="A5" t="s">
        <v>1252</v>
      </c>
      <c r="B5" s="1193">
        <f>'Cox Reg 1'!M22</f>
        <v>-15.273250779532182</v>
      </c>
      <c r="D5" t="s">
        <v>1252</v>
      </c>
      <c r="E5" s="1193">
        <f>B5</f>
        <v>-15.273250779532182</v>
      </c>
      <c r="G5" s="1184" t="s">
        <v>42</v>
      </c>
      <c r="H5" s="1184" t="s">
        <v>342</v>
      </c>
      <c r="I5" s="1184" t="s">
        <v>35</v>
      </c>
      <c r="J5" s="1184" t="s">
        <v>67</v>
      </c>
      <c r="K5" s="1184" t="s">
        <v>2550</v>
      </c>
      <c r="L5" s="1184" t="s">
        <v>2551</v>
      </c>
      <c r="M5" s="1184" t="s">
        <v>2569</v>
      </c>
      <c r="N5" s="1184" t="s">
        <v>2550</v>
      </c>
      <c r="O5" s="1184" t="s">
        <v>2551</v>
      </c>
    </row>
    <row r="6" spans="1:15" x14ac:dyDescent="0.25">
      <c r="A6" t="s">
        <v>1315</v>
      </c>
      <c r="B6" s="503">
        <f>'Cox Reg 4'!M22</f>
        <v>-13.740540937660811</v>
      </c>
      <c r="D6" t="s">
        <v>1315</v>
      </c>
      <c r="E6" s="503">
        <f>'Cox Reg 5'!M22</f>
        <v>-13.536377444362042</v>
      </c>
      <c r="G6" s="1204">
        <f>'Cox Reg 4'!R27</f>
        <v>0.12079450835053478</v>
      </c>
      <c r="H6" s="1205">
        <f>'Cox Reg 4'!S27</f>
        <v>7.434029483191551E-2</v>
      </c>
      <c r="I6" s="1205">
        <f>'Cox Reg 4'!T27</f>
        <v>1.6248860543753951</v>
      </c>
      <c r="J6" s="1205">
        <f>'Cox Reg 4'!U27</f>
        <v>0.10418684021732094</v>
      </c>
      <c r="K6" s="1205">
        <f>'Cox Reg 4'!V27</f>
        <v>-2.4909792120108701E-2</v>
      </c>
      <c r="L6" s="1206">
        <f>'Cox Reg 4'!W27</f>
        <v>0.26649880882117827</v>
      </c>
      <c r="M6" s="609">
        <f>EXP(G6)</f>
        <v>1.1283930131999613</v>
      </c>
      <c r="N6" s="1208">
        <f>EXP(K6)</f>
        <v>0.97539789663612653</v>
      </c>
      <c r="O6" s="610">
        <f>EXP(L6)</f>
        <v>1.3053860343862147</v>
      </c>
    </row>
    <row r="7" spans="1:15" x14ac:dyDescent="0.25">
      <c r="A7" s="30" t="s">
        <v>109</v>
      </c>
      <c r="B7" s="503">
        <f>-2*(B5-B6)</f>
        <v>3.0654196837427428</v>
      </c>
      <c r="D7" s="30" t="s">
        <v>109</v>
      </c>
      <c r="E7" s="503">
        <f>-2*(E5-E6)</f>
        <v>3.4737466703402795</v>
      </c>
    </row>
    <row r="8" spans="1:15" x14ac:dyDescent="0.25">
      <c r="A8" s="30" t="s">
        <v>60</v>
      </c>
      <c r="B8" s="503">
        <v>1</v>
      </c>
      <c r="D8" s="30" t="s">
        <v>60</v>
      </c>
      <c r="E8" s="503">
        <v>1</v>
      </c>
      <c r="G8" t="s">
        <v>2566</v>
      </c>
    </row>
    <row r="9" spans="1:15" x14ac:dyDescent="0.25">
      <c r="A9" s="30" t="s">
        <v>67</v>
      </c>
      <c r="B9" s="420">
        <f>CHIDIST(B7,B8)</f>
        <v>7.9974508725442761E-2</v>
      </c>
      <c r="D9" s="30" t="s">
        <v>67</v>
      </c>
      <c r="E9" s="420">
        <f>CHIDIST(E7,E8)</f>
        <v>6.2349937832226171E-2</v>
      </c>
    </row>
    <row r="10" spans="1:15" x14ac:dyDescent="0.25">
      <c r="G10" s="1184" t="s">
        <v>42</v>
      </c>
      <c r="H10" s="1184" t="s">
        <v>342</v>
      </c>
      <c r="I10" s="1184" t="s">
        <v>35</v>
      </c>
      <c r="J10" s="1184" t="s">
        <v>67</v>
      </c>
      <c r="K10" s="1184" t="s">
        <v>2550</v>
      </c>
      <c r="L10" s="1184" t="s">
        <v>2551</v>
      </c>
      <c r="M10" s="1184" t="s">
        <v>2569</v>
      </c>
      <c r="N10" s="1184" t="s">
        <v>2550</v>
      </c>
      <c r="O10" s="1184" t="s">
        <v>2551</v>
      </c>
    </row>
    <row r="11" spans="1:15" x14ac:dyDescent="0.25">
      <c r="G11" s="1204">
        <f>'Cox Reg 5'!R27</f>
        <v>6.5705722137825828E-2</v>
      </c>
      <c r="H11" s="1205">
        <f>'Cox Reg 5'!S27</f>
        <v>3.4305565778290317E-2</v>
      </c>
      <c r="I11" s="1205">
        <f>'Cox Reg 5'!T27</f>
        <v>1.9153079288203012</v>
      </c>
      <c r="J11" s="1205">
        <f>'Cox Reg 5'!U27</f>
        <v>5.5453245033030951E-2</v>
      </c>
      <c r="K11" s="1205">
        <f>'Cox Reg 5'!V27</f>
        <v>-1.5319512568929688E-3</v>
      </c>
      <c r="L11" s="1206">
        <f>'Cox Reg 5'!W27</f>
        <v>0.13294339553254464</v>
      </c>
      <c r="M11" s="609">
        <f>EXP(G11)</f>
        <v>1.06791240794074</v>
      </c>
      <c r="N11" s="1208">
        <f>EXP(K11)</f>
        <v>0.99846922158144691</v>
      </c>
      <c r="O11" s="610">
        <f>EXP(L11)</f>
        <v>1.1421853437079252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9"/>
  <sheetViews>
    <sheetView workbookViewId="0"/>
  </sheetViews>
  <sheetFormatPr defaultRowHeight="15" x14ac:dyDescent="0.25"/>
  <sheetData>
    <row r="1" spans="1:13" x14ac:dyDescent="0.25">
      <c r="A1" t="s">
        <v>2602</v>
      </c>
    </row>
    <row r="2" spans="1:13" x14ac:dyDescent="0.25">
      <c r="E2" t="s">
        <v>2567</v>
      </c>
    </row>
    <row r="3" spans="1:13" x14ac:dyDescent="0.25">
      <c r="A3" s="1182" t="s">
        <v>2568</v>
      </c>
      <c r="B3" s="1182" t="s">
        <v>1245</v>
      </c>
      <c r="C3" s="1182" t="s">
        <v>92</v>
      </c>
    </row>
    <row r="4" spans="1:13" ht="15.75" thickBot="1" x14ac:dyDescent="0.3">
      <c r="A4" s="1184">
        <v>3</v>
      </c>
      <c r="B4" s="1184">
        <v>1</v>
      </c>
      <c r="C4" s="1184">
        <v>0</v>
      </c>
      <c r="E4" t="s">
        <v>2597</v>
      </c>
      <c r="H4" t="s">
        <v>2598</v>
      </c>
    </row>
    <row r="5" spans="1:13" ht="15.75" thickTop="1" x14ac:dyDescent="0.25">
      <c r="A5" s="1184">
        <v>5</v>
      </c>
      <c r="B5" s="1184">
        <v>1</v>
      </c>
      <c r="C5" s="1184">
        <v>0</v>
      </c>
      <c r="E5" s="490" t="s">
        <v>220</v>
      </c>
      <c r="F5" s="490">
        <f>2*(I10-J10)</f>
        <v>0.95358556434796071</v>
      </c>
      <c r="H5" s="490" t="s">
        <v>34</v>
      </c>
      <c r="I5" s="490">
        <v>0.05</v>
      </c>
    </row>
    <row r="6" spans="1:13" x14ac:dyDescent="0.25">
      <c r="A6" s="1184">
        <v>8</v>
      </c>
      <c r="B6" s="1184">
        <v>1</v>
      </c>
      <c r="C6" s="1184">
        <v>0</v>
      </c>
      <c r="E6" t="s">
        <v>60</v>
      </c>
      <c r="F6">
        <f>COUNT(A4:C4)-2</f>
        <v>1</v>
      </c>
      <c r="H6" s="762" t="s">
        <v>2599</v>
      </c>
      <c r="I6" s="762">
        <v>20</v>
      </c>
    </row>
    <row r="7" spans="1:13" x14ac:dyDescent="0.25">
      <c r="A7" s="1184">
        <v>10</v>
      </c>
      <c r="B7" s="1184">
        <v>0</v>
      </c>
      <c r="C7" s="1184">
        <v>0</v>
      </c>
      <c r="E7" s="762" t="s">
        <v>67</v>
      </c>
      <c r="F7" s="762">
        <f>CHIDIST(F5,F6)</f>
        <v>0.32880829898529729</v>
      </c>
    </row>
    <row r="8" spans="1:13" ht="15.75" thickBot="1" x14ac:dyDescent="0.3">
      <c r="A8" s="1184">
        <v>5</v>
      </c>
      <c r="B8" s="1184">
        <v>1</v>
      </c>
      <c r="C8" s="1184">
        <v>0</v>
      </c>
    </row>
    <row r="9" spans="1:13" ht="15.75" thickTop="1" x14ac:dyDescent="0.25">
      <c r="A9" s="1184">
        <v>5</v>
      </c>
      <c r="B9" s="1184">
        <v>0</v>
      </c>
      <c r="C9" s="1184">
        <v>0</v>
      </c>
      <c r="E9" s="826"/>
      <c r="F9" s="826" t="s">
        <v>1592</v>
      </c>
      <c r="G9" s="826" t="s">
        <v>425</v>
      </c>
      <c r="H9" s="826" t="s">
        <v>2600</v>
      </c>
      <c r="I9" s="826" t="s">
        <v>1253</v>
      </c>
      <c r="J9" s="826" t="s">
        <v>1252</v>
      </c>
      <c r="K9" s="1213" t="s">
        <v>2601</v>
      </c>
    </row>
    <row r="10" spans="1:13" x14ac:dyDescent="0.25">
      <c r="A10" s="1184">
        <v>8</v>
      </c>
      <c r="B10" s="1184">
        <v>1</v>
      </c>
      <c r="C10" s="1184">
        <v>0</v>
      </c>
      <c r="E10" s="1011" t="str">
        <f t="array" ref="E10">TRANSPOSE(C3)</f>
        <v>Drug</v>
      </c>
      <c r="F10" s="1011">
        <f t="array" ref="F10:K10">[1]!CoxEST(A4:C39,1,20)</f>
        <v>-0.44202988863432213</v>
      </c>
      <c r="G10" s="1011">
        <v>0.45754812078318036</v>
      </c>
      <c r="H10" s="1011">
        <v>-6.106226635438361E-16</v>
      </c>
      <c r="I10" s="1011">
        <v>-59.956649271470852</v>
      </c>
      <c r="J10" s="1011">
        <v>-60.433442053644832</v>
      </c>
      <c r="K10" s="1011">
        <v>0.20935028283221979</v>
      </c>
    </row>
    <row r="11" spans="1:13" ht="15.75" thickBot="1" x14ac:dyDescent="0.3">
      <c r="A11" s="1184">
        <v>12</v>
      </c>
      <c r="B11" s="1184">
        <v>1</v>
      </c>
      <c r="C11" s="1184">
        <v>0</v>
      </c>
    </row>
    <row r="12" spans="1:13" ht="15.75" thickTop="1" x14ac:dyDescent="0.25">
      <c r="A12" s="1184">
        <v>15</v>
      </c>
      <c r="B12" s="1184">
        <v>0</v>
      </c>
      <c r="C12" s="1184">
        <v>0</v>
      </c>
      <c r="E12" s="826"/>
      <c r="F12" s="826" t="s">
        <v>42</v>
      </c>
      <c r="G12" s="826" t="s">
        <v>425</v>
      </c>
      <c r="H12" s="826" t="s">
        <v>67</v>
      </c>
      <c r="I12" s="826" t="s">
        <v>29</v>
      </c>
      <c r="J12" s="826" t="s">
        <v>30</v>
      </c>
      <c r="K12" s="826" t="s">
        <v>1531</v>
      </c>
      <c r="L12" s="826" t="s">
        <v>29</v>
      </c>
      <c r="M12" s="826" t="s">
        <v>30</v>
      </c>
    </row>
    <row r="13" spans="1:13" x14ac:dyDescent="0.25">
      <c r="A13" s="1184">
        <v>14</v>
      </c>
      <c r="B13" s="1184">
        <v>0</v>
      </c>
      <c r="C13" s="1184">
        <v>0</v>
      </c>
      <c r="E13" s="1011" t="str">
        <f>E10</f>
        <v>Drug</v>
      </c>
      <c r="F13" s="1011">
        <f>F10</f>
        <v>-0.44202988863432213</v>
      </c>
      <c r="G13" s="1011">
        <f>G10</f>
        <v>0.45754812078318036</v>
      </c>
      <c r="H13" s="1011">
        <f>2*NORMSDIST(-ABS(F13/G13))</f>
        <v>0.33400218295766348</v>
      </c>
      <c r="I13" s="1011">
        <f>F13-G13*NORMSINV(1-$I$5/2)</f>
        <v>-1.338807726563338</v>
      </c>
      <c r="J13" s="1011">
        <f>F13+G13*NORMSINV(1-$I$5/2)</f>
        <v>0.45474794929469375</v>
      </c>
      <c r="K13" s="1011">
        <f>EXP(F13)</f>
        <v>0.64273042483380749</v>
      </c>
      <c r="L13" s="1011">
        <f>EXP(I13)</f>
        <v>0.26215804639836249</v>
      </c>
      <c r="M13" s="1011">
        <f>EXP(J13)</f>
        <v>1.5757761574837055</v>
      </c>
    </row>
    <row r="14" spans="1:13" x14ac:dyDescent="0.25">
      <c r="A14" s="1184">
        <v>2</v>
      </c>
      <c r="B14" s="1184">
        <v>1</v>
      </c>
      <c r="C14" s="1184">
        <v>0</v>
      </c>
    </row>
    <row r="15" spans="1:13" x14ac:dyDescent="0.25">
      <c r="A15" s="1184">
        <v>11</v>
      </c>
      <c r="B15" s="1184">
        <v>1</v>
      </c>
      <c r="C15" s="1184">
        <v>0</v>
      </c>
    </row>
    <row r="16" spans="1:13" x14ac:dyDescent="0.25">
      <c r="A16" s="1184">
        <v>10</v>
      </c>
      <c r="B16" s="1184">
        <v>0</v>
      </c>
      <c r="C16" s="1184">
        <v>0</v>
      </c>
    </row>
    <row r="17" spans="1:3" x14ac:dyDescent="0.25">
      <c r="A17" s="1184">
        <v>9</v>
      </c>
      <c r="B17" s="1184">
        <v>0</v>
      </c>
      <c r="C17" s="1184">
        <v>0</v>
      </c>
    </row>
    <row r="18" spans="1:3" x14ac:dyDescent="0.25">
      <c r="A18" s="1184">
        <v>12</v>
      </c>
      <c r="B18" s="1184">
        <v>1</v>
      </c>
      <c r="C18" s="1184">
        <v>0</v>
      </c>
    </row>
    <row r="19" spans="1:3" x14ac:dyDescent="0.25">
      <c r="A19" s="1184">
        <v>5</v>
      </c>
      <c r="B19" s="1184">
        <v>1</v>
      </c>
      <c r="C19" s="1184">
        <v>0</v>
      </c>
    </row>
    <row r="20" spans="1:3" x14ac:dyDescent="0.25">
      <c r="A20" s="1184">
        <v>8</v>
      </c>
      <c r="B20" s="1184">
        <v>1</v>
      </c>
      <c r="C20" s="1184">
        <v>0</v>
      </c>
    </row>
    <row r="21" spans="1:3" x14ac:dyDescent="0.25">
      <c r="A21" s="1185">
        <v>11</v>
      </c>
      <c r="B21" s="1185">
        <v>1</v>
      </c>
      <c r="C21" s="1184">
        <v>0</v>
      </c>
    </row>
    <row r="22" spans="1:3" x14ac:dyDescent="0.25">
      <c r="A22" s="1185">
        <v>1</v>
      </c>
      <c r="B22" s="1185">
        <v>1</v>
      </c>
      <c r="C22" s="1184">
        <v>1</v>
      </c>
    </row>
    <row r="23" spans="1:3" x14ac:dyDescent="0.25">
      <c r="A23" s="1184">
        <v>4</v>
      </c>
      <c r="B23" s="1184">
        <v>1</v>
      </c>
      <c r="C23" s="1184">
        <v>1</v>
      </c>
    </row>
    <row r="24" spans="1:3" x14ac:dyDescent="0.25">
      <c r="A24" s="1184">
        <v>9</v>
      </c>
      <c r="B24" s="1184">
        <v>0</v>
      </c>
      <c r="C24" s="1184">
        <v>1</v>
      </c>
    </row>
    <row r="25" spans="1:3" x14ac:dyDescent="0.25">
      <c r="A25" s="1184">
        <v>10</v>
      </c>
      <c r="B25" s="1184">
        <v>0</v>
      </c>
      <c r="C25" s="1184">
        <v>1</v>
      </c>
    </row>
    <row r="26" spans="1:3" x14ac:dyDescent="0.25">
      <c r="A26" s="1184">
        <v>6</v>
      </c>
      <c r="B26" s="1184">
        <v>1</v>
      </c>
      <c r="C26" s="1184">
        <v>1</v>
      </c>
    </row>
    <row r="27" spans="1:3" x14ac:dyDescent="0.25">
      <c r="A27" s="1184">
        <v>6</v>
      </c>
      <c r="B27" s="1184">
        <v>0</v>
      </c>
      <c r="C27" s="1184">
        <v>1</v>
      </c>
    </row>
    <row r="28" spans="1:3" x14ac:dyDescent="0.25">
      <c r="A28" s="1184">
        <v>10</v>
      </c>
      <c r="B28" s="1184">
        <v>1</v>
      </c>
      <c r="C28" s="1184">
        <v>1</v>
      </c>
    </row>
    <row r="29" spans="1:3" x14ac:dyDescent="0.25">
      <c r="A29" s="1184">
        <v>10</v>
      </c>
      <c r="B29" s="1184">
        <v>1</v>
      </c>
      <c r="C29" s="1184">
        <v>1</v>
      </c>
    </row>
    <row r="30" spans="1:3" x14ac:dyDescent="0.25">
      <c r="A30" s="1184">
        <v>12</v>
      </c>
      <c r="B30" s="1184">
        <v>0</v>
      </c>
      <c r="C30" s="1184">
        <v>1</v>
      </c>
    </row>
    <row r="31" spans="1:3" x14ac:dyDescent="0.25">
      <c r="A31" s="1184">
        <v>13</v>
      </c>
      <c r="B31" s="1184">
        <v>0</v>
      </c>
      <c r="C31" s="1184">
        <v>1</v>
      </c>
    </row>
    <row r="32" spans="1:3" x14ac:dyDescent="0.25">
      <c r="A32" s="1184">
        <v>3</v>
      </c>
      <c r="B32" s="1184">
        <v>1</v>
      </c>
      <c r="C32" s="1184">
        <v>1</v>
      </c>
    </row>
    <row r="33" spans="1:3" x14ac:dyDescent="0.25">
      <c r="A33" s="1184">
        <v>13</v>
      </c>
      <c r="B33" s="1184">
        <v>0</v>
      </c>
      <c r="C33" s="1184">
        <v>1</v>
      </c>
    </row>
    <row r="34" spans="1:3" x14ac:dyDescent="0.25">
      <c r="A34" s="1184">
        <v>8</v>
      </c>
      <c r="B34" s="1184">
        <v>0</v>
      </c>
      <c r="C34" s="1184">
        <v>1</v>
      </c>
    </row>
    <row r="35" spans="1:3" x14ac:dyDescent="0.25">
      <c r="A35" s="1184">
        <v>10</v>
      </c>
      <c r="B35" s="1184">
        <v>0</v>
      </c>
      <c r="C35" s="1184">
        <v>1</v>
      </c>
    </row>
    <row r="36" spans="1:3" x14ac:dyDescent="0.25">
      <c r="A36" s="1184">
        <v>13</v>
      </c>
      <c r="B36" s="1184">
        <v>1</v>
      </c>
      <c r="C36" s="1184">
        <v>1</v>
      </c>
    </row>
    <row r="37" spans="1:3" x14ac:dyDescent="0.25">
      <c r="A37" s="1184">
        <v>6</v>
      </c>
      <c r="B37" s="1184">
        <v>0</v>
      </c>
      <c r="C37" s="1184">
        <v>1</v>
      </c>
    </row>
    <row r="38" spans="1:3" x14ac:dyDescent="0.25">
      <c r="A38" s="1184">
        <v>8</v>
      </c>
      <c r="B38" s="1184">
        <v>1</v>
      </c>
      <c r="C38" s="1184">
        <v>1</v>
      </c>
    </row>
    <row r="39" spans="1:3" x14ac:dyDescent="0.25">
      <c r="A39" s="1186">
        <v>12</v>
      </c>
      <c r="B39" s="1186">
        <v>0</v>
      </c>
      <c r="C39" s="1186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43"/>
  <sheetViews>
    <sheetView workbookViewId="0"/>
  </sheetViews>
  <sheetFormatPr defaultRowHeight="15" x14ac:dyDescent="0.25"/>
  <sheetData>
    <row r="1" spans="1:24" x14ac:dyDescent="0.25">
      <c r="A1" s="1" t="s">
        <v>2605</v>
      </c>
    </row>
    <row r="3" spans="1:24" x14ac:dyDescent="0.25">
      <c r="A3" s="1214" t="s">
        <v>63</v>
      </c>
      <c r="B3" s="1214" t="s">
        <v>44</v>
      </c>
      <c r="C3" s="1214" t="s">
        <v>1829</v>
      </c>
      <c r="D3" s="1214" t="s">
        <v>2603</v>
      </c>
      <c r="E3" s="1214" t="s">
        <v>2604</v>
      </c>
      <c r="F3" s="1214" t="s">
        <v>2538</v>
      </c>
      <c r="H3" t="s">
        <v>2567</v>
      </c>
      <c r="S3" s="1214" t="s">
        <v>63</v>
      </c>
      <c r="T3" s="1214" t="s">
        <v>44</v>
      </c>
      <c r="U3" s="1214" t="s">
        <v>1829</v>
      </c>
      <c r="V3" s="1214" t="s">
        <v>2603</v>
      </c>
      <c r="W3" s="1214" t="s">
        <v>2604</v>
      </c>
      <c r="X3" s="1214" t="s">
        <v>2538</v>
      </c>
    </row>
    <row r="4" spans="1:24" x14ac:dyDescent="0.25">
      <c r="A4">
        <v>14</v>
      </c>
      <c r="B4">
        <v>1</v>
      </c>
      <c r="C4">
        <v>60</v>
      </c>
      <c r="D4">
        <v>0</v>
      </c>
      <c r="E4">
        <v>17</v>
      </c>
      <c r="F4">
        <v>9.3000000000000007</v>
      </c>
      <c r="S4">
        <f t="array" ref="S4:X43">[1]!QSORT2RowsMixed(A4:F43)</f>
        <v>2</v>
      </c>
      <c r="T4">
        <v>1</v>
      </c>
      <c r="U4">
        <v>76</v>
      </c>
      <c r="V4">
        <v>0</v>
      </c>
      <c r="W4">
        <v>34</v>
      </c>
      <c r="X4">
        <v>6.0000000000000009</v>
      </c>
    </row>
    <row r="5" spans="1:24" ht="15.75" thickBot="1" x14ac:dyDescent="0.3">
      <c r="A5">
        <v>53</v>
      </c>
      <c r="B5">
        <v>0</v>
      </c>
      <c r="C5">
        <v>67</v>
      </c>
      <c r="D5">
        <v>0</v>
      </c>
      <c r="E5">
        <v>12</v>
      </c>
      <c r="F5">
        <v>6.7</v>
      </c>
      <c r="H5" t="s">
        <v>2597</v>
      </c>
      <c r="K5" t="s">
        <v>2598</v>
      </c>
      <c r="S5">
        <v>2</v>
      </c>
      <c r="T5">
        <v>1</v>
      </c>
      <c r="U5">
        <v>58</v>
      </c>
      <c r="V5">
        <v>0</v>
      </c>
      <c r="W5">
        <v>14</v>
      </c>
      <c r="X5">
        <v>0.2</v>
      </c>
    </row>
    <row r="6" spans="1:24" ht="15.75" thickTop="1" x14ac:dyDescent="0.25">
      <c r="A6">
        <v>7</v>
      </c>
      <c r="B6">
        <v>1</v>
      </c>
      <c r="C6">
        <v>54</v>
      </c>
      <c r="D6">
        <v>1</v>
      </c>
      <c r="E6">
        <v>14</v>
      </c>
      <c r="F6">
        <v>6.1000000000000005</v>
      </c>
      <c r="H6" s="490" t="s">
        <v>220</v>
      </c>
      <c r="I6" s="490">
        <f>2*(L11-M11)</f>
        <v>10.150162058238124</v>
      </c>
      <c r="K6" s="490" t="s">
        <v>34</v>
      </c>
      <c r="L6" s="490">
        <v>0.05</v>
      </c>
      <c r="S6">
        <v>6</v>
      </c>
      <c r="T6">
        <v>1</v>
      </c>
      <c r="U6">
        <v>55</v>
      </c>
      <c r="V6">
        <v>0</v>
      </c>
      <c r="W6">
        <v>11</v>
      </c>
      <c r="X6">
        <v>4.3999999999999995</v>
      </c>
    </row>
    <row r="7" spans="1:24" x14ac:dyDescent="0.25">
      <c r="A7">
        <v>41</v>
      </c>
      <c r="B7">
        <v>1</v>
      </c>
      <c r="C7">
        <v>70</v>
      </c>
      <c r="D7">
        <v>0</v>
      </c>
      <c r="E7">
        <v>10</v>
      </c>
      <c r="F7">
        <v>4.8999999999999995</v>
      </c>
      <c r="H7" t="s">
        <v>60</v>
      </c>
      <c r="I7">
        <f>COUNT(A4:F4)-2</f>
        <v>4</v>
      </c>
      <c r="K7" s="762" t="s">
        <v>2599</v>
      </c>
      <c r="L7" s="762">
        <v>20</v>
      </c>
      <c r="S7">
        <v>6</v>
      </c>
      <c r="T7">
        <v>1</v>
      </c>
      <c r="U7">
        <v>75</v>
      </c>
      <c r="V7">
        <v>1</v>
      </c>
      <c r="W7">
        <v>69</v>
      </c>
      <c r="X7">
        <v>4.8999999999999995</v>
      </c>
    </row>
    <row r="8" spans="1:24" x14ac:dyDescent="0.25">
      <c r="A8">
        <v>11</v>
      </c>
      <c r="B8">
        <v>1</v>
      </c>
      <c r="C8">
        <v>66</v>
      </c>
      <c r="D8">
        <v>0</v>
      </c>
      <c r="E8">
        <v>15</v>
      </c>
      <c r="F8">
        <v>7.8999999999999995</v>
      </c>
      <c r="H8" s="762" t="s">
        <v>67</v>
      </c>
      <c r="I8" s="762">
        <f>CHIDIST(I6,I7)</f>
        <v>3.79727796152277E-2</v>
      </c>
      <c r="S8">
        <v>6</v>
      </c>
      <c r="T8">
        <v>1</v>
      </c>
      <c r="U8">
        <v>78</v>
      </c>
      <c r="V8">
        <v>0</v>
      </c>
      <c r="W8">
        <v>15</v>
      </c>
      <c r="X8">
        <v>3.7</v>
      </c>
    </row>
    <row r="9" spans="1:24" ht="15.75" thickBot="1" x14ac:dyDescent="0.3">
      <c r="A9">
        <v>8</v>
      </c>
      <c r="B9">
        <v>0</v>
      </c>
      <c r="C9">
        <v>58</v>
      </c>
      <c r="D9">
        <v>1</v>
      </c>
      <c r="E9">
        <v>5</v>
      </c>
      <c r="F9">
        <v>4.6000000000000005</v>
      </c>
      <c r="S9">
        <v>6</v>
      </c>
      <c r="T9">
        <v>1</v>
      </c>
      <c r="U9">
        <v>68</v>
      </c>
      <c r="V9">
        <v>1</v>
      </c>
      <c r="W9">
        <v>23</v>
      </c>
      <c r="X9">
        <v>5.1000000000000005</v>
      </c>
    </row>
    <row r="10" spans="1:24" ht="15.75" thickTop="1" x14ac:dyDescent="0.25">
      <c r="A10">
        <v>67</v>
      </c>
      <c r="B10">
        <v>1</v>
      </c>
      <c r="C10">
        <v>53</v>
      </c>
      <c r="D10">
        <v>0</v>
      </c>
      <c r="E10">
        <v>15</v>
      </c>
      <c r="F10">
        <v>7.5000000000000009</v>
      </c>
      <c r="H10" s="826"/>
      <c r="I10" s="826" t="s">
        <v>1592</v>
      </c>
      <c r="J10" s="826" t="s">
        <v>425</v>
      </c>
      <c r="K10" s="826" t="s">
        <v>2600</v>
      </c>
      <c r="L10" s="826" t="s">
        <v>1253</v>
      </c>
      <c r="M10" s="826" t="s">
        <v>1252</v>
      </c>
      <c r="N10" s="1213" t="s">
        <v>2601</v>
      </c>
      <c r="O10" s="826"/>
      <c r="P10" s="826"/>
      <c r="Q10" s="826"/>
      <c r="S10">
        <v>7</v>
      </c>
      <c r="T10">
        <v>1</v>
      </c>
      <c r="U10">
        <v>62</v>
      </c>
      <c r="V10">
        <v>1</v>
      </c>
      <c r="W10">
        <v>10</v>
      </c>
      <c r="X10">
        <v>0.7</v>
      </c>
    </row>
    <row r="11" spans="1:24" x14ac:dyDescent="0.25">
      <c r="A11">
        <v>11</v>
      </c>
      <c r="B11">
        <v>0</v>
      </c>
      <c r="C11">
        <v>61</v>
      </c>
      <c r="D11">
        <v>0</v>
      </c>
      <c r="E11">
        <v>25</v>
      </c>
      <c r="F11">
        <v>8.6999999999999993</v>
      </c>
      <c r="H11" s="827" t="str">
        <f t="array" ref="H11:H14">TRANSPOSE(C3:F3)</f>
        <v>age</v>
      </c>
      <c r="I11" s="827">
        <f t="array" ref="I11:Q14">[1]!CoxEST(A4:F43,1,20)</f>
        <v>-4.6773410470052512E-2</v>
      </c>
      <c r="J11" s="827">
        <v>2.7016205444298638E-2</v>
      </c>
      <c r="K11" s="827">
        <v>-8.5265128291212022E-14</v>
      </c>
      <c r="L11" s="827">
        <v>-78.379164203825709</v>
      </c>
      <c r="M11" s="827">
        <v>-83.454245232944771</v>
      </c>
      <c r="N11" s="827">
        <v>7.2987535660855134E-4</v>
      </c>
      <c r="O11" s="827">
        <v>2.4885416814642296E-3</v>
      </c>
      <c r="P11" s="827">
        <v>-2.0607032715600171E-4</v>
      </c>
      <c r="Q11" s="827">
        <v>7.7567191022018831E-4</v>
      </c>
      <c r="S11">
        <v>7</v>
      </c>
      <c r="T11">
        <v>1</v>
      </c>
      <c r="U11">
        <v>54</v>
      </c>
      <c r="V11">
        <v>1</v>
      </c>
      <c r="W11">
        <v>14</v>
      </c>
      <c r="X11">
        <v>6.1000000000000005</v>
      </c>
    </row>
    <row r="12" spans="1:24" x14ac:dyDescent="0.25">
      <c r="A12">
        <v>15</v>
      </c>
      <c r="B12">
        <v>1</v>
      </c>
      <c r="C12">
        <v>71</v>
      </c>
      <c r="D12">
        <v>0</v>
      </c>
      <c r="E12">
        <v>30</v>
      </c>
      <c r="F12">
        <v>5.3</v>
      </c>
      <c r="H12" s="7" t="str">
        <v>sex</v>
      </c>
      <c r="I12" s="7">
        <v>-0.79323017678839358</v>
      </c>
      <c r="J12" s="7">
        <v>0.48330943186786807</v>
      </c>
      <c r="K12" s="7">
        <v>-6.6613381477509392E-16</v>
      </c>
      <c r="L12" s="7" t="str">
        <v/>
      </c>
      <c r="M12" s="7" t="str">
        <v/>
      </c>
      <c r="N12" s="7">
        <v>2.4885416814642287E-3</v>
      </c>
      <c r="O12" s="7">
        <v>0.23358800693244139</v>
      </c>
      <c r="P12" s="7">
        <v>-2.0814939059340468E-5</v>
      </c>
      <c r="Q12" s="7">
        <v>2.7454521602823637E-2</v>
      </c>
      <c r="S12">
        <v>8</v>
      </c>
      <c r="T12">
        <v>0</v>
      </c>
      <c r="U12">
        <v>58</v>
      </c>
      <c r="V12">
        <v>1</v>
      </c>
      <c r="W12">
        <v>5</v>
      </c>
      <c r="X12">
        <v>4.6000000000000005</v>
      </c>
    </row>
    <row r="13" spans="1:24" x14ac:dyDescent="0.25">
      <c r="A13">
        <v>17</v>
      </c>
      <c r="B13">
        <v>1</v>
      </c>
      <c r="C13">
        <v>69</v>
      </c>
      <c r="D13">
        <v>0</v>
      </c>
      <c r="E13">
        <v>24</v>
      </c>
      <c r="F13">
        <v>5.8999999999999995</v>
      </c>
      <c r="H13" s="7" t="str">
        <v>blood</v>
      </c>
      <c r="I13" s="7">
        <v>4.8671003311350984E-2</v>
      </c>
      <c r="J13" s="7">
        <v>2.2257639425051164E-2</v>
      </c>
      <c r="K13" s="7">
        <v>-3.5527136788005009E-14</v>
      </c>
      <c r="L13" s="7" t="str">
        <v/>
      </c>
      <c r="M13" s="7" t="str">
        <v/>
      </c>
      <c r="N13" s="7">
        <v>-2.0607032715600176E-4</v>
      </c>
      <c r="O13" s="7">
        <v>-2.0814939059340553E-5</v>
      </c>
      <c r="P13" s="7">
        <v>4.9540251277559188E-4</v>
      </c>
      <c r="Q13" s="7">
        <v>-6.2762436038993913E-5</v>
      </c>
      <c r="S13">
        <v>9</v>
      </c>
      <c r="T13">
        <v>1</v>
      </c>
      <c r="U13">
        <v>54</v>
      </c>
      <c r="V13">
        <v>0</v>
      </c>
      <c r="W13">
        <v>32</v>
      </c>
      <c r="X13">
        <v>2.8999999999999995</v>
      </c>
    </row>
    <row r="14" spans="1:24" x14ac:dyDescent="0.25">
      <c r="A14">
        <v>67</v>
      </c>
      <c r="B14">
        <v>1</v>
      </c>
      <c r="C14">
        <v>60</v>
      </c>
      <c r="D14">
        <v>1</v>
      </c>
      <c r="E14">
        <v>18</v>
      </c>
      <c r="F14">
        <v>1.2999999999999998</v>
      </c>
      <c r="H14" s="762" t="str">
        <v>size</v>
      </c>
      <c r="I14" s="762">
        <v>-0.24221236053185152</v>
      </c>
      <c r="J14" s="762">
        <v>9.4111445072060318E-2</v>
      </c>
      <c r="K14" s="762">
        <v>-2.1316282072803006E-14</v>
      </c>
      <c r="L14" s="762" t="str">
        <v/>
      </c>
      <c r="M14" s="762" t="str">
        <v/>
      </c>
      <c r="N14" s="762">
        <v>7.7567191022018831E-4</v>
      </c>
      <c r="O14" s="762">
        <v>2.7454521602823644E-2</v>
      </c>
      <c r="P14" s="762">
        <v>-6.2762436038993913E-5</v>
      </c>
      <c r="Q14" s="762">
        <v>8.8569640935514254E-3</v>
      </c>
      <c r="S14">
        <v>11</v>
      </c>
      <c r="T14">
        <v>1</v>
      </c>
      <c r="U14">
        <v>52</v>
      </c>
      <c r="V14">
        <v>1</v>
      </c>
      <c r="W14">
        <v>16</v>
      </c>
      <c r="X14">
        <v>4.3</v>
      </c>
    </row>
    <row r="15" spans="1:24" ht="15.75" thickBot="1" x14ac:dyDescent="0.3">
      <c r="A15">
        <v>6</v>
      </c>
      <c r="B15">
        <v>1</v>
      </c>
      <c r="C15">
        <v>55</v>
      </c>
      <c r="D15">
        <v>0</v>
      </c>
      <c r="E15">
        <v>11</v>
      </c>
      <c r="F15">
        <v>4.3999999999999995</v>
      </c>
      <c r="S15">
        <v>11</v>
      </c>
      <c r="T15">
        <v>1</v>
      </c>
      <c r="U15">
        <v>62</v>
      </c>
      <c r="V15">
        <v>0</v>
      </c>
      <c r="W15">
        <v>17</v>
      </c>
      <c r="X15">
        <v>8.6999999999999993</v>
      </c>
    </row>
    <row r="16" spans="1:24" ht="15.75" thickTop="1" x14ac:dyDescent="0.25">
      <c r="A16">
        <v>12</v>
      </c>
      <c r="B16">
        <v>0</v>
      </c>
      <c r="C16">
        <v>67</v>
      </c>
      <c r="D16">
        <v>1</v>
      </c>
      <c r="E16">
        <v>17</v>
      </c>
      <c r="F16">
        <v>3.5000000000000009</v>
      </c>
      <c r="H16" s="826"/>
      <c r="I16" s="826" t="s">
        <v>42</v>
      </c>
      <c r="J16" s="826" t="s">
        <v>425</v>
      </c>
      <c r="K16" s="826" t="s">
        <v>67</v>
      </c>
      <c r="L16" s="826" t="s">
        <v>29</v>
      </c>
      <c r="M16" s="826" t="s">
        <v>30</v>
      </c>
      <c r="N16" s="826" t="s">
        <v>1531</v>
      </c>
      <c r="O16" s="826" t="s">
        <v>29</v>
      </c>
      <c r="P16" s="826" t="s">
        <v>30</v>
      </c>
      <c r="S16">
        <v>11</v>
      </c>
      <c r="T16">
        <v>1</v>
      </c>
      <c r="U16">
        <v>66</v>
      </c>
      <c r="V16">
        <v>0</v>
      </c>
      <c r="W16">
        <v>15</v>
      </c>
      <c r="X16">
        <v>7.8999999999999995</v>
      </c>
    </row>
    <row r="17" spans="1:24" x14ac:dyDescent="0.25">
      <c r="A17">
        <v>11</v>
      </c>
      <c r="B17">
        <v>1</v>
      </c>
      <c r="C17">
        <v>52</v>
      </c>
      <c r="D17">
        <v>1</v>
      </c>
      <c r="E17">
        <v>16</v>
      </c>
      <c r="F17">
        <v>4.3</v>
      </c>
      <c r="H17" s="827" t="str">
        <f t="shared" ref="H17:J20" si="0">H11</f>
        <v>age</v>
      </c>
      <c r="I17" s="827">
        <f t="shared" si="0"/>
        <v>-4.6773410470052512E-2</v>
      </c>
      <c r="J17" s="827">
        <f t="shared" si="0"/>
        <v>2.7016205444298638E-2</v>
      </c>
      <c r="K17" s="827">
        <f>2*NORMSDIST(-ABS(I17/J17))</f>
        <v>8.3396595580918664E-2</v>
      </c>
      <c r="L17" s="827">
        <f>I17-J17*NORMSINV(1-$L$6/2)</f>
        <v>-9.9724200139812758E-2</v>
      </c>
      <c r="M17" s="827">
        <f>I17+J17*NORMSINV(1-$L$6/2)</f>
        <v>6.1773791997077332E-3</v>
      </c>
      <c r="N17" s="827">
        <f>EXP(I17)</f>
        <v>0.95430360829993643</v>
      </c>
      <c r="O17" s="827">
        <f t="shared" ref="O17:P20" si="1">EXP(L17)</f>
        <v>0.90508700648599383</v>
      </c>
      <c r="P17" s="827">
        <f t="shared" si="1"/>
        <v>1.0061964985554916</v>
      </c>
      <c r="S17">
        <v>11</v>
      </c>
      <c r="T17">
        <v>0</v>
      </c>
      <c r="U17">
        <v>61</v>
      </c>
      <c r="V17">
        <v>0</v>
      </c>
      <c r="W17">
        <v>25</v>
      </c>
      <c r="X17">
        <v>8.6999999999999993</v>
      </c>
    </row>
    <row r="18" spans="1:24" x14ac:dyDescent="0.25">
      <c r="A18">
        <v>16</v>
      </c>
      <c r="B18">
        <v>0</v>
      </c>
      <c r="C18">
        <v>56</v>
      </c>
      <c r="D18">
        <v>0</v>
      </c>
      <c r="E18">
        <v>11</v>
      </c>
      <c r="F18">
        <v>7.7</v>
      </c>
      <c r="H18" s="7" t="str">
        <f t="shared" si="0"/>
        <v>sex</v>
      </c>
      <c r="I18" s="7">
        <f t="shared" si="0"/>
        <v>-0.79323017678839358</v>
      </c>
      <c r="J18" s="7">
        <f t="shared" si="0"/>
        <v>0.48330943186786807</v>
      </c>
      <c r="K18" s="7">
        <f>2*NORMSDIST(-ABS(I18/J18))</f>
        <v>0.10074614368530821</v>
      </c>
      <c r="L18" s="7">
        <f>I18-J18*NORMSINV(1-$L$6/2)</f>
        <v>-1.7404992566379298</v>
      </c>
      <c r="M18" s="7">
        <f>I18+J18*NORMSINV(1-$L$6/2)</f>
        <v>0.15403890306114265</v>
      </c>
      <c r="N18" s="7">
        <f>EXP(I18)</f>
        <v>0.45238116152962338</v>
      </c>
      <c r="O18" s="7">
        <f t="shared" si="1"/>
        <v>0.17543279276311777</v>
      </c>
      <c r="P18" s="7">
        <f t="shared" si="1"/>
        <v>1.1665362677274533</v>
      </c>
      <c r="S18">
        <v>12</v>
      </c>
      <c r="T18">
        <v>0</v>
      </c>
      <c r="U18">
        <v>67</v>
      </c>
      <c r="V18">
        <v>1</v>
      </c>
      <c r="W18">
        <v>17</v>
      </c>
      <c r="X18">
        <v>3.5000000000000009</v>
      </c>
    </row>
    <row r="19" spans="1:24" x14ac:dyDescent="0.25">
      <c r="A19">
        <v>6</v>
      </c>
      <c r="B19">
        <v>1</v>
      </c>
      <c r="C19">
        <v>68</v>
      </c>
      <c r="D19">
        <v>1</v>
      </c>
      <c r="E19">
        <v>23</v>
      </c>
      <c r="F19">
        <v>5.1000000000000005</v>
      </c>
      <c r="H19" s="7" t="str">
        <f t="shared" si="0"/>
        <v>blood</v>
      </c>
      <c r="I19" s="7">
        <f t="shared" si="0"/>
        <v>4.8671003311350984E-2</v>
      </c>
      <c r="J19" s="7">
        <f t="shared" si="0"/>
        <v>2.2257639425051164E-2</v>
      </c>
      <c r="K19" s="7">
        <f>2*NORMSDIST(-ABS(I19/J19))</f>
        <v>2.8763699150794089E-2</v>
      </c>
      <c r="L19" s="7">
        <f>I19-J19*NORMSINV(1-$L$6/2)</f>
        <v>5.0468316573719155E-3</v>
      </c>
      <c r="M19" s="7">
        <f>I19+J19*NORMSINV(1-$L$6/2)</f>
        <v>9.2295174965330046E-2</v>
      </c>
      <c r="N19" s="7">
        <f>EXP(I19)</f>
        <v>1.0498748885533566</v>
      </c>
      <c r="O19" s="7">
        <f t="shared" si="1"/>
        <v>1.0050595883635485</v>
      </c>
      <c r="P19" s="7">
        <f t="shared" si="1"/>
        <v>1.0966884892960431</v>
      </c>
      <c r="S19">
        <v>13</v>
      </c>
      <c r="T19">
        <v>1</v>
      </c>
      <c r="U19">
        <v>61</v>
      </c>
      <c r="V19">
        <v>1</v>
      </c>
      <c r="W19">
        <v>8</v>
      </c>
      <c r="X19">
        <v>0.20000000000000018</v>
      </c>
    </row>
    <row r="20" spans="1:24" x14ac:dyDescent="0.25">
      <c r="A20">
        <v>77</v>
      </c>
      <c r="B20">
        <v>0</v>
      </c>
      <c r="C20">
        <v>61</v>
      </c>
      <c r="D20">
        <v>0</v>
      </c>
      <c r="E20">
        <v>12</v>
      </c>
      <c r="F20">
        <v>8.6999999999999993</v>
      </c>
      <c r="H20" s="762" t="str">
        <f t="shared" si="0"/>
        <v>size</v>
      </c>
      <c r="I20" s="762">
        <f t="shared" si="0"/>
        <v>-0.24221236053185152</v>
      </c>
      <c r="J20" s="762">
        <f t="shared" si="0"/>
        <v>9.4111445072060318E-2</v>
      </c>
      <c r="K20" s="762">
        <f>2*NORMSDIST(-ABS(I20/J20))</f>
        <v>1.0062447557100892E-2</v>
      </c>
      <c r="L20" s="762">
        <f>I20-J20*NORMSINV(1-$L$6/2)</f>
        <v>-0.42666740340610926</v>
      </c>
      <c r="M20" s="762">
        <f>I20+J20*NORMSINV(1-$L$6/2)</f>
        <v>-5.7757317657593787E-2</v>
      </c>
      <c r="N20" s="762">
        <f>EXP(I20)</f>
        <v>0.78488948030501571</v>
      </c>
      <c r="O20" s="762">
        <f t="shared" si="1"/>
        <v>0.65268059547493085</v>
      </c>
      <c r="P20" s="762">
        <f t="shared" si="1"/>
        <v>0.94387898240670143</v>
      </c>
      <c r="S20">
        <v>13</v>
      </c>
      <c r="T20">
        <v>0</v>
      </c>
      <c r="U20">
        <v>72</v>
      </c>
      <c r="V20">
        <v>1</v>
      </c>
      <c r="W20">
        <v>27</v>
      </c>
      <c r="X20">
        <v>1.1000000000000001</v>
      </c>
    </row>
    <row r="21" spans="1:24" x14ac:dyDescent="0.25">
      <c r="A21">
        <v>57</v>
      </c>
      <c r="B21">
        <v>0</v>
      </c>
      <c r="C21">
        <v>70</v>
      </c>
      <c r="D21">
        <v>0</v>
      </c>
      <c r="E21">
        <v>14</v>
      </c>
      <c r="F21">
        <v>7.2</v>
      </c>
      <c r="S21">
        <v>14</v>
      </c>
      <c r="T21">
        <v>1</v>
      </c>
      <c r="U21">
        <v>60</v>
      </c>
      <c r="V21">
        <v>0</v>
      </c>
      <c r="W21">
        <v>17</v>
      </c>
      <c r="X21">
        <v>9.3000000000000007</v>
      </c>
    </row>
    <row r="22" spans="1:24" x14ac:dyDescent="0.25">
      <c r="A22">
        <v>52</v>
      </c>
      <c r="B22">
        <v>1</v>
      </c>
      <c r="C22">
        <v>61</v>
      </c>
      <c r="D22">
        <v>1</v>
      </c>
      <c r="E22">
        <v>10</v>
      </c>
      <c r="F22">
        <v>4.8</v>
      </c>
      <c r="S22">
        <v>15</v>
      </c>
      <c r="T22">
        <v>1</v>
      </c>
      <c r="U22">
        <v>71</v>
      </c>
      <c r="V22">
        <v>0</v>
      </c>
      <c r="W22">
        <v>30</v>
      </c>
      <c r="X22">
        <v>5.3</v>
      </c>
    </row>
    <row r="23" spans="1:24" x14ac:dyDescent="0.25">
      <c r="A23">
        <v>41</v>
      </c>
      <c r="B23">
        <v>0</v>
      </c>
      <c r="C23">
        <v>73</v>
      </c>
      <c r="D23">
        <v>0</v>
      </c>
      <c r="E23">
        <v>25</v>
      </c>
      <c r="F23">
        <v>7.5000000000000009</v>
      </c>
      <c r="S23">
        <v>16</v>
      </c>
      <c r="T23">
        <v>1</v>
      </c>
      <c r="U23">
        <v>63</v>
      </c>
      <c r="V23">
        <v>1</v>
      </c>
      <c r="W23">
        <v>15</v>
      </c>
      <c r="X23">
        <v>3.5000000000000009</v>
      </c>
    </row>
    <row r="24" spans="1:24" x14ac:dyDescent="0.25">
      <c r="A24">
        <v>9</v>
      </c>
      <c r="B24">
        <v>1</v>
      </c>
      <c r="C24">
        <v>54</v>
      </c>
      <c r="D24">
        <v>0</v>
      </c>
      <c r="E24">
        <v>32</v>
      </c>
      <c r="F24">
        <v>2.8999999999999995</v>
      </c>
      <c r="S24">
        <v>16</v>
      </c>
      <c r="T24">
        <v>0</v>
      </c>
      <c r="U24">
        <v>56</v>
      </c>
      <c r="V24">
        <v>0</v>
      </c>
      <c r="W24">
        <v>11</v>
      </c>
      <c r="X24">
        <v>7.7</v>
      </c>
    </row>
    <row r="25" spans="1:24" x14ac:dyDescent="0.25">
      <c r="A25">
        <v>19</v>
      </c>
      <c r="B25">
        <v>1</v>
      </c>
      <c r="C25">
        <v>52</v>
      </c>
      <c r="D25">
        <v>0</v>
      </c>
      <c r="E25">
        <v>13</v>
      </c>
      <c r="F25">
        <v>9.1000000000000014</v>
      </c>
      <c r="S25">
        <v>17</v>
      </c>
      <c r="T25">
        <v>1</v>
      </c>
      <c r="U25">
        <v>54</v>
      </c>
      <c r="V25">
        <v>0</v>
      </c>
      <c r="W25">
        <v>13</v>
      </c>
      <c r="X25">
        <v>4.7</v>
      </c>
    </row>
    <row r="26" spans="1:24" x14ac:dyDescent="0.25">
      <c r="A26">
        <v>6</v>
      </c>
      <c r="B26">
        <v>1</v>
      </c>
      <c r="C26">
        <v>75</v>
      </c>
      <c r="D26">
        <v>1</v>
      </c>
      <c r="E26">
        <v>69</v>
      </c>
      <c r="F26">
        <v>4.8999999999999995</v>
      </c>
      <c r="S26">
        <v>17</v>
      </c>
      <c r="T26">
        <v>1</v>
      </c>
      <c r="U26">
        <v>69</v>
      </c>
      <c r="V26">
        <v>0</v>
      </c>
      <c r="W26">
        <v>24</v>
      </c>
      <c r="X26">
        <v>5.8999999999999995</v>
      </c>
    </row>
    <row r="27" spans="1:24" x14ac:dyDescent="0.25">
      <c r="A27">
        <v>17</v>
      </c>
      <c r="B27">
        <v>1</v>
      </c>
      <c r="C27">
        <v>54</v>
      </c>
      <c r="D27">
        <v>0</v>
      </c>
      <c r="E27">
        <v>13</v>
      </c>
      <c r="F27">
        <v>4.7</v>
      </c>
      <c r="S27">
        <v>18</v>
      </c>
      <c r="T27">
        <v>1</v>
      </c>
      <c r="U27">
        <v>66</v>
      </c>
      <c r="V27">
        <v>1</v>
      </c>
      <c r="W27">
        <v>18</v>
      </c>
      <c r="X27">
        <v>2.2000000000000002</v>
      </c>
    </row>
    <row r="28" spans="1:24" x14ac:dyDescent="0.25">
      <c r="A28">
        <v>51</v>
      </c>
      <c r="B28">
        <v>1</v>
      </c>
      <c r="C28">
        <v>80</v>
      </c>
      <c r="D28">
        <v>0</v>
      </c>
      <c r="E28">
        <v>25</v>
      </c>
      <c r="F28">
        <v>2.4000000000000004</v>
      </c>
      <c r="S28">
        <v>19</v>
      </c>
      <c r="T28">
        <v>1</v>
      </c>
      <c r="U28">
        <v>61</v>
      </c>
      <c r="V28">
        <v>1</v>
      </c>
      <c r="W28">
        <v>13</v>
      </c>
      <c r="X28">
        <v>2.2000000000000002</v>
      </c>
    </row>
    <row r="29" spans="1:24" x14ac:dyDescent="0.25">
      <c r="A29">
        <v>41</v>
      </c>
      <c r="B29">
        <v>1</v>
      </c>
      <c r="C29">
        <v>75</v>
      </c>
      <c r="D29">
        <v>1</v>
      </c>
      <c r="E29">
        <v>11</v>
      </c>
      <c r="F29">
        <v>0.3</v>
      </c>
      <c r="S29">
        <v>19</v>
      </c>
      <c r="T29">
        <v>1</v>
      </c>
      <c r="U29">
        <v>52</v>
      </c>
      <c r="V29">
        <v>0</v>
      </c>
      <c r="W29">
        <v>13</v>
      </c>
      <c r="X29">
        <v>9.1000000000000014</v>
      </c>
    </row>
    <row r="30" spans="1:24" x14ac:dyDescent="0.25">
      <c r="A30">
        <v>37</v>
      </c>
      <c r="B30">
        <v>1</v>
      </c>
      <c r="C30">
        <v>64</v>
      </c>
      <c r="D30">
        <v>0</v>
      </c>
      <c r="E30">
        <v>20</v>
      </c>
      <c r="F30">
        <v>5.7</v>
      </c>
      <c r="S30">
        <v>19</v>
      </c>
      <c r="T30">
        <v>0</v>
      </c>
      <c r="U30">
        <v>70</v>
      </c>
      <c r="V30">
        <v>1</v>
      </c>
      <c r="W30">
        <v>15</v>
      </c>
      <c r="X30">
        <v>5.5000000000000009</v>
      </c>
    </row>
    <row r="31" spans="1:24" x14ac:dyDescent="0.25">
      <c r="A31">
        <v>6</v>
      </c>
      <c r="B31">
        <v>1</v>
      </c>
      <c r="C31">
        <v>78</v>
      </c>
      <c r="D31">
        <v>0</v>
      </c>
      <c r="E31">
        <v>15</v>
      </c>
      <c r="F31">
        <v>3.7</v>
      </c>
      <c r="S31">
        <v>19</v>
      </c>
      <c r="T31">
        <v>0</v>
      </c>
      <c r="U31">
        <v>60</v>
      </c>
      <c r="V31">
        <v>1</v>
      </c>
      <c r="W31">
        <v>15</v>
      </c>
      <c r="X31">
        <v>7.7</v>
      </c>
    </row>
    <row r="32" spans="1:24" x14ac:dyDescent="0.25">
      <c r="A32">
        <v>11</v>
      </c>
      <c r="B32">
        <v>1</v>
      </c>
      <c r="C32">
        <v>62</v>
      </c>
      <c r="D32">
        <v>0</v>
      </c>
      <c r="E32">
        <v>17</v>
      </c>
      <c r="F32">
        <v>8.6999999999999993</v>
      </c>
      <c r="S32">
        <v>37</v>
      </c>
      <c r="T32">
        <v>1</v>
      </c>
      <c r="U32">
        <v>64</v>
      </c>
      <c r="V32">
        <v>0</v>
      </c>
      <c r="W32">
        <v>20</v>
      </c>
      <c r="X32">
        <v>5.7</v>
      </c>
    </row>
    <row r="33" spans="1:24" x14ac:dyDescent="0.25">
      <c r="A33">
        <v>80</v>
      </c>
      <c r="B33">
        <v>1</v>
      </c>
      <c r="C33">
        <v>59</v>
      </c>
      <c r="D33">
        <v>1</v>
      </c>
      <c r="E33">
        <v>19</v>
      </c>
      <c r="F33">
        <v>5.7</v>
      </c>
      <c r="S33">
        <v>41</v>
      </c>
      <c r="T33">
        <v>1</v>
      </c>
      <c r="U33">
        <v>70</v>
      </c>
      <c r="V33">
        <v>0</v>
      </c>
      <c r="W33">
        <v>10</v>
      </c>
      <c r="X33">
        <v>4.8999999999999995</v>
      </c>
    </row>
    <row r="34" spans="1:24" x14ac:dyDescent="0.25">
      <c r="A34">
        <v>19</v>
      </c>
      <c r="B34">
        <v>0</v>
      </c>
      <c r="C34">
        <v>70</v>
      </c>
      <c r="D34">
        <v>1</v>
      </c>
      <c r="E34">
        <v>15</v>
      </c>
      <c r="F34">
        <v>5.5000000000000009</v>
      </c>
      <c r="S34">
        <v>41</v>
      </c>
      <c r="T34">
        <v>1</v>
      </c>
      <c r="U34">
        <v>75</v>
      </c>
      <c r="V34">
        <v>1</v>
      </c>
      <c r="W34">
        <v>11</v>
      </c>
      <c r="X34">
        <v>0.3</v>
      </c>
    </row>
    <row r="35" spans="1:24" x14ac:dyDescent="0.25">
      <c r="A35">
        <v>2</v>
      </c>
      <c r="B35">
        <v>1</v>
      </c>
      <c r="C35">
        <v>58</v>
      </c>
      <c r="D35">
        <v>0</v>
      </c>
      <c r="E35">
        <v>14</v>
      </c>
      <c r="F35">
        <v>0.2</v>
      </c>
      <c r="S35">
        <v>41</v>
      </c>
      <c r="T35">
        <v>0</v>
      </c>
      <c r="U35">
        <v>73</v>
      </c>
      <c r="V35">
        <v>0</v>
      </c>
      <c r="W35">
        <v>25</v>
      </c>
      <c r="X35">
        <v>7.5000000000000009</v>
      </c>
    </row>
    <row r="36" spans="1:24" x14ac:dyDescent="0.25">
      <c r="A36">
        <v>19</v>
      </c>
      <c r="B36">
        <v>0</v>
      </c>
      <c r="C36">
        <v>60</v>
      </c>
      <c r="D36">
        <v>1</v>
      </c>
      <c r="E36">
        <v>15</v>
      </c>
      <c r="F36">
        <v>7.7</v>
      </c>
      <c r="S36">
        <v>51</v>
      </c>
      <c r="T36">
        <v>1</v>
      </c>
      <c r="U36">
        <v>80</v>
      </c>
      <c r="V36">
        <v>0</v>
      </c>
      <c r="W36">
        <v>25</v>
      </c>
      <c r="X36">
        <v>2.4000000000000004</v>
      </c>
    </row>
    <row r="37" spans="1:24" x14ac:dyDescent="0.25">
      <c r="A37">
        <v>7</v>
      </c>
      <c r="B37">
        <v>1</v>
      </c>
      <c r="C37">
        <v>62</v>
      </c>
      <c r="D37">
        <v>1</v>
      </c>
      <c r="E37">
        <v>10</v>
      </c>
      <c r="F37">
        <v>0.7</v>
      </c>
      <c r="S37">
        <v>52</v>
      </c>
      <c r="T37">
        <v>1</v>
      </c>
      <c r="U37">
        <v>61</v>
      </c>
      <c r="V37">
        <v>1</v>
      </c>
      <c r="W37">
        <v>10</v>
      </c>
      <c r="X37">
        <v>4.8</v>
      </c>
    </row>
    <row r="38" spans="1:24" x14ac:dyDescent="0.25">
      <c r="A38">
        <v>2</v>
      </c>
      <c r="B38">
        <v>1</v>
      </c>
      <c r="C38">
        <v>76</v>
      </c>
      <c r="D38">
        <v>0</v>
      </c>
      <c r="E38">
        <v>34</v>
      </c>
      <c r="F38">
        <v>6.0000000000000009</v>
      </c>
      <c r="S38">
        <v>53</v>
      </c>
      <c r="T38">
        <v>0</v>
      </c>
      <c r="U38">
        <v>67</v>
      </c>
      <c r="V38">
        <v>0</v>
      </c>
      <c r="W38">
        <v>12</v>
      </c>
      <c r="X38">
        <v>6.7</v>
      </c>
    </row>
    <row r="39" spans="1:24" x14ac:dyDescent="0.25">
      <c r="A39">
        <v>16</v>
      </c>
      <c r="B39">
        <v>1</v>
      </c>
      <c r="C39">
        <v>63</v>
      </c>
      <c r="D39">
        <v>1</v>
      </c>
      <c r="E39">
        <v>15</v>
      </c>
      <c r="F39">
        <v>3.5000000000000009</v>
      </c>
      <c r="S39">
        <v>57</v>
      </c>
      <c r="T39">
        <v>0</v>
      </c>
      <c r="U39">
        <v>70</v>
      </c>
      <c r="V39">
        <v>0</v>
      </c>
      <c r="W39">
        <v>14</v>
      </c>
      <c r="X39">
        <v>7.2</v>
      </c>
    </row>
    <row r="40" spans="1:24" x14ac:dyDescent="0.25">
      <c r="A40">
        <v>19</v>
      </c>
      <c r="B40">
        <v>1</v>
      </c>
      <c r="C40">
        <v>61</v>
      </c>
      <c r="D40">
        <v>1</v>
      </c>
      <c r="E40">
        <v>13</v>
      </c>
      <c r="F40">
        <v>2.2000000000000002</v>
      </c>
      <c r="S40">
        <v>67</v>
      </c>
      <c r="T40">
        <v>1</v>
      </c>
      <c r="U40">
        <v>60</v>
      </c>
      <c r="V40">
        <v>1</v>
      </c>
      <c r="W40">
        <v>18</v>
      </c>
      <c r="X40">
        <v>1.2999999999999998</v>
      </c>
    </row>
    <row r="41" spans="1:24" x14ac:dyDescent="0.25">
      <c r="A41">
        <v>13</v>
      </c>
      <c r="B41">
        <v>0</v>
      </c>
      <c r="C41">
        <v>72</v>
      </c>
      <c r="D41">
        <v>1</v>
      </c>
      <c r="E41">
        <v>27</v>
      </c>
      <c r="F41">
        <v>1.1000000000000001</v>
      </c>
      <c r="S41">
        <v>67</v>
      </c>
      <c r="T41">
        <v>1</v>
      </c>
      <c r="U41">
        <v>53</v>
      </c>
      <c r="V41">
        <v>0</v>
      </c>
      <c r="W41">
        <v>15</v>
      </c>
      <c r="X41">
        <v>7.5000000000000009</v>
      </c>
    </row>
    <row r="42" spans="1:24" x14ac:dyDescent="0.25">
      <c r="A42">
        <v>13</v>
      </c>
      <c r="B42">
        <v>1</v>
      </c>
      <c r="C42">
        <v>61</v>
      </c>
      <c r="D42">
        <v>1</v>
      </c>
      <c r="E42">
        <v>8</v>
      </c>
      <c r="F42">
        <v>0.20000000000000018</v>
      </c>
      <c r="S42">
        <v>77</v>
      </c>
      <c r="T42">
        <v>0</v>
      </c>
      <c r="U42">
        <v>61</v>
      </c>
      <c r="V42">
        <v>0</v>
      </c>
      <c r="W42">
        <v>12</v>
      </c>
      <c r="X42">
        <v>8.6999999999999993</v>
      </c>
    </row>
    <row r="43" spans="1:24" x14ac:dyDescent="0.25">
      <c r="A43" s="762">
        <v>18</v>
      </c>
      <c r="B43" s="762">
        <v>1</v>
      </c>
      <c r="C43" s="762">
        <v>66</v>
      </c>
      <c r="D43" s="762">
        <v>1</v>
      </c>
      <c r="E43" s="762">
        <v>18</v>
      </c>
      <c r="F43" s="762">
        <v>2.2000000000000002</v>
      </c>
      <c r="S43" s="762">
        <v>80</v>
      </c>
      <c r="T43" s="762">
        <v>1</v>
      </c>
      <c r="U43" s="762">
        <v>59</v>
      </c>
      <c r="V43" s="762">
        <v>1</v>
      </c>
      <c r="W43" s="762">
        <v>19</v>
      </c>
      <c r="X43" s="762">
        <v>5.7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/>
  <dimension ref="A1:V23"/>
  <sheetViews>
    <sheetView workbookViewId="0"/>
  </sheetViews>
  <sheetFormatPr defaultRowHeight="15" x14ac:dyDescent="0.25"/>
  <cols>
    <col min="7" max="7" width="15.7109375" customWidth="1"/>
  </cols>
  <sheetData>
    <row r="1" spans="1:22" x14ac:dyDescent="0.25">
      <c r="A1" s="1" t="s">
        <v>2209</v>
      </c>
      <c r="G1" t="s">
        <v>457</v>
      </c>
    </row>
    <row r="3" spans="1:22" ht="15.75" thickBot="1" x14ac:dyDescent="0.3">
      <c r="A3" s="13" t="s">
        <v>2214</v>
      </c>
      <c r="B3" s="13" t="s">
        <v>2210</v>
      </c>
      <c r="C3" s="13" t="s">
        <v>2211</v>
      </c>
      <c r="D3" s="13" t="s">
        <v>2212</v>
      </c>
      <c r="E3" s="13" t="s">
        <v>2213</v>
      </c>
      <c r="G3" t="s">
        <v>458</v>
      </c>
      <c r="L3" t="s">
        <v>34</v>
      </c>
      <c r="M3">
        <v>0.05</v>
      </c>
    </row>
    <row r="4" spans="1:22" ht="15.75" thickTop="1" x14ac:dyDescent="0.25">
      <c r="A4" s="1005">
        <v>34.5</v>
      </c>
      <c r="B4" s="965">
        <v>48.9</v>
      </c>
      <c r="C4" s="965">
        <v>57.7</v>
      </c>
      <c r="D4" s="965">
        <v>41.6</v>
      </c>
      <c r="E4" s="1006">
        <v>13.7</v>
      </c>
      <c r="G4" s="826" t="s">
        <v>79</v>
      </c>
      <c r="H4" s="826" t="s">
        <v>22</v>
      </c>
      <c r="I4" s="826" t="s">
        <v>21</v>
      </c>
      <c r="J4" s="826" t="s">
        <v>10</v>
      </c>
      <c r="K4" s="826" t="s">
        <v>80</v>
      </c>
      <c r="L4" s="826" t="s">
        <v>219</v>
      </c>
      <c r="M4" s="826" t="s">
        <v>59</v>
      </c>
      <c r="N4" s="826" t="s">
        <v>343</v>
      </c>
      <c r="O4" s="826" t="s">
        <v>344</v>
      </c>
      <c r="Q4" t="s">
        <v>1570</v>
      </c>
    </row>
    <row r="5" spans="1:22" x14ac:dyDescent="0.25">
      <c r="A5" s="626">
        <v>24.9</v>
      </c>
      <c r="B5" s="92">
        <v>65</v>
      </c>
      <c r="C5" s="92">
        <v>29.6</v>
      </c>
      <c r="D5" s="92">
        <v>32.799999999999997</v>
      </c>
      <c r="E5" s="967">
        <v>27.9</v>
      </c>
      <c r="G5" t="str">
        <f>A3</f>
        <v>Region 1</v>
      </c>
      <c r="H5">
        <f>COUNT(A4:A13)</f>
        <v>10</v>
      </c>
      <c r="I5" s="29">
        <f>SUM(A4:A13)</f>
        <v>405.3</v>
      </c>
      <c r="J5" s="29">
        <f>AVERAGE(A4:A13)</f>
        <v>40.53</v>
      </c>
      <c r="K5">
        <f>VAR(A4:A13)</f>
        <v>195.61788888888864</v>
      </c>
      <c r="L5">
        <f>DEVSQ(A4:A13)</f>
        <v>1760.5609999999999</v>
      </c>
      <c r="M5">
        <f>SQRT(J14/H5)</f>
        <v>4.2808506423632933</v>
      </c>
      <c r="N5">
        <f>J5-M5*TINV(M3,H5-1)</f>
        <v>30.846043056508577</v>
      </c>
      <c r="O5">
        <f>J5+M5*TINV(M3,H5-1)</f>
        <v>50.213956943491425</v>
      </c>
    </row>
    <row r="6" spans="1:22" x14ac:dyDescent="0.25">
      <c r="A6" s="626">
        <v>40.4</v>
      </c>
      <c r="B6" s="92">
        <v>35.6</v>
      </c>
      <c r="C6" s="92">
        <v>38.799999999999997</v>
      </c>
      <c r="D6" s="92">
        <v>59.2</v>
      </c>
      <c r="E6" s="967">
        <v>37.799999999999997</v>
      </c>
      <c r="G6" t="str">
        <f>B3</f>
        <v>Region 2</v>
      </c>
      <c r="H6">
        <f>COUNT(B4:B13)</f>
        <v>10</v>
      </c>
      <c r="I6" s="29">
        <f>SUM(B4:B13)</f>
        <v>520.79999999999995</v>
      </c>
      <c r="J6" s="29">
        <f>AVERAGE(B4:B13)</f>
        <v>52.08</v>
      </c>
      <c r="K6">
        <f>VAR(B4:B13)</f>
        <v>193.29733333333408</v>
      </c>
      <c r="L6">
        <f>DEVSQ(B4:B13)</f>
        <v>1739.6759999999999</v>
      </c>
      <c r="M6">
        <f>SQRT(J14/H6)</f>
        <v>4.2808506423632933</v>
      </c>
      <c r="N6">
        <f>J6-M6*TINV(M3,H6-1)</f>
        <v>42.396043056508574</v>
      </c>
      <c r="O6">
        <f>J6+M6*TINV(M3,H6-1)</f>
        <v>61.763956943491422</v>
      </c>
      <c r="Q6" s="959"/>
      <c r="R6" s="959" t="str">
        <f>A3</f>
        <v>Region 1</v>
      </c>
      <c r="S6" s="959" t="str">
        <f>B3</f>
        <v>Region 2</v>
      </c>
      <c r="T6" s="959" t="str">
        <f>C3</f>
        <v>Region 3</v>
      </c>
      <c r="U6" s="959" t="str">
        <f>D3</f>
        <v>Region 4</v>
      </c>
      <c r="V6" s="959" t="str">
        <f>E3</f>
        <v>Region 5</v>
      </c>
    </row>
    <row r="7" spans="1:22" x14ac:dyDescent="0.25">
      <c r="A7" s="626">
        <v>42.5</v>
      </c>
      <c r="B7" s="92">
        <v>39.700000000000003</v>
      </c>
      <c r="C7" s="92">
        <v>34.6</v>
      </c>
      <c r="D7" s="92">
        <v>45</v>
      </c>
      <c r="E7" s="967">
        <v>41.5</v>
      </c>
      <c r="G7" t="str">
        <f>C3</f>
        <v>Region 3</v>
      </c>
      <c r="H7">
        <f>COUNT(C4:C13)</f>
        <v>10</v>
      </c>
      <c r="I7" s="29">
        <f>SUM(C4:C13)</f>
        <v>455.60000000000008</v>
      </c>
      <c r="J7" s="29">
        <f>AVERAGE(C4:C13)</f>
        <v>45.560000000000009</v>
      </c>
      <c r="K7">
        <f>VAR(C4:C13)</f>
        <v>177.63822222222129</v>
      </c>
      <c r="L7">
        <f>DEVSQ(C4:C13)</f>
        <v>1598.7439999999997</v>
      </c>
      <c r="M7">
        <f>SQRT(J14/H7)</f>
        <v>4.2808506423632933</v>
      </c>
      <c r="N7">
        <f>J7-M7*TINV(M3,H7-1)</f>
        <v>35.876043056508585</v>
      </c>
      <c r="O7">
        <f>J7+M7*TINV(M3,H7-1)</f>
        <v>55.243956943491433</v>
      </c>
      <c r="Q7" t="s">
        <v>1044</v>
      </c>
      <c r="R7">
        <f>[1]!SHAPIRO(A4:A13)</f>
        <v>0.93365297513447998</v>
      </c>
      <c r="S7">
        <f>[1]!SHAPIRO(B4:B13)</f>
        <v>0.85470793765749631</v>
      </c>
      <c r="T7">
        <f>[1]!SHAPIRO(C4:C13)</f>
        <v>0.9122017833283711</v>
      </c>
      <c r="U7">
        <f>[1]!SHAPIRO(D4:D13)</f>
        <v>0.87331997774294146</v>
      </c>
      <c r="V7">
        <f>[1]!SHAPIRO(E4:E13)</f>
        <v>0.93922988733068635</v>
      </c>
    </row>
    <row r="8" spans="1:22" x14ac:dyDescent="0.25">
      <c r="A8" s="626">
        <v>31</v>
      </c>
      <c r="B8" s="92">
        <v>58.6</v>
      </c>
      <c r="C8" s="92">
        <v>46.7</v>
      </c>
      <c r="D8" s="92">
        <v>67.599999999999994</v>
      </c>
      <c r="E8" s="967">
        <v>23.4</v>
      </c>
      <c r="G8" t="str">
        <f>D3</f>
        <v>Region 4</v>
      </c>
      <c r="H8">
        <f>COUNT(D4:D13)</f>
        <v>10</v>
      </c>
      <c r="I8" s="29">
        <f>SUM(D4:D13)</f>
        <v>535.20000000000005</v>
      </c>
      <c r="J8" s="29">
        <f>AVERAGE(D4:D13)</f>
        <v>53.52</v>
      </c>
      <c r="K8">
        <f>VAR(D4:D13)</f>
        <v>182.73733333333317</v>
      </c>
      <c r="L8">
        <f>DEVSQ(D4:D13)</f>
        <v>1644.636</v>
      </c>
      <c r="M8">
        <f>SQRT(J14/H8)</f>
        <v>4.2808506423632933</v>
      </c>
      <c r="N8">
        <f>J8-M8*TINV(M3,H8-1)</f>
        <v>43.836043056508579</v>
      </c>
      <c r="O8">
        <f>J8+M8*TINV(M3,H8-1)</f>
        <v>63.203956943491427</v>
      </c>
      <c r="Q8" t="s">
        <v>67</v>
      </c>
      <c r="R8">
        <f>[1]!SWTEST(A4:A13)</f>
        <v>0.48476844136001929</v>
      </c>
      <c r="S8">
        <f>[1]!SWTEST(B4:B13)</f>
        <v>6.6070243762101577E-2</v>
      </c>
      <c r="T8">
        <f>[1]!SWTEST(C4:C13)</f>
        <v>0.29646000043025267</v>
      </c>
      <c r="U8">
        <f>[1]!SWTEST(D4:D13)</f>
        <v>0.10926095491716203</v>
      </c>
      <c r="V8">
        <f>[1]!SWTEST(E4:E13)</f>
        <v>0.54447639310732798</v>
      </c>
    </row>
    <row r="9" spans="1:22" x14ac:dyDescent="0.25">
      <c r="A9" s="626">
        <v>34.6</v>
      </c>
      <c r="B9" s="92">
        <v>60.1</v>
      </c>
      <c r="C9" s="92">
        <v>42.3</v>
      </c>
      <c r="D9" s="92">
        <v>67.400000000000006</v>
      </c>
      <c r="E9" s="967">
        <v>39.299999999999997</v>
      </c>
      <c r="G9" t="str">
        <f>E3</f>
        <v>Region 5</v>
      </c>
      <c r="H9">
        <f>COUNT(E4:E13)</f>
        <v>10</v>
      </c>
      <c r="I9" s="29">
        <f>SUM(E4:E13)</f>
        <v>346.99999999999994</v>
      </c>
      <c r="J9" s="29">
        <f>AVERAGE(E4:E13)</f>
        <v>34.699999999999996</v>
      </c>
      <c r="K9">
        <f>VAR(E4:E13)</f>
        <v>166.9933333333336</v>
      </c>
      <c r="L9">
        <f>DEVSQ(E4:E13)</f>
        <v>1502.9399999999998</v>
      </c>
      <c r="M9">
        <f>SQRT(J14/H9)</f>
        <v>4.2808506423632933</v>
      </c>
      <c r="N9">
        <f>J9-M9*TINV(M3,H9-1)</f>
        <v>25.016043056508572</v>
      </c>
      <c r="O9">
        <f>J9+M9*TINV(M3,H9-1)</f>
        <v>44.38395694349142</v>
      </c>
      <c r="Q9" t="s">
        <v>106</v>
      </c>
      <c r="R9">
        <v>0.05</v>
      </c>
      <c r="S9">
        <v>0.05</v>
      </c>
      <c r="T9">
        <v>0.05</v>
      </c>
      <c r="U9">
        <v>0.05</v>
      </c>
      <c r="V9">
        <v>0.05</v>
      </c>
    </row>
    <row r="10" spans="1:22" x14ac:dyDescent="0.25">
      <c r="A10" s="626">
        <v>21.8</v>
      </c>
      <c r="B10" s="92">
        <v>64.7</v>
      </c>
      <c r="C10" s="92">
        <v>39.6</v>
      </c>
      <c r="D10" s="92">
        <v>63.1</v>
      </c>
      <c r="E10" s="967">
        <v>36.9</v>
      </c>
      <c r="G10" s="827"/>
      <c r="H10" s="827"/>
      <c r="I10" s="827"/>
      <c r="J10" s="827"/>
      <c r="K10" s="827"/>
      <c r="L10" s="827"/>
      <c r="M10" s="827"/>
      <c r="N10" s="827"/>
      <c r="O10" s="827"/>
      <c r="Q10" s="762" t="s">
        <v>1571</v>
      </c>
      <c r="R10" s="880" t="str">
        <f>IF(R8&lt;R9,"no","yes")</f>
        <v>yes</v>
      </c>
      <c r="S10" s="880" t="str">
        <f>IF(S8&lt;S9,"no","yes")</f>
        <v>yes</v>
      </c>
      <c r="T10" s="880" t="str">
        <f>IF(T8&lt;T9,"no","yes")</f>
        <v>yes</v>
      </c>
      <c r="U10" s="880" t="str">
        <f>IF(U8&lt;U9,"no","yes")</f>
        <v>yes</v>
      </c>
      <c r="V10" s="880" t="str">
        <f>IF(V8&lt;V9,"no","yes")</f>
        <v>yes</v>
      </c>
    </row>
    <row r="11" spans="1:22" ht="15.75" thickBot="1" x14ac:dyDescent="0.3">
      <c r="A11" s="626">
        <v>62</v>
      </c>
      <c r="B11" s="92">
        <v>59.3</v>
      </c>
      <c r="C11" s="92">
        <v>61.8</v>
      </c>
      <c r="D11" s="92">
        <v>65.599999999999994</v>
      </c>
      <c r="E11" s="967">
        <v>61.3</v>
      </c>
      <c r="G11" t="s">
        <v>294</v>
      </c>
    </row>
    <row r="12" spans="1:22" ht="15.75" thickTop="1" x14ac:dyDescent="0.25">
      <c r="A12" s="626">
        <v>54.7</v>
      </c>
      <c r="B12" s="92">
        <v>63.2</v>
      </c>
      <c r="C12" s="92">
        <v>70</v>
      </c>
      <c r="D12" s="92">
        <v>57.4</v>
      </c>
      <c r="E12" s="967">
        <v>25.9</v>
      </c>
      <c r="G12" s="826" t="s">
        <v>459</v>
      </c>
      <c r="H12" s="826" t="s">
        <v>219</v>
      </c>
      <c r="I12" s="826" t="s">
        <v>60</v>
      </c>
      <c r="J12" s="826" t="s">
        <v>240</v>
      </c>
      <c r="K12" s="826" t="s">
        <v>135</v>
      </c>
      <c r="L12" s="826" t="s">
        <v>460</v>
      </c>
      <c r="M12" s="826" t="s">
        <v>467</v>
      </c>
      <c r="N12" s="826" t="s">
        <v>1231</v>
      </c>
      <c r="O12" s="826" t="s">
        <v>1232</v>
      </c>
    </row>
    <row r="13" spans="1:22" x14ac:dyDescent="0.25">
      <c r="A13" s="819">
        <v>58.9</v>
      </c>
      <c r="B13" s="963">
        <v>25.7</v>
      </c>
      <c r="C13" s="963">
        <v>34.5</v>
      </c>
      <c r="D13" s="963">
        <v>35.5</v>
      </c>
      <c r="E13" s="968">
        <v>39.299999999999997</v>
      </c>
      <c r="G13" t="s">
        <v>462</v>
      </c>
      <c r="H13">
        <f>H15-H14</f>
        <v>2487.148799999999</v>
      </c>
      <c r="I13">
        <f>COUNTA(G5:G9)-1</f>
        <v>4</v>
      </c>
      <c r="J13">
        <f>H13/I13</f>
        <v>621.78719999999976</v>
      </c>
      <c r="K13">
        <f>J13/J14</f>
        <v>3.3929825501721491</v>
      </c>
      <c r="L13">
        <f>FDIST(K13,I13,I14)</f>
        <v>1.6504701725843174E-2</v>
      </c>
      <c r="M13">
        <f>FINV(M3,I13,I14)</f>
        <v>2.5787391843115586</v>
      </c>
      <c r="N13">
        <f>SQRT(DEVSQ(J5:J9)/(J14*I13))</f>
        <v>0.58249313731340668</v>
      </c>
      <c r="O13">
        <f>(H15-I15*J14)/(H15+J14)</f>
        <v>0.16067853044952968</v>
      </c>
    </row>
    <row r="14" spans="1:22" x14ac:dyDescent="0.25">
      <c r="G14" t="s">
        <v>463</v>
      </c>
      <c r="H14">
        <f>SUM(L5:L9)</f>
        <v>8246.5570000000007</v>
      </c>
      <c r="I14">
        <f>I15-I13</f>
        <v>45</v>
      </c>
      <c r="J14">
        <f>H14/I14</f>
        <v>183.25682222222224</v>
      </c>
    </row>
    <row r="15" spans="1:22" x14ac:dyDescent="0.25">
      <c r="G15" s="762" t="s">
        <v>1</v>
      </c>
      <c r="H15" s="762">
        <f>DEVSQ(A4:E13)</f>
        <v>10733.7058</v>
      </c>
      <c r="I15" s="762">
        <f>COUNT(A4:E13)-1</f>
        <v>49</v>
      </c>
      <c r="J15" s="762">
        <f>H15/I15</f>
        <v>219.05522040816325</v>
      </c>
      <c r="K15" s="762"/>
      <c r="L15" s="762"/>
      <c r="M15" s="762"/>
      <c r="N15" s="762"/>
      <c r="O15" s="762"/>
    </row>
    <row r="17" spans="7:13" ht="15.75" thickBot="1" x14ac:dyDescent="0.3">
      <c r="G17" t="s">
        <v>2223</v>
      </c>
    </row>
    <row r="18" spans="7:13" ht="15.75" thickTop="1" x14ac:dyDescent="0.25">
      <c r="G18" s="826" t="s">
        <v>80</v>
      </c>
      <c r="H18" s="826" t="s">
        <v>2224</v>
      </c>
      <c r="I18" s="826" t="s">
        <v>60</v>
      </c>
      <c r="J18" s="826" t="s">
        <v>2225</v>
      </c>
      <c r="K18" s="826" t="s">
        <v>2226</v>
      </c>
      <c r="L18" s="826" t="s">
        <v>343</v>
      </c>
      <c r="M18" s="826" t="s">
        <v>344</v>
      </c>
    </row>
    <row r="19" spans="7:13" x14ac:dyDescent="0.25">
      <c r="G19" t="s">
        <v>1173</v>
      </c>
      <c r="H19">
        <f>(J13-J14)/H5</f>
        <v>43.85303777777775</v>
      </c>
      <c r="I19">
        <f>(H19*H5)^2/(J13^2/I13-J14^2/I14)</f>
        <v>2.0051279246220481</v>
      </c>
      <c r="J19">
        <f>[1]!CHISQ_INV(M3/2,I19)</f>
        <v>5.1177040263631964E-2</v>
      </c>
      <c r="K19">
        <f>[1]!CHISQ_INV(1-M3/2,I19)</f>
        <v>7.3885407472349307</v>
      </c>
      <c r="L19">
        <f>H19*I19/K19</f>
        <v>11.900990146211866</v>
      </c>
      <c r="M19">
        <f>H19*I19/J19</f>
        <v>1718.1718632957816</v>
      </c>
    </row>
    <row r="20" spans="7:13" x14ac:dyDescent="0.25">
      <c r="G20" s="762" t="s">
        <v>588</v>
      </c>
      <c r="H20" s="762">
        <f>J14</f>
        <v>183.25682222222224</v>
      </c>
      <c r="I20" s="762">
        <f>I14</f>
        <v>45</v>
      </c>
      <c r="J20" s="762">
        <f>[1]!CHISQ_INV(M3/2,I20)</f>
        <v>28.366152291859848</v>
      </c>
      <c r="K20" s="762">
        <f>[1]!CHISQ_INV(1-M3/2,I20)</f>
        <v>65.410159009999575</v>
      </c>
      <c r="L20" s="762">
        <f>H20*I20/K20</f>
        <v>126.07455974444747</v>
      </c>
      <c r="M20" s="762">
        <f>H20*I20/J20</f>
        <v>290.71820933452756</v>
      </c>
    </row>
    <row r="21" spans="7:13" ht="15.75" thickBot="1" x14ac:dyDescent="0.3"/>
    <row r="22" spans="7:13" ht="15.75" thickTop="1" x14ac:dyDescent="0.25">
      <c r="G22" s="826"/>
      <c r="H22" s="826" t="s">
        <v>2224</v>
      </c>
      <c r="I22" s="826" t="s">
        <v>80</v>
      </c>
      <c r="J22" s="826" t="s">
        <v>68</v>
      </c>
      <c r="K22" s="826" t="s">
        <v>343</v>
      </c>
      <c r="L22" s="826" t="s">
        <v>344</v>
      </c>
    </row>
    <row r="23" spans="7:13" x14ac:dyDescent="0.25">
      <c r="G23" s="1011" t="s">
        <v>10</v>
      </c>
      <c r="H23" s="1012">
        <f>AVERAGE(A4:E13)</f>
        <v>45.277999999999999</v>
      </c>
      <c r="I23" s="1011">
        <f>J13/(H5*(I13+1))</f>
        <v>12.435743999999994</v>
      </c>
      <c r="J23" s="1011">
        <f>TINV(M3,I13)</f>
        <v>2.7764451051977934</v>
      </c>
      <c r="K23" s="1011">
        <f>H23-SQRT(I23)*J23</f>
        <v>35.487046730351004</v>
      </c>
      <c r="L23" s="1011">
        <f>H23+SQRT(I23)*J23</f>
        <v>55.068953269648993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/>
  <dimension ref="A1:AH50"/>
  <sheetViews>
    <sheetView zoomScaleNormal="100" workbookViewId="0"/>
  </sheetViews>
  <sheetFormatPr defaultRowHeight="15" x14ac:dyDescent="0.25"/>
  <cols>
    <col min="6" max="6" width="9.140625" customWidth="1"/>
  </cols>
  <sheetData>
    <row r="1" spans="1:34" x14ac:dyDescent="0.25">
      <c r="A1" s="1" t="s">
        <v>2241</v>
      </c>
    </row>
    <row r="3" spans="1:34" x14ac:dyDescent="0.25">
      <c r="B3" s="1004" t="s">
        <v>2193</v>
      </c>
      <c r="C3" s="1004" t="s">
        <v>2194</v>
      </c>
      <c r="D3" s="1004" t="s">
        <v>2195</v>
      </c>
      <c r="E3" s="1004" t="s">
        <v>2196</v>
      </c>
      <c r="G3" t="s">
        <v>27</v>
      </c>
      <c r="N3" t="s">
        <v>1670</v>
      </c>
      <c r="V3" s="1291" t="s">
        <v>2193</v>
      </c>
      <c r="W3" s="1331"/>
      <c r="X3" s="1331"/>
      <c r="Y3" s="1291" t="s">
        <v>2194</v>
      </c>
      <c r="Z3" s="1331"/>
      <c r="AA3" s="1293"/>
      <c r="AB3" s="1331" t="s">
        <v>2195</v>
      </c>
      <c r="AC3" s="1331"/>
      <c r="AD3" s="1293"/>
      <c r="AE3" s="1331" t="s">
        <v>2196</v>
      </c>
      <c r="AF3" s="1331"/>
      <c r="AG3" s="1293"/>
      <c r="AH3" s="999"/>
    </row>
    <row r="4" spans="1:34" x14ac:dyDescent="0.25">
      <c r="A4" s="970" t="s">
        <v>2203</v>
      </c>
      <c r="B4" s="970">
        <v>34</v>
      </c>
      <c r="C4" s="970">
        <v>46</v>
      </c>
      <c r="D4" s="970">
        <v>23</v>
      </c>
      <c r="E4" s="970">
        <v>50</v>
      </c>
      <c r="V4" s="583" t="s">
        <v>2203</v>
      </c>
      <c r="W4" s="997" t="s">
        <v>2204</v>
      </c>
      <c r="X4" s="682" t="s">
        <v>2202</v>
      </c>
      <c r="Y4" s="583" t="s">
        <v>2203</v>
      </c>
      <c r="Z4" s="997" t="s">
        <v>2204</v>
      </c>
      <c r="AA4" s="682" t="s">
        <v>2202</v>
      </c>
      <c r="AB4" s="583" t="s">
        <v>2203</v>
      </c>
      <c r="AC4" s="997" t="s">
        <v>2204</v>
      </c>
      <c r="AD4" s="682" t="s">
        <v>2202</v>
      </c>
      <c r="AE4" s="583" t="s">
        <v>2203</v>
      </c>
      <c r="AF4" s="997" t="s">
        <v>2204</v>
      </c>
      <c r="AG4" s="682" t="s">
        <v>2202</v>
      </c>
      <c r="AH4" s="999"/>
    </row>
    <row r="5" spans="1:34" ht="15.75" thickBot="1" x14ac:dyDescent="0.3">
      <c r="A5" s="680"/>
      <c r="B5" s="680">
        <v>56</v>
      </c>
      <c r="C5" s="680">
        <v>19</v>
      </c>
      <c r="D5" s="680">
        <v>32</v>
      </c>
      <c r="E5" s="680">
        <v>72</v>
      </c>
      <c r="G5" t="s">
        <v>1666</v>
      </c>
      <c r="H5" t="str">
        <f>IF(COUNTIF(H7:K9,H7)=COUNT(H7:K9),"balanced","unbalanced")</f>
        <v>balanced</v>
      </c>
      <c r="N5" t="s">
        <v>294</v>
      </c>
      <c r="R5" s="996" t="s">
        <v>34</v>
      </c>
      <c r="S5" s="996">
        <v>0.05</v>
      </c>
      <c r="V5" s="869">
        <v>34</v>
      </c>
      <c r="W5" s="867">
        <v>45</v>
      </c>
      <c r="X5" s="870">
        <v>40</v>
      </c>
      <c r="Y5" s="869">
        <v>46</v>
      </c>
      <c r="Z5" s="867">
        <v>23</v>
      </c>
      <c r="AA5" s="867">
        <v>75</v>
      </c>
      <c r="AB5" s="869">
        <v>23</v>
      </c>
      <c r="AC5" s="867">
        <v>75</v>
      </c>
      <c r="AD5" s="870">
        <v>55</v>
      </c>
      <c r="AE5" s="869">
        <v>48</v>
      </c>
      <c r="AF5" s="1003">
        <v>73</v>
      </c>
      <c r="AG5" s="870">
        <v>53</v>
      </c>
      <c r="AH5" s="7"/>
    </row>
    <row r="6" spans="1:34" ht="15.75" thickTop="1" x14ac:dyDescent="0.25">
      <c r="A6" s="680"/>
      <c r="B6" s="680">
        <v>78</v>
      </c>
      <c r="C6" s="680">
        <v>56</v>
      </c>
      <c r="D6" s="680">
        <v>42</v>
      </c>
      <c r="E6" s="680">
        <v>30</v>
      </c>
      <c r="H6" s="996" t="str">
        <f>B3</f>
        <v>Office 1</v>
      </c>
      <c r="I6" s="996" t="str">
        <f>C3</f>
        <v>Office 2</v>
      </c>
      <c r="J6" s="996" t="str">
        <f>D3</f>
        <v>Office 3</v>
      </c>
      <c r="K6" s="996" t="str">
        <f>E3</f>
        <v>Office 4</v>
      </c>
      <c r="N6" s="826"/>
      <c r="O6" s="826" t="s">
        <v>219</v>
      </c>
      <c r="P6" s="826" t="s">
        <v>60</v>
      </c>
      <c r="Q6" s="826" t="s">
        <v>240</v>
      </c>
      <c r="R6" s="826" t="s">
        <v>135</v>
      </c>
      <c r="S6" s="826" t="s">
        <v>67</v>
      </c>
      <c r="T6" s="826" t="s">
        <v>527</v>
      </c>
      <c r="V6" s="532">
        <v>56</v>
      </c>
      <c r="W6" s="7">
        <v>76</v>
      </c>
      <c r="X6" s="533">
        <v>39</v>
      </c>
      <c r="Y6" s="532">
        <v>32</v>
      </c>
      <c r="Z6" s="31">
        <v>56</v>
      </c>
      <c r="AA6" s="7">
        <v>57</v>
      </c>
      <c r="AB6" s="556">
        <v>56</v>
      </c>
      <c r="AC6" s="7">
        <v>57</v>
      </c>
      <c r="AD6" s="533">
        <v>73</v>
      </c>
      <c r="AE6" s="532">
        <v>72</v>
      </c>
      <c r="AF6" s="31">
        <v>68</v>
      </c>
      <c r="AG6" s="533">
        <v>51</v>
      </c>
      <c r="AH6" s="7"/>
    </row>
    <row r="7" spans="1:34" x14ac:dyDescent="0.25">
      <c r="A7" s="680"/>
      <c r="B7" s="680">
        <v>40</v>
      </c>
      <c r="C7" s="680">
        <v>52</v>
      </c>
      <c r="D7" s="680">
        <v>34</v>
      </c>
      <c r="E7" s="680">
        <v>52</v>
      </c>
      <c r="G7" t="str">
        <f>A4</f>
        <v>Conflict</v>
      </c>
      <c r="H7" s="865">
        <f>COUNT(B4:B8)</f>
        <v>5</v>
      </c>
      <c r="I7" s="798">
        <f>COUNT(C4:C8)</f>
        <v>5</v>
      </c>
      <c r="J7" s="798">
        <f>COUNT(D4:D8)</f>
        <v>5</v>
      </c>
      <c r="K7" s="866">
        <f>COUNT(E4:E8)</f>
        <v>5</v>
      </c>
      <c r="L7">
        <f>COUNT(B4:E8)</f>
        <v>20</v>
      </c>
      <c r="N7" t="s">
        <v>136</v>
      </c>
      <c r="O7">
        <f>DEVSQ(L14:L16)*L7</f>
        <v>1691.7333333333327</v>
      </c>
      <c r="P7">
        <f>COUNT(L14:L16)-1</f>
        <v>2</v>
      </c>
      <c r="Q7">
        <f>O7/P7</f>
        <v>845.86666666666633</v>
      </c>
      <c r="R7">
        <f>Q7/Q10</f>
        <v>4.0041025641025625</v>
      </c>
      <c r="S7">
        <f>FDIST(R7,P7,P10)</f>
        <v>2.4646200167940314E-2</v>
      </c>
      <c r="T7" s="996" t="str">
        <f>IF(S7&lt;S5,"yes","no")</f>
        <v>yes</v>
      </c>
      <c r="V7" s="532">
        <v>78</v>
      </c>
      <c r="W7" s="7">
        <v>65</v>
      </c>
      <c r="X7" s="533">
        <v>78</v>
      </c>
      <c r="Y7" s="532">
        <v>56</v>
      </c>
      <c r="Z7" s="31">
        <v>61</v>
      </c>
      <c r="AA7" s="7">
        <v>63</v>
      </c>
      <c r="AB7" s="556">
        <v>61</v>
      </c>
      <c r="AC7" s="7">
        <v>63</v>
      </c>
      <c r="AD7" s="533">
        <v>69</v>
      </c>
      <c r="AE7" s="532">
        <v>51</v>
      </c>
      <c r="AF7" s="31">
        <v>71</v>
      </c>
      <c r="AG7" s="533">
        <v>32</v>
      </c>
      <c r="AH7" s="7"/>
    </row>
    <row r="8" spans="1:34" x14ac:dyDescent="0.25">
      <c r="A8" s="757"/>
      <c r="B8" s="757">
        <v>61</v>
      </c>
      <c r="C8" s="757">
        <v>42</v>
      </c>
      <c r="D8" s="757">
        <v>28</v>
      </c>
      <c r="E8" s="757">
        <v>43</v>
      </c>
      <c r="G8" t="str">
        <f>A9</f>
        <v>Psychol</v>
      </c>
      <c r="H8" s="501">
        <f>COUNT(B9:B13)</f>
        <v>5</v>
      </c>
      <c r="I8" s="7">
        <f>COUNT(C9:C13)</f>
        <v>5</v>
      </c>
      <c r="J8" s="7">
        <f>COUNT(D9:D13)</f>
        <v>5</v>
      </c>
      <c r="K8" s="57">
        <f>COUNT(E9:E13)</f>
        <v>5</v>
      </c>
      <c r="L8">
        <f>COUNT(B9:E13)</f>
        <v>20</v>
      </c>
      <c r="N8" t="s">
        <v>589</v>
      </c>
      <c r="O8">
        <f>DEVSQ(H17:K17)*H10</f>
        <v>609.79999999999973</v>
      </c>
      <c r="P8">
        <f>COUNT(H17:K17)-1</f>
        <v>3</v>
      </c>
      <c r="Q8">
        <f>O8/P8</f>
        <v>203.26666666666657</v>
      </c>
      <c r="R8">
        <f>Q8/Q10</f>
        <v>0.96220907297830327</v>
      </c>
      <c r="S8">
        <f>FDIST(R8,P8,P10)</f>
        <v>0.41826475115765016</v>
      </c>
      <c r="T8" s="996" t="str">
        <f>IF(S8&lt;S5,"yes","no")</f>
        <v>no</v>
      </c>
      <c r="V8" s="532">
        <v>67</v>
      </c>
      <c r="W8" s="31">
        <v>52</v>
      </c>
      <c r="X8" s="533">
        <v>24</v>
      </c>
      <c r="Y8" s="532">
        <v>52</v>
      </c>
      <c r="Z8" s="31">
        <v>34</v>
      </c>
      <c r="AA8" s="7">
        <v>25</v>
      </c>
      <c r="AB8" s="556">
        <v>34</v>
      </c>
      <c r="AC8" s="7">
        <v>25</v>
      </c>
      <c r="AD8" s="533">
        <v>64</v>
      </c>
      <c r="AE8" s="532">
        <v>52</v>
      </c>
      <c r="AF8" s="31">
        <v>59</v>
      </c>
      <c r="AG8" s="533">
        <v>41</v>
      </c>
      <c r="AH8" s="7"/>
    </row>
    <row r="9" spans="1:34" x14ac:dyDescent="0.25">
      <c r="A9" s="970" t="s">
        <v>2204</v>
      </c>
      <c r="B9" s="970">
        <v>45</v>
      </c>
      <c r="C9" s="970">
        <v>23</v>
      </c>
      <c r="D9" s="970">
        <v>75</v>
      </c>
      <c r="E9" s="970">
        <v>73</v>
      </c>
      <c r="G9" t="str">
        <f>A14</f>
        <v>Negot</v>
      </c>
      <c r="H9" s="759">
        <f>COUNT(B14:B18)</f>
        <v>5</v>
      </c>
      <c r="I9" s="760">
        <f>COUNT(C14:C18)</f>
        <v>5</v>
      </c>
      <c r="J9" s="760">
        <f>COUNT(D14:D18)</f>
        <v>5</v>
      </c>
      <c r="K9" s="761">
        <f>COUNT(E14:E18)</f>
        <v>5</v>
      </c>
      <c r="L9">
        <f>COUNT(B14:E18)</f>
        <v>20</v>
      </c>
      <c r="N9" t="s">
        <v>1319</v>
      </c>
      <c r="O9">
        <f>O11-O7-O8-O10</f>
        <v>4155.2000000000044</v>
      </c>
      <c r="P9">
        <f>P8*P7</f>
        <v>6</v>
      </c>
      <c r="Q9">
        <f>O9/P9</f>
        <v>692.5333333333341</v>
      </c>
      <c r="R9">
        <f>Q9/Q10</f>
        <v>3.2782642998027649</v>
      </c>
      <c r="S9">
        <f>FDIST(R9,P9,P10)</f>
        <v>8.7718106561581848E-3</v>
      </c>
      <c r="T9" s="996" t="str">
        <f>IF(S9&lt;S5,"yes","no")</f>
        <v>yes</v>
      </c>
      <c r="V9" s="409">
        <v>61</v>
      </c>
      <c r="W9" s="846">
        <v>23</v>
      </c>
      <c r="X9" s="417">
        <v>59</v>
      </c>
      <c r="Y9" s="409">
        <v>79</v>
      </c>
      <c r="Z9" s="846">
        <v>28</v>
      </c>
      <c r="AA9" s="762">
        <v>60</v>
      </c>
      <c r="AB9" s="558">
        <v>28</v>
      </c>
      <c r="AC9" s="762">
        <v>60</v>
      </c>
      <c r="AD9" s="417">
        <v>59</v>
      </c>
      <c r="AE9" s="409">
        <v>43</v>
      </c>
      <c r="AF9" s="762">
        <v>80</v>
      </c>
      <c r="AG9" s="417">
        <v>45</v>
      </c>
      <c r="AH9" s="7"/>
    </row>
    <row r="10" spans="1:34" x14ac:dyDescent="0.25">
      <c r="A10" s="680"/>
      <c r="B10" s="680">
        <v>40</v>
      </c>
      <c r="C10" s="680">
        <v>56</v>
      </c>
      <c r="D10" s="680">
        <v>57</v>
      </c>
      <c r="E10" s="680">
        <v>68</v>
      </c>
      <c r="H10">
        <f>COUNT(B4:B18)</f>
        <v>15</v>
      </c>
      <c r="I10">
        <f>COUNT(C4:C18)</f>
        <v>15</v>
      </c>
      <c r="J10">
        <f>COUNT(D4:D18)</f>
        <v>15</v>
      </c>
      <c r="K10">
        <f>COUNT(E4:E18)</f>
        <v>15</v>
      </c>
      <c r="L10">
        <f>COUNT(B4:E18)</f>
        <v>60</v>
      </c>
      <c r="N10" t="s">
        <v>600</v>
      </c>
      <c r="O10">
        <f>SUM(H21:K23)*(H7-1)</f>
        <v>10140</v>
      </c>
      <c r="P10">
        <f>P11-P7-P8-P9</f>
        <v>48</v>
      </c>
      <c r="Q10">
        <f>O10/P10</f>
        <v>211.25</v>
      </c>
      <c r="V10">
        <f t="shared" ref="V10:AG10" si="0">AVERAGE(V5:V9)</f>
        <v>59.2</v>
      </c>
      <c r="W10">
        <f t="shared" si="0"/>
        <v>52.2</v>
      </c>
      <c r="X10">
        <f t="shared" si="0"/>
        <v>48</v>
      </c>
      <c r="Y10">
        <f t="shared" si="0"/>
        <v>53</v>
      </c>
      <c r="Z10">
        <f t="shared" si="0"/>
        <v>40.4</v>
      </c>
      <c r="AA10">
        <f t="shared" si="0"/>
        <v>56</v>
      </c>
      <c r="AB10">
        <f t="shared" si="0"/>
        <v>40.4</v>
      </c>
      <c r="AC10">
        <f t="shared" si="0"/>
        <v>56</v>
      </c>
      <c r="AD10">
        <f t="shared" si="0"/>
        <v>64</v>
      </c>
      <c r="AE10">
        <f t="shared" si="0"/>
        <v>53.2</v>
      </c>
      <c r="AF10">
        <f t="shared" si="0"/>
        <v>70.2</v>
      </c>
      <c r="AG10">
        <f t="shared" si="0"/>
        <v>44.4</v>
      </c>
    </row>
    <row r="11" spans="1:34" x14ac:dyDescent="0.25">
      <c r="A11" s="680"/>
      <c r="B11" s="680">
        <v>65</v>
      </c>
      <c r="C11" s="680">
        <v>61</v>
      </c>
      <c r="D11" s="680">
        <v>63</v>
      </c>
      <c r="E11" s="680">
        <v>71</v>
      </c>
      <c r="N11" s="762" t="s">
        <v>1</v>
      </c>
      <c r="O11" s="762">
        <f>Q11*P11</f>
        <v>16596.733333333337</v>
      </c>
      <c r="P11" s="762">
        <f>L10-1</f>
        <v>59</v>
      </c>
      <c r="Q11" s="762">
        <f>L24</f>
        <v>281.3005649717515</v>
      </c>
      <c r="R11" s="762"/>
      <c r="S11" s="762"/>
      <c r="T11" s="762"/>
    </row>
    <row r="12" spans="1:34" x14ac:dyDescent="0.25">
      <c r="A12" s="680"/>
      <c r="B12" s="680">
        <v>52</v>
      </c>
      <c r="C12" s="680">
        <v>34</v>
      </c>
      <c r="D12" s="680">
        <v>25</v>
      </c>
      <c r="E12" s="680">
        <v>59</v>
      </c>
      <c r="G12" t="s">
        <v>610</v>
      </c>
    </row>
    <row r="13" spans="1:34" x14ac:dyDescent="0.25">
      <c r="A13" s="757"/>
      <c r="B13" s="757">
        <v>23</v>
      </c>
      <c r="C13" s="757">
        <v>28</v>
      </c>
      <c r="D13" s="757">
        <v>60</v>
      </c>
      <c r="E13" s="757">
        <v>80</v>
      </c>
      <c r="H13" s="996" t="str">
        <f>B3</f>
        <v>Office 1</v>
      </c>
      <c r="I13" s="996" t="str">
        <f>C3</f>
        <v>Office 2</v>
      </c>
      <c r="J13" s="996" t="str">
        <f>D3</f>
        <v>Office 3</v>
      </c>
      <c r="K13" s="996" t="str">
        <f>E3</f>
        <v>Office 4</v>
      </c>
      <c r="N13" t="s">
        <v>2242</v>
      </c>
    </row>
    <row r="14" spans="1:34" x14ac:dyDescent="0.25">
      <c r="A14" s="970" t="s">
        <v>2202</v>
      </c>
      <c r="B14" s="970">
        <v>80</v>
      </c>
      <c r="C14" s="970">
        <v>75</v>
      </c>
      <c r="D14" s="970">
        <v>55</v>
      </c>
      <c r="E14" s="970">
        <v>53</v>
      </c>
      <c r="G14" t="str">
        <f>A4</f>
        <v>Conflict</v>
      </c>
      <c r="H14" s="865">
        <f>AVERAGE(B4:B8)</f>
        <v>53.8</v>
      </c>
      <c r="I14" s="798">
        <f>AVERAGE(C4:C8)</f>
        <v>43</v>
      </c>
      <c r="J14" s="798">
        <f>AVERAGE(D4:D8)</f>
        <v>31.8</v>
      </c>
      <c r="K14" s="866">
        <f>AVERAGE(E4:E8)</f>
        <v>49.4</v>
      </c>
      <c r="L14">
        <f>AVERAGE(B4:E8)</f>
        <v>44.5</v>
      </c>
    </row>
    <row r="15" spans="1:34" ht="15.75" thickBot="1" x14ac:dyDescent="0.3">
      <c r="A15" s="680"/>
      <c r="B15" s="680">
        <v>39</v>
      </c>
      <c r="C15" s="680">
        <v>57</v>
      </c>
      <c r="D15" s="680">
        <v>73</v>
      </c>
      <c r="E15" s="680">
        <v>51</v>
      </c>
      <c r="G15" t="str">
        <f>A9</f>
        <v>Psychol</v>
      </c>
      <c r="H15" s="501">
        <f>AVERAGE(B9:B13)</f>
        <v>45</v>
      </c>
      <c r="I15" s="7">
        <f>AVERAGE(C9:C13)</f>
        <v>40.4</v>
      </c>
      <c r="J15" s="7">
        <f>AVERAGE(D9:D13)</f>
        <v>56</v>
      </c>
      <c r="K15" s="57">
        <f>AVERAGE(E9:E13)</f>
        <v>70.2</v>
      </c>
      <c r="L15">
        <f>AVERAGE(B9:E13)</f>
        <v>52.9</v>
      </c>
      <c r="N15" t="s">
        <v>294</v>
      </c>
      <c r="R15" s="1013" t="s">
        <v>34</v>
      </c>
      <c r="S15" s="1013">
        <v>0.05</v>
      </c>
    </row>
    <row r="16" spans="1:34" ht="15.75" thickTop="1" x14ac:dyDescent="0.25">
      <c r="A16" s="680"/>
      <c r="B16" s="680">
        <v>78</v>
      </c>
      <c r="C16" s="680">
        <v>63</v>
      </c>
      <c r="D16" s="680">
        <v>69</v>
      </c>
      <c r="E16" s="680">
        <v>47</v>
      </c>
      <c r="G16" t="str">
        <f>A14</f>
        <v>Negot</v>
      </c>
      <c r="H16" s="759">
        <f>AVERAGE(B14:B18)</f>
        <v>60.2</v>
      </c>
      <c r="I16" s="760">
        <f>AVERAGE(C14:C18)</f>
        <v>57.6</v>
      </c>
      <c r="J16" s="760">
        <f>AVERAGE(D14:D18)</f>
        <v>64</v>
      </c>
      <c r="K16" s="761">
        <f>AVERAGE(E14:E18)</f>
        <v>47.4</v>
      </c>
      <c r="L16">
        <f>AVERAGE(B14:E18)</f>
        <v>57.3</v>
      </c>
      <c r="N16" s="826"/>
      <c r="O16" s="826" t="s">
        <v>219</v>
      </c>
      <c r="P16" s="826" t="s">
        <v>60</v>
      </c>
      <c r="Q16" s="826" t="s">
        <v>240</v>
      </c>
      <c r="R16" s="826" t="s">
        <v>135</v>
      </c>
      <c r="S16" s="826" t="s">
        <v>67</v>
      </c>
      <c r="T16" s="826" t="s">
        <v>527</v>
      </c>
    </row>
    <row r="17" spans="1:25" x14ac:dyDescent="0.25">
      <c r="A17" s="680"/>
      <c r="B17" s="680">
        <v>45</v>
      </c>
      <c r="C17" s="680">
        <v>25</v>
      </c>
      <c r="D17" s="680">
        <v>64</v>
      </c>
      <c r="E17" s="680">
        <v>41</v>
      </c>
      <c r="H17">
        <f>AVERAGE(B4:B18)</f>
        <v>53</v>
      </c>
      <c r="I17">
        <f>AVERAGE(C4:C18)</f>
        <v>47</v>
      </c>
      <c r="J17">
        <f>AVERAGE(D4:D18)</f>
        <v>50.6</v>
      </c>
      <c r="K17">
        <f>AVERAGE(E4:E18)</f>
        <v>55.666666666666664</v>
      </c>
      <c r="L17">
        <f>AVERAGE(B4:E18)</f>
        <v>51.56666666666667</v>
      </c>
      <c r="N17" t="s">
        <v>136</v>
      </c>
      <c r="O17">
        <f>O7</f>
        <v>1691.7333333333327</v>
      </c>
      <c r="P17">
        <f>P7</f>
        <v>2</v>
      </c>
      <c r="Q17">
        <f>O17/P17</f>
        <v>845.86666666666633</v>
      </c>
      <c r="R17">
        <f>Q17/Q19</f>
        <v>1.2214093184443571</v>
      </c>
      <c r="S17">
        <f>FDIST(R17,P17,P20)</f>
        <v>0.30381232788202905</v>
      </c>
      <c r="T17" s="1013" t="str">
        <f>IF(S17&lt;S15,"yes","no")</f>
        <v>no</v>
      </c>
    </row>
    <row r="18" spans="1:25" x14ac:dyDescent="0.25">
      <c r="A18" s="757"/>
      <c r="B18" s="757">
        <v>59</v>
      </c>
      <c r="C18" s="757">
        <v>68</v>
      </c>
      <c r="D18" s="757">
        <v>59</v>
      </c>
      <c r="E18" s="757">
        <v>45</v>
      </c>
      <c r="N18" t="s">
        <v>589</v>
      </c>
      <c r="O18">
        <f t="shared" ref="O18:P21" si="1">O8</f>
        <v>609.79999999999973</v>
      </c>
      <c r="P18">
        <f t="shared" si="1"/>
        <v>3</v>
      </c>
      <c r="Q18">
        <f>O18/P18</f>
        <v>203.26666666666657</v>
      </c>
      <c r="R18">
        <f>Q18/Q19</f>
        <v>0.29351174432036919</v>
      </c>
      <c r="S18">
        <f>FDIST(R18,P18,P20)</f>
        <v>0.82987694589046246</v>
      </c>
      <c r="T18" s="1013" t="str">
        <f>IF(S18&lt;S15,"yes","no")</f>
        <v>no</v>
      </c>
    </row>
    <row r="19" spans="1:25" x14ac:dyDescent="0.25">
      <c r="G19" t="s">
        <v>1667</v>
      </c>
      <c r="N19" t="s">
        <v>1319</v>
      </c>
      <c r="O19">
        <f t="shared" si="1"/>
        <v>4155.2000000000044</v>
      </c>
      <c r="P19">
        <f t="shared" si="1"/>
        <v>6</v>
      </c>
      <c r="Q19">
        <f>O19/P19</f>
        <v>692.5333333333341</v>
      </c>
      <c r="R19">
        <f>Q19/Q20</f>
        <v>3.2782642998027649</v>
      </c>
      <c r="S19">
        <f>FDIST(R19,P19,P20)</f>
        <v>8.7718106561581848E-3</v>
      </c>
      <c r="T19" s="1013" t="str">
        <f>IF(S19&lt;S15,"yes","no")</f>
        <v>yes</v>
      </c>
    </row>
    <row r="20" spans="1:25" x14ac:dyDescent="0.25">
      <c r="H20" s="996" t="str">
        <f>B3</f>
        <v>Office 1</v>
      </c>
      <c r="I20" s="996" t="str">
        <f>C3</f>
        <v>Office 2</v>
      </c>
      <c r="J20" s="996" t="str">
        <f>D3</f>
        <v>Office 3</v>
      </c>
      <c r="K20" s="996" t="str">
        <f>E3</f>
        <v>Office 4</v>
      </c>
      <c r="N20" t="s">
        <v>600</v>
      </c>
      <c r="O20">
        <f t="shared" si="1"/>
        <v>10140</v>
      </c>
      <c r="P20">
        <f t="shared" si="1"/>
        <v>48</v>
      </c>
      <c r="Q20">
        <f>O20/P20</f>
        <v>211.25</v>
      </c>
    </row>
    <row r="21" spans="1:25" x14ac:dyDescent="0.25">
      <c r="G21" t="str">
        <f>A4</f>
        <v>Conflict</v>
      </c>
      <c r="H21" s="865">
        <f>VAR(B4:B8)</f>
        <v>306.19999999999982</v>
      </c>
      <c r="I21" s="798">
        <f>VAR(C4:C8)</f>
        <v>209</v>
      </c>
      <c r="J21" s="798">
        <f>VAR(D4:D8)</f>
        <v>50.200000000000045</v>
      </c>
      <c r="K21" s="866">
        <f>VAR(E4:E8)</f>
        <v>233.80000000000018</v>
      </c>
      <c r="L21">
        <f>VAR(B4:E8)</f>
        <v>240.36842105263159</v>
      </c>
      <c r="N21" s="762" t="s">
        <v>1</v>
      </c>
      <c r="O21" s="762">
        <f t="shared" si="1"/>
        <v>16596.733333333337</v>
      </c>
      <c r="P21" s="762">
        <f t="shared" si="1"/>
        <v>59</v>
      </c>
      <c r="Q21" s="762">
        <f>O21/P21</f>
        <v>281.3005649717515</v>
      </c>
      <c r="R21" s="762"/>
      <c r="S21" s="762"/>
      <c r="T21" s="762"/>
    </row>
    <row r="22" spans="1:25" x14ac:dyDescent="0.25">
      <c r="G22" t="str">
        <f>A9</f>
        <v>Psychol</v>
      </c>
      <c r="H22" s="501">
        <f>VAR(B9:B13)</f>
        <v>239.5</v>
      </c>
      <c r="I22" s="7">
        <f>VAR(C9:C13)</f>
        <v>291.29999999999995</v>
      </c>
      <c r="J22" s="7">
        <f>VAR(D9:D13)</f>
        <v>347</v>
      </c>
      <c r="K22" s="57">
        <f>VAR(E9:E13)</f>
        <v>58.7</v>
      </c>
      <c r="L22">
        <f>VAR(B9:E13)</f>
        <v>335.98947368421068</v>
      </c>
    </row>
    <row r="23" spans="1:25" x14ac:dyDescent="0.25">
      <c r="G23" t="str">
        <f>A14</f>
        <v>Negot</v>
      </c>
      <c r="H23" s="759">
        <f>VAR(B14:B18)</f>
        <v>347.69999999999982</v>
      </c>
      <c r="I23" s="760">
        <f>VAR(C14:C18)</f>
        <v>375.80000000000018</v>
      </c>
      <c r="J23" s="760">
        <f>VAR(D14:D18)</f>
        <v>53</v>
      </c>
      <c r="K23" s="761">
        <f>VAR(E14:E18)</f>
        <v>22.799999999999997</v>
      </c>
      <c r="L23">
        <f>VAR(B14:E18)</f>
        <v>208.11578947368406</v>
      </c>
    </row>
    <row r="24" spans="1:25" x14ac:dyDescent="0.25">
      <c r="H24">
        <f>VAR(B4:B18)</f>
        <v>296.85714285714283</v>
      </c>
      <c r="I24">
        <f>VAR(C4:C18)</f>
        <v>311.71428571428572</v>
      </c>
      <c r="J24">
        <f>VAR(D4:D18)</f>
        <v>329.39999999999992</v>
      </c>
      <c r="K24">
        <f>VAR(E4:E18)</f>
        <v>203.95238095238113</v>
      </c>
      <c r="L24">
        <f>VAR(B4:E18)</f>
        <v>281.3005649717515</v>
      </c>
    </row>
    <row r="27" spans="1:25" x14ac:dyDescent="0.25">
      <c r="A27" t="s">
        <v>1669</v>
      </c>
    </row>
    <row r="28" spans="1:25" x14ac:dyDescent="0.25">
      <c r="V28" t="s">
        <v>1669</v>
      </c>
    </row>
    <row r="29" spans="1:25" x14ac:dyDescent="0.25">
      <c r="B29" s="805" t="s">
        <v>2203</v>
      </c>
      <c r="C29" s="805" t="s">
        <v>2204</v>
      </c>
      <c r="D29" s="805" t="s">
        <v>2202</v>
      </c>
      <c r="F29" t="s">
        <v>457</v>
      </c>
    </row>
    <row r="30" spans="1:25" x14ac:dyDescent="0.25">
      <c r="A30" s="970" t="s">
        <v>2193</v>
      </c>
      <c r="B30" s="970">
        <v>34</v>
      </c>
      <c r="C30" s="970">
        <v>45</v>
      </c>
      <c r="D30" s="970">
        <v>80</v>
      </c>
      <c r="W30" s="805" t="str">
        <f>A4</f>
        <v>Conflict</v>
      </c>
      <c r="X30" s="805" t="str">
        <f>A9</f>
        <v>Psychol</v>
      </c>
      <c r="Y30" s="805" t="str">
        <f>A14</f>
        <v>Negot</v>
      </c>
    </row>
    <row r="31" spans="1:25" ht="15.75" thickBot="1" x14ac:dyDescent="0.3">
      <c r="A31" s="680"/>
      <c r="B31" s="680">
        <v>56</v>
      </c>
      <c r="C31" s="680">
        <v>40</v>
      </c>
      <c r="D31" s="680">
        <v>39</v>
      </c>
      <c r="F31" t="s">
        <v>458</v>
      </c>
      <c r="K31" t="s">
        <v>34</v>
      </c>
      <c r="L31">
        <v>0.05</v>
      </c>
      <c r="V31" s="970" t="str">
        <f>B3</f>
        <v>Office 1</v>
      </c>
      <c r="W31" s="970">
        <f>IF(B4="","",B4)</f>
        <v>34</v>
      </c>
      <c r="X31" s="970">
        <f>IF(B9="","",B9)</f>
        <v>45</v>
      </c>
      <c r="Y31" s="970">
        <f>IF(B14="","",B14)</f>
        <v>80</v>
      </c>
    </row>
    <row r="32" spans="1:25" ht="15.75" thickTop="1" x14ac:dyDescent="0.25">
      <c r="A32" s="680"/>
      <c r="B32" s="680">
        <v>78</v>
      </c>
      <c r="C32" s="680">
        <v>65</v>
      </c>
      <c r="D32" s="680">
        <v>78</v>
      </c>
      <c r="F32" s="826" t="s">
        <v>79</v>
      </c>
      <c r="G32" s="826" t="s">
        <v>22</v>
      </c>
      <c r="H32" s="826" t="s">
        <v>21</v>
      </c>
      <c r="I32" s="826" t="s">
        <v>10</v>
      </c>
      <c r="J32" s="826" t="s">
        <v>80</v>
      </c>
      <c r="K32" s="826" t="s">
        <v>219</v>
      </c>
      <c r="L32" s="826" t="s">
        <v>59</v>
      </c>
      <c r="M32" s="826" t="s">
        <v>343</v>
      </c>
      <c r="N32" s="826" t="s">
        <v>344</v>
      </c>
      <c r="V32" s="680"/>
      <c r="W32" s="680">
        <f>IF(B5="","",B5)</f>
        <v>56</v>
      </c>
      <c r="X32" s="680">
        <f>IF(B10="","",B10)</f>
        <v>40</v>
      </c>
      <c r="Y32" s="680">
        <f>IF(B15="","",B15)</f>
        <v>39</v>
      </c>
    </row>
    <row r="33" spans="1:25" x14ac:dyDescent="0.25">
      <c r="A33" s="680"/>
      <c r="B33" s="680">
        <v>40</v>
      </c>
      <c r="C33" s="680">
        <v>52</v>
      </c>
      <c r="D33" s="680">
        <v>45</v>
      </c>
      <c r="F33" t="str">
        <f>B29</f>
        <v>Conflict</v>
      </c>
      <c r="G33">
        <f>COUNT(B30:B49)</f>
        <v>20</v>
      </c>
      <c r="H33">
        <f>SUM(B30:B49)</f>
        <v>890</v>
      </c>
      <c r="I33">
        <f>AVERAGE(B30:B49)</f>
        <v>44.5</v>
      </c>
      <c r="J33">
        <f>VAR(B30:B49)</f>
        <v>240.36842105263159</v>
      </c>
      <c r="K33">
        <f>DEVSQ(B30:B49)</f>
        <v>4567</v>
      </c>
      <c r="L33">
        <f>SQRT(I40/G33)</f>
        <v>3.6158762981480397</v>
      </c>
      <c r="M33">
        <f>I33-L33*TINV(L31,G33-1)</f>
        <v>36.931883930211278</v>
      </c>
      <c r="N33">
        <f>I33+L33*TINV(L31,G33-1)</f>
        <v>52.068116069788722</v>
      </c>
      <c r="V33" s="680"/>
      <c r="W33" s="680">
        <f>IF(B6="","",B6)</f>
        <v>78</v>
      </c>
      <c r="X33" s="680">
        <f>IF(B11="","",B11)</f>
        <v>65</v>
      </c>
      <c r="Y33" s="680">
        <f>IF(B16="","",B16)</f>
        <v>78</v>
      </c>
    </row>
    <row r="34" spans="1:25" x14ac:dyDescent="0.25">
      <c r="A34" s="757"/>
      <c r="B34" s="757">
        <v>61</v>
      </c>
      <c r="C34" s="757">
        <v>23</v>
      </c>
      <c r="D34" s="757">
        <v>59</v>
      </c>
      <c r="F34" t="str">
        <f>C29</f>
        <v>Psychol</v>
      </c>
      <c r="G34">
        <f>COUNT(C30:C49)</f>
        <v>20</v>
      </c>
      <c r="H34">
        <f>SUM(C30:C49)</f>
        <v>1058</v>
      </c>
      <c r="I34">
        <f>AVERAGE(C30:C49)</f>
        <v>52.9</v>
      </c>
      <c r="J34">
        <f>VAR(C30:C49)</f>
        <v>335.98947368421068</v>
      </c>
      <c r="K34">
        <f>DEVSQ(C30:C49)</f>
        <v>6383.8</v>
      </c>
      <c r="L34">
        <f>SQRT(I40/G34)</f>
        <v>3.6158762981480397</v>
      </c>
      <c r="M34">
        <f>I34-L34*TINV(L31,G34-1)</f>
        <v>45.331883930211276</v>
      </c>
      <c r="N34">
        <f>I34+L34*TINV(L31,G34-1)</f>
        <v>60.468116069788721</v>
      </c>
      <c r="V34" s="680"/>
      <c r="W34" s="680">
        <f>IF(B7="","",B7)</f>
        <v>40</v>
      </c>
      <c r="X34" s="680">
        <f>IF(B12="","",B12)</f>
        <v>52</v>
      </c>
      <c r="Y34" s="680">
        <f>IF(B17="","",B17)</f>
        <v>45</v>
      </c>
    </row>
    <row r="35" spans="1:25" x14ac:dyDescent="0.25">
      <c r="A35" s="970" t="s">
        <v>2194</v>
      </c>
      <c r="B35" s="970">
        <v>46</v>
      </c>
      <c r="C35" s="970">
        <v>23</v>
      </c>
      <c r="D35" s="970">
        <v>75</v>
      </c>
      <c r="F35" t="str">
        <f>D29</f>
        <v>Negot</v>
      </c>
      <c r="G35">
        <f>COUNT(D30:D49)</f>
        <v>20</v>
      </c>
      <c r="H35">
        <f>SUM(D30:D49)</f>
        <v>1146</v>
      </c>
      <c r="I35">
        <f>AVERAGE(D30:D49)</f>
        <v>57.3</v>
      </c>
      <c r="J35">
        <f>VAR(D30:D49)</f>
        <v>208.11578947368406</v>
      </c>
      <c r="K35">
        <f>DEVSQ(D30:D49)</f>
        <v>3954.2000000000003</v>
      </c>
      <c r="L35">
        <f>SQRT(I40/G35)</f>
        <v>3.6158762981480397</v>
      </c>
      <c r="M35">
        <f>I35-L35*TINV(L31,G35-1)</f>
        <v>49.731883930211275</v>
      </c>
      <c r="N35">
        <f>I35+L35*TINV(L31,G35-1)</f>
        <v>64.868116069788712</v>
      </c>
      <c r="V35" s="757"/>
      <c r="W35" s="757">
        <f>IF(B8="","",B8)</f>
        <v>61</v>
      </c>
      <c r="X35" s="757">
        <f>IF(B13="","",B13)</f>
        <v>23</v>
      </c>
      <c r="Y35" s="757">
        <f>IF(B18="","",B18)</f>
        <v>59</v>
      </c>
    </row>
    <row r="36" spans="1:25" x14ac:dyDescent="0.25">
      <c r="A36" s="680"/>
      <c r="B36" s="680">
        <v>19</v>
      </c>
      <c r="C36" s="680">
        <v>56</v>
      </c>
      <c r="D36" s="680">
        <v>57</v>
      </c>
      <c r="F36" s="867"/>
      <c r="G36" s="867"/>
      <c r="H36" s="867"/>
      <c r="I36" s="867"/>
      <c r="J36" s="867"/>
      <c r="K36" s="867"/>
      <c r="L36" s="867"/>
      <c r="M36" s="867"/>
      <c r="N36" s="867"/>
      <c r="V36" s="970" t="str">
        <f>C3</f>
        <v>Office 2</v>
      </c>
      <c r="W36" s="970">
        <f>IF(C4="","",C4)</f>
        <v>46</v>
      </c>
      <c r="X36" s="970">
        <f>IF(C9="","",C9)</f>
        <v>23</v>
      </c>
      <c r="Y36" s="970">
        <f>IF(C14="","",C14)</f>
        <v>75</v>
      </c>
    </row>
    <row r="37" spans="1:25" ht="15.75" thickBot="1" x14ac:dyDescent="0.3">
      <c r="A37" s="680"/>
      <c r="B37" s="680">
        <v>56</v>
      </c>
      <c r="C37" s="680">
        <v>61</v>
      </c>
      <c r="D37" s="680">
        <v>63</v>
      </c>
      <c r="F37" t="s">
        <v>294</v>
      </c>
      <c r="V37" s="680"/>
      <c r="W37" s="680">
        <f>IF(C5="","",C5)</f>
        <v>19</v>
      </c>
      <c r="X37" s="680">
        <f>IF(C10="","",C10)</f>
        <v>56</v>
      </c>
      <c r="Y37" s="680">
        <f>IF(C15="","",C15)</f>
        <v>57</v>
      </c>
    </row>
    <row r="38" spans="1:25" ht="15.75" thickTop="1" x14ac:dyDescent="0.25">
      <c r="A38" s="680"/>
      <c r="B38" s="680">
        <v>52</v>
      </c>
      <c r="C38" s="680">
        <v>34</v>
      </c>
      <c r="D38" s="680">
        <v>25</v>
      </c>
      <c r="F38" s="826" t="s">
        <v>459</v>
      </c>
      <c r="G38" s="826" t="s">
        <v>219</v>
      </c>
      <c r="H38" s="826" t="s">
        <v>60</v>
      </c>
      <c r="I38" s="826" t="s">
        <v>240</v>
      </c>
      <c r="J38" s="826" t="s">
        <v>135</v>
      </c>
      <c r="K38" s="826" t="s">
        <v>460</v>
      </c>
      <c r="L38" s="826" t="s">
        <v>467</v>
      </c>
      <c r="M38" s="826" t="s">
        <v>1231</v>
      </c>
      <c r="N38" s="826" t="s">
        <v>1232</v>
      </c>
      <c r="V38" s="680"/>
      <c r="W38" s="680">
        <f>IF(C6="","",C6)</f>
        <v>56</v>
      </c>
      <c r="X38" s="680">
        <f>IF(C11="","",C11)</f>
        <v>61</v>
      </c>
      <c r="Y38" s="680">
        <f>IF(C16="","",C16)</f>
        <v>63</v>
      </c>
    </row>
    <row r="39" spans="1:25" x14ac:dyDescent="0.25">
      <c r="A39" s="757"/>
      <c r="B39" s="757">
        <v>42</v>
      </c>
      <c r="C39" s="757">
        <v>28</v>
      </c>
      <c r="D39" s="757">
        <v>68</v>
      </c>
      <c r="F39" t="s">
        <v>462</v>
      </c>
      <c r="G39">
        <f>G41-G40</f>
        <v>1691.7333333333336</v>
      </c>
      <c r="H39">
        <f>COUNTA(F33:F35)-1</f>
        <v>2</v>
      </c>
      <c r="I39">
        <f>G39/H39</f>
        <v>845.86666666666679</v>
      </c>
      <c r="J39">
        <f>I39/I40</f>
        <v>3.2347802750754782</v>
      </c>
      <c r="K39">
        <f>FDIST(J39,H39,H40)</f>
        <v>4.6700000248597356E-2</v>
      </c>
      <c r="L39">
        <f>FINV(L31,H39,H40)</f>
        <v>3.158842719260647</v>
      </c>
      <c r="M39">
        <f>SQRT(DEVSQ(I33:I35)/(I40*H39))</f>
        <v>0.40216789249488061</v>
      </c>
      <c r="N39">
        <f>(G41-H41*I40)/(G41+I40)</f>
        <v>6.9328230439450245E-2</v>
      </c>
      <c r="V39" s="680"/>
      <c r="W39" s="680">
        <f>IF(C7="","",C7)</f>
        <v>52</v>
      </c>
      <c r="X39" s="680">
        <f>IF(C12="","",C12)</f>
        <v>34</v>
      </c>
      <c r="Y39" s="680">
        <f>IF(C17="","",C17)</f>
        <v>25</v>
      </c>
    </row>
    <row r="40" spans="1:25" x14ac:dyDescent="0.25">
      <c r="A40" s="970" t="s">
        <v>2195</v>
      </c>
      <c r="B40" s="970">
        <v>23</v>
      </c>
      <c r="C40" s="970">
        <v>75</v>
      </c>
      <c r="D40" s="970">
        <v>55</v>
      </c>
      <c r="F40" t="s">
        <v>463</v>
      </c>
      <c r="G40">
        <f>SUM(K33:K35)</f>
        <v>14905</v>
      </c>
      <c r="H40">
        <f>H41-H39</f>
        <v>57</v>
      </c>
      <c r="I40">
        <f>G40/H40</f>
        <v>261.49122807017545</v>
      </c>
      <c r="V40" s="757"/>
      <c r="W40" s="757">
        <f>IF(C8="","",C8)</f>
        <v>42</v>
      </c>
      <c r="X40" s="757">
        <f>IF(C13="","",C13)</f>
        <v>28</v>
      </c>
      <c r="Y40" s="757">
        <f>IF(C18="","",C18)</f>
        <v>68</v>
      </c>
    </row>
    <row r="41" spans="1:25" x14ac:dyDescent="0.25">
      <c r="A41" s="680"/>
      <c r="B41" s="680">
        <v>32</v>
      </c>
      <c r="C41" s="680">
        <v>57</v>
      </c>
      <c r="D41" s="680">
        <v>73</v>
      </c>
      <c r="F41" s="762" t="s">
        <v>1</v>
      </c>
      <c r="G41" s="762">
        <f>DEVSQ(B30:D49)</f>
        <v>16596.733333333334</v>
      </c>
      <c r="H41" s="762">
        <f>COUNT(B30:D49)-1</f>
        <v>59</v>
      </c>
      <c r="I41" s="762">
        <f>G41/H41</f>
        <v>281.30056497175144</v>
      </c>
      <c r="J41" s="762"/>
      <c r="K41" s="762"/>
      <c r="L41" s="762"/>
      <c r="M41" s="762"/>
      <c r="N41" s="762"/>
      <c r="V41" s="970" t="str">
        <f>D3</f>
        <v>Office 3</v>
      </c>
      <c r="W41" s="970">
        <f>IF(D4="","",D4)</f>
        <v>23</v>
      </c>
      <c r="X41" s="970">
        <f>IF(D9="","",D9)</f>
        <v>75</v>
      </c>
      <c r="Y41" s="970">
        <f>IF(D14="","",D14)</f>
        <v>55</v>
      </c>
    </row>
    <row r="42" spans="1:25" x14ac:dyDescent="0.25">
      <c r="A42" s="680"/>
      <c r="B42" s="680">
        <v>42</v>
      </c>
      <c r="C42" s="680">
        <v>63</v>
      </c>
      <c r="D42" s="680">
        <v>69</v>
      </c>
      <c r="V42" s="680"/>
      <c r="W42" s="680">
        <f>IF(D5="","",D5)</f>
        <v>32</v>
      </c>
      <c r="X42" s="680">
        <f>IF(D10="","",D10)</f>
        <v>57</v>
      </c>
      <c r="Y42" s="680">
        <f>IF(D15="","",D15)</f>
        <v>73</v>
      </c>
    </row>
    <row r="43" spans="1:25" x14ac:dyDescent="0.25">
      <c r="A43" s="680"/>
      <c r="B43" s="680">
        <v>34</v>
      </c>
      <c r="C43" s="680">
        <v>25</v>
      </c>
      <c r="D43" s="680">
        <v>64</v>
      </c>
      <c r="V43" s="680"/>
      <c r="W43" s="680">
        <f>IF(D6="","",D6)</f>
        <v>42</v>
      </c>
      <c r="X43" s="680">
        <f>IF(D11="","",D11)</f>
        <v>63</v>
      </c>
      <c r="Y43" s="680">
        <f>IF(D16="","",D16)</f>
        <v>69</v>
      </c>
    </row>
    <row r="44" spans="1:25" x14ac:dyDescent="0.25">
      <c r="A44" s="757"/>
      <c r="B44" s="757">
        <v>28</v>
      </c>
      <c r="C44" s="757">
        <v>60</v>
      </c>
      <c r="D44" s="757">
        <v>59</v>
      </c>
      <c r="V44" s="680"/>
      <c r="W44" s="680">
        <f>IF(D7="","",D7)</f>
        <v>34</v>
      </c>
      <c r="X44" s="680">
        <f>IF(D12="","",D12)</f>
        <v>25</v>
      </c>
      <c r="Y44" s="680">
        <f>IF(D17="","",D17)</f>
        <v>64</v>
      </c>
    </row>
    <row r="45" spans="1:25" x14ac:dyDescent="0.25">
      <c r="A45" s="970" t="s">
        <v>2196</v>
      </c>
      <c r="B45" s="970">
        <v>50</v>
      </c>
      <c r="C45" s="970">
        <v>73</v>
      </c>
      <c r="D45" s="970">
        <v>53</v>
      </c>
      <c r="V45" s="757"/>
      <c r="W45" s="757">
        <f>IF(D8="","",D8)</f>
        <v>28</v>
      </c>
      <c r="X45" s="757">
        <f>IF(D13="","",D13)</f>
        <v>60</v>
      </c>
      <c r="Y45" s="757">
        <f>IF(D18="","",D18)</f>
        <v>59</v>
      </c>
    </row>
    <row r="46" spans="1:25" x14ac:dyDescent="0.25">
      <c r="A46" s="680"/>
      <c r="B46" s="680">
        <v>72</v>
      </c>
      <c r="C46" s="680">
        <v>68</v>
      </c>
      <c r="D46" s="680">
        <v>51</v>
      </c>
      <c r="V46" s="970" t="str">
        <f>E3</f>
        <v>Office 4</v>
      </c>
      <c r="W46" s="970">
        <f>IF(E4="","",E4)</f>
        <v>50</v>
      </c>
      <c r="X46" s="970">
        <f>IF(E9="","",E9)</f>
        <v>73</v>
      </c>
      <c r="Y46" s="970">
        <f>IF(E14="","",E14)</f>
        <v>53</v>
      </c>
    </row>
    <row r="47" spans="1:25" x14ac:dyDescent="0.25">
      <c r="A47" s="680"/>
      <c r="B47" s="680">
        <v>30</v>
      </c>
      <c r="C47" s="680">
        <v>71</v>
      </c>
      <c r="D47" s="680">
        <v>47</v>
      </c>
      <c r="V47" s="680"/>
      <c r="W47" s="680">
        <f>IF(E5="","",E5)</f>
        <v>72</v>
      </c>
      <c r="X47" s="680">
        <f>IF(E10="","",E10)</f>
        <v>68</v>
      </c>
      <c r="Y47" s="680">
        <f>IF(E15="","",E15)</f>
        <v>51</v>
      </c>
    </row>
    <row r="48" spans="1:25" x14ac:dyDescent="0.25">
      <c r="A48" s="680"/>
      <c r="B48" s="680">
        <v>52</v>
      </c>
      <c r="C48" s="680">
        <v>59</v>
      </c>
      <c r="D48" s="680">
        <v>41</v>
      </c>
      <c r="V48" s="680"/>
      <c r="W48" s="680">
        <f>IF(E6="","",E6)</f>
        <v>30</v>
      </c>
      <c r="X48" s="680">
        <f>IF(E11="","",E11)</f>
        <v>71</v>
      </c>
      <c r="Y48" s="680">
        <f>IF(E16="","",E16)</f>
        <v>47</v>
      </c>
    </row>
    <row r="49" spans="1:25" x14ac:dyDescent="0.25">
      <c r="A49" s="757"/>
      <c r="B49" s="757">
        <v>43</v>
      </c>
      <c r="C49" s="757">
        <v>80</v>
      </c>
      <c r="D49" s="757">
        <v>45</v>
      </c>
      <c r="V49" s="680"/>
      <c r="W49" s="680">
        <f>IF(E7="","",E7)</f>
        <v>52</v>
      </c>
      <c r="X49" s="680">
        <f>IF(E12="","",E12)</f>
        <v>59</v>
      </c>
      <c r="Y49" s="680">
        <f>IF(E17="","",E17)</f>
        <v>41</v>
      </c>
    </row>
    <row r="50" spans="1:25" x14ac:dyDescent="0.25">
      <c r="V50" s="757"/>
      <c r="W50" s="757">
        <f>IF(E8="","",E8)</f>
        <v>43</v>
      </c>
      <c r="X50" s="757">
        <f>IF(E13="","",E13)</f>
        <v>80</v>
      </c>
      <c r="Y50" s="757">
        <f>IF(E18="","",E18)</f>
        <v>45</v>
      </c>
    </row>
  </sheetData>
  <mergeCells count="4">
    <mergeCell ref="V3:X3"/>
    <mergeCell ref="Y3:AA3"/>
    <mergeCell ref="AB3:AD3"/>
    <mergeCell ref="AE3:AG3"/>
  </mergeCells>
  <pageMargins left="0.7" right="0.7" top="0.75" bottom="0.75" header="0.3" footer="0.3"/>
  <ignoredErrors>
    <ignoredError sqref="H7:K9 H14:K16 H21:K23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/>
  <dimension ref="A1:T22"/>
  <sheetViews>
    <sheetView workbookViewId="0"/>
  </sheetViews>
  <sheetFormatPr defaultRowHeight="15" x14ac:dyDescent="0.25"/>
  <sheetData>
    <row r="1" spans="1:20" x14ac:dyDescent="0.25">
      <c r="A1" s="1" t="s">
        <v>2240</v>
      </c>
      <c r="G1" t="s">
        <v>27</v>
      </c>
      <c r="N1" t="s">
        <v>2242</v>
      </c>
    </row>
    <row r="3" spans="1:20" ht="15.75" thickBot="1" x14ac:dyDescent="0.3">
      <c r="B3" s="1004" t="s">
        <v>2193</v>
      </c>
      <c r="C3" s="1004" t="s">
        <v>2194</v>
      </c>
      <c r="D3" s="1004" t="s">
        <v>2195</v>
      </c>
      <c r="E3" s="1004" t="s">
        <v>2196</v>
      </c>
      <c r="G3" t="s">
        <v>1666</v>
      </c>
      <c r="H3" t="str">
        <f>IF(COUNTIF(H5:K7,H5)=COUNT(H5:K7),"balanced","unbalanced")</f>
        <v>balanced</v>
      </c>
      <c r="N3" t="s">
        <v>294</v>
      </c>
      <c r="R3" s="1013" t="s">
        <v>34</v>
      </c>
      <c r="S3" s="1013">
        <v>0.05</v>
      </c>
    </row>
    <row r="4" spans="1:20" ht="15.75" thickTop="1" x14ac:dyDescent="0.25">
      <c r="A4" s="970" t="s">
        <v>2203</v>
      </c>
      <c r="B4" s="970">
        <v>34</v>
      </c>
      <c r="C4" s="970">
        <v>46</v>
      </c>
      <c r="D4" s="970">
        <v>23</v>
      </c>
      <c r="E4" s="970">
        <v>50</v>
      </c>
      <c r="H4" s="1013" t="str">
        <f>B3</f>
        <v>Office 1</v>
      </c>
      <c r="I4" s="1013" t="str">
        <f>C3</f>
        <v>Office 2</v>
      </c>
      <c r="J4" s="1013" t="str">
        <f>D3</f>
        <v>Office 3</v>
      </c>
      <c r="K4" s="1013" t="str">
        <f>E3</f>
        <v>Office 4</v>
      </c>
      <c r="N4" s="826"/>
      <c r="O4" s="826" t="s">
        <v>219</v>
      </c>
      <c r="P4" s="826" t="s">
        <v>60</v>
      </c>
      <c r="Q4" s="826" t="s">
        <v>240</v>
      </c>
      <c r="R4" s="826" t="s">
        <v>135</v>
      </c>
      <c r="S4" s="826" t="s">
        <v>67</v>
      </c>
      <c r="T4" s="826" t="s">
        <v>527</v>
      </c>
    </row>
    <row r="5" spans="1:20" x14ac:dyDescent="0.25">
      <c r="A5" s="680"/>
      <c r="B5" s="680">
        <v>56</v>
      </c>
      <c r="C5" s="680">
        <v>19</v>
      </c>
      <c r="D5" s="680">
        <v>32</v>
      </c>
      <c r="E5" s="680">
        <v>72</v>
      </c>
      <c r="G5" t="str">
        <f>A4</f>
        <v>Conflict</v>
      </c>
      <c r="H5" s="865">
        <f>COUNT(B4:B8)</f>
        <v>5</v>
      </c>
      <c r="I5" s="798">
        <f>COUNT(C4:C8)</f>
        <v>5</v>
      </c>
      <c r="J5" s="798">
        <f>COUNT(D4:D8)</f>
        <v>5</v>
      </c>
      <c r="K5" s="866">
        <f>COUNT(E4:E8)</f>
        <v>5</v>
      </c>
      <c r="L5">
        <f>COUNT(B4:E8)</f>
        <v>20</v>
      </c>
      <c r="N5" t="s">
        <v>136</v>
      </c>
      <c r="O5">
        <f>DEVSQ(L12:L14)*L5</f>
        <v>1691.7333333333327</v>
      </c>
      <c r="P5">
        <f>COUNT(L12:L14)-1</f>
        <v>2</v>
      </c>
      <c r="Q5">
        <f>O5/P5</f>
        <v>845.86666666666633</v>
      </c>
      <c r="R5">
        <f>Q5/Q7</f>
        <v>1.2214093184443571</v>
      </c>
      <c r="S5">
        <f>FDIST(R5,P5,P7)</f>
        <v>0.35891480306310647</v>
      </c>
      <c r="T5" s="1013" t="str">
        <f>IF(S5&lt;S3,"yes","no")</f>
        <v>no</v>
      </c>
    </row>
    <row r="6" spans="1:20" x14ac:dyDescent="0.25">
      <c r="A6" s="680"/>
      <c r="B6" s="680">
        <v>78</v>
      </c>
      <c r="C6" s="680">
        <v>56</v>
      </c>
      <c r="D6" s="680">
        <v>42</v>
      </c>
      <c r="E6" s="680">
        <v>30</v>
      </c>
      <c r="G6" t="str">
        <f>A9</f>
        <v>Psychol</v>
      </c>
      <c r="H6" s="501">
        <f>COUNT(B9:B13)</f>
        <v>5</v>
      </c>
      <c r="I6" s="7">
        <f>COUNT(C9:C13)</f>
        <v>5</v>
      </c>
      <c r="J6" s="7">
        <f>COUNT(D9:D13)</f>
        <v>5</v>
      </c>
      <c r="K6" s="57">
        <f>COUNT(E9:E13)</f>
        <v>5</v>
      </c>
      <c r="L6">
        <f>COUNT(B9:E13)</f>
        <v>20</v>
      </c>
      <c r="N6" t="s">
        <v>589</v>
      </c>
      <c r="O6">
        <f>DEVSQ(H15:K15)*H8</f>
        <v>609.79999999999973</v>
      </c>
      <c r="P6">
        <f>COUNT(H15:K15)-1</f>
        <v>3</v>
      </c>
      <c r="Q6">
        <f>O6/P6</f>
        <v>203.26666666666657</v>
      </c>
      <c r="R6">
        <f>Q6/Q7</f>
        <v>0.29351174432036919</v>
      </c>
      <c r="S6">
        <f>FDIST(R6,P6,P7)</f>
        <v>0.82906047560649987</v>
      </c>
      <c r="T6" s="1013" t="str">
        <f>IF(S6&lt;S3,"yes","no")</f>
        <v>no</v>
      </c>
    </row>
    <row r="7" spans="1:20" x14ac:dyDescent="0.25">
      <c r="A7" s="680"/>
      <c r="B7" s="680">
        <v>40</v>
      </c>
      <c r="C7" s="680">
        <v>52</v>
      </c>
      <c r="D7" s="680">
        <v>34</v>
      </c>
      <c r="E7" s="680">
        <v>52</v>
      </c>
      <c r="G7" t="str">
        <f>A14</f>
        <v>Negot</v>
      </c>
      <c r="H7" s="759">
        <f>COUNT(B14:B18)</f>
        <v>5</v>
      </c>
      <c r="I7" s="760">
        <f>COUNT(C14:C18)</f>
        <v>5</v>
      </c>
      <c r="J7" s="760">
        <f>COUNT(D14:D18)</f>
        <v>5</v>
      </c>
      <c r="K7" s="761">
        <f>COUNT(E14:E18)</f>
        <v>5</v>
      </c>
      <c r="L7">
        <f>COUNT(B14:E18)</f>
        <v>20</v>
      </c>
      <c r="N7" t="s">
        <v>1319</v>
      </c>
      <c r="O7">
        <f>O9-O5-O6-O8</f>
        <v>4155.2000000000044</v>
      </c>
      <c r="P7">
        <f>P6*P5</f>
        <v>6</v>
      </c>
      <c r="Q7">
        <f>O7/P7</f>
        <v>692.5333333333341</v>
      </c>
      <c r="R7">
        <f>Q7/Q8</f>
        <v>3.2782642998027649</v>
      </c>
      <c r="S7">
        <f>FDIST(R7,P7,P8)</f>
        <v>8.7718106561581848E-3</v>
      </c>
      <c r="T7" s="1013" t="str">
        <f>IF(S7&lt;S3,"yes","no")</f>
        <v>yes</v>
      </c>
    </row>
    <row r="8" spans="1:20" x14ac:dyDescent="0.25">
      <c r="A8" s="757"/>
      <c r="B8" s="757">
        <v>61</v>
      </c>
      <c r="C8" s="757">
        <v>42</v>
      </c>
      <c r="D8" s="757">
        <v>28</v>
      </c>
      <c r="E8" s="757">
        <v>43</v>
      </c>
      <c r="H8">
        <f>COUNT(B4:B18)</f>
        <v>15</v>
      </c>
      <c r="I8">
        <f>COUNT(C4:C18)</f>
        <v>15</v>
      </c>
      <c r="J8">
        <f>COUNT(D4:D18)</f>
        <v>15</v>
      </c>
      <c r="K8">
        <f>COUNT(E4:E18)</f>
        <v>15</v>
      </c>
      <c r="L8">
        <f>COUNT(B4:E18)</f>
        <v>60</v>
      </c>
      <c r="N8" t="s">
        <v>600</v>
      </c>
      <c r="O8">
        <f>SUM(H19:K21)*(H5-1)</f>
        <v>10140</v>
      </c>
      <c r="P8">
        <f>P9-P5-P6-P7</f>
        <v>48</v>
      </c>
      <c r="Q8">
        <f>O8/P8</f>
        <v>211.25</v>
      </c>
    </row>
    <row r="9" spans="1:20" x14ac:dyDescent="0.25">
      <c r="A9" s="970" t="s">
        <v>2204</v>
      </c>
      <c r="B9" s="970">
        <v>45</v>
      </c>
      <c r="C9" s="970">
        <v>23</v>
      </c>
      <c r="D9" s="970">
        <v>75</v>
      </c>
      <c r="E9" s="970">
        <v>73</v>
      </c>
      <c r="N9" s="762" t="s">
        <v>1</v>
      </c>
      <c r="O9" s="762">
        <f>Q9*P9</f>
        <v>16596.733333333337</v>
      </c>
      <c r="P9" s="762">
        <f>L8-1</f>
        <v>59</v>
      </c>
      <c r="Q9" s="762">
        <f>L22</f>
        <v>281.3005649717515</v>
      </c>
      <c r="R9" s="762"/>
      <c r="S9" s="762"/>
      <c r="T9" s="762"/>
    </row>
    <row r="10" spans="1:20" x14ac:dyDescent="0.25">
      <c r="A10" s="680"/>
      <c r="B10" s="680">
        <v>40</v>
      </c>
      <c r="C10" s="680">
        <v>56</v>
      </c>
      <c r="D10" s="680">
        <v>57</v>
      </c>
      <c r="E10" s="680">
        <v>68</v>
      </c>
      <c r="G10" t="s">
        <v>610</v>
      </c>
    </row>
    <row r="11" spans="1:20" x14ac:dyDescent="0.25">
      <c r="A11" s="680"/>
      <c r="B11" s="680">
        <v>65</v>
      </c>
      <c r="C11" s="680">
        <v>61</v>
      </c>
      <c r="D11" s="680">
        <v>63</v>
      </c>
      <c r="E11" s="680">
        <v>71</v>
      </c>
      <c r="H11" s="1013" t="str">
        <f>B3</f>
        <v>Office 1</v>
      </c>
      <c r="I11" s="1013" t="str">
        <f>C3</f>
        <v>Office 2</v>
      </c>
      <c r="J11" s="1013" t="str">
        <f>D3</f>
        <v>Office 3</v>
      </c>
      <c r="K11" s="1013" t="str">
        <f>E3</f>
        <v>Office 4</v>
      </c>
    </row>
    <row r="12" spans="1:20" x14ac:dyDescent="0.25">
      <c r="A12" s="680"/>
      <c r="B12" s="680">
        <v>52</v>
      </c>
      <c r="C12" s="680">
        <v>34</v>
      </c>
      <c r="D12" s="680">
        <v>25</v>
      </c>
      <c r="E12" s="680">
        <v>59</v>
      </c>
      <c r="G12" t="str">
        <f>A4</f>
        <v>Conflict</v>
      </c>
      <c r="H12" s="865">
        <f>AVERAGE(B4:B8)</f>
        <v>53.8</v>
      </c>
      <c r="I12" s="798">
        <f>AVERAGE(C4:C8)</f>
        <v>43</v>
      </c>
      <c r="J12" s="798">
        <f>AVERAGE(D4:D8)</f>
        <v>31.8</v>
      </c>
      <c r="K12" s="866">
        <f>AVERAGE(E4:E8)</f>
        <v>49.4</v>
      </c>
      <c r="L12">
        <f>AVERAGE(B4:E8)</f>
        <v>44.5</v>
      </c>
    </row>
    <row r="13" spans="1:20" x14ac:dyDescent="0.25">
      <c r="A13" s="757"/>
      <c r="B13" s="757">
        <v>23</v>
      </c>
      <c r="C13" s="757">
        <v>28</v>
      </c>
      <c r="D13" s="757">
        <v>60</v>
      </c>
      <c r="E13" s="757">
        <v>80</v>
      </c>
      <c r="G13" t="str">
        <f>A9</f>
        <v>Psychol</v>
      </c>
      <c r="H13" s="501">
        <f>AVERAGE(B9:B13)</f>
        <v>45</v>
      </c>
      <c r="I13" s="7">
        <f>AVERAGE(C9:C13)</f>
        <v>40.4</v>
      </c>
      <c r="J13" s="7">
        <f>AVERAGE(D9:D13)</f>
        <v>56</v>
      </c>
      <c r="K13" s="57">
        <f>AVERAGE(E9:E13)</f>
        <v>70.2</v>
      </c>
      <c r="L13">
        <f>AVERAGE(B9:E13)</f>
        <v>52.9</v>
      </c>
    </row>
    <row r="14" spans="1:20" x14ac:dyDescent="0.25">
      <c r="A14" s="970" t="s">
        <v>2202</v>
      </c>
      <c r="B14" s="970">
        <v>80</v>
      </c>
      <c r="C14" s="970">
        <v>75</v>
      </c>
      <c r="D14" s="970">
        <v>55</v>
      </c>
      <c r="E14" s="970">
        <v>53</v>
      </c>
      <c r="G14" t="str">
        <f>A14</f>
        <v>Negot</v>
      </c>
      <c r="H14" s="759">
        <f>AVERAGE(B14:B18)</f>
        <v>60.2</v>
      </c>
      <c r="I14" s="760">
        <f>AVERAGE(C14:C18)</f>
        <v>57.6</v>
      </c>
      <c r="J14" s="760">
        <f>AVERAGE(D14:D18)</f>
        <v>64</v>
      </c>
      <c r="K14" s="761">
        <f>AVERAGE(E14:E18)</f>
        <v>47.4</v>
      </c>
      <c r="L14">
        <f>AVERAGE(B14:E18)</f>
        <v>57.3</v>
      </c>
    </row>
    <row r="15" spans="1:20" x14ac:dyDescent="0.25">
      <c r="A15" s="680"/>
      <c r="B15" s="680">
        <v>39</v>
      </c>
      <c r="C15" s="680">
        <v>57</v>
      </c>
      <c r="D15" s="680">
        <v>73</v>
      </c>
      <c r="E15" s="680">
        <v>51</v>
      </c>
      <c r="H15">
        <f>AVERAGE(B4:B18)</f>
        <v>53</v>
      </c>
      <c r="I15">
        <f>AVERAGE(C4:C18)</f>
        <v>47</v>
      </c>
      <c r="J15">
        <f>AVERAGE(D4:D18)</f>
        <v>50.6</v>
      </c>
      <c r="K15">
        <f>AVERAGE(E4:E18)</f>
        <v>55.666666666666664</v>
      </c>
      <c r="L15">
        <f>AVERAGE(B4:E18)</f>
        <v>51.56666666666667</v>
      </c>
    </row>
    <row r="16" spans="1:20" x14ac:dyDescent="0.25">
      <c r="A16" s="680"/>
      <c r="B16" s="680">
        <v>78</v>
      </c>
      <c r="C16" s="680">
        <v>63</v>
      </c>
      <c r="D16" s="680">
        <v>69</v>
      </c>
      <c r="E16" s="680">
        <v>47</v>
      </c>
    </row>
    <row r="17" spans="1:12" x14ac:dyDescent="0.25">
      <c r="A17" s="680"/>
      <c r="B17" s="680">
        <v>45</v>
      </c>
      <c r="C17" s="680">
        <v>25</v>
      </c>
      <c r="D17" s="680">
        <v>64</v>
      </c>
      <c r="E17" s="680">
        <v>41</v>
      </c>
      <c r="G17" t="s">
        <v>1667</v>
      </c>
    </row>
    <row r="18" spans="1:12" x14ac:dyDescent="0.25">
      <c r="A18" s="757"/>
      <c r="B18" s="757">
        <v>59</v>
      </c>
      <c r="C18" s="757">
        <v>68</v>
      </c>
      <c r="D18" s="757">
        <v>59</v>
      </c>
      <c r="E18" s="757">
        <v>45</v>
      </c>
      <c r="H18" s="1013" t="str">
        <f>B3</f>
        <v>Office 1</v>
      </c>
      <c r="I18" s="1013" t="str">
        <f>C3</f>
        <v>Office 2</v>
      </c>
      <c r="J18" s="1013" t="str">
        <f>D3</f>
        <v>Office 3</v>
      </c>
      <c r="K18" s="1013" t="str">
        <f>E3</f>
        <v>Office 4</v>
      </c>
    </row>
    <row r="19" spans="1:12" x14ac:dyDescent="0.25">
      <c r="G19" t="str">
        <f>A4</f>
        <v>Conflict</v>
      </c>
      <c r="H19" s="865">
        <f>VAR(B4:B8)</f>
        <v>306.19999999999982</v>
      </c>
      <c r="I19" s="798">
        <f>VAR(C4:C8)</f>
        <v>209</v>
      </c>
      <c r="J19" s="798">
        <f>VAR(D4:D8)</f>
        <v>50.200000000000045</v>
      </c>
      <c r="K19" s="866">
        <f>VAR(E4:E8)</f>
        <v>233.80000000000018</v>
      </c>
      <c r="L19">
        <f>VAR(B4:E8)</f>
        <v>240.36842105263159</v>
      </c>
    </row>
    <row r="20" spans="1:12" x14ac:dyDescent="0.25">
      <c r="G20" t="str">
        <f>A9</f>
        <v>Psychol</v>
      </c>
      <c r="H20" s="501">
        <f>VAR(B9:B13)</f>
        <v>239.5</v>
      </c>
      <c r="I20" s="7">
        <f>VAR(C9:C13)</f>
        <v>291.29999999999995</v>
      </c>
      <c r="J20" s="7">
        <f>VAR(D9:D13)</f>
        <v>347</v>
      </c>
      <c r="K20" s="57">
        <f>VAR(E9:E13)</f>
        <v>58.7</v>
      </c>
      <c r="L20">
        <f>VAR(B9:E13)</f>
        <v>335.98947368421068</v>
      </c>
    </row>
    <row r="21" spans="1:12" x14ac:dyDescent="0.25">
      <c r="G21" t="str">
        <f>A14</f>
        <v>Negot</v>
      </c>
      <c r="H21" s="759">
        <f>VAR(B14:B18)</f>
        <v>347.69999999999982</v>
      </c>
      <c r="I21" s="760">
        <f>VAR(C14:C18)</f>
        <v>375.80000000000018</v>
      </c>
      <c r="J21" s="760">
        <f>VAR(D14:D18)</f>
        <v>53</v>
      </c>
      <c r="K21" s="761">
        <f>VAR(E14:E18)</f>
        <v>22.799999999999997</v>
      </c>
      <c r="L21">
        <f>VAR(B14:E18)</f>
        <v>208.11578947368406</v>
      </c>
    </row>
    <row r="22" spans="1:12" x14ac:dyDescent="0.25">
      <c r="H22">
        <f>VAR(B4:B18)</f>
        <v>296.85714285714283</v>
      </c>
      <c r="I22">
        <f>VAR(C4:C18)</f>
        <v>311.71428571428572</v>
      </c>
      <c r="J22">
        <f>VAR(D4:D18)</f>
        <v>329.39999999999992</v>
      </c>
      <c r="K22">
        <f>VAR(E4:E18)</f>
        <v>203.95238095238113</v>
      </c>
      <c r="L22">
        <f>VAR(B4:E18)</f>
        <v>281.3005649717515</v>
      </c>
    </row>
  </sheetData>
  <pageMargins left="0.7" right="0.7" top="0.75" bottom="0.75" header="0.3" footer="0.3"/>
  <pageSetup paperSize="9" orientation="portrait" verticalDpi="0" r:id="rId1"/>
  <ignoredErrors>
    <ignoredError sqref="H5:K7 H12:K14 H19:K2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/>
  <dimension ref="A1:W32"/>
  <sheetViews>
    <sheetView workbookViewId="0"/>
  </sheetViews>
  <sheetFormatPr defaultRowHeight="15" x14ac:dyDescent="0.25"/>
  <cols>
    <col min="1" max="9" width="10" customWidth="1"/>
    <col min="13" max="13" width="9.140625" customWidth="1"/>
    <col min="15" max="15" width="16.42578125" customWidth="1"/>
  </cols>
  <sheetData>
    <row r="1" spans="1:23" x14ac:dyDescent="0.25">
      <c r="A1" s="1" t="s">
        <v>2189</v>
      </c>
    </row>
    <row r="2" spans="1:23" x14ac:dyDescent="0.25">
      <c r="K2" s="13" t="s">
        <v>2203</v>
      </c>
      <c r="L2" s="13" t="s">
        <v>2204</v>
      </c>
      <c r="M2" s="13" t="s">
        <v>2205</v>
      </c>
    </row>
    <row r="3" spans="1:23" x14ac:dyDescent="0.25">
      <c r="A3" s="1291" t="s">
        <v>2192</v>
      </c>
      <c r="B3" s="1331"/>
      <c r="C3" s="1331"/>
      <c r="D3" s="1291" t="s">
        <v>2190</v>
      </c>
      <c r="E3" s="1331"/>
      <c r="F3" s="1293"/>
      <c r="G3" s="1331" t="s">
        <v>2191</v>
      </c>
      <c r="H3" s="1331"/>
      <c r="I3" s="1293"/>
      <c r="K3" s="869">
        <f t="array" ref="K3:K32">[1]!RESHAPE(A5:C14)</f>
        <v>34</v>
      </c>
      <c r="L3" s="867">
        <f t="array" ref="L3:L32">[1]!RESHAPE(D5:F14)</f>
        <v>46</v>
      </c>
      <c r="M3" s="870">
        <f t="array" ref="M3:M32">[1]!RESHAPE(G5:I14)</f>
        <v>23</v>
      </c>
      <c r="O3" t="s">
        <v>457</v>
      </c>
    </row>
    <row r="4" spans="1:23" x14ac:dyDescent="0.25">
      <c r="A4" s="583" t="s">
        <v>2193</v>
      </c>
      <c r="B4" s="997" t="s">
        <v>2194</v>
      </c>
      <c r="C4" s="682" t="s">
        <v>2195</v>
      </c>
      <c r="D4" s="583" t="s">
        <v>2196</v>
      </c>
      <c r="E4" s="997" t="s">
        <v>2197</v>
      </c>
      <c r="F4" s="997" t="s">
        <v>2198</v>
      </c>
      <c r="G4" s="583" t="s">
        <v>2199</v>
      </c>
      <c r="H4" s="997" t="s">
        <v>2200</v>
      </c>
      <c r="I4" s="682" t="s">
        <v>2201</v>
      </c>
      <c r="K4" s="532">
        <v>56</v>
      </c>
      <c r="L4" s="7">
        <v>32</v>
      </c>
      <c r="M4" s="533">
        <v>56</v>
      </c>
    </row>
    <row r="5" spans="1:23" ht="15.75" thickBot="1" x14ac:dyDescent="0.3">
      <c r="A5" s="869">
        <v>34</v>
      </c>
      <c r="B5" s="867">
        <v>45</v>
      </c>
      <c r="C5" s="870">
        <v>40</v>
      </c>
      <c r="D5" s="532">
        <v>46</v>
      </c>
      <c r="E5" s="7">
        <v>23</v>
      </c>
      <c r="F5" s="7">
        <v>75</v>
      </c>
      <c r="G5" s="532">
        <v>23</v>
      </c>
      <c r="H5" s="7">
        <v>75</v>
      </c>
      <c r="I5" s="533">
        <v>55</v>
      </c>
      <c r="K5" s="532">
        <v>78</v>
      </c>
      <c r="L5" s="7">
        <v>56</v>
      </c>
      <c r="M5" s="533">
        <v>61</v>
      </c>
      <c r="O5" t="s">
        <v>458</v>
      </c>
      <c r="T5" t="s">
        <v>34</v>
      </c>
      <c r="U5">
        <v>0.05</v>
      </c>
    </row>
    <row r="6" spans="1:23" ht="15.75" thickTop="1" x14ac:dyDescent="0.25">
      <c r="A6" s="532">
        <v>56</v>
      </c>
      <c r="B6" s="7">
        <v>76</v>
      </c>
      <c r="C6" s="533">
        <v>39</v>
      </c>
      <c r="D6" s="532">
        <v>32</v>
      </c>
      <c r="E6" s="31">
        <v>56</v>
      </c>
      <c r="F6" s="7">
        <v>57</v>
      </c>
      <c r="G6" s="556">
        <v>56</v>
      </c>
      <c r="H6" s="7">
        <v>57</v>
      </c>
      <c r="I6" s="533">
        <v>73</v>
      </c>
      <c r="K6" s="532">
        <v>67</v>
      </c>
      <c r="L6" s="7">
        <v>52</v>
      </c>
      <c r="M6" s="533">
        <v>34</v>
      </c>
      <c r="O6" s="826" t="s">
        <v>79</v>
      </c>
      <c r="P6" s="826" t="s">
        <v>22</v>
      </c>
      <c r="Q6" s="826" t="s">
        <v>21</v>
      </c>
      <c r="R6" s="826" t="s">
        <v>10</v>
      </c>
      <c r="S6" s="826" t="s">
        <v>80</v>
      </c>
      <c r="T6" s="826" t="s">
        <v>219</v>
      </c>
      <c r="U6" s="826" t="s">
        <v>59</v>
      </c>
      <c r="V6" s="826" t="s">
        <v>343</v>
      </c>
      <c r="W6" s="826" t="s">
        <v>344</v>
      </c>
    </row>
    <row r="7" spans="1:23" x14ac:dyDescent="0.25">
      <c r="A7" s="532">
        <v>78</v>
      </c>
      <c r="B7" s="7">
        <v>65</v>
      </c>
      <c r="C7" s="533">
        <v>78</v>
      </c>
      <c r="D7" s="532">
        <v>56</v>
      </c>
      <c r="E7" s="31">
        <v>61</v>
      </c>
      <c r="F7" s="7">
        <v>63</v>
      </c>
      <c r="G7" s="556">
        <v>61</v>
      </c>
      <c r="H7" s="7">
        <v>63</v>
      </c>
      <c r="I7" s="533">
        <v>69</v>
      </c>
      <c r="K7" s="532">
        <v>61</v>
      </c>
      <c r="L7" s="7">
        <v>79</v>
      </c>
      <c r="M7" s="533">
        <v>28</v>
      </c>
      <c r="O7" t="str">
        <f>K2</f>
        <v>Conflict</v>
      </c>
      <c r="P7">
        <f>COUNT(K3:K32)</f>
        <v>30</v>
      </c>
      <c r="Q7">
        <f>SUM(K3:K32)</f>
        <v>1653</v>
      </c>
      <c r="R7">
        <f>AVERAGE(K3:K32)</f>
        <v>55.1</v>
      </c>
      <c r="S7">
        <f>VAR(K3:K32)</f>
        <v>256.36896551724129</v>
      </c>
      <c r="T7">
        <f>DEVSQ(K3:K32)</f>
        <v>7434.7</v>
      </c>
      <c r="U7">
        <f>SQRT(R14/P7)</f>
        <v>2.8676577632719966</v>
      </c>
      <c r="V7">
        <f>R7-U7*TINV(U5,P7-1)</f>
        <v>49.234981339064142</v>
      </c>
      <c r="W7">
        <f>R7+U7*TINV(U5,P7-1)</f>
        <v>60.965018660935861</v>
      </c>
    </row>
    <row r="8" spans="1:23" x14ac:dyDescent="0.25">
      <c r="A8" s="532">
        <v>67</v>
      </c>
      <c r="B8" s="31">
        <v>52</v>
      </c>
      <c r="C8" s="533">
        <v>24</v>
      </c>
      <c r="D8" s="532">
        <v>52</v>
      </c>
      <c r="E8" s="31">
        <v>34</v>
      </c>
      <c r="F8" s="7">
        <v>25</v>
      </c>
      <c r="G8" s="556">
        <v>34</v>
      </c>
      <c r="H8" s="7">
        <v>25</v>
      </c>
      <c r="I8" s="533">
        <v>64</v>
      </c>
      <c r="K8" s="532">
        <v>48</v>
      </c>
      <c r="L8" s="7">
        <v>28</v>
      </c>
      <c r="M8" s="533">
        <v>35</v>
      </c>
      <c r="O8" t="str">
        <f>L2</f>
        <v>Psychol</v>
      </c>
      <c r="P8">
        <f>COUNT(L3:L32)</f>
        <v>30</v>
      </c>
      <c r="Q8">
        <f>SUM(L3:L32)</f>
        <v>1348</v>
      </c>
      <c r="R8">
        <f>AVERAGE(L3:L32)</f>
        <v>44.93333333333333</v>
      </c>
      <c r="S8">
        <f>VAR(L3:L32)</f>
        <v>224.20229885057478</v>
      </c>
      <c r="T8">
        <f>DEVSQ(L3:L32)</f>
        <v>6501.8666666666668</v>
      </c>
      <c r="U8">
        <f>SQRT(R14/P8)</f>
        <v>2.8676577632719966</v>
      </c>
      <c r="V8">
        <f>R8-U8*TINV(U5,P8-1)</f>
        <v>39.06831467239747</v>
      </c>
      <c r="W8">
        <f>R8+U8*TINV(U5,P8-1)</f>
        <v>50.79835199426919</v>
      </c>
    </row>
    <row r="9" spans="1:23" x14ac:dyDescent="0.25">
      <c r="A9" s="532">
        <v>61</v>
      </c>
      <c r="B9" s="31">
        <v>23</v>
      </c>
      <c r="C9" s="533">
        <v>59</v>
      </c>
      <c r="D9" s="532">
        <v>79</v>
      </c>
      <c r="E9" s="31">
        <v>28</v>
      </c>
      <c r="F9" s="7">
        <v>60</v>
      </c>
      <c r="G9" s="556">
        <v>28</v>
      </c>
      <c r="H9" s="7">
        <v>60</v>
      </c>
      <c r="I9" s="533">
        <v>59</v>
      </c>
      <c r="K9" s="532">
        <v>72</v>
      </c>
      <c r="L9" s="7">
        <v>36</v>
      </c>
      <c r="M9" s="533">
        <v>30</v>
      </c>
      <c r="O9" t="str">
        <f>M2</f>
        <v>Negotiat</v>
      </c>
      <c r="P9">
        <f>COUNT(M3:M32)</f>
        <v>30</v>
      </c>
      <c r="Q9">
        <f>SUM(M3:M32)</f>
        <v>1480</v>
      </c>
      <c r="R9">
        <f>AVERAGE(M3:M32)</f>
        <v>49.333333333333336</v>
      </c>
      <c r="S9">
        <f>VAR(M3:M32)</f>
        <v>259.54022988505761</v>
      </c>
      <c r="T9">
        <f>DEVSQ(M3:M32)</f>
        <v>7526.666666666667</v>
      </c>
      <c r="U9">
        <f>SQRT(R14/P9)</f>
        <v>2.8676577632719966</v>
      </c>
      <c r="V9">
        <f>R9-U9*TINV(U5,P9-1)</f>
        <v>43.468314672397476</v>
      </c>
      <c r="W9">
        <f>R9+U9*TINV(U5,P9-1)</f>
        <v>55.198351994269196</v>
      </c>
    </row>
    <row r="10" spans="1:23" x14ac:dyDescent="0.25">
      <c r="A10" s="532">
        <v>48</v>
      </c>
      <c r="B10" s="31">
        <v>73</v>
      </c>
      <c r="C10" s="533">
        <v>53</v>
      </c>
      <c r="D10" s="532">
        <v>28</v>
      </c>
      <c r="E10" s="31">
        <v>35</v>
      </c>
      <c r="F10" s="7">
        <v>52</v>
      </c>
      <c r="G10" s="556">
        <v>35</v>
      </c>
      <c r="H10" s="7">
        <v>52</v>
      </c>
      <c r="I10" s="533">
        <v>62</v>
      </c>
      <c r="K10" s="532">
        <v>51</v>
      </c>
      <c r="L10" s="7">
        <v>41</v>
      </c>
      <c r="M10" s="533">
        <v>46</v>
      </c>
      <c r="O10" s="867"/>
      <c r="P10" s="867"/>
      <c r="Q10" s="867"/>
      <c r="R10" s="867"/>
      <c r="S10" s="867"/>
      <c r="T10" s="867"/>
      <c r="U10" s="867"/>
      <c r="V10" s="867"/>
      <c r="W10" s="867"/>
    </row>
    <row r="11" spans="1:23" ht="15.75" thickBot="1" x14ac:dyDescent="0.3">
      <c r="A11" s="532">
        <v>72</v>
      </c>
      <c r="B11" s="31">
        <v>68</v>
      </c>
      <c r="C11" s="533">
        <v>51</v>
      </c>
      <c r="D11" s="532">
        <v>36</v>
      </c>
      <c r="E11" s="31">
        <v>30</v>
      </c>
      <c r="F11" s="7">
        <v>45</v>
      </c>
      <c r="G11" s="556">
        <v>30</v>
      </c>
      <c r="H11" s="7">
        <v>45</v>
      </c>
      <c r="I11" s="533">
        <v>67</v>
      </c>
      <c r="K11" s="532">
        <v>52</v>
      </c>
      <c r="L11" s="7">
        <v>64</v>
      </c>
      <c r="M11" s="533">
        <v>41</v>
      </c>
      <c r="O11" t="s">
        <v>294</v>
      </c>
    </row>
    <row r="12" spans="1:23" ht="15.75" thickTop="1" x14ac:dyDescent="0.25">
      <c r="A12" s="532">
        <v>51</v>
      </c>
      <c r="B12" s="31">
        <v>71</v>
      </c>
      <c r="C12" s="533">
        <v>32</v>
      </c>
      <c r="D12" s="532">
        <v>41</v>
      </c>
      <c r="E12" s="31">
        <v>46</v>
      </c>
      <c r="F12" s="7">
        <v>48</v>
      </c>
      <c r="G12" s="556">
        <v>46</v>
      </c>
      <c r="H12" s="7">
        <v>48</v>
      </c>
      <c r="I12" s="533">
        <v>31</v>
      </c>
      <c r="K12" s="532">
        <v>60</v>
      </c>
      <c r="L12" s="7">
        <v>37</v>
      </c>
      <c r="M12" s="533">
        <v>34</v>
      </c>
      <c r="O12" s="826" t="s">
        <v>459</v>
      </c>
      <c r="P12" s="826" t="s">
        <v>219</v>
      </c>
      <c r="Q12" s="826" t="s">
        <v>60</v>
      </c>
      <c r="R12" s="826" t="s">
        <v>240</v>
      </c>
      <c r="S12" s="826" t="s">
        <v>135</v>
      </c>
      <c r="T12" s="826" t="s">
        <v>460</v>
      </c>
      <c r="U12" s="826" t="s">
        <v>467</v>
      </c>
      <c r="V12" s="826" t="s">
        <v>1231</v>
      </c>
      <c r="W12" s="826" t="s">
        <v>1232</v>
      </c>
    </row>
    <row r="13" spans="1:23" x14ac:dyDescent="0.25">
      <c r="A13" s="532">
        <v>52</v>
      </c>
      <c r="B13" s="31">
        <v>59</v>
      </c>
      <c r="C13" s="533">
        <v>41</v>
      </c>
      <c r="D13" s="532">
        <v>64</v>
      </c>
      <c r="E13" s="31">
        <v>41</v>
      </c>
      <c r="F13" s="7">
        <v>38</v>
      </c>
      <c r="G13" s="556">
        <v>41</v>
      </c>
      <c r="H13" s="7">
        <v>38</v>
      </c>
      <c r="I13" s="533">
        <v>48</v>
      </c>
      <c r="K13" s="532">
        <v>45</v>
      </c>
      <c r="L13" s="7">
        <v>23</v>
      </c>
      <c r="M13" s="533">
        <v>75</v>
      </c>
      <c r="O13" t="s">
        <v>462</v>
      </c>
      <c r="P13">
        <f>P15-P14</f>
        <v>1559.7555555555482</v>
      </c>
      <c r="Q13">
        <f>COUNTA(O7:O9)-1</f>
        <v>2</v>
      </c>
      <c r="R13">
        <f>P13/Q13</f>
        <v>779.8777777777741</v>
      </c>
      <c r="S13">
        <f>R13/R14</f>
        <v>3.161190376721728</v>
      </c>
      <c r="T13">
        <f>FDIST(S13,Q13,Q14)</f>
        <v>4.7282972617934349E-2</v>
      </c>
      <c r="U13">
        <f>FINV(U5,Q13,Q14)</f>
        <v>3.1012957566671893</v>
      </c>
      <c r="V13">
        <f>SQRT(DEVSQ(R7:R9)/(R14*Q13))</f>
        <v>0.32461209551923897</v>
      </c>
      <c r="W13">
        <f>(P15-Q15*R14)/(P15+R14)</f>
        <v>4.5825611259135431E-2</v>
      </c>
    </row>
    <row r="14" spans="1:23" x14ac:dyDescent="0.25">
      <c r="A14" s="409">
        <v>60</v>
      </c>
      <c r="B14" s="762">
        <v>80</v>
      </c>
      <c r="C14" s="417">
        <v>45</v>
      </c>
      <c r="D14" s="409">
        <v>37</v>
      </c>
      <c r="E14" s="762">
        <v>34</v>
      </c>
      <c r="F14" s="762">
        <v>26</v>
      </c>
      <c r="G14" s="409">
        <v>34</v>
      </c>
      <c r="H14" s="762">
        <v>26</v>
      </c>
      <c r="I14" s="417">
        <v>75</v>
      </c>
      <c r="K14" s="532">
        <v>76</v>
      </c>
      <c r="L14" s="7">
        <v>56</v>
      </c>
      <c r="M14" s="533">
        <v>57</v>
      </c>
      <c r="O14" t="s">
        <v>463</v>
      </c>
      <c r="P14">
        <f>SUM(T7:T9)</f>
        <v>21463.233333333334</v>
      </c>
      <c r="Q14">
        <f>Q15-Q13</f>
        <v>87</v>
      </c>
      <c r="R14">
        <f>P14/Q14</f>
        <v>246.70383141762451</v>
      </c>
    </row>
    <row r="15" spans="1:23" x14ac:dyDescent="0.25">
      <c r="A15">
        <f t="shared" ref="A15:I15" si="0">AVERAGE(A5:A14)</f>
        <v>57.9</v>
      </c>
      <c r="B15">
        <f t="shared" si="0"/>
        <v>61.2</v>
      </c>
      <c r="C15">
        <f t="shared" si="0"/>
        <v>46.2</v>
      </c>
      <c r="D15">
        <f t="shared" si="0"/>
        <v>47.1</v>
      </c>
      <c r="E15">
        <f t="shared" si="0"/>
        <v>38.799999999999997</v>
      </c>
      <c r="F15">
        <f t="shared" si="0"/>
        <v>48.9</v>
      </c>
      <c r="G15">
        <f t="shared" si="0"/>
        <v>38.799999999999997</v>
      </c>
      <c r="H15">
        <f t="shared" si="0"/>
        <v>48.9</v>
      </c>
      <c r="I15">
        <f t="shared" si="0"/>
        <v>60.3</v>
      </c>
      <c r="K15" s="532">
        <v>65</v>
      </c>
      <c r="L15" s="7">
        <v>61</v>
      </c>
      <c r="M15" s="533">
        <v>63</v>
      </c>
      <c r="O15" s="762" t="s">
        <v>1</v>
      </c>
      <c r="P15" s="762">
        <f>DEVSQ(K3:M32)</f>
        <v>23022.988888888882</v>
      </c>
      <c r="Q15" s="762">
        <f>COUNT(K3:M32)-1</f>
        <v>89</v>
      </c>
      <c r="R15" s="762">
        <f>P15/Q15</f>
        <v>258.68526841448181</v>
      </c>
      <c r="S15" s="762"/>
      <c r="T15" s="762"/>
      <c r="U15" s="762"/>
      <c r="V15" s="762"/>
      <c r="W15" s="762"/>
    </row>
    <row r="16" spans="1:23" x14ac:dyDescent="0.25">
      <c r="K16" s="532">
        <v>52</v>
      </c>
      <c r="L16" s="7">
        <v>34</v>
      </c>
      <c r="M16" s="533">
        <v>25</v>
      </c>
    </row>
    <row r="17" spans="11:13" x14ac:dyDescent="0.25">
      <c r="K17" s="532">
        <v>23</v>
      </c>
      <c r="L17" s="7">
        <v>28</v>
      </c>
      <c r="M17" s="533">
        <v>60</v>
      </c>
    </row>
    <row r="18" spans="11:13" x14ac:dyDescent="0.25">
      <c r="K18" s="532">
        <v>73</v>
      </c>
      <c r="L18" s="7">
        <v>35</v>
      </c>
      <c r="M18" s="533">
        <v>52</v>
      </c>
    </row>
    <row r="19" spans="11:13" x14ac:dyDescent="0.25">
      <c r="K19" s="532">
        <v>68</v>
      </c>
      <c r="L19" s="7">
        <v>30</v>
      </c>
      <c r="M19" s="533">
        <v>45</v>
      </c>
    </row>
    <row r="20" spans="11:13" x14ac:dyDescent="0.25">
      <c r="K20" s="532">
        <v>71</v>
      </c>
      <c r="L20" s="7">
        <v>46</v>
      </c>
      <c r="M20" s="533">
        <v>48</v>
      </c>
    </row>
    <row r="21" spans="11:13" x14ac:dyDescent="0.25">
      <c r="K21" s="532">
        <v>59</v>
      </c>
      <c r="L21" s="7">
        <v>41</v>
      </c>
      <c r="M21" s="533">
        <v>38</v>
      </c>
    </row>
    <row r="22" spans="11:13" x14ac:dyDescent="0.25">
      <c r="K22" s="532">
        <v>80</v>
      </c>
      <c r="L22" s="7">
        <v>34</v>
      </c>
      <c r="M22" s="533">
        <v>26</v>
      </c>
    </row>
    <row r="23" spans="11:13" x14ac:dyDescent="0.25">
      <c r="K23" s="532">
        <v>40</v>
      </c>
      <c r="L23" s="7">
        <v>75</v>
      </c>
      <c r="M23" s="533">
        <v>55</v>
      </c>
    </row>
    <row r="24" spans="11:13" x14ac:dyDescent="0.25">
      <c r="K24" s="532">
        <v>39</v>
      </c>
      <c r="L24" s="7">
        <v>57</v>
      </c>
      <c r="M24" s="533">
        <v>73</v>
      </c>
    </row>
    <row r="25" spans="11:13" x14ac:dyDescent="0.25">
      <c r="K25" s="532">
        <v>78</v>
      </c>
      <c r="L25" s="7">
        <v>63</v>
      </c>
      <c r="M25" s="533">
        <v>69</v>
      </c>
    </row>
    <row r="26" spans="11:13" x14ac:dyDescent="0.25">
      <c r="K26" s="532">
        <v>24</v>
      </c>
      <c r="L26" s="7">
        <v>25</v>
      </c>
      <c r="M26" s="533">
        <v>64</v>
      </c>
    </row>
    <row r="27" spans="11:13" x14ac:dyDescent="0.25">
      <c r="K27" s="532">
        <v>59</v>
      </c>
      <c r="L27" s="7">
        <v>60</v>
      </c>
      <c r="M27" s="533">
        <v>59</v>
      </c>
    </row>
    <row r="28" spans="11:13" x14ac:dyDescent="0.25">
      <c r="K28" s="532">
        <v>53</v>
      </c>
      <c r="L28" s="7">
        <v>52</v>
      </c>
      <c r="M28" s="533">
        <v>62</v>
      </c>
    </row>
    <row r="29" spans="11:13" x14ac:dyDescent="0.25">
      <c r="K29" s="532">
        <v>51</v>
      </c>
      <c r="L29" s="7">
        <v>45</v>
      </c>
      <c r="M29" s="533">
        <v>67</v>
      </c>
    </row>
    <row r="30" spans="11:13" x14ac:dyDescent="0.25">
      <c r="K30" s="532">
        <v>32</v>
      </c>
      <c r="L30" s="7">
        <v>48</v>
      </c>
      <c r="M30" s="533">
        <v>31</v>
      </c>
    </row>
    <row r="31" spans="11:13" x14ac:dyDescent="0.25">
      <c r="K31" s="532">
        <v>41</v>
      </c>
      <c r="L31" s="7">
        <v>38</v>
      </c>
      <c r="M31" s="533">
        <v>48</v>
      </c>
    </row>
    <row r="32" spans="11:13" x14ac:dyDescent="0.25">
      <c r="K32" s="409">
        <v>45</v>
      </c>
      <c r="L32" s="762">
        <v>26</v>
      </c>
      <c r="M32" s="417">
        <v>75</v>
      </c>
    </row>
  </sheetData>
  <mergeCells count="3">
    <mergeCell ref="A3:C3"/>
    <mergeCell ref="D3:F3"/>
    <mergeCell ref="G3:I3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/>
  <dimension ref="A1:R33"/>
  <sheetViews>
    <sheetView workbookViewId="0"/>
  </sheetViews>
  <sheetFormatPr defaultRowHeight="15" x14ac:dyDescent="0.25"/>
  <cols>
    <col min="6" max="11" width="0" hidden="1" customWidth="1"/>
    <col min="12" max="12" width="10.28515625" customWidth="1"/>
  </cols>
  <sheetData>
    <row r="1" spans="1:18" x14ac:dyDescent="0.25">
      <c r="A1" s="1" t="s">
        <v>2244</v>
      </c>
    </row>
    <row r="3" spans="1:18" x14ac:dyDescent="0.25">
      <c r="B3" s="1015" t="s">
        <v>2206</v>
      </c>
      <c r="C3" s="1014" t="s">
        <v>2207</v>
      </c>
      <c r="D3" s="1016" t="s">
        <v>2208</v>
      </c>
      <c r="F3" t="s">
        <v>27</v>
      </c>
      <c r="L3" t="s">
        <v>1670</v>
      </c>
    </row>
    <row r="4" spans="1:18" x14ac:dyDescent="0.25">
      <c r="A4" s="868" t="s">
        <v>2203</v>
      </c>
      <c r="B4" s="869">
        <v>34</v>
      </c>
      <c r="C4" s="867">
        <v>45</v>
      </c>
      <c r="D4" s="870">
        <v>40</v>
      </c>
    </row>
    <row r="5" spans="1:18" ht="15.75" thickBot="1" x14ac:dyDescent="0.3">
      <c r="A5" s="503"/>
      <c r="B5" s="532">
        <v>56</v>
      </c>
      <c r="C5" s="7">
        <v>76</v>
      </c>
      <c r="D5" s="533">
        <v>39</v>
      </c>
      <c r="F5" t="s">
        <v>1666</v>
      </c>
      <c r="G5" t="str">
        <f>IF(COUNTIF(G7:I9,G7)=COUNT(G7:I9),"balanced","unbalanced")</f>
        <v>balanced</v>
      </c>
      <c r="L5" t="s">
        <v>294</v>
      </c>
      <c r="P5" s="1013" t="s">
        <v>34</v>
      </c>
      <c r="Q5" s="1013">
        <v>0.05</v>
      </c>
    </row>
    <row r="6" spans="1:18" ht="15.75" thickTop="1" x14ac:dyDescent="0.25">
      <c r="A6" s="503"/>
      <c r="B6" s="532">
        <v>78</v>
      </c>
      <c r="C6" s="7">
        <v>65</v>
      </c>
      <c r="D6" s="533">
        <v>78</v>
      </c>
      <c r="G6" s="1013" t="str">
        <f>B3</f>
        <v>Office A</v>
      </c>
      <c r="H6" s="1013" t="str">
        <f>C3</f>
        <v>Office B</v>
      </c>
      <c r="I6" s="1013" t="str">
        <f>D3</f>
        <v>Office C</v>
      </c>
      <c r="L6" s="826"/>
      <c r="M6" s="826" t="s">
        <v>219</v>
      </c>
      <c r="N6" s="826" t="s">
        <v>60</v>
      </c>
      <c r="O6" s="826" t="s">
        <v>240</v>
      </c>
      <c r="P6" s="826" t="s">
        <v>135</v>
      </c>
      <c r="Q6" s="826" t="s">
        <v>67</v>
      </c>
      <c r="R6" s="826" t="s">
        <v>527</v>
      </c>
    </row>
    <row r="7" spans="1:18" x14ac:dyDescent="0.25">
      <c r="A7" s="503"/>
      <c r="B7" s="532">
        <v>67</v>
      </c>
      <c r="C7" s="31">
        <v>52</v>
      </c>
      <c r="D7" s="533">
        <v>24</v>
      </c>
      <c r="F7" t="str">
        <f>A4</f>
        <v>Conflict</v>
      </c>
      <c r="G7" s="865">
        <f>COUNT(B4:B13)</f>
        <v>10</v>
      </c>
      <c r="H7" s="798">
        <f>COUNT(C4:C13)</f>
        <v>10</v>
      </c>
      <c r="I7" s="866">
        <f>COUNT(D4:D13)</f>
        <v>10</v>
      </c>
      <c r="J7">
        <f>COUNT(B4:D13)</f>
        <v>30</v>
      </c>
      <c r="L7" t="s">
        <v>136</v>
      </c>
      <c r="M7">
        <f>DEVSQ(J14:J16)*J7</f>
        <v>1559.7555555555568</v>
      </c>
      <c r="N7">
        <f>COUNT(J14:J16)-1</f>
        <v>2</v>
      </c>
      <c r="O7">
        <f>M7/N7</f>
        <v>779.87777777777842</v>
      </c>
      <c r="P7">
        <f>O7/O10</f>
        <v>3.6459503292720257</v>
      </c>
      <c r="Q7">
        <f>FDIST(P7,N7,N10)</f>
        <v>3.0468297868075922E-2</v>
      </c>
      <c r="R7" s="1013" t="str">
        <f>IF(Q7&lt;Q5,"yes","no")</f>
        <v>yes</v>
      </c>
    </row>
    <row r="8" spans="1:18" x14ac:dyDescent="0.25">
      <c r="A8" s="503"/>
      <c r="B8" s="532">
        <v>61</v>
      </c>
      <c r="C8" s="31">
        <v>23</v>
      </c>
      <c r="D8" s="533">
        <v>59</v>
      </c>
      <c r="F8" t="str">
        <f>A14</f>
        <v>Psychol</v>
      </c>
      <c r="G8" s="501">
        <f>COUNT(B14:B23)</f>
        <v>10</v>
      </c>
      <c r="H8" s="7">
        <f>COUNT(C14:C23)</f>
        <v>10</v>
      </c>
      <c r="I8" s="57">
        <f>COUNT(D14:D23)</f>
        <v>10</v>
      </c>
      <c r="J8">
        <f>COUNT(B14:D23)</f>
        <v>30</v>
      </c>
      <c r="L8" t="s">
        <v>589</v>
      </c>
      <c r="M8">
        <f>DEVSQ(G17:I17)*G10</f>
        <v>225.35555555555558</v>
      </c>
      <c r="N8">
        <f>COUNT(G17:I17)-1</f>
        <v>2</v>
      </c>
      <c r="O8">
        <f>M8/N8</f>
        <v>112.67777777777779</v>
      </c>
      <c r="P8">
        <f>O8/O10</f>
        <v>0.52677174897986268</v>
      </c>
      <c r="Q8">
        <f>FDIST(P8,N8,N10)</f>
        <v>0.59251719577672746</v>
      </c>
      <c r="R8" s="1013" t="str">
        <f>IF(Q8&lt;Q5,"yes","no")</f>
        <v>no</v>
      </c>
    </row>
    <row r="9" spans="1:18" x14ac:dyDescent="0.25">
      <c r="A9" s="503"/>
      <c r="B9" s="532">
        <v>48</v>
      </c>
      <c r="C9" s="31">
        <v>73</v>
      </c>
      <c r="D9" s="533">
        <v>53</v>
      </c>
      <c r="F9" t="str">
        <f>A24</f>
        <v>Negot</v>
      </c>
      <c r="G9" s="759">
        <f>COUNT(B24:B33)</f>
        <v>10</v>
      </c>
      <c r="H9" s="760">
        <f>COUNT(C24:C33)</f>
        <v>10</v>
      </c>
      <c r="I9" s="761">
        <f>COUNT(D24:D33)</f>
        <v>10</v>
      </c>
      <c r="J9">
        <f>COUNT(B24:D33)</f>
        <v>30</v>
      </c>
      <c r="L9" t="s">
        <v>1319</v>
      </c>
      <c r="M9">
        <f>M11-M7-M8-M10</f>
        <v>3911.7777777777701</v>
      </c>
      <c r="N9">
        <f>N8*N7</f>
        <v>4</v>
      </c>
      <c r="O9">
        <f>M9/N9</f>
        <v>977.94444444444252</v>
      </c>
      <c r="P9">
        <f>O9/O10</f>
        <v>4.571917511730847</v>
      </c>
      <c r="Q9">
        <f>FDIST(P9,N9,N10)</f>
        <v>2.2219531604923833E-3</v>
      </c>
      <c r="R9" s="1013" t="str">
        <f>IF(Q9&lt;Q5,"yes","no")</f>
        <v>yes</v>
      </c>
    </row>
    <row r="10" spans="1:18" x14ac:dyDescent="0.25">
      <c r="A10" s="503"/>
      <c r="B10" s="532">
        <v>72</v>
      </c>
      <c r="C10" s="31">
        <v>68</v>
      </c>
      <c r="D10" s="533">
        <v>51</v>
      </c>
      <c r="G10">
        <f>COUNT(B4:B33)</f>
        <v>30</v>
      </c>
      <c r="H10">
        <f>COUNT(C4:C33)</f>
        <v>30</v>
      </c>
      <c r="I10">
        <f>COUNT(D4:D33)</f>
        <v>30</v>
      </c>
      <c r="J10">
        <f>COUNT(B4:D33)</f>
        <v>90</v>
      </c>
      <c r="L10" t="s">
        <v>600</v>
      </c>
      <c r="M10">
        <f>SUM(G21:I23)*(G7-1)</f>
        <v>17326.100000000002</v>
      </c>
      <c r="N10">
        <f>N11-N7-N8-N9</f>
        <v>81</v>
      </c>
      <c r="O10">
        <f>M10/N10</f>
        <v>213.90246913580251</v>
      </c>
    </row>
    <row r="11" spans="1:18" x14ac:dyDescent="0.25">
      <c r="A11" s="503"/>
      <c r="B11" s="532">
        <v>51</v>
      </c>
      <c r="C11" s="31">
        <v>71</v>
      </c>
      <c r="D11" s="533">
        <v>32</v>
      </c>
      <c r="L11" s="762" t="s">
        <v>1</v>
      </c>
      <c r="M11" s="762">
        <f>O11*N11</f>
        <v>23022.988888888882</v>
      </c>
      <c r="N11" s="762">
        <f>J10-1</f>
        <v>89</v>
      </c>
      <c r="O11" s="762">
        <f>J24</f>
        <v>258.68526841448181</v>
      </c>
      <c r="P11" s="762"/>
      <c r="Q11" s="762"/>
      <c r="R11" s="762"/>
    </row>
    <row r="12" spans="1:18" x14ac:dyDescent="0.25">
      <c r="A12" s="503"/>
      <c r="B12" s="532">
        <v>52</v>
      </c>
      <c r="C12" s="31">
        <v>59</v>
      </c>
      <c r="D12" s="533">
        <v>41</v>
      </c>
      <c r="F12" t="s">
        <v>610</v>
      </c>
    </row>
    <row r="13" spans="1:18" x14ac:dyDescent="0.25">
      <c r="A13" s="503"/>
      <c r="B13" s="409">
        <v>60</v>
      </c>
      <c r="C13" s="762">
        <v>80</v>
      </c>
      <c r="D13" s="417">
        <v>45</v>
      </c>
      <c r="G13" s="1013" t="str">
        <f>B3</f>
        <v>Office A</v>
      </c>
      <c r="H13" s="1013" t="str">
        <f>C3</f>
        <v>Office B</v>
      </c>
      <c r="I13" s="1013" t="str">
        <f>D3</f>
        <v>Office C</v>
      </c>
      <c r="L13" t="s">
        <v>2228</v>
      </c>
    </row>
    <row r="14" spans="1:18" x14ac:dyDescent="0.25">
      <c r="A14" s="868" t="s">
        <v>2204</v>
      </c>
      <c r="B14" s="869">
        <v>46</v>
      </c>
      <c r="C14" s="867">
        <v>23</v>
      </c>
      <c r="D14" s="870">
        <v>75</v>
      </c>
      <c r="F14" t="str">
        <f>A4</f>
        <v>Conflict</v>
      </c>
      <c r="G14" s="865">
        <f>AVERAGE(B4:B13)</f>
        <v>57.9</v>
      </c>
      <c r="H14" s="798">
        <f>AVERAGE(C4:C13)</f>
        <v>61.2</v>
      </c>
      <c r="I14" s="866">
        <f>AVERAGE(D4:D13)</f>
        <v>46.2</v>
      </c>
      <c r="J14">
        <f>AVERAGE(B4:D13)</f>
        <v>55.1</v>
      </c>
    </row>
    <row r="15" spans="1:18" ht="15.75" thickBot="1" x14ac:dyDescent="0.3">
      <c r="A15" s="503"/>
      <c r="B15" s="532">
        <v>32</v>
      </c>
      <c r="C15" s="31">
        <v>56</v>
      </c>
      <c r="D15" s="533">
        <v>57</v>
      </c>
      <c r="F15" t="str">
        <f>A14</f>
        <v>Psychol</v>
      </c>
      <c r="G15" s="501">
        <f>AVERAGE(B14:B23)</f>
        <v>47.1</v>
      </c>
      <c r="H15" s="7">
        <f>AVERAGE(C14:C23)</f>
        <v>38.799999999999997</v>
      </c>
      <c r="I15" s="57">
        <f>AVERAGE(D14:D23)</f>
        <v>48.9</v>
      </c>
      <c r="J15">
        <f>AVERAGE(B14:D23)</f>
        <v>44.93333333333333</v>
      </c>
      <c r="L15" t="s">
        <v>294</v>
      </c>
      <c r="P15" s="1013" t="s">
        <v>34</v>
      </c>
      <c r="Q15" s="1013">
        <v>0.05</v>
      </c>
    </row>
    <row r="16" spans="1:18" ht="15.75" thickTop="1" x14ac:dyDescent="0.25">
      <c r="A16" s="503"/>
      <c r="B16" s="532">
        <v>56</v>
      </c>
      <c r="C16" s="31">
        <v>61</v>
      </c>
      <c r="D16" s="533">
        <v>63</v>
      </c>
      <c r="F16" t="str">
        <f>A24</f>
        <v>Negot</v>
      </c>
      <c r="G16" s="759">
        <f>AVERAGE(B24:B33)</f>
        <v>38.799999999999997</v>
      </c>
      <c r="H16" s="760">
        <f>AVERAGE(C24:C33)</f>
        <v>48.9</v>
      </c>
      <c r="I16" s="761">
        <f>AVERAGE(D24:D33)</f>
        <v>60.3</v>
      </c>
      <c r="J16">
        <f>AVERAGE(B24:D33)</f>
        <v>49.333333333333336</v>
      </c>
      <c r="L16" s="826"/>
      <c r="M16" s="826" t="s">
        <v>219</v>
      </c>
      <c r="N16" s="826" t="s">
        <v>60</v>
      </c>
      <c r="O16" s="826" t="s">
        <v>240</v>
      </c>
      <c r="P16" s="826" t="s">
        <v>135</v>
      </c>
      <c r="Q16" s="826" t="s">
        <v>67</v>
      </c>
      <c r="R16" s="826" t="s">
        <v>527</v>
      </c>
    </row>
    <row r="17" spans="1:18" x14ac:dyDescent="0.25">
      <c r="A17" s="503"/>
      <c r="B17" s="532">
        <v>52</v>
      </c>
      <c r="C17" s="31">
        <v>34</v>
      </c>
      <c r="D17" s="533">
        <v>25</v>
      </c>
      <c r="G17">
        <f>AVERAGE(B4:B33)</f>
        <v>47.93333333333333</v>
      </c>
      <c r="H17">
        <f>AVERAGE(C4:C33)</f>
        <v>49.633333333333333</v>
      </c>
      <c r="I17">
        <f>AVERAGE(D4:D33)</f>
        <v>51.8</v>
      </c>
      <c r="J17">
        <f>AVERAGE(B4:D33)</f>
        <v>49.788888888888891</v>
      </c>
      <c r="L17" t="s">
        <v>136</v>
      </c>
      <c r="M17">
        <f>M7</f>
        <v>1559.7555555555568</v>
      </c>
      <c r="N17">
        <f>N7</f>
        <v>2</v>
      </c>
      <c r="O17">
        <f>M17/N17</f>
        <v>779.87777777777842</v>
      </c>
      <c r="P17">
        <f>O17/O18</f>
        <v>1.1310408173131183</v>
      </c>
      <c r="Q17">
        <f>FDIST(P17,N17,N18)</f>
        <v>0.38298812278184158</v>
      </c>
      <c r="R17" s="1013" t="str">
        <f>IF(Q17&lt;Q15,"yes","no")</f>
        <v>no</v>
      </c>
    </row>
    <row r="18" spans="1:18" x14ac:dyDescent="0.25">
      <c r="A18" s="503"/>
      <c r="B18" s="532">
        <v>79</v>
      </c>
      <c r="C18" s="31">
        <v>28</v>
      </c>
      <c r="D18" s="533">
        <v>60</v>
      </c>
      <c r="L18" t="s">
        <v>2229</v>
      </c>
      <c r="M18">
        <f>M8+M9</f>
        <v>4137.1333333333259</v>
      </c>
      <c r="N18">
        <f>N8+N9</f>
        <v>6</v>
      </c>
      <c r="O18">
        <f>M18/N18</f>
        <v>689.52222222222099</v>
      </c>
      <c r="P18">
        <f>O18/O19</f>
        <v>3.2235355908138525</v>
      </c>
      <c r="Q18">
        <f>FDIST(P18,N18,N19)</f>
        <v>6.8567138371657876E-3</v>
      </c>
      <c r="R18" s="1013" t="str">
        <f>IF(Q18&lt;Q15,"yes","no")</f>
        <v>yes</v>
      </c>
    </row>
    <row r="19" spans="1:18" x14ac:dyDescent="0.25">
      <c r="A19" s="503"/>
      <c r="B19" s="532">
        <v>28</v>
      </c>
      <c r="C19" s="31">
        <v>35</v>
      </c>
      <c r="D19" s="533">
        <v>52</v>
      </c>
      <c r="F19" t="s">
        <v>1667</v>
      </c>
      <c r="L19" t="s">
        <v>600</v>
      </c>
      <c r="M19">
        <f>M10</f>
        <v>17326.100000000002</v>
      </c>
      <c r="N19">
        <f>N10</f>
        <v>81</v>
      </c>
      <c r="O19">
        <f>M19/N19</f>
        <v>213.90246913580251</v>
      </c>
    </row>
    <row r="20" spans="1:18" x14ac:dyDescent="0.25">
      <c r="A20" s="503"/>
      <c r="B20" s="532">
        <v>36</v>
      </c>
      <c r="C20" s="31">
        <v>30</v>
      </c>
      <c r="D20" s="533">
        <v>45</v>
      </c>
      <c r="G20" s="1013" t="str">
        <f>B3</f>
        <v>Office A</v>
      </c>
      <c r="H20" s="1013" t="str">
        <f>C3</f>
        <v>Office B</v>
      </c>
      <c r="I20" s="1013" t="str">
        <f>D3</f>
        <v>Office C</v>
      </c>
      <c r="L20" s="762" t="s">
        <v>1</v>
      </c>
      <c r="M20" s="762">
        <f>M11</f>
        <v>23022.988888888882</v>
      </c>
      <c r="N20" s="762">
        <f>N11</f>
        <v>89</v>
      </c>
      <c r="O20" s="762">
        <f>M20/N20</f>
        <v>258.68526841448181</v>
      </c>
      <c r="P20" s="762"/>
      <c r="Q20" s="762"/>
      <c r="R20" s="762"/>
    </row>
    <row r="21" spans="1:18" x14ac:dyDescent="0.25">
      <c r="A21" s="503"/>
      <c r="B21" s="532">
        <v>41</v>
      </c>
      <c r="C21" s="31">
        <v>46</v>
      </c>
      <c r="D21" s="533">
        <v>48</v>
      </c>
      <c r="F21" t="str">
        <f>A4</f>
        <v>Conflict</v>
      </c>
      <c r="G21" s="865">
        <f>VAR(B4:B13)</f>
        <v>161.65555555555571</v>
      </c>
      <c r="H21" s="798">
        <f>VAR(C4:C13)</f>
        <v>297.73333333333318</v>
      </c>
      <c r="I21" s="866">
        <f>VAR(D4:D13)</f>
        <v>228.62222222222206</v>
      </c>
      <c r="J21">
        <f>VAR(B4:D13)</f>
        <v>256.36896551724129</v>
      </c>
    </row>
    <row r="22" spans="1:18" x14ac:dyDescent="0.25">
      <c r="A22" s="503"/>
      <c r="B22" s="532">
        <v>64</v>
      </c>
      <c r="C22" s="31">
        <v>41</v>
      </c>
      <c r="D22" s="533">
        <v>38</v>
      </c>
      <c r="F22" t="str">
        <f>A14</f>
        <v>Psychol</v>
      </c>
      <c r="G22" s="501">
        <f>VAR(B14:B23)</f>
        <v>251.43333333333351</v>
      </c>
      <c r="H22" s="7">
        <f>VAR(C14:C23)</f>
        <v>149.95555555555561</v>
      </c>
      <c r="I22" s="57">
        <f>VAR(D14:D23)</f>
        <v>256.54444444444459</v>
      </c>
      <c r="J22">
        <f>VAR(B14:D23)</f>
        <v>224.20229885057478</v>
      </c>
    </row>
    <row r="23" spans="1:18" x14ac:dyDescent="0.25">
      <c r="A23" s="420"/>
      <c r="B23" s="409">
        <v>37</v>
      </c>
      <c r="C23" s="762">
        <v>34</v>
      </c>
      <c r="D23" s="417">
        <v>26</v>
      </c>
      <c r="F23" t="str">
        <f>A24</f>
        <v>Negot</v>
      </c>
      <c r="G23" s="759">
        <f>VAR(B24:B33)</f>
        <v>149.95555555555561</v>
      </c>
      <c r="H23" s="760">
        <f>VAR(C24:C33)</f>
        <v>256.54444444444459</v>
      </c>
      <c r="I23" s="761">
        <f>VAR(D24:D33)</f>
        <v>172.67777777777761</v>
      </c>
      <c r="J23">
        <f>VAR(B24:D33)</f>
        <v>259.54022988505761</v>
      </c>
    </row>
    <row r="24" spans="1:18" x14ac:dyDescent="0.25">
      <c r="A24" s="503" t="s">
        <v>2202</v>
      </c>
      <c r="B24" s="532">
        <v>23</v>
      </c>
      <c r="C24" s="7">
        <v>75</v>
      </c>
      <c r="D24" s="533">
        <v>55</v>
      </c>
      <c r="G24">
        <f>VAR(B4:B33)</f>
        <v>237.99540229885065</v>
      </c>
      <c r="H24">
        <f>VAR(C4:C33)</f>
        <v>305.3436781609193</v>
      </c>
      <c r="I24">
        <f>VAR(D4:D33)</f>
        <v>242.78620689655182</v>
      </c>
      <c r="J24">
        <f>VAR(B4:D33)</f>
        <v>258.68526841448181</v>
      </c>
    </row>
    <row r="25" spans="1:18" x14ac:dyDescent="0.25">
      <c r="A25" s="503"/>
      <c r="B25" s="556">
        <v>56</v>
      </c>
      <c r="C25" s="7">
        <v>57</v>
      </c>
      <c r="D25" s="533">
        <v>73</v>
      </c>
    </row>
    <row r="26" spans="1:18" x14ac:dyDescent="0.25">
      <c r="A26" s="503"/>
      <c r="B26" s="556">
        <v>61</v>
      </c>
      <c r="C26" s="7">
        <v>63</v>
      </c>
      <c r="D26" s="533">
        <v>69</v>
      </c>
    </row>
    <row r="27" spans="1:18" x14ac:dyDescent="0.25">
      <c r="A27" s="503"/>
      <c r="B27" s="556">
        <v>34</v>
      </c>
      <c r="C27" s="7">
        <v>25</v>
      </c>
      <c r="D27" s="533">
        <v>64</v>
      </c>
    </row>
    <row r="28" spans="1:18" x14ac:dyDescent="0.25">
      <c r="A28" s="503"/>
      <c r="B28" s="556">
        <v>28</v>
      </c>
      <c r="C28" s="7">
        <v>60</v>
      </c>
      <c r="D28" s="533">
        <v>59</v>
      </c>
    </row>
    <row r="29" spans="1:18" x14ac:dyDescent="0.25">
      <c r="A29" s="503"/>
      <c r="B29" s="556">
        <v>35</v>
      </c>
      <c r="C29" s="7">
        <v>52</v>
      </c>
      <c r="D29" s="533">
        <v>62</v>
      </c>
    </row>
    <row r="30" spans="1:18" x14ac:dyDescent="0.25">
      <c r="A30" s="503"/>
      <c r="B30" s="556">
        <v>30</v>
      </c>
      <c r="C30" s="7">
        <v>45</v>
      </c>
      <c r="D30" s="533">
        <v>67</v>
      </c>
    </row>
    <row r="31" spans="1:18" x14ac:dyDescent="0.25">
      <c r="A31" s="503"/>
      <c r="B31" s="556">
        <v>46</v>
      </c>
      <c r="C31" s="7">
        <v>48</v>
      </c>
      <c r="D31" s="533">
        <v>31</v>
      </c>
    </row>
    <row r="32" spans="1:18" x14ac:dyDescent="0.25">
      <c r="A32" s="503"/>
      <c r="B32" s="556">
        <v>41</v>
      </c>
      <c r="C32" s="7">
        <v>38</v>
      </c>
      <c r="D32" s="533">
        <v>48</v>
      </c>
    </row>
    <row r="33" spans="1:4" x14ac:dyDescent="0.25">
      <c r="A33" s="420"/>
      <c r="B33" s="409">
        <v>34</v>
      </c>
      <c r="C33" s="762">
        <v>26</v>
      </c>
      <c r="D33" s="417">
        <v>75</v>
      </c>
    </row>
  </sheetData>
  <pageMargins left="0.7" right="0.7" top="0.75" bottom="0.75" header="0.3" footer="0.3"/>
  <ignoredErrors>
    <ignoredError sqref="G7:I2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/>
  <dimension ref="A1:R33"/>
  <sheetViews>
    <sheetView workbookViewId="0"/>
  </sheetViews>
  <sheetFormatPr defaultRowHeight="15" x14ac:dyDescent="0.25"/>
  <cols>
    <col min="12" max="12" width="13.5703125" customWidth="1"/>
  </cols>
  <sheetData>
    <row r="1" spans="1:18" x14ac:dyDescent="0.25">
      <c r="A1" s="1" t="s">
        <v>2233</v>
      </c>
    </row>
    <row r="3" spans="1:18" x14ac:dyDescent="0.25">
      <c r="B3" s="1009" t="s">
        <v>2206</v>
      </c>
      <c r="C3" s="1008" t="s">
        <v>2207</v>
      </c>
      <c r="D3" s="1010" t="s">
        <v>2208</v>
      </c>
      <c r="F3" t="s">
        <v>27</v>
      </c>
      <c r="L3" t="s">
        <v>2228</v>
      </c>
    </row>
    <row r="4" spans="1:18" x14ac:dyDescent="0.25">
      <c r="A4" s="868" t="s">
        <v>2203</v>
      </c>
      <c r="B4" s="869">
        <v>34</v>
      </c>
      <c r="C4" s="867">
        <v>45</v>
      </c>
      <c r="D4" s="870">
        <v>40</v>
      </c>
    </row>
    <row r="5" spans="1:18" ht="15.75" thickBot="1" x14ac:dyDescent="0.3">
      <c r="A5" s="503"/>
      <c r="B5" s="532">
        <v>56</v>
      </c>
      <c r="C5" s="7">
        <v>76</v>
      </c>
      <c r="D5" s="533">
        <v>39</v>
      </c>
      <c r="F5" t="s">
        <v>1666</v>
      </c>
      <c r="G5" t="str">
        <f>IF(COUNTIF(G7:I9,G7)=COUNT(G7:I9),"balanced","unbalanced")</f>
        <v>balanced</v>
      </c>
      <c r="L5" t="s">
        <v>294</v>
      </c>
      <c r="P5" s="1007" t="s">
        <v>34</v>
      </c>
      <c r="Q5" s="1007">
        <v>0.05</v>
      </c>
    </row>
    <row r="6" spans="1:18" ht="15.75" thickTop="1" x14ac:dyDescent="0.25">
      <c r="A6" s="503"/>
      <c r="B6" s="532">
        <v>78</v>
      </c>
      <c r="C6" s="7">
        <v>65</v>
      </c>
      <c r="D6" s="533">
        <v>78</v>
      </c>
      <c r="G6" s="1007" t="str">
        <f>B3</f>
        <v>Office A</v>
      </c>
      <c r="H6" s="1007" t="str">
        <f>C3</f>
        <v>Office B</v>
      </c>
      <c r="I6" s="1007" t="str">
        <f>D3</f>
        <v>Office C</v>
      </c>
      <c r="L6" s="826"/>
      <c r="M6" s="826" t="s">
        <v>219</v>
      </c>
      <c r="N6" s="826" t="s">
        <v>60</v>
      </c>
      <c r="O6" s="826" t="s">
        <v>240</v>
      </c>
      <c r="P6" s="826" t="s">
        <v>135</v>
      </c>
      <c r="Q6" s="826" t="s">
        <v>67</v>
      </c>
      <c r="R6" s="826" t="s">
        <v>527</v>
      </c>
    </row>
    <row r="7" spans="1:18" x14ac:dyDescent="0.25">
      <c r="A7" s="503"/>
      <c r="B7" s="532">
        <v>67</v>
      </c>
      <c r="C7" s="31">
        <v>52</v>
      </c>
      <c r="D7" s="533">
        <v>24</v>
      </c>
      <c r="F7" t="str">
        <f>A4</f>
        <v>Conflict</v>
      </c>
      <c r="G7" s="865">
        <f>COUNT(B4:B13)</f>
        <v>10</v>
      </c>
      <c r="H7" s="798">
        <f>COUNT(C4:C13)</f>
        <v>10</v>
      </c>
      <c r="I7" s="866">
        <f>COUNT(D4:D13)</f>
        <v>10</v>
      </c>
      <c r="J7">
        <f>COUNT(B4:D13)</f>
        <v>30</v>
      </c>
      <c r="L7" t="s">
        <v>136</v>
      </c>
      <c r="M7">
        <f>DEVSQ(J14:J16)*J7</f>
        <v>1559.7555555555568</v>
      </c>
      <c r="N7">
        <f>COUNT(J14:J16)-1</f>
        <v>2</v>
      </c>
      <c r="O7">
        <f>M7/N7</f>
        <v>779.87777777777842</v>
      </c>
      <c r="P7">
        <f>O7/O8</f>
        <v>1.1310408173131188</v>
      </c>
      <c r="Q7">
        <f>FDIST(P7,N7,N8)</f>
        <v>0.38298812278184119</v>
      </c>
      <c r="R7" s="1007" t="str">
        <f>IF(Q7&lt;Q5,"yes","no")</f>
        <v>no</v>
      </c>
    </row>
    <row r="8" spans="1:18" x14ac:dyDescent="0.25">
      <c r="A8" s="503"/>
      <c r="B8" s="532">
        <v>61</v>
      </c>
      <c r="C8" s="31">
        <v>23</v>
      </c>
      <c r="D8" s="533">
        <v>59</v>
      </c>
      <c r="F8" t="str">
        <f>A14</f>
        <v>Psychol</v>
      </c>
      <c r="G8" s="501">
        <f>COUNT(B14:B23)</f>
        <v>10</v>
      </c>
      <c r="H8" s="7">
        <f>COUNT(C14:C23)</f>
        <v>10</v>
      </c>
      <c r="I8" s="57">
        <f>COUNT(D14:D23)</f>
        <v>10</v>
      </c>
      <c r="J8">
        <f>COUNT(B14:D23)</f>
        <v>30</v>
      </c>
      <c r="L8" t="s">
        <v>2229</v>
      </c>
      <c r="M8">
        <f>M10-M7-M9</f>
        <v>4137.1333333333241</v>
      </c>
      <c r="N8">
        <f>(COUNT(G17:I17)-1)*(N7+1)</f>
        <v>6</v>
      </c>
      <c r="O8">
        <f>M8/N8</f>
        <v>689.52222222222065</v>
      </c>
      <c r="P8">
        <f>O8/O9</f>
        <v>3.2235355908138508</v>
      </c>
      <c r="Q8">
        <f>FDIST(P8,N8,N9)</f>
        <v>6.8567138371658093E-3</v>
      </c>
      <c r="R8" s="1007" t="str">
        <f>IF(Q8&lt;Q5,"yes","no")</f>
        <v>yes</v>
      </c>
    </row>
    <row r="9" spans="1:18" x14ac:dyDescent="0.25">
      <c r="A9" s="503"/>
      <c r="B9" s="532">
        <v>48</v>
      </c>
      <c r="C9" s="31">
        <v>73</v>
      </c>
      <c r="D9" s="533">
        <v>53</v>
      </c>
      <c r="F9" t="str">
        <f>A24</f>
        <v>Negot</v>
      </c>
      <c r="G9" s="759">
        <f>COUNT(B24:B33)</f>
        <v>10</v>
      </c>
      <c r="H9" s="760">
        <f>COUNT(C24:C33)</f>
        <v>10</v>
      </c>
      <c r="I9" s="761">
        <f>COUNT(D24:D33)</f>
        <v>10</v>
      </c>
      <c r="J9">
        <f>COUNT(B24:D33)</f>
        <v>30</v>
      </c>
      <c r="L9" t="s">
        <v>600</v>
      </c>
      <c r="M9">
        <f>SUM(G21:I23)*(G7-1)</f>
        <v>17326.100000000002</v>
      </c>
      <c r="N9">
        <f>N10-N7-N8</f>
        <v>81</v>
      </c>
      <c r="O9">
        <f>M9/N9</f>
        <v>213.90246913580251</v>
      </c>
    </row>
    <row r="10" spans="1:18" x14ac:dyDescent="0.25">
      <c r="A10" s="503"/>
      <c r="B10" s="532">
        <v>72</v>
      </c>
      <c r="C10" s="31">
        <v>68</v>
      </c>
      <c r="D10" s="533">
        <v>51</v>
      </c>
      <c r="G10">
        <f>COUNT(B4:B33)</f>
        <v>30</v>
      </c>
      <c r="H10">
        <f>COUNT(C4:C33)</f>
        <v>30</v>
      </c>
      <c r="I10">
        <f>COUNT(D4:D33)</f>
        <v>30</v>
      </c>
      <c r="J10">
        <f>COUNT(B4:D33)</f>
        <v>90</v>
      </c>
      <c r="L10" s="762" t="s">
        <v>1</v>
      </c>
      <c r="M10" s="762">
        <f>O10*N10</f>
        <v>23022.988888888882</v>
      </c>
      <c r="N10" s="762">
        <f>J10-1</f>
        <v>89</v>
      </c>
      <c r="O10" s="762">
        <f>J24</f>
        <v>258.68526841448181</v>
      </c>
      <c r="P10" s="762"/>
      <c r="Q10" s="762"/>
      <c r="R10" s="762"/>
    </row>
    <row r="11" spans="1:18" x14ac:dyDescent="0.25">
      <c r="A11" s="503"/>
      <c r="B11" s="532">
        <v>51</v>
      </c>
      <c r="C11" s="31">
        <v>71</v>
      </c>
      <c r="D11" s="533">
        <v>32</v>
      </c>
    </row>
    <row r="12" spans="1:18" x14ac:dyDescent="0.25">
      <c r="A12" s="503"/>
      <c r="B12" s="532">
        <v>52</v>
      </c>
      <c r="C12" s="31">
        <v>59</v>
      </c>
      <c r="D12" s="533">
        <v>41</v>
      </c>
      <c r="F12" t="s">
        <v>610</v>
      </c>
    </row>
    <row r="13" spans="1:18" x14ac:dyDescent="0.25">
      <c r="A13" s="503"/>
      <c r="B13" s="409">
        <v>60</v>
      </c>
      <c r="C13" s="762">
        <v>80</v>
      </c>
      <c r="D13" s="417">
        <v>45</v>
      </c>
      <c r="G13" s="1007" t="str">
        <f>B3</f>
        <v>Office A</v>
      </c>
      <c r="H13" s="1007" t="str">
        <f>C3</f>
        <v>Office B</v>
      </c>
      <c r="I13" s="1007" t="str">
        <f>D3</f>
        <v>Office C</v>
      </c>
    </row>
    <row r="14" spans="1:18" x14ac:dyDescent="0.25">
      <c r="A14" s="868" t="s">
        <v>2204</v>
      </c>
      <c r="B14" s="869">
        <v>46</v>
      </c>
      <c r="C14" s="867">
        <v>23</v>
      </c>
      <c r="D14" s="870">
        <v>75</v>
      </c>
      <c r="F14" t="str">
        <f>A4</f>
        <v>Conflict</v>
      </c>
      <c r="G14" s="865">
        <f>AVERAGE(B4:B13)</f>
        <v>57.9</v>
      </c>
      <c r="H14" s="798">
        <f>AVERAGE(C4:C13)</f>
        <v>61.2</v>
      </c>
      <c r="I14" s="866">
        <f>AVERAGE(D4:D13)</f>
        <v>46.2</v>
      </c>
      <c r="J14">
        <f>AVERAGE(B4:D13)</f>
        <v>55.1</v>
      </c>
    </row>
    <row r="15" spans="1:18" x14ac:dyDescent="0.25">
      <c r="A15" s="503"/>
      <c r="B15" s="532">
        <v>32</v>
      </c>
      <c r="C15" s="31">
        <v>56</v>
      </c>
      <c r="D15" s="533">
        <v>57</v>
      </c>
      <c r="F15" t="str">
        <f>A14</f>
        <v>Psychol</v>
      </c>
      <c r="G15" s="501">
        <f>AVERAGE(B14:B23)</f>
        <v>47.1</v>
      </c>
      <c r="H15" s="7">
        <f>AVERAGE(C14:C23)</f>
        <v>38.799999999999997</v>
      </c>
      <c r="I15" s="57">
        <f>AVERAGE(D14:D23)</f>
        <v>48.9</v>
      </c>
      <c r="J15">
        <f>AVERAGE(B14:D23)</f>
        <v>44.93333333333333</v>
      </c>
    </row>
    <row r="16" spans="1:18" x14ac:dyDescent="0.25">
      <c r="A16" s="503"/>
      <c r="B16" s="532">
        <v>56</v>
      </c>
      <c r="C16" s="31">
        <v>61</v>
      </c>
      <c r="D16" s="533">
        <v>63</v>
      </c>
      <c r="F16" t="str">
        <f>A24</f>
        <v>Negot</v>
      </c>
      <c r="G16" s="759">
        <f>AVERAGE(B24:B33)</f>
        <v>38.799999999999997</v>
      </c>
      <c r="H16" s="760">
        <f>AVERAGE(C24:C33)</f>
        <v>48.9</v>
      </c>
      <c r="I16" s="761">
        <f>AVERAGE(D24:D33)</f>
        <v>60.3</v>
      </c>
      <c r="J16">
        <f>AVERAGE(B24:D33)</f>
        <v>49.333333333333336</v>
      </c>
    </row>
    <row r="17" spans="1:10" x14ac:dyDescent="0.25">
      <c r="A17" s="503"/>
      <c r="B17" s="532">
        <v>52</v>
      </c>
      <c r="C17" s="31">
        <v>34</v>
      </c>
      <c r="D17" s="533">
        <v>25</v>
      </c>
      <c r="G17">
        <f>AVERAGE(B4:B33)</f>
        <v>47.93333333333333</v>
      </c>
      <c r="H17">
        <f>AVERAGE(C4:C33)</f>
        <v>49.633333333333333</v>
      </c>
      <c r="I17">
        <f>AVERAGE(D4:D33)</f>
        <v>51.8</v>
      </c>
      <c r="J17">
        <f>AVERAGE(B4:D33)</f>
        <v>49.788888888888891</v>
      </c>
    </row>
    <row r="18" spans="1:10" x14ac:dyDescent="0.25">
      <c r="A18" s="503"/>
      <c r="B18" s="532">
        <v>79</v>
      </c>
      <c r="C18" s="31">
        <v>28</v>
      </c>
      <c r="D18" s="533">
        <v>60</v>
      </c>
    </row>
    <row r="19" spans="1:10" x14ac:dyDescent="0.25">
      <c r="A19" s="503"/>
      <c r="B19" s="532">
        <v>28</v>
      </c>
      <c r="C19" s="31">
        <v>35</v>
      </c>
      <c r="D19" s="533">
        <v>52</v>
      </c>
      <c r="F19" t="s">
        <v>1667</v>
      </c>
    </row>
    <row r="20" spans="1:10" x14ac:dyDescent="0.25">
      <c r="A20" s="503"/>
      <c r="B20" s="532">
        <v>36</v>
      </c>
      <c r="C20" s="31">
        <v>30</v>
      </c>
      <c r="D20" s="533">
        <v>45</v>
      </c>
      <c r="G20" s="1007" t="str">
        <f>B3</f>
        <v>Office A</v>
      </c>
      <c r="H20" s="1007" t="str">
        <f>C3</f>
        <v>Office B</v>
      </c>
      <c r="I20" s="1007" t="str">
        <f>D3</f>
        <v>Office C</v>
      </c>
    </row>
    <row r="21" spans="1:10" x14ac:dyDescent="0.25">
      <c r="A21" s="503"/>
      <c r="B21" s="532">
        <v>41</v>
      </c>
      <c r="C21" s="31">
        <v>46</v>
      </c>
      <c r="D21" s="533">
        <v>48</v>
      </c>
      <c r="F21" t="str">
        <f>A4</f>
        <v>Conflict</v>
      </c>
      <c r="G21" s="865">
        <f>VAR(B4:B13)</f>
        <v>161.65555555555571</v>
      </c>
      <c r="H21" s="798">
        <f>VAR(C4:C13)</f>
        <v>297.73333333333318</v>
      </c>
      <c r="I21" s="866">
        <f>VAR(D4:D13)</f>
        <v>228.62222222222206</v>
      </c>
      <c r="J21">
        <f>VAR(B4:D13)</f>
        <v>256.36896551724129</v>
      </c>
    </row>
    <row r="22" spans="1:10" x14ac:dyDescent="0.25">
      <c r="A22" s="503"/>
      <c r="B22" s="532">
        <v>64</v>
      </c>
      <c r="C22" s="31">
        <v>41</v>
      </c>
      <c r="D22" s="533">
        <v>38</v>
      </c>
      <c r="F22" t="str">
        <f>A14</f>
        <v>Psychol</v>
      </c>
      <c r="G22" s="501">
        <f>VAR(B14:B23)</f>
        <v>251.43333333333351</v>
      </c>
      <c r="H22" s="7">
        <f>VAR(C14:C23)</f>
        <v>149.95555555555561</v>
      </c>
      <c r="I22" s="57">
        <f>VAR(D14:D23)</f>
        <v>256.54444444444459</v>
      </c>
      <c r="J22">
        <f>VAR(B14:D23)</f>
        <v>224.20229885057478</v>
      </c>
    </row>
    <row r="23" spans="1:10" x14ac:dyDescent="0.25">
      <c r="A23" s="420"/>
      <c r="B23" s="409">
        <v>37</v>
      </c>
      <c r="C23" s="762">
        <v>34</v>
      </c>
      <c r="D23" s="417">
        <v>26</v>
      </c>
      <c r="F23" t="str">
        <f>A24</f>
        <v>Negot</v>
      </c>
      <c r="G23" s="759">
        <f>VAR(B24:B33)</f>
        <v>149.95555555555561</v>
      </c>
      <c r="H23" s="760">
        <f>VAR(C24:C33)</f>
        <v>256.54444444444459</v>
      </c>
      <c r="I23" s="761">
        <f>VAR(D24:D33)</f>
        <v>172.67777777777761</v>
      </c>
      <c r="J23">
        <f>VAR(B24:D33)</f>
        <v>259.54022988505761</v>
      </c>
    </row>
    <row r="24" spans="1:10" x14ac:dyDescent="0.25">
      <c r="A24" s="503" t="s">
        <v>2202</v>
      </c>
      <c r="B24" s="532">
        <v>23</v>
      </c>
      <c r="C24" s="7">
        <v>75</v>
      </c>
      <c r="D24" s="533">
        <v>55</v>
      </c>
      <c r="G24">
        <f>VAR(B4:B33)</f>
        <v>237.99540229885065</v>
      </c>
      <c r="H24">
        <f>VAR(C4:C33)</f>
        <v>305.3436781609193</v>
      </c>
      <c r="I24">
        <f>VAR(D4:D33)</f>
        <v>242.78620689655182</v>
      </c>
      <c r="J24">
        <f>VAR(B4:D33)</f>
        <v>258.68526841448181</v>
      </c>
    </row>
    <row r="25" spans="1:10" x14ac:dyDescent="0.25">
      <c r="A25" s="503"/>
      <c r="B25" s="556">
        <v>56</v>
      </c>
      <c r="C25" s="7">
        <v>57</v>
      </c>
      <c r="D25" s="533">
        <v>73</v>
      </c>
    </row>
    <row r="26" spans="1:10" x14ac:dyDescent="0.25">
      <c r="A26" s="503"/>
      <c r="B26" s="556">
        <v>61</v>
      </c>
      <c r="C26" s="7">
        <v>63</v>
      </c>
      <c r="D26" s="533">
        <v>69</v>
      </c>
    </row>
    <row r="27" spans="1:10" x14ac:dyDescent="0.25">
      <c r="A27" s="503"/>
      <c r="B27" s="556">
        <v>34</v>
      </c>
      <c r="C27" s="7">
        <v>25</v>
      </c>
      <c r="D27" s="533">
        <v>64</v>
      </c>
    </row>
    <row r="28" spans="1:10" x14ac:dyDescent="0.25">
      <c r="A28" s="503"/>
      <c r="B28" s="556">
        <v>28</v>
      </c>
      <c r="C28" s="7">
        <v>60</v>
      </c>
      <c r="D28" s="533">
        <v>59</v>
      </c>
    </row>
    <row r="29" spans="1:10" x14ac:dyDescent="0.25">
      <c r="A29" s="503"/>
      <c r="B29" s="556">
        <v>35</v>
      </c>
      <c r="C29" s="7">
        <v>52</v>
      </c>
      <c r="D29" s="533">
        <v>62</v>
      </c>
    </row>
    <row r="30" spans="1:10" x14ac:dyDescent="0.25">
      <c r="A30" s="503"/>
      <c r="B30" s="556">
        <v>30</v>
      </c>
      <c r="C30" s="7">
        <v>45</v>
      </c>
      <c r="D30" s="533">
        <v>67</v>
      </c>
    </row>
    <row r="31" spans="1:10" x14ac:dyDescent="0.25">
      <c r="A31" s="503"/>
      <c r="B31" s="556">
        <v>46</v>
      </c>
      <c r="C31" s="7">
        <v>48</v>
      </c>
      <c r="D31" s="533">
        <v>31</v>
      </c>
    </row>
    <row r="32" spans="1:10" x14ac:dyDescent="0.25">
      <c r="A32" s="503"/>
      <c r="B32" s="556">
        <v>41</v>
      </c>
      <c r="C32" s="7">
        <v>38</v>
      </c>
      <c r="D32" s="533">
        <v>48</v>
      </c>
    </row>
    <row r="33" spans="1:4" x14ac:dyDescent="0.25">
      <c r="A33" s="420"/>
      <c r="B33" s="409">
        <v>34</v>
      </c>
      <c r="C33" s="762">
        <v>26</v>
      </c>
      <c r="D33" s="417">
        <v>75</v>
      </c>
    </row>
  </sheetData>
  <pageMargins left="0.7" right="0.7" top="0.75" bottom="0.75" header="0.3" footer="0.3"/>
  <ignoredErrors>
    <ignoredError sqref="G7:I9 G14:I17 G21:I23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/>
  <dimension ref="A1:V47"/>
  <sheetViews>
    <sheetView workbookViewId="0"/>
  </sheetViews>
  <sheetFormatPr defaultRowHeight="15" x14ac:dyDescent="0.25"/>
  <cols>
    <col min="3" max="3" width="5.85546875" customWidth="1"/>
    <col min="9" max="9" width="5.85546875" customWidth="1"/>
    <col min="15" max="15" width="5.85546875" customWidth="1"/>
  </cols>
  <sheetData>
    <row r="1" spans="1:22" x14ac:dyDescent="0.25">
      <c r="A1" s="1" t="s">
        <v>2227</v>
      </c>
    </row>
    <row r="3" spans="1:22" x14ac:dyDescent="0.25">
      <c r="A3" s="869" t="s">
        <v>2203</v>
      </c>
      <c r="B3" s="867" t="s">
        <v>2193</v>
      </c>
      <c r="C3" s="870">
        <v>34</v>
      </c>
      <c r="E3" t="s">
        <v>1673</v>
      </c>
      <c r="J3" t="s">
        <v>27</v>
      </c>
      <c r="P3" t="s">
        <v>2228</v>
      </c>
    </row>
    <row r="4" spans="1:22" x14ac:dyDescent="0.25">
      <c r="A4" s="532" t="s">
        <v>2203</v>
      </c>
      <c r="B4" s="7" t="s">
        <v>2193</v>
      </c>
      <c r="C4" s="533">
        <v>56</v>
      </c>
    </row>
    <row r="5" spans="1:22" ht="15.75" thickBot="1" x14ac:dyDescent="0.3">
      <c r="A5" s="532" t="s">
        <v>2203</v>
      </c>
      <c r="B5" s="7" t="s">
        <v>2193</v>
      </c>
      <c r="C5" s="533">
        <v>78</v>
      </c>
      <c r="E5" s="970" t="str">
        <f t="array" ref="E5:H20">[1]!StdNested(A3:C47)</f>
        <v/>
      </c>
      <c r="F5" s="970" t="str">
        <v>Col  1</v>
      </c>
      <c r="G5" s="970" t="str">
        <v>Col  2</v>
      </c>
      <c r="H5" s="970" t="str">
        <v>Col  3</v>
      </c>
      <c r="J5" t="s">
        <v>1666</v>
      </c>
      <c r="K5" t="str">
        <f>IF(COUNTIF(K7:M9,K7)=COUNT(K7:M9),"balanced","unbalanced")</f>
        <v>balanced</v>
      </c>
      <c r="P5" t="s">
        <v>294</v>
      </c>
      <c r="T5" s="1007" t="s">
        <v>34</v>
      </c>
      <c r="U5" s="1007">
        <v>0.05</v>
      </c>
    </row>
    <row r="6" spans="1:22" ht="15.75" thickTop="1" x14ac:dyDescent="0.25">
      <c r="A6" s="532" t="s">
        <v>2203</v>
      </c>
      <c r="B6" s="7" t="s">
        <v>2193</v>
      </c>
      <c r="C6" s="533">
        <v>67</v>
      </c>
      <c r="E6" s="970" t="str">
        <v>Conflict</v>
      </c>
      <c r="F6" s="970">
        <v>34</v>
      </c>
      <c r="G6" s="970">
        <v>45</v>
      </c>
      <c r="H6" s="970">
        <v>40</v>
      </c>
      <c r="K6" s="1007" t="str">
        <f>F5</f>
        <v>Col  1</v>
      </c>
      <c r="L6" s="1007" t="str">
        <f>G5</f>
        <v>Col  2</v>
      </c>
      <c r="M6" s="1007" t="str">
        <f>H5</f>
        <v>Col  3</v>
      </c>
      <c r="P6" s="826"/>
      <c r="Q6" s="826" t="s">
        <v>219</v>
      </c>
      <c r="R6" s="826" t="s">
        <v>60</v>
      </c>
      <c r="S6" s="826" t="s">
        <v>240</v>
      </c>
      <c r="T6" s="826" t="s">
        <v>135</v>
      </c>
      <c r="U6" s="826" t="s">
        <v>67</v>
      </c>
      <c r="V6" s="826" t="s">
        <v>527</v>
      </c>
    </row>
    <row r="7" spans="1:22" x14ac:dyDescent="0.25">
      <c r="A7" s="532" t="s">
        <v>2203</v>
      </c>
      <c r="B7" s="7" t="s">
        <v>2193</v>
      </c>
      <c r="C7" s="533">
        <v>61</v>
      </c>
      <c r="E7" s="680" t="str">
        <v/>
      </c>
      <c r="F7" s="680">
        <v>56</v>
      </c>
      <c r="G7" s="680">
        <v>76</v>
      </c>
      <c r="H7" s="680">
        <v>39</v>
      </c>
      <c r="J7" t="str">
        <f>E6</f>
        <v>Conflict</v>
      </c>
      <c r="K7" s="865">
        <f>COUNT(F6:F10)</f>
        <v>5</v>
      </c>
      <c r="L7" s="798">
        <f>COUNT(G6:G10)</f>
        <v>5</v>
      </c>
      <c r="M7" s="866">
        <f>COUNT(H6:H10)</f>
        <v>5</v>
      </c>
      <c r="N7">
        <f>COUNT(F6:H10)</f>
        <v>15</v>
      </c>
      <c r="P7" t="s">
        <v>136</v>
      </c>
      <c r="Q7">
        <f>DEVSQ(N14:N16)*N7</f>
        <v>123.33333333333358</v>
      </c>
      <c r="R7">
        <f>COUNT(N14:N16)-1</f>
        <v>2</v>
      </c>
      <c r="S7">
        <f>Q7/R7</f>
        <v>61.666666666666792</v>
      </c>
      <c r="T7">
        <f>S7/S8</f>
        <v>0.15127562145660758</v>
      </c>
      <c r="U7">
        <f>FDIST(T7,R7,R8)</f>
        <v>0.86278899100336215</v>
      </c>
      <c r="V7" s="1007" t="str">
        <f>IF(U7&lt;U5,"yes","no")</f>
        <v>no</v>
      </c>
    </row>
    <row r="8" spans="1:22" x14ac:dyDescent="0.25">
      <c r="A8" s="532" t="s">
        <v>2203</v>
      </c>
      <c r="B8" s="7" t="s">
        <v>2194</v>
      </c>
      <c r="C8" s="533">
        <v>45</v>
      </c>
      <c r="E8" s="680" t="str">
        <v/>
      </c>
      <c r="F8" s="680">
        <v>78</v>
      </c>
      <c r="G8" s="680">
        <v>65</v>
      </c>
      <c r="H8" s="680">
        <v>78</v>
      </c>
      <c r="J8" t="str">
        <f>E11</f>
        <v>Negot</v>
      </c>
      <c r="K8" s="501">
        <f>COUNT(F11:F15)</f>
        <v>5</v>
      </c>
      <c r="L8" s="7">
        <f>COUNT(G11:G15)</f>
        <v>5</v>
      </c>
      <c r="M8" s="57">
        <f>COUNT(H11:H15)</f>
        <v>5</v>
      </c>
      <c r="N8">
        <f>COUNT(F11:H15)</f>
        <v>15</v>
      </c>
      <c r="P8" t="s">
        <v>2229</v>
      </c>
      <c r="Q8">
        <f>Q10-Q7-Q9</f>
        <v>2445.8666666666631</v>
      </c>
      <c r="R8">
        <f>(COUNT(K17:M17)-1)*(R7+1)</f>
        <v>6</v>
      </c>
      <c r="S8">
        <f>Q8/R8</f>
        <v>407.64444444444388</v>
      </c>
      <c r="T8">
        <f>S8/S9</f>
        <v>1.342162063288822</v>
      </c>
      <c r="U8">
        <f>FDIST(T8,R8,R9)</f>
        <v>0.26429803745849567</v>
      </c>
      <c r="V8" s="1007" t="str">
        <f>IF(U8&lt;U5,"yes","no")</f>
        <v>no</v>
      </c>
    </row>
    <row r="9" spans="1:22" x14ac:dyDescent="0.25">
      <c r="A9" s="532" t="s">
        <v>2203</v>
      </c>
      <c r="B9" s="7" t="s">
        <v>2194</v>
      </c>
      <c r="C9" s="533">
        <v>76</v>
      </c>
      <c r="E9" s="680" t="str">
        <v/>
      </c>
      <c r="F9" s="680">
        <v>67</v>
      </c>
      <c r="G9" s="680">
        <v>52</v>
      </c>
      <c r="H9" s="680">
        <v>24</v>
      </c>
      <c r="J9" t="str">
        <f>E16</f>
        <v>Psychol</v>
      </c>
      <c r="K9" s="759">
        <f>COUNT(F16:F20)</f>
        <v>5</v>
      </c>
      <c r="L9" s="760">
        <f>COUNT(G16:G20)</f>
        <v>5</v>
      </c>
      <c r="M9" s="761">
        <f>COUNT(H16:H20)</f>
        <v>5</v>
      </c>
      <c r="N9">
        <f>COUNT(F16:H20)</f>
        <v>15</v>
      </c>
      <c r="P9" t="s">
        <v>600</v>
      </c>
      <c r="Q9">
        <f>SUM(K21:M23)*(K7-1)</f>
        <v>10934</v>
      </c>
      <c r="R9">
        <f>R10-R7-R8</f>
        <v>36</v>
      </c>
      <c r="S9">
        <f>Q9/R9</f>
        <v>303.72222222222223</v>
      </c>
    </row>
    <row r="10" spans="1:22" x14ac:dyDescent="0.25">
      <c r="A10" s="532" t="s">
        <v>2203</v>
      </c>
      <c r="B10" s="7" t="s">
        <v>2194</v>
      </c>
      <c r="C10" s="533">
        <v>65</v>
      </c>
      <c r="E10" s="757" t="str">
        <v/>
      </c>
      <c r="F10" s="757">
        <v>61</v>
      </c>
      <c r="G10" s="757">
        <v>23</v>
      </c>
      <c r="H10" s="757">
        <v>59</v>
      </c>
      <c r="K10">
        <f>COUNT(F6:F20)</f>
        <v>15</v>
      </c>
      <c r="L10">
        <f>COUNT(G6:G20)</f>
        <v>15</v>
      </c>
      <c r="M10">
        <f>COUNT(H6:H20)</f>
        <v>15</v>
      </c>
      <c r="N10">
        <f>COUNT(F6:H20)</f>
        <v>45</v>
      </c>
      <c r="P10" s="762" t="s">
        <v>1</v>
      </c>
      <c r="Q10" s="762">
        <f>S10*R10</f>
        <v>13503.199999999997</v>
      </c>
      <c r="R10" s="762">
        <f>N10-1</f>
        <v>44</v>
      </c>
      <c r="S10" s="762">
        <f>N24</f>
        <v>306.89090909090902</v>
      </c>
      <c r="T10" s="762"/>
      <c r="U10" s="762"/>
      <c r="V10" s="762"/>
    </row>
    <row r="11" spans="1:22" x14ac:dyDescent="0.25">
      <c r="A11" s="532" t="s">
        <v>2203</v>
      </c>
      <c r="B11" s="7" t="s">
        <v>2194</v>
      </c>
      <c r="C11" s="533">
        <v>52</v>
      </c>
      <c r="E11" s="970" t="str">
        <v>Negot</v>
      </c>
      <c r="F11" s="970">
        <v>23</v>
      </c>
      <c r="G11" s="970">
        <v>75</v>
      </c>
      <c r="H11" s="970">
        <v>55</v>
      </c>
    </row>
    <row r="12" spans="1:22" x14ac:dyDescent="0.25">
      <c r="A12" s="532" t="s">
        <v>2203</v>
      </c>
      <c r="B12" s="7" t="s">
        <v>2194</v>
      </c>
      <c r="C12" s="533">
        <v>23</v>
      </c>
      <c r="E12" s="680" t="str">
        <v/>
      </c>
      <c r="F12" s="680">
        <v>56</v>
      </c>
      <c r="G12" s="680">
        <v>57</v>
      </c>
      <c r="H12" s="680">
        <v>73</v>
      </c>
      <c r="J12" t="s">
        <v>610</v>
      </c>
    </row>
    <row r="13" spans="1:22" x14ac:dyDescent="0.25">
      <c r="A13" s="532" t="s">
        <v>2203</v>
      </c>
      <c r="B13" s="7" t="s">
        <v>2195</v>
      </c>
      <c r="C13" s="533">
        <v>40</v>
      </c>
      <c r="E13" s="680" t="str">
        <v/>
      </c>
      <c r="F13" s="680">
        <v>61</v>
      </c>
      <c r="G13" s="680">
        <v>63</v>
      </c>
      <c r="H13" s="680">
        <v>69</v>
      </c>
      <c r="K13" s="1007" t="str">
        <f>F5</f>
        <v>Col  1</v>
      </c>
      <c r="L13" s="1007" t="str">
        <f>G5</f>
        <v>Col  2</v>
      </c>
      <c r="M13" s="1007" t="str">
        <f>H5</f>
        <v>Col  3</v>
      </c>
    </row>
    <row r="14" spans="1:22" x14ac:dyDescent="0.25">
      <c r="A14" s="532" t="s">
        <v>2203</v>
      </c>
      <c r="B14" s="7" t="s">
        <v>2195</v>
      </c>
      <c r="C14" s="533">
        <v>39</v>
      </c>
      <c r="E14" s="680" t="str">
        <v/>
      </c>
      <c r="F14" s="680">
        <v>34</v>
      </c>
      <c r="G14" s="680">
        <v>25</v>
      </c>
      <c r="H14" s="680">
        <v>64</v>
      </c>
      <c r="J14" t="str">
        <f>E6</f>
        <v>Conflict</v>
      </c>
      <c r="K14" s="865">
        <f>AVERAGE(F6:F10)</f>
        <v>59.2</v>
      </c>
      <c r="L14" s="798">
        <f>AVERAGE(G6:G10)</f>
        <v>52.2</v>
      </c>
      <c r="M14" s="866">
        <f>AVERAGE(H6:H10)</f>
        <v>48</v>
      </c>
      <c r="N14">
        <f>AVERAGE(F6:H10)</f>
        <v>53.133333333333333</v>
      </c>
    </row>
    <row r="15" spans="1:22" x14ac:dyDescent="0.25">
      <c r="A15" s="532" t="s">
        <v>2203</v>
      </c>
      <c r="B15" s="7" t="s">
        <v>2195</v>
      </c>
      <c r="C15" s="533">
        <v>78</v>
      </c>
      <c r="E15" s="757" t="str">
        <v/>
      </c>
      <c r="F15" s="757">
        <v>28</v>
      </c>
      <c r="G15" s="757">
        <v>60</v>
      </c>
      <c r="H15" s="757">
        <v>59</v>
      </c>
      <c r="J15" t="str">
        <f>E11</f>
        <v>Negot</v>
      </c>
      <c r="K15" s="501">
        <f>AVERAGE(F11:F15)</f>
        <v>40.4</v>
      </c>
      <c r="L15" s="7">
        <f>AVERAGE(G11:G15)</f>
        <v>56</v>
      </c>
      <c r="M15" s="57">
        <f>AVERAGE(H11:H15)</f>
        <v>64</v>
      </c>
      <c r="N15">
        <f>AVERAGE(F11:H15)</f>
        <v>53.466666666666669</v>
      </c>
    </row>
    <row r="16" spans="1:22" x14ac:dyDescent="0.25">
      <c r="A16" s="532" t="s">
        <v>2203</v>
      </c>
      <c r="B16" s="7" t="s">
        <v>2195</v>
      </c>
      <c r="C16" s="533">
        <v>24</v>
      </c>
      <c r="E16" s="970" t="str">
        <v>Psychol</v>
      </c>
      <c r="F16" s="970">
        <v>46</v>
      </c>
      <c r="G16" s="970">
        <v>23</v>
      </c>
      <c r="H16" s="970">
        <v>75</v>
      </c>
      <c r="J16" t="str">
        <f>E16</f>
        <v>Psychol</v>
      </c>
      <c r="K16" s="759">
        <f>AVERAGE(F16:F20)</f>
        <v>53</v>
      </c>
      <c r="L16" s="760">
        <f>AVERAGE(G16:G20)</f>
        <v>40.4</v>
      </c>
      <c r="M16" s="761">
        <f>AVERAGE(H16:H20)</f>
        <v>56</v>
      </c>
      <c r="N16">
        <f>AVERAGE(F16:H20)</f>
        <v>49.8</v>
      </c>
    </row>
    <row r="17" spans="1:14" x14ac:dyDescent="0.25">
      <c r="A17" s="532" t="s">
        <v>2203</v>
      </c>
      <c r="B17" s="7" t="s">
        <v>2195</v>
      </c>
      <c r="C17" s="533">
        <v>59</v>
      </c>
      <c r="E17" s="680" t="str">
        <v/>
      </c>
      <c r="F17" s="680">
        <v>32</v>
      </c>
      <c r="G17" s="680">
        <v>56</v>
      </c>
      <c r="H17" s="680">
        <v>57</v>
      </c>
      <c r="K17">
        <f>AVERAGE(F6:F20)</f>
        <v>50.866666666666667</v>
      </c>
      <c r="L17">
        <f>AVERAGE(G6:G20)</f>
        <v>49.533333333333331</v>
      </c>
      <c r="M17">
        <f>AVERAGE(H6:H20)</f>
        <v>56</v>
      </c>
      <c r="N17">
        <f>AVERAGE(F6:H20)</f>
        <v>52.133333333333333</v>
      </c>
    </row>
    <row r="18" spans="1:14" x14ac:dyDescent="0.25">
      <c r="A18" s="532" t="s">
        <v>2204</v>
      </c>
      <c r="B18" s="7" t="s">
        <v>2196</v>
      </c>
      <c r="C18" s="533">
        <v>46</v>
      </c>
      <c r="E18" s="680" t="str">
        <v/>
      </c>
      <c r="F18" s="680">
        <v>56</v>
      </c>
      <c r="G18" s="680">
        <v>61</v>
      </c>
      <c r="H18" s="680">
        <v>63</v>
      </c>
    </row>
    <row r="19" spans="1:14" x14ac:dyDescent="0.25">
      <c r="A19" s="532" t="s">
        <v>2204</v>
      </c>
      <c r="B19" s="7" t="s">
        <v>2196</v>
      </c>
      <c r="C19" s="533">
        <v>32</v>
      </c>
      <c r="E19" s="680" t="str">
        <v/>
      </c>
      <c r="F19" s="680">
        <v>52</v>
      </c>
      <c r="G19" s="680">
        <v>34</v>
      </c>
      <c r="H19" s="680">
        <v>25</v>
      </c>
      <c r="J19" t="s">
        <v>1667</v>
      </c>
    </row>
    <row r="20" spans="1:14" x14ac:dyDescent="0.25">
      <c r="A20" s="532" t="s">
        <v>2204</v>
      </c>
      <c r="B20" s="7" t="s">
        <v>2196</v>
      </c>
      <c r="C20" s="533">
        <v>56</v>
      </c>
      <c r="E20" s="757" t="str">
        <v/>
      </c>
      <c r="F20" s="757">
        <v>79</v>
      </c>
      <c r="G20" s="757">
        <v>28</v>
      </c>
      <c r="H20" s="757">
        <v>60</v>
      </c>
      <c r="K20" s="1007" t="str">
        <f>F5</f>
        <v>Col  1</v>
      </c>
      <c r="L20" s="1007" t="str">
        <f>G5</f>
        <v>Col  2</v>
      </c>
      <c r="M20" s="1007" t="str">
        <f>H5</f>
        <v>Col  3</v>
      </c>
    </row>
    <row r="21" spans="1:14" x14ac:dyDescent="0.25">
      <c r="A21" s="532" t="s">
        <v>2204</v>
      </c>
      <c r="B21" s="7" t="s">
        <v>2196</v>
      </c>
      <c r="C21" s="533">
        <v>52</v>
      </c>
      <c r="J21" t="str">
        <f>E6</f>
        <v>Conflict</v>
      </c>
      <c r="K21" s="865">
        <f>VAR(F6:F10)</f>
        <v>265.69999999999982</v>
      </c>
      <c r="L21" s="798">
        <f>VAR(G6:G10)</f>
        <v>408.69999999999982</v>
      </c>
      <c r="M21" s="866">
        <f>VAR(H6:H10)</f>
        <v>435.5</v>
      </c>
      <c r="N21">
        <f>VAR(F6:H10)</f>
        <v>339.98095238095215</v>
      </c>
    </row>
    <row r="22" spans="1:14" x14ac:dyDescent="0.25">
      <c r="A22" s="532" t="s">
        <v>2204</v>
      </c>
      <c r="B22" s="7" t="s">
        <v>2196</v>
      </c>
      <c r="C22" s="533">
        <v>79</v>
      </c>
      <c r="J22" t="str">
        <f>E11</f>
        <v>Negot</v>
      </c>
      <c r="K22" s="501">
        <f>VAR(F11:F15)</f>
        <v>291.29999999999995</v>
      </c>
      <c r="L22" s="7">
        <f>VAR(G11:G15)</f>
        <v>347</v>
      </c>
      <c r="M22" s="57">
        <f>VAR(H11:H15)</f>
        <v>53</v>
      </c>
      <c r="N22">
        <f>VAR(F11:H15)</f>
        <v>300.40952380952359</v>
      </c>
    </row>
    <row r="23" spans="1:14" x14ac:dyDescent="0.25">
      <c r="A23" s="532" t="s">
        <v>2204</v>
      </c>
      <c r="B23" s="7" t="s">
        <v>2197</v>
      </c>
      <c r="C23" s="533">
        <v>23</v>
      </c>
      <c r="J23" t="str">
        <f>E16</f>
        <v>Psychol</v>
      </c>
      <c r="K23" s="759">
        <f>VAR(F16:F20)</f>
        <v>294</v>
      </c>
      <c r="L23" s="760">
        <f>VAR(G16:G20)</f>
        <v>291.29999999999995</v>
      </c>
      <c r="M23" s="761">
        <f>VAR(H16:H20)</f>
        <v>347</v>
      </c>
      <c r="N23">
        <f>VAR(F16:H20)</f>
        <v>315.3142857142858</v>
      </c>
    </row>
    <row r="24" spans="1:14" x14ac:dyDescent="0.25">
      <c r="A24" s="532" t="s">
        <v>2204</v>
      </c>
      <c r="B24" s="7" t="s">
        <v>2197</v>
      </c>
      <c r="C24" s="533">
        <v>56</v>
      </c>
      <c r="K24">
        <f>VAR(F6:F20)</f>
        <v>308.69523809523787</v>
      </c>
      <c r="L24">
        <f>VAR(G6:G20)</f>
        <v>346.40952380952359</v>
      </c>
      <c r="M24">
        <f>VAR(H6:H20)</f>
        <v>284.42857142857144</v>
      </c>
      <c r="N24">
        <f>VAR(F6:H20)</f>
        <v>306.89090909090902</v>
      </c>
    </row>
    <row r="25" spans="1:14" x14ac:dyDescent="0.25">
      <c r="A25" s="532" t="s">
        <v>2204</v>
      </c>
      <c r="B25" s="7" t="s">
        <v>2197</v>
      </c>
      <c r="C25" s="533">
        <v>61</v>
      </c>
    </row>
    <row r="26" spans="1:14" x14ac:dyDescent="0.25">
      <c r="A26" s="532" t="s">
        <v>2204</v>
      </c>
      <c r="B26" s="7" t="s">
        <v>2197</v>
      </c>
      <c r="C26" s="533">
        <v>34</v>
      </c>
    </row>
    <row r="27" spans="1:14" x14ac:dyDescent="0.25">
      <c r="A27" s="532" t="s">
        <v>2204</v>
      </c>
      <c r="B27" s="7" t="s">
        <v>2197</v>
      </c>
      <c r="C27" s="533">
        <v>28</v>
      </c>
    </row>
    <row r="28" spans="1:14" x14ac:dyDescent="0.25">
      <c r="A28" s="532" t="s">
        <v>2204</v>
      </c>
      <c r="B28" s="7" t="s">
        <v>2198</v>
      </c>
      <c r="C28" s="533">
        <v>75</v>
      </c>
    </row>
    <row r="29" spans="1:14" x14ac:dyDescent="0.25">
      <c r="A29" s="532" t="s">
        <v>2204</v>
      </c>
      <c r="B29" s="7" t="s">
        <v>2198</v>
      </c>
      <c r="C29" s="533">
        <v>57</v>
      </c>
    </row>
    <row r="30" spans="1:14" x14ac:dyDescent="0.25">
      <c r="A30" s="532" t="s">
        <v>2204</v>
      </c>
      <c r="B30" s="7" t="s">
        <v>2198</v>
      </c>
      <c r="C30" s="533">
        <v>63</v>
      </c>
    </row>
    <row r="31" spans="1:14" x14ac:dyDescent="0.25">
      <c r="A31" s="532" t="s">
        <v>2204</v>
      </c>
      <c r="B31" s="7" t="s">
        <v>2198</v>
      </c>
      <c r="C31" s="533">
        <v>25</v>
      </c>
    </row>
    <row r="32" spans="1:14" x14ac:dyDescent="0.25">
      <c r="A32" s="532" t="s">
        <v>2204</v>
      </c>
      <c r="B32" s="7" t="s">
        <v>2198</v>
      </c>
      <c r="C32" s="533">
        <v>60</v>
      </c>
    </row>
    <row r="33" spans="1:3" x14ac:dyDescent="0.25">
      <c r="A33" s="532" t="s">
        <v>2202</v>
      </c>
      <c r="B33" s="7" t="s">
        <v>2199</v>
      </c>
      <c r="C33" s="533">
        <v>23</v>
      </c>
    </row>
    <row r="34" spans="1:3" x14ac:dyDescent="0.25">
      <c r="A34" s="532" t="s">
        <v>2202</v>
      </c>
      <c r="B34" s="7" t="s">
        <v>2199</v>
      </c>
      <c r="C34" s="533">
        <v>56</v>
      </c>
    </row>
    <row r="35" spans="1:3" x14ac:dyDescent="0.25">
      <c r="A35" s="532" t="s">
        <v>2202</v>
      </c>
      <c r="B35" s="7" t="s">
        <v>2199</v>
      </c>
      <c r="C35" s="533">
        <v>61</v>
      </c>
    </row>
    <row r="36" spans="1:3" x14ac:dyDescent="0.25">
      <c r="A36" s="532" t="s">
        <v>2202</v>
      </c>
      <c r="B36" s="7" t="s">
        <v>2199</v>
      </c>
      <c r="C36" s="533">
        <v>34</v>
      </c>
    </row>
    <row r="37" spans="1:3" x14ac:dyDescent="0.25">
      <c r="A37" s="532" t="s">
        <v>2202</v>
      </c>
      <c r="B37" s="7" t="s">
        <v>2199</v>
      </c>
      <c r="C37" s="533">
        <v>28</v>
      </c>
    </row>
    <row r="38" spans="1:3" x14ac:dyDescent="0.25">
      <c r="A38" s="532" t="s">
        <v>2202</v>
      </c>
      <c r="B38" s="7" t="s">
        <v>2200</v>
      </c>
      <c r="C38" s="533">
        <v>75</v>
      </c>
    </row>
    <row r="39" spans="1:3" x14ac:dyDescent="0.25">
      <c r="A39" s="532" t="s">
        <v>2202</v>
      </c>
      <c r="B39" s="7" t="s">
        <v>2200</v>
      </c>
      <c r="C39" s="533">
        <v>57</v>
      </c>
    </row>
    <row r="40" spans="1:3" x14ac:dyDescent="0.25">
      <c r="A40" s="532" t="s">
        <v>2202</v>
      </c>
      <c r="B40" s="7" t="s">
        <v>2200</v>
      </c>
      <c r="C40" s="533">
        <v>63</v>
      </c>
    </row>
    <row r="41" spans="1:3" x14ac:dyDescent="0.25">
      <c r="A41" s="532" t="s">
        <v>2202</v>
      </c>
      <c r="B41" s="7" t="s">
        <v>2200</v>
      </c>
      <c r="C41" s="533">
        <v>25</v>
      </c>
    </row>
    <row r="42" spans="1:3" x14ac:dyDescent="0.25">
      <c r="A42" s="532" t="s">
        <v>2202</v>
      </c>
      <c r="B42" s="7" t="s">
        <v>2200</v>
      </c>
      <c r="C42" s="533">
        <v>60</v>
      </c>
    </row>
    <row r="43" spans="1:3" x14ac:dyDescent="0.25">
      <c r="A43" s="532" t="s">
        <v>2202</v>
      </c>
      <c r="B43" s="7" t="s">
        <v>2201</v>
      </c>
      <c r="C43" s="533">
        <v>55</v>
      </c>
    </row>
    <row r="44" spans="1:3" x14ac:dyDescent="0.25">
      <c r="A44" s="532" t="s">
        <v>2202</v>
      </c>
      <c r="B44" s="7" t="s">
        <v>2201</v>
      </c>
      <c r="C44" s="533">
        <v>73</v>
      </c>
    </row>
    <row r="45" spans="1:3" x14ac:dyDescent="0.25">
      <c r="A45" s="532" t="s">
        <v>2202</v>
      </c>
      <c r="B45" s="7" t="s">
        <v>2201</v>
      </c>
      <c r="C45" s="533">
        <v>69</v>
      </c>
    </row>
    <row r="46" spans="1:3" x14ac:dyDescent="0.25">
      <c r="A46" s="532" t="s">
        <v>2202</v>
      </c>
      <c r="B46" s="7" t="s">
        <v>2201</v>
      </c>
      <c r="C46" s="533">
        <v>64</v>
      </c>
    </row>
    <row r="47" spans="1:3" x14ac:dyDescent="0.25">
      <c r="A47" s="409" t="s">
        <v>2202</v>
      </c>
      <c r="B47" s="762" t="s">
        <v>2201</v>
      </c>
      <c r="C47" s="417">
        <v>59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M34"/>
  <sheetViews>
    <sheetView workbookViewId="0">
      <selection activeCell="A3" sqref="A3:E18"/>
    </sheetView>
  </sheetViews>
  <sheetFormatPr defaultRowHeight="15" x14ac:dyDescent="0.25"/>
  <cols>
    <col min="7" max="7" width="18" customWidth="1"/>
  </cols>
  <sheetData>
    <row r="1" spans="1:11" x14ac:dyDescent="0.25">
      <c r="A1" s="1" t="s">
        <v>1106</v>
      </c>
    </row>
    <row r="3" spans="1:11" x14ac:dyDescent="0.25">
      <c r="A3" s="425" t="s">
        <v>57</v>
      </c>
      <c r="B3" s="425" t="s">
        <v>94</v>
      </c>
      <c r="C3" s="425" t="s">
        <v>982</v>
      </c>
      <c r="D3" s="425" t="s">
        <v>983</v>
      </c>
      <c r="E3" s="425" t="s">
        <v>984</v>
      </c>
      <c r="G3" t="s">
        <v>587</v>
      </c>
    </row>
    <row r="4" spans="1:11" ht="15.75" thickBot="1" x14ac:dyDescent="0.3">
      <c r="A4" s="425">
        <v>1</v>
      </c>
      <c r="B4" s="498">
        <v>16</v>
      </c>
      <c r="C4" s="499">
        <v>22</v>
      </c>
      <c r="D4" s="499">
        <v>23</v>
      </c>
      <c r="E4" s="502">
        <v>25</v>
      </c>
    </row>
    <row r="5" spans="1:11" x14ac:dyDescent="0.25">
      <c r="A5" s="425">
        <f>A4+1</f>
        <v>2</v>
      </c>
      <c r="B5" s="500">
        <v>12</v>
      </c>
      <c r="C5" s="50">
        <v>18</v>
      </c>
      <c r="D5" s="50">
        <v>24</v>
      </c>
      <c r="E5" s="36">
        <v>29</v>
      </c>
      <c r="G5" s="479" t="s">
        <v>62</v>
      </c>
      <c r="H5" s="479" t="s">
        <v>22</v>
      </c>
      <c r="I5" s="479" t="s">
        <v>21</v>
      </c>
      <c r="J5" s="479" t="s">
        <v>465</v>
      </c>
      <c r="K5" s="479" t="s">
        <v>80</v>
      </c>
    </row>
    <row r="6" spans="1:11" x14ac:dyDescent="0.25">
      <c r="A6" s="425">
        <f t="shared" ref="A6:A18" si="0">A5+1</f>
        <v>3</v>
      </c>
      <c r="B6" s="500">
        <v>23</v>
      </c>
      <c r="C6" s="50">
        <v>24</v>
      </c>
      <c r="D6" s="50">
        <v>26</v>
      </c>
      <c r="E6" s="36">
        <v>27</v>
      </c>
      <c r="G6" s="19">
        <v>1</v>
      </c>
      <c r="H6" s="19">
        <v>4</v>
      </c>
      <c r="I6" s="19">
        <v>86</v>
      </c>
      <c r="J6" s="19">
        <v>21.5</v>
      </c>
      <c r="K6" s="19">
        <v>15</v>
      </c>
    </row>
    <row r="7" spans="1:11" x14ac:dyDescent="0.25">
      <c r="A7" s="425">
        <f t="shared" si="0"/>
        <v>4</v>
      </c>
      <c r="B7" s="500">
        <v>8</v>
      </c>
      <c r="C7" s="50">
        <v>20</v>
      </c>
      <c r="D7" s="50">
        <v>28</v>
      </c>
      <c r="E7" s="36">
        <v>30</v>
      </c>
      <c r="G7" s="19">
        <v>2</v>
      </c>
      <c r="H7" s="19">
        <v>4</v>
      </c>
      <c r="I7" s="19">
        <v>83</v>
      </c>
      <c r="J7" s="19">
        <v>20.75</v>
      </c>
      <c r="K7" s="19">
        <v>54.25</v>
      </c>
    </row>
    <row r="8" spans="1:11" x14ac:dyDescent="0.25">
      <c r="A8" s="425">
        <f t="shared" si="0"/>
        <v>5</v>
      </c>
      <c r="B8" s="500">
        <v>3</v>
      </c>
      <c r="C8" s="50">
        <v>12</v>
      </c>
      <c r="D8" s="50">
        <v>13</v>
      </c>
      <c r="E8" s="36">
        <v>17</v>
      </c>
      <c r="G8" s="19">
        <v>3</v>
      </c>
      <c r="H8" s="19">
        <v>4</v>
      </c>
      <c r="I8" s="19">
        <v>100</v>
      </c>
      <c r="J8" s="19">
        <v>25</v>
      </c>
      <c r="K8" s="19">
        <v>3.3333333333333335</v>
      </c>
    </row>
    <row r="9" spans="1:11" x14ac:dyDescent="0.25">
      <c r="A9" s="425">
        <f t="shared" si="0"/>
        <v>6</v>
      </c>
      <c r="B9" s="500">
        <v>5</v>
      </c>
      <c r="C9" s="50">
        <v>13</v>
      </c>
      <c r="D9" s="50">
        <v>11</v>
      </c>
      <c r="E9" s="36">
        <v>15</v>
      </c>
      <c r="G9" s="19">
        <v>4</v>
      </c>
      <c r="H9" s="19">
        <v>4</v>
      </c>
      <c r="I9" s="19">
        <v>86</v>
      </c>
      <c r="J9" s="19">
        <v>21.5</v>
      </c>
      <c r="K9" s="19">
        <v>99.666666666666671</v>
      </c>
    </row>
    <row r="10" spans="1:11" x14ac:dyDescent="0.25">
      <c r="A10" s="425">
        <f t="shared" si="0"/>
        <v>7</v>
      </c>
      <c r="B10" s="500">
        <v>19</v>
      </c>
      <c r="C10" s="50">
        <v>22</v>
      </c>
      <c r="D10" s="50">
        <v>25</v>
      </c>
      <c r="E10" s="36">
        <v>26</v>
      </c>
      <c r="G10" s="19">
        <v>5</v>
      </c>
      <c r="H10" s="19">
        <v>4</v>
      </c>
      <c r="I10" s="19">
        <v>45</v>
      </c>
      <c r="J10" s="19">
        <v>11.25</v>
      </c>
      <c r="K10" s="19">
        <v>34.916666666666664</v>
      </c>
    </row>
    <row r="11" spans="1:11" x14ac:dyDescent="0.25">
      <c r="A11" s="425">
        <f t="shared" si="0"/>
        <v>8</v>
      </c>
      <c r="B11" s="500">
        <v>22</v>
      </c>
      <c r="C11" s="50">
        <v>22</v>
      </c>
      <c r="D11" s="50">
        <v>23</v>
      </c>
      <c r="E11" s="36">
        <v>26</v>
      </c>
      <c r="G11" s="19">
        <v>6</v>
      </c>
      <c r="H11" s="19">
        <v>4</v>
      </c>
      <c r="I11" s="19">
        <v>44</v>
      </c>
      <c r="J11" s="19">
        <v>11</v>
      </c>
      <c r="K11" s="19">
        <v>18.666666666666668</v>
      </c>
    </row>
    <row r="12" spans="1:11" x14ac:dyDescent="0.25">
      <c r="A12" s="425">
        <f t="shared" si="0"/>
        <v>9</v>
      </c>
      <c r="B12" s="500">
        <v>12</v>
      </c>
      <c r="C12" s="50">
        <v>20</v>
      </c>
      <c r="D12" s="50">
        <v>22</v>
      </c>
      <c r="E12" s="36">
        <v>24</v>
      </c>
      <c r="G12" s="19">
        <v>7</v>
      </c>
      <c r="H12" s="19">
        <v>4</v>
      </c>
      <c r="I12" s="19">
        <v>92</v>
      </c>
      <c r="J12" s="19">
        <v>23</v>
      </c>
      <c r="K12" s="19">
        <v>10</v>
      </c>
    </row>
    <row r="13" spans="1:11" x14ac:dyDescent="0.25">
      <c r="A13" s="425">
        <f t="shared" si="0"/>
        <v>10</v>
      </c>
      <c r="B13" s="500">
        <v>16</v>
      </c>
      <c r="C13" s="50">
        <v>22</v>
      </c>
      <c r="D13" s="50">
        <v>26</v>
      </c>
      <c r="E13" s="36">
        <v>29</v>
      </c>
      <c r="G13" s="19">
        <v>8</v>
      </c>
      <c r="H13" s="19">
        <v>4</v>
      </c>
      <c r="I13" s="19">
        <v>93</v>
      </c>
      <c r="J13" s="19">
        <v>23.25</v>
      </c>
      <c r="K13" s="19">
        <v>3.5833333333333335</v>
      </c>
    </row>
    <row r="14" spans="1:11" x14ac:dyDescent="0.25">
      <c r="A14" s="425">
        <f t="shared" si="0"/>
        <v>11</v>
      </c>
      <c r="B14" s="500">
        <v>14</v>
      </c>
      <c r="C14" s="50">
        <v>25</v>
      </c>
      <c r="D14" s="50">
        <v>18</v>
      </c>
      <c r="E14" s="36">
        <v>21</v>
      </c>
      <c r="G14" s="19">
        <v>9</v>
      </c>
      <c r="H14" s="19">
        <v>4</v>
      </c>
      <c r="I14" s="19">
        <v>78</v>
      </c>
      <c r="J14" s="19">
        <v>19.5</v>
      </c>
      <c r="K14" s="19">
        <v>27.666666666666668</v>
      </c>
    </row>
    <row r="15" spans="1:11" x14ac:dyDescent="0.25">
      <c r="A15" s="425">
        <f t="shared" si="0"/>
        <v>12</v>
      </c>
      <c r="B15" s="500">
        <v>24</v>
      </c>
      <c r="C15" s="50">
        <v>26</v>
      </c>
      <c r="D15" s="50">
        <v>21</v>
      </c>
      <c r="E15" s="36">
        <v>23</v>
      </c>
      <c r="G15" s="19">
        <v>10</v>
      </c>
      <c r="H15" s="19">
        <v>4</v>
      </c>
      <c r="I15" s="19">
        <v>93</v>
      </c>
      <c r="J15" s="19">
        <v>23.25</v>
      </c>
      <c r="K15" s="19">
        <v>31.583333333333332</v>
      </c>
    </row>
    <row r="16" spans="1:11" x14ac:dyDescent="0.25">
      <c r="A16" s="425">
        <f t="shared" si="0"/>
        <v>13</v>
      </c>
      <c r="B16" s="500">
        <v>9</v>
      </c>
      <c r="C16" s="50">
        <v>12</v>
      </c>
      <c r="D16" s="50">
        <v>20</v>
      </c>
      <c r="E16" s="36">
        <v>23</v>
      </c>
      <c r="G16" s="19">
        <v>11</v>
      </c>
      <c r="H16" s="19">
        <v>4</v>
      </c>
      <c r="I16" s="19">
        <v>78</v>
      </c>
      <c r="J16" s="19">
        <v>19.5</v>
      </c>
      <c r="K16" s="19">
        <v>21.666666666666668</v>
      </c>
    </row>
    <row r="17" spans="1:13" x14ac:dyDescent="0.25">
      <c r="A17" s="425">
        <f t="shared" si="0"/>
        <v>14</v>
      </c>
      <c r="B17" s="500">
        <v>3</v>
      </c>
      <c r="C17" s="50">
        <v>9</v>
      </c>
      <c r="D17" s="50">
        <v>13</v>
      </c>
      <c r="E17" s="36">
        <v>16</v>
      </c>
      <c r="G17" s="19">
        <v>12</v>
      </c>
      <c r="H17" s="19">
        <v>4</v>
      </c>
      <c r="I17" s="19">
        <v>94</v>
      </c>
      <c r="J17" s="19">
        <v>23.5</v>
      </c>
      <c r="K17" s="19">
        <v>4.333333333333333</v>
      </c>
    </row>
    <row r="18" spans="1:13" x14ac:dyDescent="0.25">
      <c r="A18" s="425">
        <f t="shared" si="0"/>
        <v>15</v>
      </c>
      <c r="B18" s="488">
        <v>2</v>
      </c>
      <c r="C18" s="489">
        <v>8</v>
      </c>
      <c r="D18" s="489">
        <v>6</v>
      </c>
      <c r="E18" s="38">
        <v>10</v>
      </c>
      <c r="G18" s="19">
        <v>13</v>
      </c>
      <c r="H18" s="19">
        <v>4</v>
      </c>
      <c r="I18" s="19">
        <v>64</v>
      </c>
      <c r="J18" s="19">
        <v>16</v>
      </c>
      <c r="K18" s="19">
        <v>43.333333333333336</v>
      </c>
    </row>
    <row r="19" spans="1:13" x14ac:dyDescent="0.25">
      <c r="G19" s="19">
        <v>14</v>
      </c>
      <c r="H19" s="19">
        <v>4</v>
      </c>
      <c r="I19" s="19">
        <v>41</v>
      </c>
      <c r="J19" s="19">
        <v>10.25</v>
      </c>
      <c r="K19" s="19">
        <v>31.583333333333332</v>
      </c>
    </row>
    <row r="20" spans="1:13" x14ac:dyDescent="0.25">
      <c r="G20" s="19">
        <v>15</v>
      </c>
      <c r="H20" s="19">
        <v>4</v>
      </c>
      <c r="I20" s="19">
        <v>26</v>
      </c>
      <c r="J20" s="19">
        <v>6.5</v>
      </c>
      <c r="K20" s="19">
        <v>11.666666666666666</v>
      </c>
    </row>
    <row r="21" spans="1:13" x14ac:dyDescent="0.25">
      <c r="G21" s="19"/>
      <c r="H21" s="19"/>
      <c r="I21" s="19"/>
      <c r="J21" s="19"/>
      <c r="K21" s="19"/>
    </row>
    <row r="22" spans="1:13" x14ac:dyDescent="0.25">
      <c r="G22" s="19" t="s">
        <v>94</v>
      </c>
      <c r="H22" s="19">
        <v>15</v>
      </c>
      <c r="I22" s="19">
        <v>188</v>
      </c>
      <c r="J22" s="19">
        <v>12.533333333333333</v>
      </c>
      <c r="K22" s="19">
        <v>55.838095238095221</v>
      </c>
    </row>
    <row r="23" spans="1:13" x14ac:dyDescent="0.25">
      <c r="G23" s="19" t="s">
        <v>982</v>
      </c>
      <c r="H23" s="19">
        <v>15</v>
      </c>
      <c r="I23" s="19">
        <v>275</v>
      </c>
      <c r="J23" s="19">
        <v>18.333333333333332</v>
      </c>
      <c r="K23" s="19">
        <v>35.523809523809504</v>
      </c>
    </row>
    <row r="24" spans="1:13" x14ac:dyDescent="0.25">
      <c r="G24" s="19" t="s">
        <v>983</v>
      </c>
      <c r="H24" s="19">
        <v>15</v>
      </c>
      <c r="I24" s="19">
        <v>299</v>
      </c>
      <c r="J24" s="19">
        <v>19.933333333333334</v>
      </c>
      <c r="K24" s="19">
        <v>41.352380952380955</v>
      </c>
    </row>
    <row r="25" spans="1:13" ht="15.75" thickBot="1" x14ac:dyDescent="0.3">
      <c r="G25" s="20" t="s">
        <v>984</v>
      </c>
      <c r="H25" s="20">
        <v>15</v>
      </c>
      <c r="I25" s="20">
        <v>341</v>
      </c>
      <c r="J25" s="20">
        <v>22.733333333333334</v>
      </c>
      <c r="K25" s="20">
        <v>34.352380952380955</v>
      </c>
    </row>
    <row r="28" spans="1:13" ht="15.75" thickBot="1" x14ac:dyDescent="0.3">
      <c r="G28" t="s">
        <v>294</v>
      </c>
    </row>
    <row r="29" spans="1:13" x14ac:dyDescent="0.25">
      <c r="G29" s="479" t="s">
        <v>466</v>
      </c>
      <c r="H29" s="479" t="s">
        <v>219</v>
      </c>
      <c r="I29" s="479" t="s">
        <v>60</v>
      </c>
      <c r="J29" s="479" t="s">
        <v>240</v>
      </c>
      <c r="K29" s="479" t="s">
        <v>135</v>
      </c>
      <c r="L29" s="479" t="s">
        <v>119</v>
      </c>
      <c r="M29" s="479" t="s">
        <v>467</v>
      </c>
    </row>
    <row r="30" spans="1:13" x14ac:dyDescent="0.25">
      <c r="G30" s="19" t="s">
        <v>136</v>
      </c>
      <c r="H30" s="19">
        <v>1938.4333333333334</v>
      </c>
      <c r="I30" s="19">
        <v>14</v>
      </c>
      <c r="J30" s="19">
        <v>138.4595238095238</v>
      </c>
      <c r="K30" s="19">
        <v>14.520099875156053</v>
      </c>
      <c r="L30" s="19">
        <v>8.1670607503920066E-12</v>
      </c>
      <c r="M30" s="19">
        <v>1.9350088132446253</v>
      </c>
    </row>
    <row r="31" spans="1:13" x14ac:dyDescent="0.25">
      <c r="G31" s="19" t="s">
        <v>589</v>
      </c>
      <c r="H31" s="19">
        <v>833.25</v>
      </c>
      <c r="I31" s="19">
        <v>3</v>
      </c>
      <c r="J31" s="19">
        <v>277.75</v>
      </c>
      <c r="K31" s="19">
        <v>29.127340823970034</v>
      </c>
      <c r="L31" s="19">
        <v>2.39621816316698E-10</v>
      </c>
      <c r="M31" s="19">
        <v>2.8270487120861261</v>
      </c>
    </row>
    <row r="32" spans="1:13" x14ac:dyDescent="0.25">
      <c r="G32" s="19" t="s">
        <v>588</v>
      </c>
      <c r="H32" s="19">
        <v>400.5</v>
      </c>
      <c r="I32" s="19">
        <v>42</v>
      </c>
      <c r="J32" s="19">
        <v>9.5357142857142865</v>
      </c>
      <c r="K32" s="19"/>
      <c r="L32" s="19"/>
      <c r="M32" s="19"/>
    </row>
    <row r="33" spans="7:13" x14ac:dyDescent="0.25">
      <c r="G33" s="19"/>
      <c r="H33" s="19"/>
      <c r="I33" s="19"/>
      <c r="J33" s="19"/>
      <c r="K33" s="19"/>
      <c r="L33" s="19"/>
      <c r="M33" s="19"/>
    </row>
    <row r="34" spans="7:13" ht="15.75" thickBot="1" x14ac:dyDescent="0.3">
      <c r="G34" s="20" t="s">
        <v>1</v>
      </c>
      <c r="H34" s="20">
        <v>3172.1833333333334</v>
      </c>
      <c r="I34" s="20">
        <v>59</v>
      </c>
      <c r="J34" s="20"/>
      <c r="K34" s="20"/>
      <c r="L34" s="20"/>
      <c r="M34" s="20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G26"/>
  <sheetViews>
    <sheetView zoomScaleNormal="100" workbookViewId="0"/>
  </sheetViews>
  <sheetFormatPr defaultRowHeight="15" x14ac:dyDescent="0.25"/>
  <cols>
    <col min="1" max="1" width="9.85546875" customWidth="1"/>
    <col min="5" max="5" width="9.140625" customWidth="1"/>
  </cols>
  <sheetData>
    <row r="1" spans="1:6" x14ac:dyDescent="0.25">
      <c r="A1" s="1" t="s">
        <v>998</v>
      </c>
    </row>
    <row r="3" spans="1:6" x14ac:dyDescent="0.25">
      <c r="A3" s="508" t="s">
        <v>57</v>
      </c>
      <c r="B3" s="508" t="s">
        <v>94</v>
      </c>
      <c r="C3" s="508" t="s">
        <v>982</v>
      </c>
      <c r="D3" s="508" t="s">
        <v>983</v>
      </c>
      <c r="E3" s="508" t="s">
        <v>984</v>
      </c>
    </row>
    <row r="4" spans="1:6" x14ac:dyDescent="0.25">
      <c r="A4" s="508" t="s">
        <v>556</v>
      </c>
      <c r="B4" s="513">
        <v>1</v>
      </c>
      <c r="C4" s="514">
        <f>-1/3</f>
        <v>-0.33333333333333331</v>
      </c>
      <c r="D4" s="514">
        <f>-1/3</f>
        <v>-0.33333333333333331</v>
      </c>
      <c r="E4" s="515">
        <f>-1/3</f>
        <v>-0.33333333333333331</v>
      </c>
      <c r="F4" s="516" t="s">
        <v>999</v>
      </c>
    </row>
    <row r="5" spans="1:6" x14ac:dyDescent="0.25">
      <c r="A5" s="508">
        <v>1</v>
      </c>
      <c r="B5" s="517">
        <v>16</v>
      </c>
      <c r="C5" s="518">
        <v>22</v>
      </c>
      <c r="D5" s="518">
        <v>23</v>
      </c>
      <c r="E5" s="519">
        <v>25</v>
      </c>
      <c r="F5" s="503">
        <f>SUMPRODUCT($B$4:$E$4,B5:E5)</f>
        <v>-7.3333333333333304</v>
      </c>
    </row>
    <row r="6" spans="1:6" x14ac:dyDescent="0.25">
      <c r="A6" s="508">
        <f>A5+1</f>
        <v>2</v>
      </c>
      <c r="B6" s="500">
        <v>12</v>
      </c>
      <c r="C6" s="50">
        <v>18</v>
      </c>
      <c r="D6" s="50">
        <v>24</v>
      </c>
      <c r="E6" s="494">
        <v>29</v>
      </c>
      <c r="F6" s="503">
        <f t="shared" ref="F6:F19" si="0">SUMPRODUCT($B$4:$E$4,B6:E6)</f>
        <v>-11.666666666666666</v>
      </c>
    </row>
    <row r="7" spans="1:6" x14ac:dyDescent="0.25">
      <c r="A7" s="508">
        <f t="shared" ref="A7:A19" si="1">A6+1</f>
        <v>3</v>
      </c>
      <c r="B7" s="500">
        <v>23</v>
      </c>
      <c r="C7" s="50">
        <v>24</v>
      </c>
      <c r="D7" s="50">
        <v>26</v>
      </c>
      <c r="E7" s="494">
        <v>27</v>
      </c>
      <c r="F7" s="503">
        <f t="shared" si="0"/>
        <v>-2.6666666666666661</v>
      </c>
    </row>
    <row r="8" spans="1:6" x14ac:dyDescent="0.25">
      <c r="A8" s="508">
        <f t="shared" si="1"/>
        <v>4</v>
      </c>
      <c r="B8" s="500">
        <v>8</v>
      </c>
      <c r="C8" s="50">
        <v>20</v>
      </c>
      <c r="D8" s="50">
        <v>28</v>
      </c>
      <c r="E8" s="494">
        <v>30</v>
      </c>
      <c r="F8" s="503">
        <f t="shared" si="0"/>
        <v>-18</v>
      </c>
    </row>
    <row r="9" spans="1:6" x14ac:dyDescent="0.25">
      <c r="A9" s="508">
        <f t="shared" si="1"/>
        <v>5</v>
      </c>
      <c r="B9" s="500">
        <v>3</v>
      </c>
      <c r="C9" s="50">
        <v>12</v>
      </c>
      <c r="D9" s="50">
        <v>13</v>
      </c>
      <c r="E9" s="494">
        <v>17</v>
      </c>
      <c r="F9" s="503">
        <f t="shared" si="0"/>
        <v>-11</v>
      </c>
    </row>
    <row r="10" spans="1:6" x14ac:dyDescent="0.25">
      <c r="A10" s="508">
        <f t="shared" si="1"/>
        <v>6</v>
      </c>
      <c r="B10" s="500">
        <v>5</v>
      </c>
      <c r="C10" s="50">
        <v>13</v>
      </c>
      <c r="D10" s="50">
        <v>11</v>
      </c>
      <c r="E10" s="494">
        <v>15</v>
      </c>
      <c r="F10" s="503">
        <f t="shared" si="0"/>
        <v>-8</v>
      </c>
    </row>
    <row r="11" spans="1:6" x14ac:dyDescent="0.25">
      <c r="A11" s="508">
        <f t="shared" si="1"/>
        <v>7</v>
      </c>
      <c r="B11" s="500">
        <v>19</v>
      </c>
      <c r="C11" s="50">
        <v>22</v>
      </c>
      <c r="D11" s="50">
        <v>25</v>
      </c>
      <c r="E11" s="494">
        <v>26</v>
      </c>
      <c r="F11" s="503">
        <f t="shared" si="0"/>
        <v>-5.3333333333333304</v>
      </c>
    </row>
    <row r="12" spans="1:6" x14ac:dyDescent="0.25">
      <c r="A12" s="508">
        <f t="shared" si="1"/>
        <v>8</v>
      </c>
      <c r="B12" s="500">
        <v>22</v>
      </c>
      <c r="C12" s="50">
        <v>22</v>
      </c>
      <c r="D12" s="50">
        <v>23</v>
      </c>
      <c r="E12" s="494">
        <v>26</v>
      </c>
      <c r="F12" s="503">
        <f t="shared" si="0"/>
        <v>-1.6666666666666643</v>
      </c>
    </row>
    <row r="13" spans="1:6" x14ac:dyDescent="0.25">
      <c r="A13" s="508">
        <f t="shared" si="1"/>
        <v>9</v>
      </c>
      <c r="B13" s="500">
        <v>12</v>
      </c>
      <c r="C13" s="50">
        <v>20</v>
      </c>
      <c r="D13" s="50">
        <v>22</v>
      </c>
      <c r="E13" s="494">
        <v>24</v>
      </c>
      <c r="F13" s="503">
        <f t="shared" si="0"/>
        <v>-10</v>
      </c>
    </row>
    <row r="14" spans="1:6" x14ac:dyDescent="0.25">
      <c r="A14" s="508">
        <f t="shared" si="1"/>
        <v>10</v>
      </c>
      <c r="B14" s="500">
        <v>16</v>
      </c>
      <c r="C14" s="50">
        <v>22</v>
      </c>
      <c r="D14" s="50">
        <v>26</v>
      </c>
      <c r="E14" s="494">
        <v>29</v>
      </c>
      <c r="F14" s="503">
        <f t="shared" si="0"/>
        <v>-9.6666666666666643</v>
      </c>
    </row>
    <row r="15" spans="1:6" x14ac:dyDescent="0.25">
      <c r="A15" s="508">
        <f t="shared" si="1"/>
        <v>11</v>
      </c>
      <c r="B15" s="500">
        <v>14</v>
      </c>
      <c r="C15" s="50">
        <v>25</v>
      </c>
      <c r="D15" s="50">
        <v>18</v>
      </c>
      <c r="E15" s="494">
        <v>21</v>
      </c>
      <c r="F15" s="503">
        <f t="shared" si="0"/>
        <v>-7.3333333333333321</v>
      </c>
    </row>
    <row r="16" spans="1:6" x14ac:dyDescent="0.25">
      <c r="A16" s="508">
        <f t="shared" si="1"/>
        <v>12</v>
      </c>
      <c r="B16" s="500">
        <v>24</v>
      </c>
      <c r="C16" s="50">
        <v>26</v>
      </c>
      <c r="D16" s="50">
        <v>21</v>
      </c>
      <c r="E16" s="494">
        <v>23</v>
      </c>
      <c r="F16" s="503">
        <f t="shared" si="0"/>
        <v>0.66666666666666785</v>
      </c>
    </row>
    <row r="17" spans="1:7" x14ac:dyDescent="0.25">
      <c r="A17" s="508">
        <f t="shared" si="1"/>
        <v>13</v>
      </c>
      <c r="B17" s="500">
        <v>9</v>
      </c>
      <c r="C17" s="50">
        <v>12</v>
      </c>
      <c r="D17" s="50">
        <v>20</v>
      </c>
      <c r="E17" s="494">
        <v>23</v>
      </c>
      <c r="F17" s="503">
        <f t="shared" si="0"/>
        <v>-9.3333333333333321</v>
      </c>
    </row>
    <row r="18" spans="1:7" x14ac:dyDescent="0.25">
      <c r="A18" s="508">
        <f t="shared" si="1"/>
        <v>14</v>
      </c>
      <c r="B18" s="500">
        <v>3</v>
      </c>
      <c r="C18" s="50">
        <v>9</v>
      </c>
      <c r="D18" s="50">
        <v>13</v>
      </c>
      <c r="E18" s="494">
        <v>16</v>
      </c>
      <c r="F18" s="503">
        <f t="shared" si="0"/>
        <v>-9.6666666666666661</v>
      </c>
    </row>
    <row r="19" spans="1:7" x14ac:dyDescent="0.25">
      <c r="A19" s="508">
        <f t="shared" si="1"/>
        <v>15</v>
      </c>
      <c r="B19" s="488">
        <v>2</v>
      </c>
      <c r="C19" s="489">
        <v>8</v>
      </c>
      <c r="D19" s="489">
        <v>6</v>
      </c>
      <c r="E19" s="38">
        <v>10</v>
      </c>
      <c r="F19" s="420">
        <f t="shared" si="0"/>
        <v>-6</v>
      </c>
    </row>
    <row r="20" spans="1:7" x14ac:dyDescent="0.25">
      <c r="A20" s="508" t="s">
        <v>7</v>
      </c>
      <c r="F20" s="520">
        <f>AVERAGE(F5:F19)</f>
        <v>-7.799999999999998</v>
      </c>
    </row>
    <row r="21" spans="1:7" x14ac:dyDescent="0.25">
      <c r="A21" s="508" t="s">
        <v>77</v>
      </c>
      <c r="F21" s="503">
        <f>STDEV(F5:F19)</f>
        <v>4.5422181840754901</v>
      </c>
    </row>
    <row r="22" spans="1:7" x14ac:dyDescent="0.25">
      <c r="A22" s="508" t="s">
        <v>1000</v>
      </c>
      <c r="F22" s="420">
        <f>F21/SQRT(COUNTA($A$5:$A$19))</f>
        <v>1.1727956921176579</v>
      </c>
    </row>
    <row r="24" spans="1:7" ht="15.75" thickBot="1" x14ac:dyDescent="0.3">
      <c r="A24" t="s">
        <v>509</v>
      </c>
    </row>
    <row r="25" spans="1:7" x14ac:dyDescent="0.25">
      <c r="A25" s="509" t="s">
        <v>7</v>
      </c>
      <c r="B25" s="509" t="s">
        <v>212</v>
      </c>
      <c r="C25" s="509" t="s">
        <v>1001</v>
      </c>
      <c r="D25" s="509" t="s">
        <v>60</v>
      </c>
      <c r="E25" s="506" t="s">
        <v>67</v>
      </c>
      <c r="F25" s="506" t="s">
        <v>1008</v>
      </c>
      <c r="G25" s="506" t="s">
        <v>1009</v>
      </c>
    </row>
    <row r="26" spans="1:7" ht="15.75" thickBot="1" x14ac:dyDescent="0.3">
      <c r="A26" s="22">
        <f>F20</f>
        <v>-7.799999999999998</v>
      </c>
      <c r="B26" s="22">
        <f>F22</f>
        <v>1.1727956921176579</v>
      </c>
      <c r="C26" s="22">
        <f>A26/B26</f>
        <v>-6.6507747704256417</v>
      </c>
      <c r="D26" s="507">
        <f>A19-1</f>
        <v>14</v>
      </c>
      <c r="E26" s="22">
        <f>TDIST(ABS(C26),D26,2)</f>
        <v>1.0947447655714998E-5</v>
      </c>
      <c r="F26" s="22">
        <f>ABS(F20/F21)</f>
        <v>1.7172226616823312</v>
      </c>
      <c r="G26" s="22">
        <f>SQRT(C26^2/(C26^2+D26))</f>
        <v>0.87154212973269984</v>
      </c>
    </row>
  </sheetData>
  <pageMargins left="0.7" right="0.7" top="0.75" bottom="0.75" header="0.3" footer="0.3"/>
  <ignoredErrors>
    <ignoredError sqref="F5" formulaRange="1"/>
  </ignoredError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AT48"/>
  <sheetViews>
    <sheetView workbookViewId="0"/>
  </sheetViews>
  <sheetFormatPr defaultRowHeight="15" x14ac:dyDescent="0.25"/>
  <cols>
    <col min="37" max="37" width="9.140625" customWidth="1"/>
    <col min="39" max="40" width="9.140625" customWidth="1"/>
    <col min="42" max="42" width="6.5703125" customWidth="1"/>
    <col min="43" max="43" width="16.85546875" customWidth="1"/>
    <col min="45" max="45" width="3.28515625" customWidth="1"/>
    <col min="46" max="46" width="40" customWidth="1"/>
  </cols>
  <sheetData>
    <row r="1" spans="1:46" x14ac:dyDescent="0.25">
      <c r="A1" s="1" t="s">
        <v>1107</v>
      </c>
    </row>
    <row r="3" spans="1:46" ht="15.75" thickBot="1" x14ac:dyDescent="0.3">
      <c r="A3" s="508" t="s">
        <v>57</v>
      </c>
      <c r="B3" s="508" t="s">
        <v>94</v>
      </c>
      <c r="C3" s="508" t="s">
        <v>982</v>
      </c>
      <c r="D3" s="508" t="s">
        <v>983</v>
      </c>
      <c r="E3" s="508" t="s">
        <v>984</v>
      </c>
      <c r="G3" t="s">
        <v>458</v>
      </c>
      <c r="N3" t="s">
        <v>294</v>
      </c>
      <c r="R3" t="s">
        <v>34</v>
      </c>
      <c r="S3">
        <v>0.05</v>
      </c>
      <c r="W3" s="1" t="s">
        <v>1007</v>
      </c>
      <c r="AK3" t="s">
        <v>962</v>
      </c>
      <c r="AQ3" t="s">
        <v>963</v>
      </c>
    </row>
    <row r="4" spans="1:46" ht="15.75" thickTop="1" x14ac:dyDescent="0.25">
      <c r="A4" s="508">
        <v>1</v>
      </c>
      <c r="B4" s="517">
        <v>16</v>
      </c>
      <c r="C4" s="518">
        <v>22</v>
      </c>
      <c r="D4" s="518">
        <v>23</v>
      </c>
      <c r="E4" s="519">
        <v>25</v>
      </c>
      <c r="N4" s="32" t="s">
        <v>459</v>
      </c>
      <c r="O4" s="32" t="s">
        <v>219</v>
      </c>
      <c r="P4" s="32" t="s">
        <v>60</v>
      </c>
      <c r="Q4" s="32" t="s">
        <v>240</v>
      </c>
      <c r="R4" s="32" t="s">
        <v>135</v>
      </c>
      <c r="S4" s="32" t="s">
        <v>460</v>
      </c>
      <c r="T4" s="32" t="s">
        <v>461</v>
      </c>
    </row>
    <row r="5" spans="1:46" x14ac:dyDescent="0.25">
      <c r="A5" s="508">
        <f>A4+1</f>
        <v>2</v>
      </c>
      <c r="B5" s="500">
        <v>12</v>
      </c>
      <c r="C5" s="50">
        <v>18</v>
      </c>
      <c r="D5" s="50">
        <v>24</v>
      </c>
      <c r="E5" s="494">
        <v>29</v>
      </c>
      <c r="G5" s="508" t="str">
        <f>A3</f>
        <v>Subject</v>
      </c>
      <c r="H5" s="508" t="str">
        <f t="shared" ref="H5:K20" si="0">B3</f>
        <v>Before</v>
      </c>
      <c r="I5" s="508" t="str">
        <f t="shared" si="0"/>
        <v>1 week</v>
      </c>
      <c r="J5" s="508" t="str">
        <f t="shared" si="0"/>
        <v>2 weeks</v>
      </c>
      <c r="K5" s="508" t="str">
        <f t="shared" si="0"/>
        <v>3 weeks</v>
      </c>
      <c r="L5" s="508" t="s">
        <v>10</v>
      </c>
      <c r="N5" t="s">
        <v>961</v>
      </c>
      <c r="O5">
        <f>H26*DEVSQ(L6:L20)</f>
        <v>1938.4333333333334</v>
      </c>
      <c r="P5">
        <f>H25-1</f>
        <v>14</v>
      </c>
      <c r="Q5">
        <f>O5/P5</f>
        <v>138.4595238095238</v>
      </c>
      <c r="R5">
        <f>Q5/Q7</f>
        <v>14.520099875156061</v>
      </c>
      <c r="S5">
        <f>FDIST(R5,P5,P7)</f>
        <v>8.1670607503918935E-12</v>
      </c>
      <c r="T5">
        <f>FINV(S3,P5,P7)</f>
        <v>1.9350088132446253</v>
      </c>
      <c r="W5" s="508" t="s">
        <v>57</v>
      </c>
      <c r="X5" s="508" t="s">
        <v>94</v>
      </c>
      <c r="Y5" s="508" t="s">
        <v>985</v>
      </c>
      <c r="Z5" s="508" t="s">
        <v>986</v>
      </c>
      <c r="AA5" s="508" t="s">
        <v>987</v>
      </c>
      <c r="AC5" s="508" t="s">
        <v>57</v>
      </c>
      <c r="AD5" s="13" t="s">
        <v>988</v>
      </c>
      <c r="AE5" s="13" t="s">
        <v>989</v>
      </c>
      <c r="AF5" s="13" t="s">
        <v>990</v>
      </c>
      <c r="AG5" s="13" t="s">
        <v>991</v>
      </c>
      <c r="AH5" s="13" t="s">
        <v>992</v>
      </c>
      <c r="AI5" s="13" t="s">
        <v>993</v>
      </c>
      <c r="AL5" s="521">
        <f t="array" ref="AL5:AO8">[1]!COV(H6:K20)</f>
        <v>55.838095238095235</v>
      </c>
      <c r="AM5" s="522">
        <v>39.523809523809518</v>
      </c>
      <c r="AN5" s="522">
        <v>33.752380952380946</v>
      </c>
      <c r="AO5" s="523">
        <v>28.580952380952379</v>
      </c>
      <c r="AQ5" t="s">
        <v>965</v>
      </c>
      <c r="AR5" s="520">
        <f>H26</f>
        <v>4</v>
      </c>
      <c r="AT5" s="16" t="s">
        <v>1006</v>
      </c>
    </row>
    <row r="6" spans="1:46" x14ac:dyDescent="0.25">
      <c r="A6" s="508">
        <f t="shared" ref="A6:A18" si="1">A5+1</f>
        <v>3</v>
      </c>
      <c r="B6" s="500">
        <v>23</v>
      </c>
      <c r="C6" s="50">
        <v>24</v>
      </c>
      <c r="D6" s="50">
        <v>26</v>
      </c>
      <c r="E6" s="36">
        <v>27</v>
      </c>
      <c r="G6" s="508">
        <f t="shared" ref="G6:G20" si="2">A4</f>
        <v>1</v>
      </c>
      <c r="H6" s="517">
        <f t="shared" si="0"/>
        <v>16</v>
      </c>
      <c r="I6" s="518">
        <f t="shared" si="0"/>
        <v>22</v>
      </c>
      <c r="J6" s="518">
        <f t="shared" si="0"/>
        <v>23</v>
      </c>
      <c r="K6" s="524">
        <f t="shared" si="0"/>
        <v>25</v>
      </c>
      <c r="L6">
        <f>AVERAGE(H6:K6)</f>
        <v>21.5</v>
      </c>
      <c r="N6" t="s">
        <v>79</v>
      </c>
      <c r="O6">
        <f>H25*DEVSQ(H21:K21)</f>
        <v>833.25000000000023</v>
      </c>
      <c r="P6">
        <f>H26-1</f>
        <v>3</v>
      </c>
      <c r="Q6">
        <f>O6/P6</f>
        <v>277.75000000000006</v>
      </c>
      <c r="R6">
        <f>Q6/Q7</f>
        <v>29.127340823970059</v>
      </c>
      <c r="S6">
        <f>FDIST(R6,P6,P7)</f>
        <v>2.3962181631669464E-10</v>
      </c>
      <c r="T6">
        <f>FINV(S3,P6,P7)</f>
        <v>2.8270487120861261</v>
      </c>
      <c r="W6" s="508">
        <v>1</v>
      </c>
      <c r="X6" s="525">
        <f>B4</f>
        <v>16</v>
      </c>
      <c r="Y6" s="526">
        <f t="shared" ref="Y6:AA20" si="3">C4</f>
        <v>22</v>
      </c>
      <c r="Z6" s="526">
        <f t="shared" si="3"/>
        <v>23</v>
      </c>
      <c r="AA6" s="519">
        <f t="shared" si="3"/>
        <v>25</v>
      </c>
      <c r="AC6" s="508">
        <v>1</v>
      </c>
      <c r="AD6" s="527">
        <f>X6-Y6</f>
        <v>-6</v>
      </c>
      <c r="AE6" s="528">
        <f>X6-Z6</f>
        <v>-7</v>
      </c>
      <c r="AF6" s="528">
        <f>X6-AA6</f>
        <v>-9</v>
      </c>
      <c r="AG6" s="528">
        <f>Y6-Z6</f>
        <v>-1</v>
      </c>
      <c r="AH6" s="528">
        <f>Y6-AA6</f>
        <v>-3</v>
      </c>
      <c r="AI6" s="529">
        <f>Z6-AA6</f>
        <v>-2</v>
      </c>
      <c r="AL6" s="501">
        <v>39.523809523809518</v>
      </c>
      <c r="AM6" s="7">
        <v>35.523809523809518</v>
      </c>
      <c r="AN6" s="7">
        <v>29.166666666666668</v>
      </c>
      <c r="AO6" s="57">
        <v>25.166666666666668</v>
      </c>
      <c r="AQ6" t="s">
        <v>966</v>
      </c>
      <c r="AR6" s="503">
        <f>AVERAGE(H22:K22)</f>
        <v>41.766666666666652</v>
      </c>
      <c r="AT6" s="16" t="s">
        <v>1002</v>
      </c>
    </row>
    <row r="7" spans="1:46" x14ac:dyDescent="0.25">
      <c r="A7" s="508">
        <f t="shared" si="1"/>
        <v>4</v>
      </c>
      <c r="B7" s="500">
        <v>8</v>
      </c>
      <c r="C7" s="50">
        <v>20</v>
      </c>
      <c r="D7" s="50">
        <v>28</v>
      </c>
      <c r="E7" s="36">
        <v>30</v>
      </c>
      <c r="G7" s="508">
        <f t="shared" si="2"/>
        <v>2</v>
      </c>
      <c r="H7" s="500">
        <f t="shared" si="0"/>
        <v>12</v>
      </c>
      <c r="I7" s="50">
        <f t="shared" si="0"/>
        <v>18</v>
      </c>
      <c r="J7" s="50">
        <f t="shared" si="0"/>
        <v>24</v>
      </c>
      <c r="K7" s="504">
        <f t="shared" si="0"/>
        <v>29</v>
      </c>
      <c r="L7">
        <f t="shared" ref="L7:L20" si="4">AVERAGE(H7:K7)</f>
        <v>20.75</v>
      </c>
      <c r="N7" t="s">
        <v>588</v>
      </c>
      <c r="O7">
        <f>O8-O5-O6</f>
        <v>400.49999999999977</v>
      </c>
      <c r="P7">
        <f>P8-P5-P6</f>
        <v>42</v>
      </c>
      <c r="Q7">
        <f>O7/P7</f>
        <v>9.5357142857142811</v>
      </c>
      <c r="W7" s="508">
        <f>W6+1</f>
        <v>2</v>
      </c>
      <c r="X7" s="35">
        <f t="shared" ref="X7:X20" si="5">B5</f>
        <v>12</v>
      </c>
      <c r="Y7" s="50">
        <f t="shared" si="3"/>
        <v>18</v>
      </c>
      <c r="Z7" s="50">
        <f t="shared" si="3"/>
        <v>24</v>
      </c>
      <c r="AA7" s="36">
        <f t="shared" si="3"/>
        <v>29</v>
      </c>
      <c r="AC7" s="508">
        <f>AC6+1</f>
        <v>2</v>
      </c>
      <c r="AD7" s="6">
        <f t="shared" ref="AD7:AD20" si="6">X7-Y7</f>
        <v>-6</v>
      </c>
      <c r="AE7" s="7">
        <f t="shared" ref="AE7:AE20" si="7">X7-Z7</f>
        <v>-12</v>
      </c>
      <c r="AF7" s="7">
        <f t="shared" ref="AF7:AF20" si="8">X7-AA7</f>
        <v>-17</v>
      </c>
      <c r="AG7" s="7">
        <f t="shared" ref="AG7:AG20" si="9">Y7-Z7</f>
        <v>-6</v>
      </c>
      <c r="AH7" s="7">
        <f t="shared" ref="AH7:AH20" si="10">Y7-AA7</f>
        <v>-11</v>
      </c>
      <c r="AI7" s="8">
        <f t="shared" ref="AI7:AI20" si="11">Z7-AA7</f>
        <v>-5</v>
      </c>
      <c r="AL7" s="501">
        <v>33.752380952380946</v>
      </c>
      <c r="AM7" s="7">
        <v>29.166666666666668</v>
      </c>
      <c r="AN7" s="7">
        <v>41.352380952380955</v>
      </c>
      <c r="AO7" s="57">
        <v>37.195238095238096</v>
      </c>
      <c r="AQ7" t="s">
        <v>967</v>
      </c>
      <c r="AR7" s="503">
        <f>AVERAGE(H30:K33)</f>
        <v>34.61488095238095</v>
      </c>
      <c r="AT7" s="16" t="s">
        <v>1003</v>
      </c>
    </row>
    <row r="8" spans="1:46" x14ac:dyDescent="0.25">
      <c r="A8" s="508">
        <f t="shared" si="1"/>
        <v>5</v>
      </c>
      <c r="B8" s="500">
        <v>3</v>
      </c>
      <c r="C8" s="50">
        <v>12</v>
      </c>
      <c r="D8" s="50">
        <v>13</v>
      </c>
      <c r="E8" s="36">
        <v>17</v>
      </c>
      <c r="G8" s="508">
        <f t="shared" si="2"/>
        <v>3</v>
      </c>
      <c r="H8" s="500">
        <f t="shared" si="0"/>
        <v>23</v>
      </c>
      <c r="I8" s="50">
        <f t="shared" si="0"/>
        <v>24</v>
      </c>
      <c r="J8" s="50">
        <f t="shared" si="0"/>
        <v>26</v>
      </c>
      <c r="K8" s="504">
        <f t="shared" si="0"/>
        <v>27</v>
      </c>
      <c r="L8">
        <f t="shared" si="4"/>
        <v>25</v>
      </c>
      <c r="N8" t="s">
        <v>1</v>
      </c>
      <c r="O8">
        <f>DEVSQ(H6:K20)</f>
        <v>3172.1833333333334</v>
      </c>
      <c r="P8">
        <f>H25*H26-1</f>
        <v>59</v>
      </c>
      <c r="W8" s="508">
        <f t="shared" ref="W8:W20" si="12">W7+1</f>
        <v>3</v>
      </c>
      <c r="X8" s="35">
        <f t="shared" si="5"/>
        <v>23</v>
      </c>
      <c r="Y8" s="50">
        <f t="shared" si="3"/>
        <v>24</v>
      </c>
      <c r="Z8" s="50">
        <f t="shared" si="3"/>
        <v>26</v>
      </c>
      <c r="AA8" s="36">
        <f t="shared" si="3"/>
        <v>27</v>
      </c>
      <c r="AC8" s="508">
        <f t="shared" ref="AC8:AC20" si="13">AC7+1</f>
        <v>3</v>
      </c>
      <c r="AD8" s="6">
        <f t="shared" si="6"/>
        <v>-1</v>
      </c>
      <c r="AE8" s="7">
        <f t="shared" si="7"/>
        <v>-3</v>
      </c>
      <c r="AF8" s="7">
        <f t="shared" si="8"/>
        <v>-4</v>
      </c>
      <c r="AG8" s="7">
        <f t="shared" si="9"/>
        <v>-2</v>
      </c>
      <c r="AH8" s="7">
        <f t="shared" si="10"/>
        <v>-3</v>
      </c>
      <c r="AI8" s="8">
        <f t="shared" si="11"/>
        <v>-1</v>
      </c>
      <c r="AL8" s="373">
        <v>28.580952380952379</v>
      </c>
      <c r="AM8" s="491">
        <v>25.166666666666668</v>
      </c>
      <c r="AN8" s="491">
        <v>37.195238095238096</v>
      </c>
      <c r="AO8" s="374">
        <v>34.352380952380955</v>
      </c>
      <c r="AQ8" t="s">
        <v>968</v>
      </c>
      <c r="AR8" s="503">
        <f>SUMSQ(AL5:AO8)</f>
        <v>20041.473151927436</v>
      </c>
      <c r="AT8" s="16" t="s">
        <v>1010</v>
      </c>
    </row>
    <row r="9" spans="1:46" x14ac:dyDescent="0.25">
      <c r="A9" s="508">
        <f t="shared" si="1"/>
        <v>6</v>
      </c>
      <c r="B9" s="500">
        <v>5</v>
      </c>
      <c r="C9" s="50">
        <v>13</v>
      </c>
      <c r="D9" s="50">
        <v>11</v>
      </c>
      <c r="E9" s="36">
        <v>15</v>
      </c>
      <c r="G9" s="508">
        <f t="shared" si="2"/>
        <v>4</v>
      </c>
      <c r="H9" s="500">
        <f t="shared" si="0"/>
        <v>8</v>
      </c>
      <c r="I9" s="50">
        <f t="shared" si="0"/>
        <v>20</v>
      </c>
      <c r="J9" s="50">
        <f t="shared" si="0"/>
        <v>28</v>
      </c>
      <c r="K9" s="504">
        <f t="shared" si="0"/>
        <v>30</v>
      </c>
      <c r="L9">
        <f t="shared" si="4"/>
        <v>21.5</v>
      </c>
      <c r="N9" s="528"/>
      <c r="O9" s="528"/>
      <c r="P9" s="528"/>
      <c r="Q9" s="528"/>
      <c r="R9" s="528"/>
      <c r="S9" s="528"/>
      <c r="T9" s="528"/>
      <c r="W9" s="508">
        <f t="shared" si="12"/>
        <v>4</v>
      </c>
      <c r="X9" s="35">
        <f t="shared" si="5"/>
        <v>8</v>
      </c>
      <c r="Y9" s="50">
        <f t="shared" si="3"/>
        <v>20</v>
      </c>
      <c r="Z9" s="50">
        <f t="shared" si="3"/>
        <v>28</v>
      </c>
      <c r="AA9" s="36">
        <f t="shared" si="3"/>
        <v>30</v>
      </c>
      <c r="AC9" s="508">
        <f t="shared" si="13"/>
        <v>4</v>
      </c>
      <c r="AD9" s="6">
        <f t="shared" si="6"/>
        <v>-12</v>
      </c>
      <c r="AE9" s="7">
        <f t="shared" si="7"/>
        <v>-20</v>
      </c>
      <c r="AF9" s="7">
        <f t="shared" si="8"/>
        <v>-22</v>
      </c>
      <c r="AG9" s="7">
        <f t="shared" si="9"/>
        <v>-8</v>
      </c>
      <c r="AH9" s="7">
        <f t="shared" si="10"/>
        <v>-10</v>
      </c>
      <c r="AI9" s="8">
        <f t="shared" si="11"/>
        <v>-2</v>
      </c>
      <c r="AK9" t="s">
        <v>10</v>
      </c>
      <c r="AL9">
        <f>AVERAGE(AL5:AL8)</f>
        <v>39.423809523809517</v>
      </c>
      <c r="AM9">
        <f>AVERAGE(AM5:AM8)</f>
        <v>32.345238095238095</v>
      </c>
      <c r="AN9">
        <f>AVERAGE(AN5:AN8)</f>
        <v>35.366666666666667</v>
      </c>
      <c r="AO9">
        <f>AVERAGE(AO5:AO8)</f>
        <v>31.323809523809526</v>
      </c>
      <c r="AQ9" t="s">
        <v>969</v>
      </c>
      <c r="AR9" s="503">
        <f>SUMSQ(AL9:AO9)</f>
        <v>4832.4333390022675</v>
      </c>
      <c r="AT9" s="16" t="s">
        <v>1011</v>
      </c>
    </row>
    <row r="10" spans="1:46" ht="15.75" thickBot="1" x14ac:dyDescent="0.3">
      <c r="A10" s="508">
        <f t="shared" si="1"/>
        <v>7</v>
      </c>
      <c r="B10" s="500">
        <v>19</v>
      </c>
      <c r="C10" s="50">
        <v>22</v>
      </c>
      <c r="D10" s="50">
        <v>25</v>
      </c>
      <c r="E10" s="36">
        <v>26</v>
      </c>
      <c r="G10" s="508">
        <f t="shared" si="2"/>
        <v>5</v>
      </c>
      <c r="H10" s="500">
        <f t="shared" si="0"/>
        <v>3</v>
      </c>
      <c r="I10" s="50">
        <f t="shared" si="0"/>
        <v>12</v>
      </c>
      <c r="J10" s="50">
        <f t="shared" si="0"/>
        <v>13</v>
      </c>
      <c r="K10" s="504">
        <f t="shared" si="0"/>
        <v>17</v>
      </c>
      <c r="L10">
        <f t="shared" si="4"/>
        <v>11.25</v>
      </c>
      <c r="N10" t="s">
        <v>976</v>
      </c>
      <c r="R10" t="s">
        <v>34</v>
      </c>
      <c r="S10">
        <v>0.05</v>
      </c>
      <c r="W10" s="508">
        <f t="shared" si="12"/>
        <v>5</v>
      </c>
      <c r="X10" s="35">
        <f t="shared" si="5"/>
        <v>3</v>
      </c>
      <c r="Y10" s="50">
        <f t="shared" si="3"/>
        <v>12</v>
      </c>
      <c r="Z10" s="50">
        <f t="shared" si="3"/>
        <v>13</v>
      </c>
      <c r="AA10" s="36">
        <f t="shared" si="3"/>
        <v>17</v>
      </c>
      <c r="AC10" s="508">
        <f t="shared" si="13"/>
        <v>5</v>
      </c>
      <c r="AD10" s="6">
        <f t="shared" si="6"/>
        <v>-9</v>
      </c>
      <c r="AE10" s="7">
        <f t="shared" si="7"/>
        <v>-10</v>
      </c>
      <c r="AF10" s="7">
        <f t="shared" si="8"/>
        <v>-14</v>
      </c>
      <c r="AG10" s="7">
        <f t="shared" si="9"/>
        <v>-1</v>
      </c>
      <c r="AH10" s="7">
        <f t="shared" si="10"/>
        <v>-5</v>
      </c>
      <c r="AI10" s="8">
        <f t="shared" si="11"/>
        <v>-4</v>
      </c>
      <c r="AQ10" t="s">
        <v>970</v>
      </c>
      <c r="AR10" s="503">
        <f>(AR5*(AR6-AR7))^2</f>
        <v>818.36862244897657</v>
      </c>
      <c r="AT10" s="16" t="s">
        <v>1012</v>
      </c>
    </row>
    <row r="11" spans="1:46" ht="15.75" thickTop="1" x14ac:dyDescent="0.25">
      <c r="A11" s="508">
        <f t="shared" si="1"/>
        <v>8</v>
      </c>
      <c r="B11" s="500">
        <v>22</v>
      </c>
      <c r="C11" s="50">
        <v>22</v>
      </c>
      <c r="D11" s="50">
        <v>23</v>
      </c>
      <c r="E11" s="36">
        <v>26</v>
      </c>
      <c r="G11" s="508">
        <f t="shared" si="2"/>
        <v>6</v>
      </c>
      <c r="H11" s="500">
        <f t="shared" si="0"/>
        <v>5</v>
      </c>
      <c r="I11" s="50">
        <f t="shared" si="0"/>
        <v>13</v>
      </c>
      <c r="J11" s="50">
        <f t="shared" si="0"/>
        <v>11</v>
      </c>
      <c r="K11" s="504">
        <f t="shared" si="0"/>
        <v>15</v>
      </c>
      <c r="L11">
        <f t="shared" si="4"/>
        <v>11</v>
      </c>
      <c r="N11" s="32" t="s">
        <v>459</v>
      </c>
      <c r="O11" s="32" t="s">
        <v>219</v>
      </c>
      <c r="P11" s="32" t="s">
        <v>60</v>
      </c>
      <c r="Q11" s="32" t="s">
        <v>240</v>
      </c>
      <c r="R11" s="32" t="s">
        <v>135</v>
      </c>
      <c r="S11" s="32" t="s">
        <v>460</v>
      </c>
      <c r="T11" s="32" t="s">
        <v>461</v>
      </c>
      <c r="W11" s="508">
        <f t="shared" si="12"/>
        <v>6</v>
      </c>
      <c r="X11" s="35">
        <f t="shared" si="5"/>
        <v>5</v>
      </c>
      <c r="Y11" s="50">
        <f t="shared" si="3"/>
        <v>13</v>
      </c>
      <c r="Z11" s="50">
        <f t="shared" si="3"/>
        <v>11</v>
      </c>
      <c r="AA11" s="36">
        <f t="shared" si="3"/>
        <v>15</v>
      </c>
      <c r="AC11" s="508">
        <f t="shared" si="13"/>
        <v>6</v>
      </c>
      <c r="AD11" s="6">
        <f t="shared" si="6"/>
        <v>-8</v>
      </c>
      <c r="AE11" s="7">
        <f t="shared" si="7"/>
        <v>-6</v>
      </c>
      <c r="AF11" s="7">
        <f t="shared" si="8"/>
        <v>-10</v>
      </c>
      <c r="AG11" s="7">
        <f t="shared" si="9"/>
        <v>2</v>
      </c>
      <c r="AH11" s="7">
        <f t="shared" si="10"/>
        <v>-2</v>
      </c>
      <c r="AI11" s="8">
        <f t="shared" si="11"/>
        <v>-4</v>
      </c>
      <c r="AQ11" t="s">
        <v>971</v>
      </c>
      <c r="AR11" s="503">
        <f>(AR5-1)*(AR8-2*AR5*AR9+AR5^2*AR7^2)</f>
        <v>1659.1385204081562</v>
      </c>
      <c r="AT11" s="16" t="s">
        <v>1013</v>
      </c>
    </row>
    <row r="12" spans="1:46" x14ac:dyDescent="0.25">
      <c r="A12" s="508">
        <f t="shared" si="1"/>
        <v>9</v>
      </c>
      <c r="B12" s="500">
        <v>12</v>
      </c>
      <c r="C12" s="50">
        <v>20</v>
      </c>
      <c r="D12" s="50">
        <v>22</v>
      </c>
      <c r="E12" s="36">
        <v>24</v>
      </c>
      <c r="G12" s="508">
        <f t="shared" si="2"/>
        <v>7</v>
      </c>
      <c r="H12" s="500">
        <f t="shared" si="0"/>
        <v>19</v>
      </c>
      <c r="I12" s="50">
        <f t="shared" si="0"/>
        <v>22</v>
      </c>
      <c r="J12" s="50">
        <f t="shared" si="0"/>
        <v>25</v>
      </c>
      <c r="K12" s="504">
        <f t="shared" si="0"/>
        <v>26</v>
      </c>
      <c r="L12">
        <f t="shared" si="4"/>
        <v>23</v>
      </c>
      <c r="N12" t="s">
        <v>79</v>
      </c>
      <c r="O12">
        <f>O6</f>
        <v>833.25000000000023</v>
      </c>
      <c r="P12">
        <f>P6*J45</f>
        <v>1.4797473731988102</v>
      </c>
      <c r="Q12">
        <f>O12/P12</f>
        <v>563.10287491758879</v>
      </c>
      <c r="R12">
        <f>Q12/Q13</f>
        <v>29.127340823970062</v>
      </c>
      <c r="S12">
        <f>FDIST(R12,P12,P13)</f>
        <v>2.7788822413657475E-5</v>
      </c>
      <c r="T12">
        <f>FINV(S10,P12,P13)</f>
        <v>4.3512435033292896</v>
      </c>
      <c r="W12" s="508">
        <f t="shared" si="12"/>
        <v>7</v>
      </c>
      <c r="X12" s="35">
        <f t="shared" si="5"/>
        <v>19</v>
      </c>
      <c r="Y12" s="50">
        <f t="shared" si="3"/>
        <v>22</v>
      </c>
      <c r="Z12" s="50">
        <f t="shared" si="3"/>
        <v>25</v>
      </c>
      <c r="AA12" s="36">
        <f t="shared" si="3"/>
        <v>26</v>
      </c>
      <c r="AC12" s="508">
        <f t="shared" si="13"/>
        <v>7</v>
      </c>
      <c r="AD12" s="6">
        <f t="shared" si="6"/>
        <v>-3</v>
      </c>
      <c r="AE12" s="7">
        <f t="shared" si="7"/>
        <v>-6</v>
      </c>
      <c r="AF12" s="7">
        <f t="shared" si="8"/>
        <v>-7</v>
      </c>
      <c r="AG12" s="7">
        <f t="shared" si="9"/>
        <v>-3</v>
      </c>
      <c r="AH12" s="7">
        <f t="shared" si="10"/>
        <v>-4</v>
      </c>
      <c r="AI12" s="8">
        <f t="shared" si="11"/>
        <v>-1</v>
      </c>
      <c r="AQ12" t="s">
        <v>972</v>
      </c>
      <c r="AR12" s="168">
        <f>AR10/AR11</f>
        <v>0.49324912439960339</v>
      </c>
      <c r="AT12" s="16" t="s">
        <v>1014</v>
      </c>
    </row>
    <row r="13" spans="1:46" x14ac:dyDescent="0.25">
      <c r="A13" s="508">
        <f t="shared" si="1"/>
        <v>10</v>
      </c>
      <c r="B13" s="500">
        <v>16</v>
      </c>
      <c r="C13" s="50">
        <v>22</v>
      </c>
      <c r="D13" s="50">
        <v>26</v>
      </c>
      <c r="E13" s="36">
        <v>29</v>
      </c>
      <c r="G13" s="508">
        <f t="shared" si="2"/>
        <v>8</v>
      </c>
      <c r="H13" s="500">
        <f t="shared" si="0"/>
        <v>22</v>
      </c>
      <c r="I13" s="50">
        <f t="shared" si="0"/>
        <v>22</v>
      </c>
      <c r="J13" s="50">
        <f t="shared" si="0"/>
        <v>23</v>
      </c>
      <c r="K13" s="504">
        <f t="shared" si="0"/>
        <v>26</v>
      </c>
      <c r="L13">
        <f t="shared" si="4"/>
        <v>23.25</v>
      </c>
      <c r="N13" t="s">
        <v>588</v>
      </c>
      <c r="O13">
        <f>O7</f>
        <v>400.49999999999977</v>
      </c>
      <c r="P13">
        <f>P7*J45</f>
        <v>20.716463224783343</v>
      </c>
      <c r="Q13">
        <f>O13/P13</f>
        <v>19.332450508293181</v>
      </c>
      <c r="W13" s="508">
        <f t="shared" si="12"/>
        <v>8</v>
      </c>
      <c r="X13" s="35">
        <f t="shared" si="5"/>
        <v>22</v>
      </c>
      <c r="Y13" s="50">
        <f t="shared" si="3"/>
        <v>22</v>
      </c>
      <c r="Z13" s="50">
        <f t="shared" si="3"/>
        <v>23</v>
      </c>
      <c r="AA13" s="36">
        <f t="shared" si="3"/>
        <v>26</v>
      </c>
      <c r="AC13" s="508">
        <f t="shared" si="13"/>
        <v>8</v>
      </c>
      <c r="AD13" s="6">
        <f t="shared" si="6"/>
        <v>0</v>
      </c>
      <c r="AE13" s="7">
        <f t="shared" si="7"/>
        <v>-1</v>
      </c>
      <c r="AF13" s="7">
        <f t="shared" si="8"/>
        <v>-4</v>
      </c>
      <c r="AG13" s="7">
        <f t="shared" si="9"/>
        <v>-1</v>
      </c>
      <c r="AH13" s="7">
        <f t="shared" si="10"/>
        <v>-4</v>
      </c>
      <c r="AI13" s="8">
        <f t="shared" si="11"/>
        <v>-3</v>
      </c>
    </row>
    <row r="14" spans="1:46" x14ac:dyDescent="0.25">
      <c r="A14" s="508">
        <f t="shared" si="1"/>
        <v>11</v>
      </c>
      <c r="B14" s="500">
        <v>14</v>
      </c>
      <c r="C14" s="50">
        <v>25</v>
      </c>
      <c r="D14" s="50">
        <v>18</v>
      </c>
      <c r="E14" s="36">
        <v>21</v>
      </c>
      <c r="G14" s="508">
        <f t="shared" si="2"/>
        <v>9</v>
      </c>
      <c r="H14" s="500">
        <f t="shared" si="0"/>
        <v>12</v>
      </c>
      <c r="I14" s="50">
        <f t="shared" si="0"/>
        <v>20</v>
      </c>
      <c r="J14" s="50">
        <f t="shared" si="0"/>
        <v>22</v>
      </c>
      <c r="K14" s="504">
        <f t="shared" si="0"/>
        <v>24</v>
      </c>
      <c r="L14">
        <f t="shared" si="4"/>
        <v>19.5</v>
      </c>
      <c r="N14" s="528"/>
      <c r="O14" s="528"/>
      <c r="P14" s="528"/>
      <c r="Q14" s="528"/>
      <c r="R14" s="528"/>
      <c r="S14" s="528"/>
      <c r="T14" s="528"/>
      <c r="W14" s="508">
        <f t="shared" si="12"/>
        <v>9</v>
      </c>
      <c r="X14" s="35">
        <f t="shared" si="5"/>
        <v>12</v>
      </c>
      <c r="Y14" s="50">
        <f t="shared" si="3"/>
        <v>20</v>
      </c>
      <c r="Z14" s="50">
        <f t="shared" si="3"/>
        <v>22</v>
      </c>
      <c r="AA14" s="36">
        <f t="shared" si="3"/>
        <v>24</v>
      </c>
      <c r="AC14" s="508">
        <f t="shared" si="13"/>
        <v>9</v>
      </c>
      <c r="AD14" s="6">
        <f t="shared" si="6"/>
        <v>-8</v>
      </c>
      <c r="AE14" s="7">
        <f t="shared" si="7"/>
        <v>-10</v>
      </c>
      <c r="AF14" s="7">
        <f t="shared" si="8"/>
        <v>-12</v>
      </c>
      <c r="AG14" s="7">
        <f t="shared" si="9"/>
        <v>-2</v>
      </c>
      <c r="AH14" s="7">
        <f t="shared" si="10"/>
        <v>-4</v>
      </c>
      <c r="AI14" s="8">
        <f t="shared" si="11"/>
        <v>-2</v>
      </c>
      <c r="AQ14" t="s">
        <v>964</v>
      </c>
      <c r="AR14" s="530">
        <f>H25</f>
        <v>15</v>
      </c>
      <c r="AT14" s="16" t="s">
        <v>1005</v>
      </c>
    </row>
    <row r="15" spans="1:46" ht="15.75" thickBot="1" x14ac:dyDescent="0.3">
      <c r="A15" s="508">
        <f t="shared" si="1"/>
        <v>12</v>
      </c>
      <c r="B15" s="500">
        <v>24</v>
      </c>
      <c r="C15" s="50">
        <v>26</v>
      </c>
      <c r="D15" s="50">
        <v>21</v>
      </c>
      <c r="E15" s="36">
        <v>23</v>
      </c>
      <c r="G15" s="508">
        <f t="shared" si="2"/>
        <v>10</v>
      </c>
      <c r="H15" s="500">
        <f t="shared" si="0"/>
        <v>16</v>
      </c>
      <c r="I15" s="50">
        <f t="shared" si="0"/>
        <v>22</v>
      </c>
      <c r="J15" s="50">
        <f t="shared" si="0"/>
        <v>26</v>
      </c>
      <c r="K15" s="504">
        <f t="shared" si="0"/>
        <v>29</v>
      </c>
      <c r="L15">
        <f t="shared" si="4"/>
        <v>23.25</v>
      </c>
      <c r="N15" t="s">
        <v>977</v>
      </c>
      <c r="R15" t="s">
        <v>34</v>
      </c>
      <c r="S15">
        <v>0.05</v>
      </c>
      <c r="W15" s="508">
        <f t="shared" si="12"/>
        <v>10</v>
      </c>
      <c r="X15" s="35">
        <f t="shared" si="5"/>
        <v>16</v>
      </c>
      <c r="Y15" s="50">
        <f t="shared" si="3"/>
        <v>22</v>
      </c>
      <c r="Z15" s="50">
        <f t="shared" si="3"/>
        <v>26</v>
      </c>
      <c r="AA15" s="36">
        <f t="shared" si="3"/>
        <v>29</v>
      </c>
      <c r="AC15" s="508">
        <f t="shared" si="13"/>
        <v>10</v>
      </c>
      <c r="AD15" s="6">
        <f t="shared" si="6"/>
        <v>-6</v>
      </c>
      <c r="AE15" s="7">
        <f t="shared" si="7"/>
        <v>-10</v>
      </c>
      <c r="AF15" s="7">
        <f t="shared" si="8"/>
        <v>-13</v>
      </c>
      <c r="AG15" s="7">
        <f t="shared" si="9"/>
        <v>-4</v>
      </c>
      <c r="AH15" s="7">
        <f t="shared" si="10"/>
        <v>-7</v>
      </c>
      <c r="AI15" s="8">
        <f t="shared" si="11"/>
        <v>-3</v>
      </c>
      <c r="AQ15" t="s">
        <v>965</v>
      </c>
      <c r="AR15" s="503">
        <f>AR5</f>
        <v>4</v>
      </c>
      <c r="AT15" s="16" t="s">
        <v>1004</v>
      </c>
    </row>
    <row r="16" spans="1:46" ht="15.75" thickTop="1" x14ac:dyDescent="0.25">
      <c r="A16" s="508">
        <f t="shared" si="1"/>
        <v>13</v>
      </c>
      <c r="B16" s="500">
        <v>9</v>
      </c>
      <c r="C16" s="50">
        <v>12</v>
      </c>
      <c r="D16" s="50">
        <v>20</v>
      </c>
      <c r="E16" s="36">
        <v>23</v>
      </c>
      <c r="G16" s="508">
        <f t="shared" si="2"/>
        <v>11</v>
      </c>
      <c r="H16" s="500">
        <f t="shared" si="0"/>
        <v>14</v>
      </c>
      <c r="I16" s="50">
        <f t="shared" si="0"/>
        <v>25</v>
      </c>
      <c r="J16" s="50">
        <f t="shared" si="0"/>
        <v>18</v>
      </c>
      <c r="K16" s="504">
        <f t="shared" si="0"/>
        <v>21</v>
      </c>
      <c r="L16">
        <f t="shared" si="4"/>
        <v>19.5</v>
      </c>
      <c r="N16" s="32" t="s">
        <v>459</v>
      </c>
      <c r="O16" s="32" t="s">
        <v>219</v>
      </c>
      <c r="P16" s="32" t="s">
        <v>60</v>
      </c>
      <c r="Q16" s="32" t="s">
        <v>240</v>
      </c>
      <c r="R16" s="32" t="s">
        <v>135</v>
      </c>
      <c r="S16" s="32" t="s">
        <v>460</v>
      </c>
      <c r="T16" s="32" t="s">
        <v>461</v>
      </c>
      <c r="W16" s="508">
        <f t="shared" si="12"/>
        <v>11</v>
      </c>
      <c r="X16" s="35">
        <f t="shared" si="5"/>
        <v>14</v>
      </c>
      <c r="Y16" s="50">
        <f t="shared" si="3"/>
        <v>25</v>
      </c>
      <c r="Z16" s="50">
        <f t="shared" si="3"/>
        <v>18</v>
      </c>
      <c r="AA16" s="36">
        <f t="shared" si="3"/>
        <v>21</v>
      </c>
      <c r="AC16" s="508">
        <f t="shared" si="13"/>
        <v>11</v>
      </c>
      <c r="AD16" s="6">
        <f t="shared" si="6"/>
        <v>-11</v>
      </c>
      <c r="AE16" s="7">
        <f t="shared" si="7"/>
        <v>-4</v>
      </c>
      <c r="AF16" s="7">
        <f t="shared" si="8"/>
        <v>-7</v>
      </c>
      <c r="AG16" s="7">
        <f t="shared" si="9"/>
        <v>7</v>
      </c>
      <c r="AH16" s="7">
        <f t="shared" si="10"/>
        <v>4</v>
      </c>
      <c r="AI16" s="8">
        <f t="shared" si="11"/>
        <v>-3</v>
      </c>
      <c r="AQ16" t="s">
        <v>972</v>
      </c>
      <c r="AR16" s="503">
        <f>AR12</f>
        <v>0.49324912439960339</v>
      </c>
      <c r="AT16" s="16" t="s">
        <v>1015</v>
      </c>
    </row>
    <row r="17" spans="1:46" x14ac:dyDescent="0.25">
      <c r="A17" s="508">
        <f t="shared" si="1"/>
        <v>14</v>
      </c>
      <c r="B17" s="500">
        <v>3</v>
      </c>
      <c r="C17" s="50">
        <v>9</v>
      </c>
      <c r="D17" s="50">
        <v>13</v>
      </c>
      <c r="E17" s="36">
        <v>16</v>
      </c>
      <c r="G17" s="508">
        <f t="shared" si="2"/>
        <v>12</v>
      </c>
      <c r="H17" s="500">
        <f t="shared" si="0"/>
        <v>24</v>
      </c>
      <c r="I17" s="50">
        <f t="shared" si="0"/>
        <v>26</v>
      </c>
      <c r="J17" s="50">
        <f t="shared" si="0"/>
        <v>21</v>
      </c>
      <c r="K17" s="504">
        <f t="shared" si="0"/>
        <v>23</v>
      </c>
      <c r="L17">
        <f t="shared" si="4"/>
        <v>23.5</v>
      </c>
      <c r="N17" t="s">
        <v>79</v>
      </c>
      <c r="O17">
        <f>O6</f>
        <v>833.25000000000023</v>
      </c>
      <c r="P17">
        <f>P6*J48</f>
        <v>1.6130833138901366</v>
      </c>
      <c r="Q17">
        <f>O17/P17</f>
        <v>516.55732399247358</v>
      </c>
      <c r="R17">
        <f>Q17/Q18</f>
        <v>29.127340823970062</v>
      </c>
      <c r="S17">
        <f>FDIST(R17,P17,P18)</f>
        <v>2.0259798720373061E-5</v>
      </c>
      <c r="T17">
        <f>FINV(S15,P17,P18)</f>
        <v>4.3009495017776587</v>
      </c>
      <c r="W17" s="508">
        <f t="shared" si="12"/>
        <v>12</v>
      </c>
      <c r="X17" s="35">
        <f t="shared" si="5"/>
        <v>24</v>
      </c>
      <c r="Y17" s="50">
        <f t="shared" si="3"/>
        <v>26</v>
      </c>
      <c r="Z17" s="50">
        <f t="shared" si="3"/>
        <v>21</v>
      </c>
      <c r="AA17" s="36">
        <f t="shared" si="3"/>
        <v>23</v>
      </c>
      <c r="AC17" s="508">
        <f t="shared" si="13"/>
        <v>12</v>
      </c>
      <c r="AD17" s="6">
        <f t="shared" si="6"/>
        <v>-2</v>
      </c>
      <c r="AE17" s="7">
        <f t="shared" si="7"/>
        <v>3</v>
      </c>
      <c r="AF17" s="7">
        <f t="shared" si="8"/>
        <v>1</v>
      </c>
      <c r="AG17" s="7">
        <f t="shared" si="9"/>
        <v>5</v>
      </c>
      <c r="AH17" s="7">
        <f t="shared" si="10"/>
        <v>3</v>
      </c>
      <c r="AI17" s="8">
        <f t="shared" si="11"/>
        <v>-2</v>
      </c>
      <c r="AQ17" t="s">
        <v>973</v>
      </c>
      <c r="AR17" s="503">
        <f>AR14*(AR15-1)*AR16-2</f>
        <v>20.196210597982152</v>
      </c>
      <c r="AT17" s="16" t="s">
        <v>1016</v>
      </c>
    </row>
    <row r="18" spans="1:46" x14ac:dyDescent="0.25">
      <c r="A18" s="508">
        <f t="shared" si="1"/>
        <v>15</v>
      </c>
      <c r="B18" s="488">
        <v>2</v>
      </c>
      <c r="C18" s="489">
        <v>8</v>
      </c>
      <c r="D18" s="489">
        <v>6</v>
      </c>
      <c r="E18" s="38">
        <v>10</v>
      </c>
      <c r="G18" s="508">
        <f t="shared" si="2"/>
        <v>13</v>
      </c>
      <c r="H18" s="500">
        <f t="shared" si="0"/>
        <v>9</v>
      </c>
      <c r="I18" s="50">
        <f t="shared" si="0"/>
        <v>12</v>
      </c>
      <c r="J18" s="50">
        <f t="shared" si="0"/>
        <v>20</v>
      </c>
      <c r="K18" s="504">
        <f t="shared" si="0"/>
        <v>23</v>
      </c>
      <c r="L18">
        <f t="shared" si="4"/>
        <v>16</v>
      </c>
      <c r="N18" t="s">
        <v>588</v>
      </c>
      <c r="O18">
        <f>O7</f>
        <v>400.49999999999977</v>
      </c>
      <c r="P18">
        <f>P7*J48</f>
        <v>22.583166394461912</v>
      </c>
      <c r="Q18">
        <f>O18/P18</f>
        <v>17.734448438471176</v>
      </c>
      <c r="W18" s="508">
        <f t="shared" si="12"/>
        <v>13</v>
      </c>
      <c r="X18" s="35">
        <f t="shared" si="5"/>
        <v>9</v>
      </c>
      <c r="Y18" s="50">
        <f t="shared" si="3"/>
        <v>12</v>
      </c>
      <c r="Z18" s="50">
        <f t="shared" si="3"/>
        <v>20</v>
      </c>
      <c r="AA18" s="36">
        <f t="shared" si="3"/>
        <v>23</v>
      </c>
      <c r="AC18" s="508">
        <f t="shared" si="13"/>
        <v>13</v>
      </c>
      <c r="AD18" s="6">
        <f t="shared" si="6"/>
        <v>-3</v>
      </c>
      <c r="AE18" s="7">
        <f t="shared" si="7"/>
        <v>-11</v>
      </c>
      <c r="AF18" s="7">
        <f t="shared" si="8"/>
        <v>-14</v>
      </c>
      <c r="AG18" s="7">
        <f t="shared" si="9"/>
        <v>-8</v>
      </c>
      <c r="AH18" s="7">
        <f t="shared" si="10"/>
        <v>-11</v>
      </c>
      <c r="AI18" s="8">
        <f t="shared" si="11"/>
        <v>-3</v>
      </c>
      <c r="AQ18" t="s">
        <v>974</v>
      </c>
      <c r="AR18" s="503">
        <f>(AR15-1)*(AR14-1-(AR15-1)*AR16)</f>
        <v>37.560757880403571</v>
      </c>
      <c r="AT18" s="16" t="s">
        <v>1017</v>
      </c>
    </row>
    <row r="19" spans="1:46" x14ac:dyDescent="0.25">
      <c r="G19" s="508">
        <f t="shared" si="2"/>
        <v>14</v>
      </c>
      <c r="H19" s="500">
        <f t="shared" si="0"/>
        <v>3</v>
      </c>
      <c r="I19" s="50">
        <f t="shared" si="0"/>
        <v>9</v>
      </c>
      <c r="J19" s="50">
        <f t="shared" si="0"/>
        <v>13</v>
      </c>
      <c r="K19" s="504">
        <f t="shared" si="0"/>
        <v>16</v>
      </c>
      <c r="L19">
        <f t="shared" si="4"/>
        <v>10.25</v>
      </c>
      <c r="N19" s="528"/>
      <c r="O19" s="528"/>
      <c r="P19" s="528"/>
      <c r="Q19" s="528"/>
      <c r="R19" s="528"/>
      <c r="S19" s="528"/>
      <c r="T19" s="528"/>
      <c r="W19" s="508">
        <f t="shared" si="12"/>
        <v>14</v>
      </c>
      <c r="X19" s="35">
        <f t="shared" si="5"/>
        <v>3</v>
      </c>
      <c r="Y19" s="50">
        <f t="shared" si="3"/>
        <v>9</v>
      </c>
      <c r="Z19" s="50">
        <f t="shared" si="3"/>
        <v>13</v>
      </c>
      <c r="AA19" s="36">
        <f t="shared" si="3"/>
        <v>16</v>
      </c>
      <c r="AC19" s="508">
        <f t="shared" si="13"/>
        <v>14</v>
      </c>
      <c r="AD19" s="6">
        <f t="shared" si="6"/>
        <v>-6</v>
      </c>
      <c r="AE19" s="7">
        <f t="shared" si="7"/>
        <v>-10</v>
      </c>
      <c r="AF19" s="7">
        <f t="shared" si="8"/>
        <v>-13</v>
      </c>
      <c r="AG19" s="7">
        <f t="shared" si="9"/>
        <v>-4</v>
      </c>
      <c r="AH19" s="7">
        <f t="shared" si="10"/>
        <v>-7</v>
      </c>
      <c r="AI19" s="8">
        <f t="shared" si="11"/>
        <v>-3</v>
      </c>
      <c r="AQ19" t="s">
        <v>975</v>
      </c>
      <c r="AR19" s="420">
        <f>MIN(AR17/AR18,1)</f>
        <v>0.5376944379633789</v>
      </c>
      <c r="AT19" s="16" t="s">
        <v>1018</v>
      </c>
    </row>
    <row r="20" spans="1:46" x14ac:dyDescent="0.25">
      <c r="G20" s="508">
        <f t="shared" si="2"/>
        <v>15</v>
      </c>
      <c r="H20" s="488">
        <f t="shared" si="0"/>
        <v>2</v>
      </c>
      <c r="I20" s="489">
        <f t="shared" si="0"/>
        <v>8</v>
      </c>
      <c r="J20" s="489">
        <f t="shared" si="0"/>
        <v>6</v>
      </c>
      <c r="K20" s="505">
        <f t="shared" si="0"/>
        <v>10</v>
      </c>
      <c r="L20">
        <f t="shared" si="4"/>
        <v>6.5</v>
      </c>
      <c r="W20" s="508">
        <f t="shared" si="12"/>
        <v>15</v>
      </c>
      <c r="X20" s="37">
        <f t="shared" si="5"/>
        <v>2</v>
      </c>
      <c r="Y20" s="510">
        <f t="shared" si="3"/>
        <v>8</v>
      </c>
      <c r="Z20" s="510">
        <f t="shared" si="3"/>
        <v>6</v>
      </c>
      <c r="AA20" s="38">
        <f t="shared" si="3"/>
        <v>10</v>
      </c>
      <c r="AC20" s="508">
        <f t="shared" si="13"/>
        <v>15</v>
      </c>
      <c r="AD20" s="9">
        <f t="shared" si="6"/>
        <v>-6</v>
      </c>
      <c r="AE20" s="10">
        <f t="shared" si="7"/>
        <v>-4</v>
      </c>
      <c r="AF20" s="10">
        <f t="shared" si="8"/>
        <v>-8</v>
      </c>
      <c r="AG20" s="10">
        <f t="shared" si="9"/>
        <v>2</v>
      </c>
      <c r="AH20" s="10">
        <f t="shared" si="10"/>
        <v>-2</v>
      </c>
      <c r="AI20" s="11">
        <f t="shared" si="11"/>
        <v>-4</v>
      </c>
    </row>
    <row r="21" spans="1:46" x14ac:dyDescent="0.25">
      <c r="G21" t="s">
        <v>10</v>
      </c>
      <c r="H21">
        <f>AVERAGE(H6:H20)</f>
        <v>12.533333333333333</v>
      </c>
      <c r="I21">
        <f>AVERAGE(I6:I20)</f>
        <v>18.333333333333332</v>
      </c>
      <c r="J21">
        <f>AVERAGE(J6:J20)</f>
        <v>19.933333333333334</v>
      </c>
      <c r="K21">
        <f>AVERAGE(K6:K20)</f>
        <v>22.733333333333334</v>
      </c>
      <c r="L21">
        <f>AVERAGE(L6:L20)</f>
        <v>18.383333333333333</v>
      </c>
      <c r="N21" t="s">
        <v>1019</v>
      </c>
      <c r="W21" s="508" t="s">
        <v>8</v>
      </c>
      <c r="X21" s="508">
        <f>VAR(X6:X20)</f>
        <v>55.838095238095221</v>
      </c>
      <c r="Y21" s="508">
        <f>VAR(Y6:Y20)</f>
        <v>35.523809523809504</v>
      </c>
      <c r="Z21" s="508">
        <f>VAR(Z6:Z20)</f>
        <v>41.352380952380955</v>
      </c>
      <c r="AA21" s="508">
        <f>VAR(AA6:AA20)</f>
        <v>34.352380952380955</v>
      </c>
      <c r="AC21" s="508" t="s">
        <v>7</v>
      </c>
      <c r="AD21">
        <f t="shared" ref="AD21:AI21" si="14">AVERAGE(AD6:AD20)</f>
        <v>-5.8</v>
      </c>
      <c r="AE21">
        <f t="shared" si="14"/>
        <v>-7.4</v>
      </c>
      <c r="AF21">
        <f t="shared" si="14"/>
        <v>-10.199999999999999</v>
      </c>
      <c r="AG21">
        <f t="shared" si="14"/>
        <v>-1.6</v>
      </c>
      <c r="AH21">
        <f t="shared" si="14"/>
        <v>-4.4000000000000004</v>
      </c>
      <c r="AI21">
        <f t="shared" si="14"/>
        <v>-2.8</v>
      </c>
      <c r="AQ21" t="s">
        <v>1020</v>
      </c>
      <c r="AR21" s="531">
        <f>1/(AR15-1)</f>
        <v>0.33333333333333331</v>
      </c>
      <c r="AT21" s="16" t="s">
        <v>1021</v>
      </c>
    </row>
    <row r="22" spans="1:46" x14ac:dyDescent="0.25">
      <c r="G22" t="s">
        <v>80</v>
      </c>
      <c r="H22">
        <f>VAR(H6:H20)</f>
        <v>55.838095238095221</v>
      </c>
      <c r="I22">
        <f>VAR(I6:I20)</f>
        <v>35.523809523809504</v>
      </c>
      <c r="J22">
        <f>VAR(J6:J20)</f>
        <v>41.352380952380955</v>
      </c>
      <c r="K22">
        <f>VAR(K6:K20)</f>
        <v>34.352380952380955</v>
      </c>
      <c r="L22">
        <f>VAR(L6:L20)</f>
        <v>34.614880952380972</v>
      </c>
      <c r="AC22" s="508" t="s">
        <v>8</v>
      </c>
      <c r="AD22">
        <f t="shared" ref="AD22:AI22" si="15">VAR(AD6:AD20)</f>
        <v>12.314285714285713</v>
      </c>
      <c r="AE22">
        <f t="shared" si="15"/>
        <v>29.685714285714287</v>
      </c>
      <c r="AF22">
        <f t="shared" si="15"/>
        <v>33.028571428571432</v>
      </c>
      <c r="AG22">
        <f t="shared" si="15"/>
        <v>18.542857142857144</v>
      </c>
      <c r="AH22">
        <f t="shared" si="15"/>
        <v>19.542857142857144</v>
      </c>
      <c r="AI22">
        <f t="shared" si="15"/>
        <v>1.3142857142857147</v>
      </c>
    </row>
    <row r="23" spans="1:46" x14ac:dyDescent="0.25">
      <c r="N23" t="s">
        <v>31</v>
      </c>
      <c r="O23" s="530">
        <f>P5+1</f>
        <v>15</v>
      </c>
      <c r="AD23">
        <f>W25+X26-2*X25</f>
        <v>12.314285714285717</v>
      </c>
      <c r="AE23">
        <f>W25+Y27-2*Y25</f>
        <v>29.685714285714297</v>
      </c>
      <c r="AF23">
        <f>W25+Z28-2*Z25</f>
        <v>33.028571428571432</v>
      </c>
      <c r="AG23">
        <f>X26+Y27-2*Y26</f>
        <v>18.542857142857137</v>
      </c>
      <c r="AH23">
        <f>X26+Z28-2*Z26</f>
        <v>19.542857142857137</v>
      </c>
      <c r="AI23">
        <f>Y27+Z28-2*Z27</f>
        <v>1.3142857142857167</v>
      </c>
    </row>
    <row r="24" spans="1:46" ht="15.75" thickBot="1" x14ac:dyDescent="0.3">
      <c r="G24" t="s">
        <v>960</v>
      </c>
      <c r="N24" t="s">
        <v>56</v>
      </c>
      <c r="O24" s="503">
        <f>P6+1</f>
        <v>4</v>
      </c>
      <c r="W24" s="508" t="s">
        <v>994</v>
      </c>
      <c r="X24" s="508" t="s">
        <v>995</v>
      </c>
      <c r="Y24" s="508" t="s">
        <v>996</v>
      </c>
      <c r="Z24" s="508" t="s">
        <v>997</v>
      </c>
      <c r="AA24" s="508" t="s">
        <v>7</v>
      </c>
    </row>
    <row r="25" spans="1:46" ht="15.75" thickTop="1" x14ac:dyDescent="0.25">
      <c r="G25" s="490" t="s">
        <v>961</v>
      </c>
      <c r="H25" s="490">
        <f>COUNT(H6:H20)</f>
        <v>15</v>
      </c>
      <c r="N25" t="s">
        <v>1022</v>
      </c>
      <c r="O25" s="503">
        <f>Q5</f>
        <v>138.4595238095238</v>
      </c>
      <c r="V25" s="13" t="s">
        <v>994</v>
      </c>
      <c r="W25" s="527">
        <f t="array" ref="W25:Z28">[1]!COV(X6:AA20)</f>
        <v>55.838095238095235</v>
      </c>
      <c r="X25" s="528">
        <v>39.523809523809518</v>
      </c>
      <c r="Y25" s="528">
        <v>33.752380952380946</v>
      </c>
      <c r="Z25" s="529">
        <v>28.580952380952379</v>
      </c>
      <c r="AA25">
        <f>AVERAGE(W25:Z25)</f>
        <v>39.423809523809517</v>
      </c>
    </row>
    <row r="26" spans="1:46" x14ac:dyDescent="0.25">
      <c r="G26" t="s">
        <v>79</v>
      </c>
      <c r="H26">
        <f>COUNT(H6:K6)</f>
        <v>4</v>
      </c>
      <c r="N26" t="s">
        <v>1023</v>
      </c>
      <c r="O26" s="503">
        <f>Q12</f>
        <v>563.10287491758879</v>
      </c>
      <c r="V26" s="13" t="s">
        <v>995</v>
      </c>
      <c r="W26" s="6">
        <v>39.523809523809518</v>
      </c>
      <c r="X26" s="7">
        <v>35.523809523809518</v>
      </c>
      <c r="Y26" s="7">
        <v>29.166666666666668</v>
      </c>
      <c r="Z26" s="8">
        <v>25.166666666666668</v>
      </c>
      <c r="AA26">
        <f>AVERAGE(W26:Z26)</f>
        <v>32.345238095238095</v>
      </c>
    </row>
    <row r="27" spans="1:46" x14ac:dyDescent="0.25">
      <c r="G27" s="528"/>
      <c r="H27" s="528"/>
      <c r="N27" t="s">
        <v>1024</v>
      </c>
      <c r="O27" s="503">
        <f>Q13</f>
        <v>19.332450508293181</v>
      </c>
      <c r="V27" s="13" t="s">
        <v>996</v>
      </c>
      <c r="W27" s="6">
        <v>33.752380952380946</v>
      </c>
      <c r="X27" s="7">
        <v>29.166666666666668</v>
      </c>
      <c r="Y27" s="7">
        <v>41.352380952380955</v>
      </c>
      <c r="Z27" s="8">
        <v>37.195238095238096</v>
      </c>
      <c r="AA27">
        <f>AVERAGE(W27:Z27)</f>
        <v>35.366666666666667</v>
      </c>
    </row>
    <row r="28" spans="1:46" x14ac:dyDescent="0.25">
      <c r="G28" t="s">
        <v>962</v>
      </c>
      <c r="N28" t="s">
        <v>1025</v>
      </c>
      <c r="O28" s="503">
        <f>(O23-O24)/(O23*O24)*(O26-O27)</f>
        <v>99.691244475037522</v>
      </c>
      <c r="V28" s="13" t="s">
        <v>997</v>
      </c>
      <c r="W28" s="9">
        <v>28.580952380952379</v>
      </c>
      <c r="X28" s="10">
        <v>25.166666666666668</v>
      </c>
      <c r="Y28" s="10">
        <v>37.195238095238096</v>
      </c>
      <c r="Z28" s="11">
        <v>34.352380952380955</v>
      </c>
      <c r="AA28">
        <f>AVERAGE(W28:Z28)</f>
        <v>31.323809523809526</v>
      </c>
    </row>
    <row r="29" spans="1:46" x14ac:dyDescent="0.25">
      <c r="N29" t="s">
        <v>1026</v>
      </c>
      <c r="O29" s="503">
        <f>O26+(O25-O27)/O24+O28</f>
        <v>692.57588771793394</v>
      </c>
    </row>
    <row r="30" spans="1:46" ht="15.75" thickBot="1" x14ac:dyDescent="0.3">
      <c r="H30" s="521">
        <f t="array" ref="H30:K33">[1]!COV(H6:K20)</f>
        <v>55.838095238095235</v>
      </c>
      <c r="I30" s="522">
        <v>39.523809523809518</v>
      </c>
      <c r="J30" s="522">
        <v>33.752380952380946</v>
      </c>
      <c r="K30" s="523">
        <v>28.580952380952379</v>
      </c>
      <c r="N30" t="s">
        <v>1027</v>
      </c>
      <c r="O30" s="420">
        <f>O28/O29</f>
        <v>0.14394270179333599</v>
      </c>
    </row>
    <row r="31" spans="1:46" x14ac:dyDescent="0.25">
      <c r="H31" s="501">
        <v>39.523809523809518</v>
      </c>
      <c r="I31" s="7">
        <v>35.523809523809518</v>
      </c>
      <c r="J31" s="7">
        <v>29.166666666666668</v>
      </c>
      <c r="K31" s="57">
        <v>25.166666666666668</v>
      </c>
      <c r="AQ31" s="509" t="s">
        <v>119</v>
      </c>
      <c r="AR31" s="509" t="s">
        <v>467</v>
      </c>
    </row>
    <row r="32" spans="1:46" x14ac:dyDescent="0.25">
      <c r="H32" s="501">
        <v>33.752380952380946</v>
      </c>
      <c r="I32" s="7">
        <v>29.166666666666668</v>
      </c>
      <c r="J32" s="7">
        <v>41.352380952380955</v>
      </c>
      <c r="K32" s="57">
        <v>37.195238095238096</v>
      </c>
      <c r="AQ32" s="19">
        <v>8.1670607503920066E-12</v>
      </c>
      <c r="AR32" s="19">
        <v>1.9350088132446253</v>
      </c>
    </row>
    <row r="33" spans="7:44" x14ac:dyDescent="0.25">
      <c r="H33" s="373">
        <v>28.580952380952379</v>
      </c>
      <c r="I33" s="491">
        <v>25.166666666666668</v>
      </c>
      <c r="J33" s="491">
        <v>37.195238095238096</v>
      </c>
      <c r="K33" s="374">
        <v>34.352380952380955</v>
      </c>
      <c r="AQ33" s="19">
        <v>2.39621816316698E-10</v>
      </c>
      <c r="AR33" s="19">
        <v>2.8270487120861261</v>
      </c>
    </row>
    <row r="34" spans="7:44" x14ac:dyDescent="0.25">
      <c r="G34" t="s">
        <v>10</v>
      </c>
      <c r="H34">
        <f>AVERAGE(H30:H33)</f>
        <v>39.423809523809517</v>
      </c>
      <c r="I34">
        <f>AVERAGE(I30:I33)</f>
        <v>32.345238095238095</v>
      </c>
      <c r="J34">
        <f>AVERAGE(J30:J33)</f>
        <v>35.366666666666667</v>
      </c>
      <c r="K34">
        <f>AVERAGE(K30:K33)</f>
        <v>31.323809523809526</v>
      </c>
      <c r="AQ34" s="19"/>
      <c r="AR34" s="19"/>
    </row>
    <row r="35" spans="7:44" x14ac:dyDescent="0.25">
      <c r="AQ35" s="19"/>
      <c r="AR35" s="19"/>
    </row>
    <row r="36" spans="7:44" ht="15.75" thickBot="1" x14ac:dyDescent="0.3">
      <c r="G36" t="s">
        <v>963</v>
      </c>
      <c r="AQ36" s="20"/>
      <c r="AR36" s="20"/>
    </row>
    <row r="37" spans="7:44" x14ac:dyDescent="0.25">
      <c r="H37" t="s">
        <v>964</v>
      </c>
      <c r="J37">
        <f>H25</f>
        <v>15</v>
      </c>
    </row>
    <row r="38" spans="7:44" x14ac:dyDescent="0.25">
      <c r="H38" t="s">
        <v>965</v>
      </c>
      <c r="J38">
        <f>H26</f>
        <v>4</v>
      </c>
    </row>
    <row r="39" spans="7:44" x14ac:dyDescent="0.25">
      <c r="H39" t="s">
        <v>966</v>
      </c>
      <c r="J39">
        <f>AVERAGE(H22:K22)</f>
        <v>41.766666666666652</v>
      </c>
    </row>
    <row r="40" spans="7:44" x14ac:dyDescent="0.25">
      <c r="H40" t="s">
        <v>967</v>
      </c>
      <c r="J40">
        <f>AVERAGE(H30:K33)</f>
        <v>34.61488095238095</v>
      </c>
    </row>
    <row r="41" spans="7:44" x14ac:dyDescent="0.25">
      <c r="H41" t="s">
        <v>968</v>
      </c>
      <c r="J41">
        <f>SUMSQ(H30:K33)</f>
        <v>20041.473151927436</v>
      </c>
    </row>
    <row r="42" spans="7:44" x14ac:dyDescent="0.25">
      <c r="H42" t="s">
        <v>969</v>
      </c>
      <c r="J42">
        <f>SUMSQ(H34:K34)</f>
        <v>4832.4333390022675</v>
      </c>
    </row>
    <row r="43" spans="7:44" x14ac:dyDescent="0.25">
      <c r="H43" t="s">
        <v>970</v>
      </c>
      <c r="J43">
        <f>(J38*(J39-J40))^2</f>
        <v>818.36862244897657</v>
      </c>
    </row>
    <row r="44" spans="7:44" x14ac:dyDescent="0.25">
      <c r="H44" t="s">
        <v>971</v>
      </c>
      <c r="J44">
        <f>(J38-1)*(J41-2*J38*J42+J38^2*J40^2)</f>
        <v>1659.1385204081562</v>
      </c>
    </row>
    <row r="45" spans="7:44" x14ac:dyDescent="0.25">
      <c r="H45" t="s">
        <v>972</v>
      </c>
      <c r="J45">
        <f>J43/J44</f>
        <v>0.49324912439960339</v>
      </c>
    </row>
    <row r="46" spans="7:44" x14ac:dyDescent="0.25">
      <c r="H46" t="s">
        <v>973</v>
      </c>
      <c r="J46">
        <f>J37*(J38-1)*J45-2</f>
        <v>20.196210597982152</v>
      </c>
    </row>
    <row r="47" spans="7:44" x14ac:dyDescent="0.25">
      <c r="H47" t="s">
        <v>974</v>
      </c>
      <c r="J47">
        <f>(J38-1)*(J37-1-(J38-1)*J45)</f>
        <v>37.560757880403571</v>
      </c>
    </row>
    <row r="48" spans="7:44" x14ac:dyDescent="0.25">
      <c r="H48" t="s">
        <v>975</v>
      </c>
      <c r="J48">
        <f>MIN(J46/J47,1)</f>
        <v>0.5376944379633789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/>
  <dimension ref="A1:T25"/>
  <sheetViews>
    <sheetView workbookViewId="0"/>
  </sheetViews>
  <sheetFormatPr defaultRowHeight="15" x14ac:dyDescent="0.25"/>
  <cols>
    <col min="7" max="7" width="11.42578125" customWidth="1"/>
    <col min="13" max="13" width="6" customWidth="1"/>
  </cols>
  <sheetData>
    <row r="1" spans="1:20" x14ac:dyDescent="0.25">
      <c r="A1" s="1" t="s">
        <v>1107</v>
      </c>
    </row>
    <row r="3" spans="1:20" ht="15.75" thickBot="1" x14ac:dyDescent="0.3">
      <c r="A3" s="996" t="s">
        <v>57</v>
      </c>
      <c r="B3" s="996" t="s">
        <v>94</v>
      </c>
      <c r="C3" s="996" t="s">
        <v>982</v>
      </c>
      <c r="D3" s="996" t="s">
        <v>983</v>
      </c>
      <c r="E3" s="996" t="s">
        <v>984</v>
      </c>
      <c r="G3" t="s">
        <v>458</v>
      </c>
      <c r="N3" t="s">
        <v>294</v>
      </c>
      <c r="R3" t="s">
        <v>34</v>
      </c>
      <c r="S3">
        <v>0.05</v>
      </c>
    </row>
    <row r="4" spans="1:20" ht="15.75" thickTop="1" x14ac:dyDescent="0.25">
      <c r="A4" s="996">
        <v>1</v>
      </c>
      <c r="B4" s="517">
        <v>16</v>
      </c>
      <c r="C4" s="518">
        <v>22</v>
      </c>
      <c r="D4" s="518">
        <v>23</v>
      </c>
      <c r="E4" s="519">
        <v>25</v>
      </c>
      <c r="N4" s="826" t="s">
        <v>459</v>
      </c>
      <c r="O4" s="826" t="s">
        <v>219</v>
      </c>
      <c r="P4" s="826" t="s">
        <v>60</v>
      </c>
      <c r="Q4" s="826" t="s">
        <v>240</v>
      </c>
      <c r="R4" s="826" t="s">
        <v>135</v>
      </c>
      <c r="S4" s="826" t="s">
        <v>460</v>
      </c>
      <c r="T4" s="826" t="s">
        <v>461</v>
      </c>
    </row>
    <row r="5" spans="1:20" x14ac:dyDescent="0.25">
      <c r="A5" s="996">
        <f>A4+1</f>
        <v>2</v>
      </c>
      <c r="B5" s="500">
        <v>12</v>
      </c>
      <c r="C5" s="999">
        <v>18</v>
      </c>
      <c r="D5" s="999">
        <v>24</v>
      </c>
      <c r="E5" s="494">
        <v>29</v>
      </c>
      <c r="G5" t="str">
        <f>A3</f>
        <v>Subject</v>
      </c>
      <c r="H5" t="str">
        <f>B3</f>
        <v>Before</v>
      </c>
      <c r="I5" t="str">
        <f>C3</f>
        <v>1 week</v>
      </c>
      <c r="J5" t="str">
        <f>D3</f>
        <v>2 weeks</v>
      </c>
      <c r="K5" t="str">
        <f>E3</f>
        <v>3 weeks</v>
      </c>
      <c r="L5" s="996" t="s">
        <v>10</v>
      </c>
      <c r="N5" t="s">
        <v>961</v>
      </c>
      <c r="O5">
        <f>(P6+1)*DEVSQ(L6:L20)</f>
        <v>1938.4333333333334</v>
      </c>
      <c r="P5">
        <f>COUNT(H6:H20)-1</f>
        <v>14</v>
      </c>
      <c r="Q5">
        <f>O5/P5</f>
        <v>138.4595238095238</v>
      </c>
      <c r="R5">
        <f>Q5/Q7</f>
        <v>14.520099875156061</v>
      </c>
      <c r="S5">
        <f>FDIST(R5,P5,P7)</f>
        <v>8.1670607503918935E-12</v>
      </c>
      <c r="T5">
        <f>FINV(S3,P5,P7)</f>
        <v>1.9350088132446253</v>
      </c>
    </row>
    <row r="6" spans="1:20" x14ac:dyDescent="0.25">
      <c r="A6" s="996">
        <f t="shared" ref="A6:A18" si="0">A5+1</f>
        <v>3</v>
      </c>
      <c r="B6" s="500">
        <v>23</v>
      </c>
      <c r="C6" s="999">
        <v>24</v>
      </c>
      <c r="D6" s="999">
        <v>26</v>
      </c>
      <c r="E6" s="36">
        <v>27</v>
      </c>
      <c r="G6">
        <f t="shared" ref="G6:G20" si="1">A4</f>
        <v>1</v>
      </c>
      <c r="H6" s="865">
        <f t="shared" ref="H6:H20" si="2">B4</f>
        <v>16</v>
      </c>
      <c r="I6" s="798">
        <f t="shared" ref="I6:I20" si="3">C4</f>
        <v>22</v>
      </c>
      <c r="J6" s="798">
        <f t="shared" ref="J6:J20" si="4">D4</f>
        <v>23</v>
      </c>
      <c r="K6" s="866">
        <f t="shared" ref="K6:K20" si="5">E4</f>
        <v>25</v>
      </c>
      <c r="L6">
        <f>AVERAGE(H6:K6)</f>
        <v>21.5</v>
      </c>
      <c r="N6" t="s">
        <v>79</v>
      </c>
      <c r="O6">
        <f>(P5+1)*DEVSQ(H21:K21)</f>
        <v>833.25000000000023</v>
      </c>
      <c r="P6">
        <f>COUNT(H6:K6)-1</f>
        <v>3</v>
      </c>
      <c r="Q6">
        <f>O6/P6</f>
        <v>277.75000000000006</v>
      </c>
      <c r="R6">
        <f>Q6/Q7</f>
        <v>29.127340823970059</v>
      </c>
      <c r="S6">
        <f>FDIST(R6,P6,P7)</f>
        <v>2.3962181631669464E-10</v>
      </c>
      <c r="T6">
        <f>FINV(S3,P6,P7)</f>
        <v>2.8270487120861261</v>
      </c>
    </row>
    <row r="7" spans="1:20" x14ac:dyDescent="0.25">
      <c r="A7" s="996">
        <f t="shared" si="0"/>
        <v>4</v>
      </c>
      <c r="B7" s="500">
        <v>8</v>
      </c>
      <c r="C7" s="999">
        <v>20</v>
      </c>
      <c r="D7" s="999">
        <v>28</v>
      </c>
      <c r="E7" s="36">
        <v>30</v>
      </c>
      <c r="G7">
        <f t="shared" si="1"/>
        <v>2</v>
      </c>
      <c r="H7" s="501">
        <f t="shared" si="2"/>
        <v>12</v>
      </c>
      <c r="I7" s="7">
        <f t="shared" si="3"/>
        <v>18</v>
      </c>
      <c r="J7" s="7">
        <f t="shared" si="4"/>
        <v>24</v>
      </c>
      <c r="K7" s="57">
        <f t="shared" si="5"/>
        <v>29</v>
      </c>
      <c r="L7">
        <f t="shared" ref="L7:L20" si="6">AVERAGE(H7:K7)</f>
        <v>20.75</v>
      </c>
      <c r="N7" t="s">
        <v>588</v>
      </c>
      <c r="O7">
        <f>O8-O5-O6</f>
        <v>400.49999999999977</v>
      </c>
      <c r="P7">
        <f>P8-P5-P6</f>
        <v>42</v>
      </c>
      <c r="Q7">
        <f>O7/P7</f>
        <v>9.5357142857142811</v>
      </c>
    </row>
    <row r="8" spans="1:20" x14ac:dyDescent="0.25">
      <c r="A8" s="996">
        <f t="shared" si="0"/>
        <v>5</v>
      </c>
      <c r="B8" s="500">
        <v>3</v>
      </c>
      <c r="C8" s="999">
        <v>12</v>
      </c>
      <c r="D8" s="999">
        <v>13</v>
      </c>
      <c r="E8" s="36">
        <v>17</v>
      </c>
      <c r="G8">
        <f t="shared" si="1"/>
        <v>3</v>
      </c>
      <c r="H8" s="501">
        <f t="shared" si="2"/>
        <v>23</v>
      </c>
      <c r="I8" s="7">
        <f t="shared" si="3"/>
        <v>24</v>
      </c>
      <c r="J8" s="7">
        <f t="shared" si="4"/>
        <v>26</v>
      </c>
      <c r="K8" s="57">
        <f t="shared" si="5"/>
        <v>27</v>
      </c>
      <c r="L8">
        <f t="shared" si="6"/>
        <v>25</v>
      </c>
      <c r="N8" t="s">
        <v>1</v>
      </c>
      <c r="O8">
        <f>DEVSQ(H6:K20)</f>
        <v>3172.1833333333334</v>
      </c>
      <c r="P8">
        <f>(P5+1)*(P6+1)-1</f>
        <v>59</v>
      </c>
    </row>
    <row r="9" spans="1:20" x14ac:dyDescent="0.25">
      <c r="A9" s="996">
        <f t="shared" si="0"/>
        <v>6</v>
      </c>
      <c r="B9" s="500">
        <v>5</v>
      </c>
      <c r="C9" s="999">
        <v>13</v>
      </c>
      <c r="D9" s="999">
        <v>11</v>
      </c>
      <c r="E9" s="36">
        <v>15</v>
      </c>
      <c r="G9">
        <f t="shared" si="1"/>
        <v>4</v>
      </c>
      <c r="H9" s="501">
        <f t="shared" si="2"/>
        <v>8</v>
      </c>
      <c r="I9" s="7">
        <f t="shared" si="3"/>
        <v>20</v>
      </c>
      <c r="J9" s="7">
        <f t="shared" si="4"/>
        <v>28</v>
      </c>
      <c r="K9" s="57">
        <f t="shared" si="5"/>
        <v>30</v>
      </c>
      <c r="L9">
        <f t="shared" si="6"/>
        <v>21.5</v>
      </c>
      <c r="N9" s="867"/>
      <c r="O9" s="867"/>
      <c r="P9" s="867"/>
      <c r="Q9" s="867"/>
      <c r="R9" s="867"/>
      <c r="S9" s="867"/>
      <c r="T9" s="867"/>
    </row>
    <row r="10" spans="1:20" ht="15.75" thickBot="1" x14ac:dyDescent="0.3">
      <c r="A10" s="996">
        <f t="shared" si="0"/>
        <v>7</v>
      </c>
      <c r="B10" s="500">
        <v>19</v>
      </c>
      <c r="C10" s="999">
        <v>22</v>
      </c>
      <c r="D10" s="999">
        <v>25</v>
      </c>
      <c r="E10" s="36">
        <v>26</v>
      </c>
      <c r="G10">
        <f t="shared" si="1"/>
        <v>5</v>
      </c>
      <c r="H10" s="501">
        <f t="shared" si="2"/>
        <v>3</v>
      </c>
      <c r="I10" s="7">
        <f t="shared" si="3"/>
        <v>12</v>
      </c>
      <c r="J10" s="7">
        <f t="shared" si="4"/>
        <v>13</v>
      </c>
      <c r="K10" s="57">
        <f t="shared" si="5"/>
        <v>17</v>
      </c>
      <c r="L10">
        <f t="shared" si="6"/>
        <v>11.25</v>
      </c>
      <c r="N10" t="s">
        <v>976</v>
      </c>
      <c r="R10" t="s">
        <v>34</v>
      </c>
      <c r="S10">
        <v>0.05</v>
      </c>
    </row>
    <row r="11" spans="1:20" ht="15.75" thickTop="1" x14ac:dyDescent="0.25">
      <c r="A11" s="996">
        <f t="shared" si="0"/>
        <v>8</v>
      </c>
      <c r="B11" s="500">
        <v>22</v>
      </c>
      <c r="C11" s="999">
        <v>22</v>
      </c>
      <c r="D11" s="999">
        <v>23</v>
      </c>
      <c r="E11" s="36">
        <v>26</v>
      </c>
      <c r="G11">
        <f t="shared" si="1"/>
        <v>6</v>
      </c>
      <c r="H11" s="501">
        <f t="shared" si="2"/>
        <v>5</v>
      </c>
      <c r="I11" s="7">
        <f t="shared" si="3"/>
        <v>13</v>
      </c>
      <c r="J11" s="7">
        <f t="shared" si="4"/>
        <v>11</v>
      </c>
      <c r="K11" s="57">
        <f t="shared" si="5"/>
        <v>15</v>
      </c>
      <c r="L11">
        <f t="shared" si="6"/>
        <v>11</v>
      </c>
      <c r="N11" s="826" t="s">
        <v>459</v>
      </c>
      <c r="O11" s="826" t="s">
        <v>219</v>
      </c>
      <c r="P11" s="826" t="s">
        <v>60</v>
      </c>
      <c r="Q11" s="826" t="s">
        <v>240</v>
      </c>
      <c r="R11" s="826" t="s">
        <v>135</v>
      </c>
      <c r="S11" s="826" t="s">
        <v>460</v>
      </c>
      <c r="T11" s="826" t="s">
        <v>461</v>
      </c>
    </row>
    <row r="12" spans="1:20" x14ac:dyDescent="0.25">
      <c r="A12" s="996">
        <f t="shared" si="0"/>
        <v>9</v>
      </c>
      <c r="B12" s="500">
        <v>12</v>
      </c>
      <c r="C12" s="999">
        <v>20</v>
      </c>
      <c r="D12" s="999">
        <v>22</v>
      </c>
      <c r="E12" s="36">
        <v>24</v>
      </c>
      <c r="G12">
        <f t="shared" si="1"/>
        <v>7</v>
      </c>
      <c r="H12" s="501">
        <f t="shared" si="2"/>
        <v>19</v>
      </c>
      <c r="I12" s="7">
        <f t="shared" si="3"/>
        <v>22</v>
      </c>
      <c r="J12" s="7">
        <f t="shared" si="4"/>
        <v>25</v>
      </c>
      <c r="K12" s="57">
        <f t="shared" si="5"/>
        <v>26</v>
      </c>
      <c r="L12">
        <f t="shared" si="6"/>
        <v>23</v>
      </c>
      <c r="N12" t="s">
        <v>79</v>
      </c>
      <c r="O12">
        <f>O6</f>
        <v>833.25000000000023</v>
      </c>
      <c r="P12">
        <f>P6*H24</f>
        <v>1.4797473731988162</v>
      </c>
      <c r="Q12">
        <f>O12/P12</f>
        <v>563.10287491758652</v>
      </c>
      <c r="R12">
        <f>Q12/Q13</f>
        <v>29.127340823970059</v>
      </c>
      <c r="S12">
        <f>FDIST(R12,P12,P13)</f>
        <v>2.7788822413657475E-5</v>
      </c>
      <c r="T12">
        <f>FINV(S10,P12,P13)</f>
        <v>4.3512435033292896</v>
      </c>
    </row>
    <row r="13" spans="1:20" x14ac:dyDescent="0.25">
      <c r="A13" s="996">
        <f t="shared" si="0"/>
        <v>10</v>
      </c>
      <c r="B13" s="500">
        <v>16</v>
      </c>
      <c r="C13" s="999">
        <v>22</v>
      </c>
      <c r="D13" s="999">
        <v>26</v>
      </c>
      <c r="E13" s="36">
        <v>29</v>
      </c>
      <c r="G13">
        <f t="shared" si="1"/>
        <v>8</v>
      </c>
      <c r="H13" s="501">
        <f t="shared" si="2"/>
        <v>22</v>
      </c>
      <c r="I13" s="7">
        <f t="shared" si="3"/>
        <v>22</v>
      </c>
      <c r="J13" s="7">
        <f t="shared" si="4"/>
        <v>23</v>
      </c>
      <c r="K13" s="57">
        <f t="shared" si="5"/>
        <v>26</v>
      </c>
      <c r="L13">
        <f t="shared" si="6"/>
        <v>23.25</v>
      </c>
      <c r="N13" t="s">
        <v>588</v>
      </c>
      <c r="O13">
        <f>O7</f>
        <v>400.49999999999977</v>
      </c>
      <c r="P13">
        <f>P7*H24</f>
        <v>20.716463224783425</v>
      </c>
      <c r="Q13">
        <f>O13/P13</f>
        <v>19.332450508293107</v>
      </c>
    </row>
    <row r="14" spans="1:20" x14ac:dyDescent="0.25">
      <c r="A14" s="996">
        <f t="shared" si="0"/>
        <v>11</v>
      </c>
      <c r="B14" s="500">
        <v>14</v>
      </c>
      <c r="C14" s="999">
        <v>25</v>
      </c>
      <c r="D14" s="999">
        <v>18</v>
      </c>
      <c r="E14" s="36">
        <v>21</v>
      </c>
      <c r="G14">
        <f t="shared" si="1"/>
        <v>9</v>
      </c>
      <c r="H14" s="501">
        <f t="shared" si="2"/>
        <v>12</v>
      </c>
      <c r="I14" s="7">
        <f t="shared" si="3"/>
        <v>20</v>
      </c>
      <c r="J14" s="7">
        <f t="shared" si="4"/>
        <v>22</v>
      </c>
      <c r="K14" s="57">
        <f t="shared" si="5"/>
        <v>24</v>
      </c>
      <c r="L14">
        <f t="shared" si="6"/>
        <v>19.5</v>
      </c>
      <c r="N14" s="867"/>
      <c r="O14" s="867"/>
      <c r="P14" s="867"/>
      <c r="Q14" s="867"/>
      <c r="R14" s="867"/>
      <c r="S14" s="867"/>
      <c r="T14" s="867"/>
    </row>
    <row r="15" spans="1:20" ht="15.75" thickBot="1" x14ac:dyDescent="0.3">
      <c r="A15" s="996">
        <f t="shared" si="0"/>
        <v>12</v>
      </c>
      <c r="B15" s="500">
        <v>24</v>
      </c>
      <c r="C15" s="999">
        <v>26</v>
      </c>
      <c r="D15" s="999">
        <v>21</v>
      </c>
      <c r="E15" s="36">
        <v>23</v>
      </c>
      <c r="G15">
        <f t="shared" si="1"/>
        <v>10</v>
      </c>
      <c r="H15" s="501">
        <f t="shared" si="2"/>
        <v>16</v>
      </c>
      <c r="I15" s="7">
        <f t="shared" si="3"/>
        <v>22</v>
      </c>
      <c r="J15" s="7">
        <f t="shared" si="4"/>
        <v>26</v>
      </c>
      <c r="K15" s="57">
        <f t="shared" si="5"/>
        <v>29</v>
      </c>
      <c r="L15">
        <f t="shared" si="6"/>
        <v>23.25</v>
      </c>
      <c r="N15" t="s">
        <v>977</v>
      </c>
      <c r="R15" t="s">
        <v>34</v>
      </c>
      <c r="S15">
        <v>0.05</v>
      </c>
    </row>
    <row r="16" spans="1:20" ht="15.75" thickTop="1" x14ac:dyDescent="0.25">
      <c r="A16" s="996">
        <f t="shared" si="0"/>
        <v>13</v>
      </c>
      <c r="B16" s="500">
        <v>9</v>
      </c>
      <c r="C16" s="999">
        <v>12</v>
      </c>
      <c r="D16" s="999">
        <v>20</v>
      </c>
      <c r="E16" s="36">
        <v>23</v>
      </c>
      <c r="G16">
        <f t="shared" si="1"/>
        <v>11</v>
      </c>
      <c r="H16" s="501">
        <f t="shared" si="2"/>
        <v>14</v>
      </c>
      <c r="I16" s="7">
        <f t="shared" si="3"/>
        <v>25</v>
      </c>
      <c r="J16" s="7">
        <f t="shared" si="4"/>
        <v>18</v>
      </c>
      <c r="K16" s="57">
        <f t="shared" si="5"/>
        <v>21</v>
      </c>
      <c r="L16">
        <f t="shared" si="6"/>
        <v>19.5</v>
      </c>
      <c r="N16" s="826" t="s">
        <v>459</v>
      </c>
      <c r="O16" s="826" t="s">
        <v>219</v>
      </c>
      <c r="P16" s="826" t="s">
        <v>60</v>
      </c>
      <c r="Q16" s="826" t="s">
        <v>240</v>
      </c>
      <c r="R16" s="826" t="s">
        <v>135</v>
      </c>
      <c r="S16" s="826" t="s">
        <v>460</v>
      </c>
      <c r="T16" s="826" t="s">
        <v>461</v>
      </c>
    </row>
    <row r="17" spans="1:20" x14ac:dyDescent="0.25">
      <c r="A17" s="996">
        <f t="shared" si="0"/>
        <v>14</v>
      </c>
      <c r="B17" s="500">
        <v>3</v>
      </c>
      <c r="C17" s="999">
        <v>9</v>
      </c>
      <c r="D17" s="999">
        <v>13</v>
      </c>
      <c r="E17" s="36">
        <v>16</v>
      </c>
      <c r="G17">
        <f t="shared" si="1"/>
        <v>12</v>
      </c>
      <c r="H17" s="501">
        <f t="shared" si="2"/>
        <v>24</v>
      </c>
      <c r="I17" s="7">
        <f t="shared" si="3"/>
        <v>26</v>
      </c>
      <c r="J17" s="7">
        <f t="shared" si="4"/>
        <v>21</v>
      </c>
      <c r="K17" s="57">
        <f t="shared" si="5"/>
        <v>23</v>
      </c>
      <c r="L17">
        <f t="shared" si="6"/>
        <v>23.5</v>
      </c>
      <c r="N17" t="s">
        <v>79</v>
      </c>
      <c r="O17">
        <f>O6</f>
        <v>833.25000000000023</v>
      </c>
      <c r="P17">
        <f>P6*H25</f>
        <v>1.613083313890145</v>
      </c>
      <c r="Q17">
        <f>O17/P17</f>
        <v>516.55732399247086</v>
      </c>
      <c r="R17">
        <f>Q17/Q18</f>
        <v>29.127340823970059</v>
      </c>
      <c r="S17">
        <f>FDIST(R17,P17,P18)</f>
        <v>2.0259798720373061E-5</v>
      </c>
      <c r="T17">
        <f>FINV(S15,P17,P18)</f>
        <v>4.3009495017776587</v>
      </c>
    </row>
    <row r="18" spans="1:20" x14ac:dyDescent="0.25">
      <c r="A18" s="996">
        <f t="shared" si="0"/>
        <v>15</v>
      </c>
      <c r="B18" s="488">
        <v>2</v>
      </c>
      <c r="C18" s="489">
        <v>8</v>
      </c>
      <c r="D18" s="489">
        <v>6</v>
      </c>
      <c r="E18" s="38">
        <v>10</v>
      </c>
      <c r="G18">
        <f t="shared" si="1"/>
        <v>13</v>
      </c>
      <c r="H18" s="501">
        <f t="shared" si="2"/>
        <v>9</v>
      </c>
      <c r="I18" s="7">
        <f t="shared" si="3"/>
        <v>12</v>
      </c>
      <c r="J18" s="7">
        <f t="shared" si="4"/>
        <v>20</v>
      </c>
      <c r="K18" s="57">
        <f t="shared" si="5"/>
        <v>23</v>
      </c>
      <c r="L18">
        <f t="shared" si="6"/>
        <v>16</v>
      </c>
      <c r="N18" t="s">
        <v>588</v>
      </c>
      <c r="O18">
        <f>O7</f>
        <v>400.49999999999977</v>
      </c>
      <c r="P18">
        <f>P7*H25</f>
        <v>22.58316639446203</v>
      </c>
      <c r="Q18">
        <f>O18/P18</f>
        <v>17.734448438471084</v>
      </c>
    </row>
    <row r="19" spans="1:20" x14ac:dyDescent="0.25">
      <c r="G19">
        <f t="shared" si="1"/>
        <v>14</v>
      </c>
      <c r="H19" s="501">
        <f t="shared" si="2"/>
        <v>3</v>
      </c>
      <c r="I19" s="7">
        <f t="shared" si="3"/>
        <v>9</v>
      </c>
      <c r="J19" s="7">
        <f t="shared" si="4"/>
        <v>13</v>
      </c>
      <c r="K19" s="57">
        <f t="shared" si="5"/>
        <v>16</v>
      </c>
      <c r="L19">
        <f t="shared" si="6"/>
        <v>10.25</v>
      </c>
      <c r="N19" s="867"/>
      <c r="O19" s="867"/>
      <c r="P19" s="867"/>
      <c r="Q19" s="867"/>
      <c r="R19" s="867"/>
      <c r="S19" s="867"/>
      <c r="T19" s="867"/>
    </row>
    <row r="20" spans="1:20" x14ac:dyDescent="0.25">
      <c r="G20">
        <f t="shared" si="1"/>
        <v>15</v>
      </c>
      <c r="H20" s="759">
        <f t="shared" si="2"/>
        <v>2</v>
      </c>
      <c r="I20" s="760">
        <f t="shared" si="3"/>
        <v>8</v>
      </c>
      <c r="J20" s="760">
        <f t="shared" si="4"/>
        <v>6</v>
      </c>
      <c r="K20" s="761">
        <f t="shared" si="5"/>
        <v>10</v>
      </c>
      <c r="L20">
        <f t="shared" si="6"/>
        <v>6.5</v>
      </c>
    </row>
    <row r="21" spans="1:20" x14ac:dyDescent="0.25">
      <c r="G21" t="s">
        <v>10</v>
      </c>
      <c r="H21">
        <f>AVERAGE(H6:H20)</f>
        <v>12.533333333333333</v>
      </c>
      <c r="I21">
        <f>AVERAGE(I6:I20)</f>
        <v>18.333333333333332</v>
      </c>
      <c r="J21">
        <f>AVERAGE(J6:J20)</f>
        <v>19.933333333333334</v>
      </c>
      <c r="K21">
        <f>AVERAGE(K6:K20)</f>
        <v>22.733333333333334</v>
      </c>
      <c r="L21">
        <f>AVERAGE(L6:L20)</f>
        <v>18.383333333333333</v>
      </c>
    </row>
    <row r="22" spans="1:20" x14ac:dyDescent="0.25">
      <c r="G22" t="s">
        <v>80</v>
      </c>
      <c r="H22">
        <f>VAR(H6:H20)</f>
        <v>55.838095238095221</v>
      </c>
      <c r="I22">
        <f>VAR(I6:I20)</f>
        <v>35.523809523809504</v>
      </c>
      <c r="J22">
        <f>VAR(J6:J20)</f>
        <v>41.352380952380955</v>
      </c>
      <c r="K22">
        <f>VAR(K6:K20)</f>
        <v>34.352380952380955</v>
      </c>
      <c r="L22">
        <f>VAR(L6:L20)</f>
        <v>34.614880952380972</v>
      </c>
    </row>
    <row r="24" spans="1:20" x14ac:dyDescent="0.25">
      <c r="G24" t="s">
        <v>2177</v>
      </c>
      <c r="H24" s="970">
        <f>[1]!GGEpsilon(H6:K20)</f>
        <v>0.49324912439960539</v>
      </c>
    </row>
    <row r="25" spans="1:20" x14ac:dyDescent="0.25">
      <c r="G25" t="s">
        <v>2178</v>
      </c>
      <c r="H25" s="757">
        <f>[1]!HFEpsilon(H6:K20)</f>
        <v>0.53769443796338168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L25"/>
  <sheetViews>
    <sheetView workbookViewId="0"/>
  </sheetViews>
  <sheetFormatPr defaultRowHeight="15" x14ac:dyDescent="0.25"/>
  <cols>
    <col min="9" max="9" width="25" customWidth="1"/>
    <col min="11" max="11" width="10.42578125" customWidth="1"/>
  </cols>
  <sheetData>
    <row r="1" spans="1:12" x14ac:dyDescent="0.25">
      <c r="A1" s="1" t="s">
        <v>1028</v>
      </c>
      <c r="K1" t="s">
        <v>2137</v>
      </c>
    </row>
    <row r="3" spans="1:12" x14ac:dyDescent="0.25">
      <c r="A3" t="s">
        <v>980</v>
      </c>
      <c r="K3" t="s">
        <v>2176</v>
      </c>
      <c r="L3" s="580">
        <f t="array" ref="L3">[1]!GGEpsilon('ANOVA Match 1.3'!B4:E18)</f>
        <v>0.49324912439960539</v>
      </c>
    </row>
    <row r="5" spans="1:12" x14ac:dyDescent="0.25">
      <c r="A5" s="527">
        <f t="array" ref="A5:D8">[1]!COV('ANOVA Match 1.3'!B4:E18)</f>
        <v>55.838095238095235</v>
      </c>
      <c r="B5" s="528">
        <v>39.523809523809518</v>
      </c>
      <c r="C5" s="528">
        <v>33.752380952380946</v>
      </c>
      <c r="D5" s="529">
        <v>28.580952380952379</v>
      </c>
      <c r="E5">
        <f>AVERAGE(A5:D5)</f>
        <v>39.423809523809517</v>
      </c>
    </row>
    <row r="6" spans="1:12" x14ac:dyDescent="0.25">
      <c r="A6" s="532">
        <v>39.523809523809518</v>
      </c>
      <c r="B6" s="7">
        <v>35.523809523809518</v>
      </c>
      <c r="C6" s="7">
        <v>29.166666666666668</v>
      </c>
      <c r="D6" s="533">
        <v>25.166666666666668</v>
      </c>
      <c r="E6">
        <f>AVERAGE(A6:D6)</f>
        <v>32.345238095238095</v>
      </c>
    </row>
    <row r="7" spans="1:12" x14ac:dyDescent="0.25">
      <c r="A7" s="532">
        <v>33.752380952380946</v>
      </c>
      <c r="B7" s="7">
        <v>29.166666666666668</v>
      </c>
      <c r="C7" s="7">
        <v>41.352380952380955</v>
      </c>
      <c r="D7" s="533">
        <v>37.195238095238096</v>
      </c>
      <c r="E7">
        <f>AVERAGE(A7:D7)</f>
        <v>35.366666666666667</v>
      </c>
    </row>
    <row r="8" spans="1:12" x14ac:dyDescent="0.25">
      <c r="A8" s="409">
        <v>28.580952380952379</v>
      </c>
      <c r="B8" s="410">
        <v>25.166666666666668</v>
      </c>
      <c r="C8" s="410">
        <v>37.195238095238096</v>
      </c>
      <c r="D8" s="417">
        <v>34.352380952380955</v>
      </c>
      <c r="E8">
        <f>AVERAGE(A8:D8)</f>
        <v>31.323809523809526</v>
      </c>
    </row>
    <row r="9" spans="1:12" x14ac:dyDescent="0.25">
      <c r="A9">
        <f>AVERAGE(A5:A8)</f>
        <v>39.423809523809517</v>
      </c>
      <c r="B9">
        <f>AVERAGE(B5:B8)</f>
        <v>32.345238095238095</v>
      </c>
      <c r="C9">
        <f>AVERAGE(C5:C8)</f>
        <v>35.366666666666667</v>
      </c>
      <c r="D9">
        <f>AVERAGE(D5:D8)</f>
        <v>31.323809523809526</v>
      </c>
      <c r="E9">
        <f>AVERAGE(E5:E8)</f>
        <v>34.61488095238095</v>
      </c>
    </row>
    <row r="11" spans="1:12" x14ac:dyDescent="0.25">
      <c r="A11" t="s">
        <v>1029</v>
      </c>
    </row>
    <row r="13" spans="1:12" x14ac:dyDescent="0.25">
      <c r="A13">
        <v>1</v>
      </c>
      <c r="B13">
        <f>A13+1</f>
        <v>2</v>
      </c>
      <c r="C13">
        <f>B13+1</f>
        <v>3</v>
      </c>
      <c r="D13">
        <f>C13+1</f>
        <v>4</v>
      </c>
    </row>
    <row r="14" spans="1:12" x14ac:dyDescent="0.25">
      <c r="A14" s="527">
        <f>A5-$E5-A$9+$E$9</f>
        <v>11.605357142857152</v>
      </c>
      <c r="B14" s="528">
        <f t="shared" ref="B14:D15" si="0">B5-$E5-B$9+$E$9</f>
        <v>2.3696428571428569</v>
      </c>
      <c r="C14" s="528">
        <f t="shared" si="0"/>
        <v>-6.4232142857142875</v>
      </c>
      <c r="D14" s="529">
        <f t="shared" si="0"/>
        <v>-7.5517857142857139</v>
      </c>
      <c r="F14" t="s">
        <v>56</v>
      </c>
      <c r="G14" s="530">
        <f>D13</f>
        <v>4</v>
      </c>
      <c r="I14" s="16" t="s">
        <v>1030</v>
      </c>
    </row>
    <row r="15" spans="1:12" x14ac:dyDescent="0.25">
      <c r="A15" s="532">
        <f>A6-$E6-A$9+$E$9</f>
        <v>2.3696428571428569</v>
      </c>
      <c r="B15" s="7">
        <f t="shared" si="0"/>
        <v>5.448214285714279</v>
      </c>
      <c r="C15" s="7">
        <f t="shared" si="0"/>
        <v>-3.9303571428571402</v>
      </c>
      <c r="D15" s="533">
        <f t="shared" si="0"/>
        <v>-3.8875000000000028</v>
      </c>
      <c r="F15" t="s">
        <v>1031</v>
      </c>
      <c r="G15" s="503">
        <f>SUM(A18:D18)^2</f>
        <v>818.36862244897941</v>
      </c>
      <c r="I15" s="16" t="s">
        <v>1032</v>
      </c>
    </row>
    <row r="16" spans="1:12" x14ac:dyDescent="0.25">
      <c r="A16" s="532">
        <f t="shared" ref="A16:D17" si="1">A7-$E7-A$9+$E$9</f>
        <v>-6.4232142857142875</v>
      </c>
      <c r="B16" s="7">
        <f t="shared" si="1"/>
        <v>-3.9303571428571402</v>
      </c>
      <c r="C16" s="7">
        <f t="shared" si="1"/>
        <v>5.2339285714285708</v>
      </c>
      <c r="D16" s="533">
        <f t="shared" si="1"/>
        <v>5.1196428571428534</v>
      </c>
      <c r="F16" t="s">
        <v>1033</v>
      </c>
      <c r="G16" s="503">
        <f>(G14-1)*SUMSQ(A14:D17)</f>
        <v>1659.1385204081635</v>
      </c>
      <c r="I16" s="16" t="s">
        <v>1034</v>
      </c>
    </row>
    <row r="17" spans="1:9" x14ac:dyDescent="0.25">
      <c r="A17" s="409">
        <f t="shared" si="1"/>
        <v>-7.5517857142857139</v>
      </c>
      <c r="B17" s="410">
        <f t="shared" si="1"/>
        <v>-3.8875000000000028</v>
      </c>
      <c r="C17" s="410">
        <f t="shared" si="1"/>
        <v>5.1196428571428534</v>
      </c>
      <c r="D17" s="417">
        <f t="shared" si="1"/>
        <v>6.3196428571428527</v>
      </c>
      <c r="F17" t="s">
        <v>1035</v>
      </c>
      <c r="G17" s="420">
        <f>G15/G16</f>
        <v>0.49324912439960295</v>
      </c>
      <c r="I17" s="16" t="s">
        <v>1036</v>
      </c>
    </row>
    <row r="18" spans="1:9" x14ac:dyDescent="0.25">
      <c r="A18" s="31">
        <f>INDEX(A14:A17,A13)</f>
        <v>11.605357142857152</v>
      </c>
      <c r="B18" s="31">
        <f>INDEX(B14:B17,B13)</f>
        <v>5.448214285714279</v>
      </c>
      <c r="C18" s="31">
        <f>INDEX(C14:C17,C13)</f>
        <v>5.2339285714285708</v>
      </c>
      <c r="D18" s="31">
        <f>INDEX(D14:D17,D13)</f>
        <v>6.3196428571428527</v>
      </c>
      <c r="E18" t="s">
        <v>1037</v>
      </c>
    </row>
    <row r="20" spans="1:9" x14ac:dyDescent="0.25">
      <c r="A20" t="s">
        <v>1038</v>
      </c>
    </row>
    <row r="22" spans="1:9" x14ac:dyDescent="0.25">
      <c r="A22" s="534">
        <f t="array" ref="A22:C22">[1]!eVALUES(A14:D17)</f>
        <v>22.958965332710637</v>
      </c>
      <c r="B22" s="535">
        <v>5.0580459738728418</v>
      </c>
      <c r="C22" s="536">
        <v>0.5901315505593363</v>
      </c>
      <c r="F22" t="s">
        <v>56</v>
      </c>
      <c r="G22" s="530">
        <f>D13</f>
        <v>4</v>
      </c>
      <c r="I22" s="16" t="s">
        <v>1030</v>
      </c>
    </row>
    <row r="23" spans="1:9" x14ac:dyDescent="0.25">
      <c r="F23" t="s">
        <v>1031</v>
      </c>
      <c r="G23" s="503">
        <f>SUM(A22:C22)^2</f>
        <v>818.36862244897702</v>
      </c>
      <c r="I23" s="16" t="s">
        <v>1039</v>
      </c>
    </row>
    <row r="24" spans="1:9" x14ac:dyDescent="0.25">
      <c r="F24" t="s">
        <v>1033</v>
      </c>
      <c r="G24" s="503">
        <f>(G22-1)*SUMSQ(A22:C22)</f>
        <v>1659.1385204081569</v>
      </c>
      <c r="I24" s="16" t="s">
        <v>1040</v>
      </c>
    </row>
    <row r="25" spans="1:9" x14ac:dyDescent="0.25">
      <c r="F25" t="s">
        <v>1035</v>
      </c>
      <c r="G25" s="420">
        <f>G23/G24</f>
        <v>0.4932491243996035</v>
      </c>
      <c r="I25" s="16" t="s">
        <v>1041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D24"/>
  <sheetViews>
    <sheetView workbookViewId="0"/>
  </sheetViews>
  <sheetFormatPr defaultRowHeight="15" x14ac:dyDescent="0.25"/>
  <cols>
    <col min="1" max="1" width="12" customWidth="1"/>
  </cols>
  <sheetData>
    <row r="1" spans="1:4" x14ac:dyDescent="0.25">
      <c r="A1" s="1" t="s">
        <v>1042</v>
      </c>
    </row>
    <row r="3" spans="1:4" x14ac:dyDescent="0.25">
      <c r="A3" t="s">
        <v>1043</v>
      </c>
      <c r="B3" s="534">
        <f t="array" ref="B3:D3">[1]!eVALUES('ANOVA Match 1.4'!A14:D17)</f>
        <v>22.958965332710637</v>
      </c>
      <c r="C3" s="535">
        <v>5.0580459738728418</v>
      </c>
      <c r="D3" s="536">
        <v>0.5901315505593363</v>
      </c>
    </row>
    <row r="5" spans="1:4" x14ac:dyDescent="0.25">
      <c r="A5" t="s">
        <v>56</v>
      </c>
      <c r="B5" s="530">
        <f>'ANOVA Match 1.3'!H26</f>
        <v>4</v>
      </c>
    </row>
    <row r="6" spans="1:4" x14ac:dyDescent="0.25">
      <c r="A6" t="s">
        <v>31</v>
      </c>
      <c r="B6" s="503">
        <f>'ANOVA Match 1.3'!H25</f>
        <v>15</v>
      </c>
    </row>
    <row r="7" spans="1:4" x14ac:dyDescent="0.25">
      <c r="A7" t="s">
        <v>1044</v>
      </c>
      <c r="B7" s="503">
        <f>PRODUCT(B3:D3)/(SUM(B3:D3)/(B5-1))^(B5-1)</f>
        <v>7.9035868296389547E-2</v>
      </c>
    </row>
    <row r="8" spans="1:4" x14ac:dyDescent="0.25">
      <c r="A8" t="s">
        <v>5</v>
      </c>
      <c r="B8" s="503">
        <f>(2*(B5-1)^2+B5+2)/(6*(B5-1)*(B6-1))</f>
        <v>9.5238095238095233E-2</v>
      </c>
    </row>
    <row r="9" spans="1:4" x14ac:dyDescent="0.25">
      <c r="A9" t="s">
        <v>1045</v>
      </c>
      <c r="B9" s="503">
        <f>(B8-1)*(B6-1)*LN(B7)</f>
        <v>32.146144339500772</v>
      </c>
    </row>
    <row r="10" spans="1:4" x14ac:dyDescent="0.25">
      <c r="A10" t="s">
        <v>60</v>
      </c>
      <c r="B10" s="503">
        <f>B5*(B5-1)/2</f>
        <v>6</v>
      </c>
    </row>
    <row r="11" spans="1:4" x14ac:dyDescent="0.25">
      <c r="A11" t="s">
        <v>67</v>
      </c>
      <c r="B11" s="503">
        <f>CHIDIST(B9,B10)</f>
        <v>1.5297982838142058E-5</v>
      </c>
    </row>
    <row r="12" spans="1:4" x14ac:dyDescent="0.25">
      <c r="A12" t="s">
        <v>106</v>
      </c>
      <c r="B12" s="503">
        <v>0.05</v>
      </c>
    </row>
    <row r="13" spans="1:4" x14ac:dyDescent="0.25">
      <c r="A13" t="s">
        <v>527</v>
      </c>
      <c r="B13" s="414" t="str">
        <f>IF(B11&lt;B12,"yes","no")</f>
        <v>yes</v>
      </c>
    </row>
    <row r="15" spans="1:4" x14ac:dyDescent="0.25">
      <c r="A15" s="1" t="s">
        <v>1046</v>
      </c>
    </row>
    <row r="17" spans="1:2" x14ac:dyDescent="0.25">
      <c r="A17" t="s">
        <v>56</v>
      </c>
      <c r="B17" s="530">
        <f>B5</f>
        <v>4</v>
      </c>
    </row>
    <row r="18" spans="1:2" x14ac:dyDescent="0.25">
      <c r="A18" t="s">
        <v>31</v>
      </c>
      <c r="B18" s="503">
        <f>B6</f>
        <v>15</v>
      </c>
    </row>
    <row r="19" spans="1:2" x14ac:dyDescent="0.25">
      <c r="A19" t="s">
        <v>1047</v>
      </c>
      <c r="B19" s="503">
        <f>'ANOVA Match 1.4'!G25*(B17-1)</f>
        <v>1.4797473731988104</v>
      </c>
    </row>
    <row r="20" spans="1:2" x14ac:dyDescent="0.25">
      <c r="A20" t="s">
        <v>1045</v>
      </c>
      <c r="B20" s="503">
        <f>0.5*B18*(B17-1)^2*(B19-1/(B17-1))</f>
        <v>77.382947690919707</v>
      </c>
    </row>
    <row r="21" spans="1:2" x14ac:dyDescent="0.25">
      <c r="A21" t="s">
        <v>60</v>
      </c>
      <c r="B21" s="503">
        <f>B17*(B17-1)/2-1</f>
        <v>5</v>
      </c>
    </row>
    <row r="22" spans="1:2" x14ac:dyDescent="0.25">
      <c r="A22" t="s">
        <v>67</v>
      </c>
      <c r="B22" s="503">
        <f>CHIDIST(B20,B21)</f>
        <v>2.9581390316828109E-15</v>
      </c>
    </row>
    <row r="23" spans="1:2" x14ac:dyDescent="0.25">
      <c r="A23" t="s">
        <v>106</v>
      </c>
      <c r="B23" s="503">
        <v>0.05</v>
      </c>
    </row>
    <row r="24" spans="1:2" x14ac:dyDescent="0.25">
      <c r="A24" t="s">
        <v>527</v>
      </c>
      <c r="B24" s="414" t="str">
        <f>IF(B22&lt;B23,"yes","no")</f>
        <v>yes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U63"/>
  <sheetViews>
    <sheetView workbookViewId="0"/>
  </sheetViews>
  <sheetFormatPr defaultRowHeight="15" x14ac:dyDescent="0.25"/>
  <cols>
    <col min="14" max="14" width="17.42578125" customWidth="1"/>
  </cols>
  <sheetData>
    <row r="1" spans="1:20" x14ac:dyDescent="0.25">
      <c r="A1" s="1" t="s">
        <v>2677</v>
      </c>
    </row>
    <row r="3" spans="1:20" x14ac:dyDescent="0.25">
      <c r="A3" s="1244" t="s">
        <v>57</v>
      </c>
      <c r="B3" s="1244" t="s">
        <v>94</v>
      </c>
      <c r="C3" s="1244" t="s">
        <v>982</v>
      </c>
      <c r="D3" s="1244" t="s">
        <v>983</v>
      </c>
      <c r="E3" s="1244" t="s">
        <v>984</v>
      </c>
      <c r="H3" s="1244" t="s">
        <v>568</v>
      </c>
      <c r="I3" s="1244" t="s">
        <v>569</v>
      </c>
      <c r="J3" s="1244" t="s">
        <v>663</v>
      </c>
      <c r="K3" s="13" t="s">
        <v>4</v>
      </c>
      <c r="L3" s="13" t="s">
        <v>142</v>
      </c>
      <c r="N3" t="s">
        <v>1593</v>
      </c>
    </row>
    <row r="4" spans="1:20" x14ac:dyDescent="0.25">
      <c r="A4" s="1244">
        <v>1</v>
      </c>
      <c r="B4" s="498">
        <v>16</v>
      </c>
      <c r="C4" s="499">
        <v>22</v>
      </c>
      <c r="D4" s="499">
        <v>23</v>
      </c>
      <c r="E4" s="502">
        <v>25</v>
      </c>
      <c r="F4">
        <f>SUM(B4:E4)</f>
        <v>86</v>
      </c>
      <c r="H4" s="1252">
        <v>1</v>
      </c>
      <c r="I4" s="1196">
        <v>0</v>
      </c>
      <c r="J4" s="1196">
        <v>0</v>
      </c>
      <c r="K4" s="827">
        <f>F4</f>
        <v>86</v>
      </c>
      <c r="L4" s="1249">
        <f>B4</f>
        <v>16</v>
      </c>
    </row>
    <row r="5" spans="1:20" ht="15.75" thickBot="1" x14ac:dyDescent="0.3">
      <c r="A5" s="1244">
        <f>A4+1</f>
        <v>2</v>
      </c>
      <c r="B5" s="500">
        <v>12</v>
      </c>
      <c r="C5" s="1245">
        <v>18</v>
      </c>
      <c r="D5" s="1245">
        <v>24</v>
      </c>
      <c r="E5" s="36">
        <v>29</v>
      </c>
      <c r="F5">
        <f t="shared" ref="F5:F18" si="0">SUM(B5:E5)</f>
        <v>83</v>
      </c>
      <c r="H5" s="105">
        <v>1</v>
      </c>
      <c r="I5" s="101">
        <v>0</v>
      </c>
      <c r="J5" s="101">
        <v>0</v>
      </c>
      <c r="K5" s="7">
        <f t="shared" ref="K5:K18" si="1">F5</f>
        <v>83</v>
      </c>
      <c r="L5" s="533">
        <f t="shared" ref="L5:L18" si="2">B5</f>
        <v>12</v>
      </c>
      <c r="N5" s="743" t="s">
        <v>1598</v>
      </c>
      <c r="O5" s="743"/>
      <c r="Q5" s="743"/>
      <c r="R5" s="743"/>
    </row>
    <row r="6" spans="1:20" ht="15.75" thickTop="1" x14ac:dyDescent="0.25">
      <c r="A6" s="1244">
        <f t="shared" ref="A6:A18" si="3">A5+1</f>
        <v>3</v>
      </c>
      <c r="B6" s="500">
        <v>23</v>
      </c>
      <c r="C6" s="1245">
        <v>24</v>
      </c>
      <c r="D6" s="1245">
        <v>26</v>
      </c>
      <c r="E6" s="36">
        <v>27</v>
      </c>
      <c r="F6">
        <f t="shared" si="0"/>
        <v>100</v>
      </c>
      <c r="H6" s="105">
        <v>1</v>
      </c>
      <c r="I6" s="101">
        <v>0</v>
      </c>
      <c r="J6" s="101">
        <v>0</v>
      </c>
      <c r="K6" s="7">
        <f t="shared" si="1"/>
        <v>100</v>
      </c>
      <c r="L6" s="533">
        <f t="shared" si="2"/>
        <v>23</v>
      </c>
      <c r="N6" t="s">
        <v>292</v>
      </c>
      <c r="O6">
        <f>SQRT(O7)</f>
        <v>0.93474395589864023</v>
      </c>
      <c r="Q6" t="s">
        <v>774</v>
      </c>
      <c r="R6">
        <f>O10*LN(P15/O10)+2*(O14+1)</f>
        <v>123.90215225717907</v>
      </c>
    </row>
    <row r="7" spans="1:20" x14ac:dyDescent="0.25">
      <c r="A7" s="1244">
        <f t="shared" si="3"/>
        <v>4</v>
      </c>
      <c r="B7" s="500">
        <v>8</v>
      </c>
      <c r="C7" s="1245">
        <v>20</v>
      </c>
      <c r="D7" s="1245">
        <v>28</v>
      </c>
      <c r="E7" s="36">
        <v>30</v>
      </c>
      <c r="F7">
        <f t="shared" si="0"/>
        <v>86</v>
      </c>
      <c r="H7" s="105">
        <v>1</v>
      </c>
      <c r="I7" s="101">
        <v>0</v>
      </c>
      <c r="J7" s="101">
        <v>0</v>
      </c>
      <c r="K7" s="7">
        <f t="shared" si="1"/>
        <v>86</v>
      </c>
      <c r="L7" s="533">
        <f t="shared" si="2"/>
        <v>8</v>
      </c>
      <c r="N7" t="s">
        <v>285</v>
      </c>
      <c r="O7">
        <f>P14/P16</f>
        <v>0.87374626308903913</v>
      </c>
      <c r="Q7" t="s">
        <v>775</v>
      </c>
      <c r="R7">
        <f>R6+2*(O14+2)*(O14+3)/(O10-O14-3)</f>
        <v>125.48705791755643</v>
      </c>
    </row>
    <row r="8" spans="1:20" x14ac:dyDescent="0.25">
      <c r="A8" s="1244">
        <f t="shared" si="3"/>
        <v>5</v>
      </c>
      <c r="B8" s="500">
        <v>3</v>
      </c>
      <c r="C8" s="1245">
        <v>12</v>
      </c>
      <c r="D8" s="1245">
        <v>13</v>
      </c>
      <c r="E8" s="36">
        <v>17</v>
      </c>
      <c r="F8">
        <f t="shared" si="0"/>
        <v>45</v>
      </c>
      <c r="H8" s="105">
        <v>1</v>
      </c>
      <c r="I8" s="101">
        <v>0</v>
      </c>
      <c r="J8" s="101">
        <v>0</v>
      </c>
      <c r="K8" s="7">
        <f t="shared" si="1"/>
        <v>45</v>
      </c>
      <c r="L8" s="533">
        <f t="shared" si="2"/>
        <v>3</v>
      </c>
      <c r="N8" t="s">
        <v>293</v>
      </c>
      <c r="O8">
        <f>1-(1-O7)*(O10-1)/(O10-O14-1)</f>
        <v>0.86456417313187828</v>
      </c>
      <c r="Q8" s="762" t="s">
        <v>2661</v>
      </c>
      <c r="R8" s="762">
        <f>O10*LN(P15/O10)+(O14+1)*LN(O10)</f>
        <v>134.37387506828958</v>
      </c>
    </row>
    <row r="9" spans="1:20" x14ac:dyDescent="0.25">
      <c r="A9" s="1244">
        <f t="shared" si="3"/>
        <v>6</v>
      </c>
      <c r="B9" s="500">
        <v>5</v>
      </c>
      <c r="C9" s="1245">
        <v>13</v>
      </c>
      <c r="D9" s="1245">
        <v>11</v>
      </c>
      <c r="E9" s="36">
        <v>15</v>
      </c>
      <c r="F9">
        <f t="shared" si="0"/>
        <v>44</v>
      </c>
      <c r="H9" s="105">
        <v>1</v>
      </c>
      <c r="I9" s="101">
        <v>0</v>
      </c>
      <c r="J9" s="101">
        <v>0</v>
      </c>
      <c r="K9" s="7">
        <f t="shared" si="1"/>
        <v>44</v>
      </c>
      <c r="L9" s="533">
        <f t="shared" si="2"/>
        <v>5</v>
      </c>
      <c r="N9" t="s">
        <v>11</v>
      </c>
      <c r="O9">
        <f>SQRT(Q15)</f>
        <v>2.698484423119432</v>
      </c>
    </row>
    <row r="10" spans="1:20" x14ac:dyDescent="0.25">
      <c r="A10" s="1244">
        <f t="shared" si="3"/>
        <v>7</v>
      </c>
      <c r="B10" s="500">
        <v>19</v>
      </c>
      <c r="C10" s="1245">
        <v>22</v>
      </c>
      <c r="D10" s="1245">
        <v>25</v>
      </c>
      <c r="E10" s="36">
        <v>26</v>
      </c>
      <c r="F10">
        <f t="shared" si="0"/>
        <v>92</v>
      </c>
      <c r="H10" s="105">
        <v>1</v>
      </c>
      <c r="I10" s="101">
        <v>0</v>
      </c>
      <c r="J10" s="101">
        <v>0</v>
      </c>
      <c r="K10" s="7">
        <f t="shared" si="1"/>
        <v>92</v>
      </c>
      <c r="L10" s="533">
        <f t="shared" si="2"/>
        <v>19</v>
      </c>
      <c r="N10" s="762" t="s">
        <v>81</v>
      </c>
      <c r="O10" s="762">
        <f>COUNT(L4:L63)</f>
        <v>60</v>
      </c>
    </row>
    <row r="11" spans="1:20" x14ac:dyDescent="0.25">
      <c r="A11" s="1244">
        <f t="shared" si="3"/>
        <v>8</v>
      </c>
      <c r="B11" s="500">
        <v>22</v>
      </c>
      <c r="C11" s="1245">
        <v>22</v>
      </c>
      <c r="D11" s="1245">
        <v>23</v>
      </c>
      <c r="E11" s="36">
        <v>26</v>
      </c>
      <c r="F11">
        <f t="shared" si="0"/>
        <v>93</v>
      </c>
      <c r="H11" s="105">
        <v>1</v>
      </c>
      <c r="I11" s="101">
        <v>0</v>
      </c>
      <c r="J11" s="101">
        <v>0</v>
      </c>
      <c r="K11" s="7">
        <f t="shared" si="1"/>
        <v>93</v>
      </c>
      <c r="L11" s="533">
        <f t="shared" si="2"/>
        <v>22</v>
      </c>
    </row>
    <row r="12" spans="1:20" ht="15.75" thickBot="1" x14ac:dyDescent="0.3">
      <c r="A12" s="1244">
        <f t="shared" si="3"/>
        <v>9</v>
      </c>
      <c r="B12" s="500">
        <v>12</v>
      </c>
      <c r="C12" s="1245">
        <v>20</v>
      </c>
      <c r="D12" s="1245">
        <v>22</v>
      </c>
      <c r="E12" s="36">
        <v>24</v>
      </c>
      <c r="F12">
        <f t="shared" si="0"/>
        <v>78</v>
      </c>
      <c r="H12" s="105">
        <v>1</v>
      </c>
      <c r="I12" s="101">
        <v>0</v>
      </c>
      <c r="J12" s="101">
        <v>0</v>
      </c>
      <c r="K12" s="7">
        <f t="shared" si="1"/>
        <v>78</v>
      </c>
      <c r="L12" s="533">
        <f t="shared" si="2"/>
        <v>12</v>
      </c>
      <c r="N12" t="s">
        <v>294</v>
      </c>
      <c r="R12" s="1244" t="s">
        <v>34</v>
      </c>
      <c r="S12" s="1244">
        <v>0.05</v>
      </c>
    </row>
    <row r="13" spans="1:20" ht="15.75" thickTop="1" x14ac:dyDescent="0.25">
      <c r="A13" s="1244">
        <f t="shared" si="3"/>
        <v>10</v>
      </c>
      <c r="B13" s="500">
        <v>16</v>
      </c>
      <c r="C13" s="1245">
        <v>22</v>
      </c>
      <c r="D13" s="1245">
        <v>26</v>
      </c>
      <c r="E13" s="36">
        <v>29</v>
      </c>
      <c r="F13">
        <f t="shared" si="0"/>
        <v>93</v>
      </c>
      <c r="H13" s="105">
        <v>1</v>
      </c>
      <c r="I13" s="101">
        <v>0</v>
      </c>
      <c r="J13" s="101">
        <v>0</v>
      </c>
      <c r="K13" s="7">
        <f t="shared" si="1"/>
        <v>93</v>
      </c>
      <c r="L13" s="533">
        <f t="shared" si="2"/>
        <v>16</v>
      </c>
      <c r="N13" s="826"/>
      <c r="O13" s="826" t="s">
        <v>60</v>
      </c>
      <c r="P13" s="826" t="s">
        <v>219</v>
      </c>
      <c r="Q13" s="826" t="s">
        <v>240</v>
      </c>
      <c r="R13" s="826" t="s">
        <v>135</v>
      </c>
      <c r="S13" s="826" t="s">
        <v>67</v>
      </c>
      <c r="T13" s="826" t="s">
        <v>527</v>
      </c>
    </row>
    <row r="14" spans="1:20" x14ac:dyDescent="0.25">
      <c r="A14" s="1244">
        <f t="shared" si="3"/>
        <v>11</v>
      </c>
      <c r="B14" s="500">
        <v>14</v>
      </c>
      <c r="C14" s="1245">
        <v>25</v>
      </c>
      <c r="D14" s="1245">
        <v>18</v>
      </c>
      <c r="E14" s="36">
        <v>21</v>
      </c>
      <c r="F14">
        <f t="shared" si="0"/>
        <v>78</v>
      </c>
      <c r="H14" s="105">
        <v>1</v>
      </c>
      <c r="I14" s="101">
        <v>0</v>
      </c>
      <c r="J14" s="101">
        <v>0</v>
      </c>
      <c r="K14" s="7">
        <f t="shared" si="1"/>
        <v>78</v>
      </c>
      <c r="L14" s="533">
        <f t="shared" si="2"/>
        <v>14</v>
      </c>
      <c r="N14" t="s">
        <v>222</v>
      </c>
      <c r="O14">
        <f>COUNT(H4:K4)</f>
        <v>4</v>
      </c>
      <c r="P14">
        <f>DEVSQ(MMULT([1]!DESIGN(H4:K63),O19:O23))</f>
        <v>2771.6833333333325</v>
      </c>
      <c r="Q14">
        <f>P14/O14</f>
        <v>692.92083333333312</v>
      </c>
      <c r="R14">
        <f>Q14/Q15</f>
        <v>95.157667498959171</v>
      </c>
      <c r="S14">
        <f>FDIST(R14,O14,O15)</f>
        <v>4.815519778274576E-24</v>
      </c>
      <c r="T14" s="1244" t="str">
        <f>IF(S14&lt;S12,"yes","no")</f>
        <v>yes</v>
      </c>
    </row>
    <row r="15" spans="1:20" x14ac:dyDescent="0.25">
      <c r="A15" s="1244">
        <f t="shared" si="3"/>
        <v>12</v>
      </c>
      <c r="B15" s="500">
        <v>24</v>
      </c>
      <c r="C15" s="1245">
        <v>26</v>
      </c>
      <c r="D15" s="1245">
        <v>21</v>
      </c>
      <c r="E15" s="36">
        <v>23</v>
      </c>
      <c r="F15">
        <f t="shared" si="0"/>
        <v>94</v>
      </c>
      <c r="H15" s="105">
        <v>1</v>
      </c>
      <c r="I15" s="101">
        <v>0</v>
      </c>
      <c r="J15" s="101">
        <v>0</v>
      </c>
      <c r="K15" s="7">
        <f t="shared" si="1"/>
        <v>94</v>
      </c>
      <c r="L15" s="533">
        <f t="shared" si="2"/>
        <v>24</v>
      </c>
      <c r="N15" t="s">
        <v>295</v>
      </c>
      <c r="O15">
        <f>O16-O14</f>
        <v>55</v>
      </c>
      <c r="P15">
        <f>P16-P14</f>
        <v>400.50000000000182</v>
      </c>
      <c r="Q15">
        <f>P15/O15</f>
        <v>7.2818181818182151</v>
      </c>
    </row>
    <row r="16" spans="1:20" x14ac:dyDescent="0.25">
      <c r="A16" s="1244">
        <f t="shared" si="3"/>
        <v>13</v>
      </c>
      <c r="B16" s="500">
        <v>9</v>
      </c>
      <c r="C16" s="1245">
        <v>12</v>
      </c>
      <c r="D16" s="1245">
        <v>20</v>
      </c>
      <c r="E16" s="36">
        <v>23</v>
      </c>
      <c r="F16">
        <f t="shared" si="0"/>
        <v>64</v>
      </c>
      <c r="H16" s="105">
        <v>1</v>
      </c>
      <c r="I16" s="101">
        <v>0</v>
      </c>
      <c r="J16" s="101">
        <v>0</v>
      </c>
      <c r="K16" s="7">
        <f t="shared" si="1"/>
        <v>64</v>
      </c>
      <c r="L16" s="533">
        <f t="shared" si="2"/>
        <v>9</v>
      </c>
      <c r="N16" s="762" t="s">
        <v>1</v>
      </c>
      <c r="O16" s="762">
        <f>O10-1</f>
        <v>59</v>
      </c>
      <c r="P16" s="762">
        <f>DEVSQ(L4:L63)</f>
        <v>3172.1833333333343</v>
      </c>
      <c r="Q16" s="762"/>
      <c r="R16" s="762"/>
      <c r="S16" s="762"/>
      <c r="T16" s="762"/>
    </row>
    <row r="17" spans="1:21" ht="15.75" thickBot="1" x14ac:dyDescent="0.3">
      <c r="A17" s="1244">
        <f t="shared" si="3"/>
        <v>14</v>
      </c>
      <c r="B17" s="500">
        <v>3</v>
      </c>
      <c r="C17" s="1245">
        <v>9</v>
      </c>
      <c r="D17" s="1245">
        <v>13</v>
      </c>
      <c r="E17" s="36">
        <v>16</v>
      </c>
      <c r="F17">
        <f t="shared" si="0"/>
        <v>41</v>
      </c>
      <c r="H17" s="105">
        <v>1</v>
      </c>
      <c r="I17" s="101">
        <v>0</v>
      </c>
      <c r="J17" s="101">
        <v>0</v>
      </c>
      <c r="K17" s="7">
        <f t="shared" si="1"/>
        <v>41</v>
      </c>
      <c r="L17" s="533">
        <f t="shared" si="2"/>
        <v>3</v>
      </c>
    </row>
    <row r="18" spans="1:21" ht="15.75" thickTop="1" x14ac:dyDescent="0.25">
      <c r="A18" s="1244">
        <f t="shared" si="3"/>
        <v>15</v>
      </c>
      <c r="B18" s="488">
        <v>2</v>
      </c>
      <c r="C18" s="489">
        <v>8</v>
      </c>
      <c r="D18" s="489">
        <v>6</v>
      </c>
      <c r="E18" s="38">
        <v>10</v>
      </c>
      <c r="F18">
        <f t="shared" si="0"/>
        <v>26</v>
      </c>
      <c r="H18" s="1253">
        <v>1</v>
      </c>
      <c r="I18" s="1248">
        <v>0</v>
      </c>
      <c r="J18" s="1248">
        <v>0</v>
      </c>
      <c r="K18" s="762">
        <f t="shared" si="1"/>
        <v>26</v>
      </c>
      <c r="L18" s="417">
        <f t="shared" si="2"/>
        <v>2</v>
      </c>
      <c r="N18" s="826"/>
      <c r="O18" s="826" t="s">
        <v>1592</v>
      </c>
      <c r="P18" s="826" t="s">
        <v>1000</v>
      </c>
      <c r="Q18" s="826" t="s">
        <v>61</v>
      </c>
      <c r="R18" s="826" t="s">
        <v>67</v>
      </c>
      <c r="S18" s="826" t="s">
        <v>29</v>
      </c>
      <c r="T18" s="826" t="s">
        <v>30</v>
      </c>
      <c r="U18" s="826" t="s">
        <v>2649</v>
      </c>
    </row>
    <row r="19" spans="1:21" x14ac:dyDescent="0.25">
      <c r="H19" s="1252">
        <v>0</v>
      </c>
      <c r="I19" s="1196">
        <v>1</v>
      </c>
      <c r="J19" s="1196">
        <v>0</v>
      </c>
      <c r="K19" s="827">
        <f>F4</f>
        <v>86</v>
      </c>
      <c r="L19" s="1249">
        <f>C4</f>
        <v>22</v>
      </c>
      <c r="N19" t="s">
        <v>296</v>
      </c>
      <c r="O19">
        <f t="array" ref="O19:P23">[1]!RegCoeff(H4:K63,L4:L63)</f>
        <v>0</v>
      </c>
      <c r="P19">
        <v>1.1793547432696776</v>
      </c>
      <c r="Q19">
        <f>O19/P19</f>
        <v>0</v>
      </c>
      <c r="R19">
        <f>TDIST(ABS(Q19),$O$15,2)</f>
        <v>1</v>
      </c>
      <c r="S19">
        <f>O19-TINV(S$12,$O$15)*P19</f>
        <v>-2.3634797208969069</v>
      </c>
      <c r="T19">
        <f>O19+TINV(S$12,$O$15)*P19</f>
        <v>2.3634797208969069</v>
      </c>
    </row>
    <row r="20" spans="1:21" x14ac:dyDescent="0.25">
      <c r="H20" s="105">
        <v>0</v>
      </c>
      <c r="I20" s="101">
        <v>1</v>
      </c>
      <c r="J20" s="101">
        <v>0</v>
      </c>
      <c r="K20" s="7">
        <f t="shared" ref="K20:K33" si="4">F5</f>
        <v>83</v>
      </c>
      <c r="L20" s="533">
        <f t="shared" ref="L20:L33" si="5">C5</f>
        <v>18</v>
      </c>
      <c r="N20" t="str">
        <f t="array" ref="N20:N23">TRANSPOSE(H3:K3)</f>
        <v>t1</v>
      </c>
      <c r="O20">
        <v>-5.8499999999999988</v>
      </c>
      <c r="P20">
        <v>0.60339946063193417</v>
      </c>
      <c r="Q20">
        <f>O20/P20</f>
        <v>-9.6950699854344471</v>
      </c>
      <c r="R20">
        <f>TDIST(ABS(Q20),$O$15,2)</f>
        <v>1.6721193304108385E-13</v>
      </c>
      <c r="S20">
        <f>O20-TINV(S$12,$O$15)*P20</f>
        <v>-7.0592395413189104</v>
      </c>
      <c r="T20">
        <f>O20+TINV(S$12,$O$15)*P20</f>
        <v>-4.6407604586810871</v>
      </c>
      <c r="U20">
        <f>[1]!VIF(H4:K63,1)</f>
        <v>1.5</v>
      </c>
    </row>
    <row r="21" spans="1:21" x14ac:dyDescent="0.25">
      <c r="H21" s="105">
        <v>0</v>
      </c>
      <c r="I21" s="101">
        <v>1</v>
      </c>
      <c r="J21" s="101">
        <v>0</v>
      </c>
      <c r="K21" s="7">
        <f t="shared" si="4"/>
        <v>100</v>
      </c>
      <c r="L21" s="533">
        <f t="shared" si="5"/>
        <v>24</v>
      </c>
      <c r="N21" t="str">
        <v>t2</v>
      </c>
      <c r="O21">
        <v>-5.0000000000000475E-2</v>
      </c>
      <c r="P21">
        <v>0.60339946063193406</v>
      </c>
      <c r="Q21">
        <f>O21/P21</f>
        <v>-8.2863846029355065E-2</v>
      </c>
      <c r="R21">
        <f>TDIST(ABS(Q21),$O$15,2)</f>
        <v>0.93426065063401276</v>
      </c>
      <c r="S21">
        <f>O21-TINV(S$12,$O$15)*P21</f>
        <v>-1.2592395413189121</v>
      </c>
      <c r="T21">
        <f>O21+TINV(S$12,$O$15)*P21</f>
        <v>1.1592395413189112</v>
      </c>
      <c r="U21">
        <f>[1]!VIF(H4:K63,2)</f>
        <v>1.5000000000000004</v>
      </c>
    </row>
    <row r="22" spans="1:21" x14ac:dyDescent="0.25">
      <c r="H22" s="105">
        <v>0</v>
      </c>
      <c r="I22" s="101">
        <v>1</v>
      </c>
      <c r="J22" s="101">
        <v>0</v>
      </c>
      <c r="K22" s="7">
        <f t="shared" si="4"/>
        <v>86</v>
      </c>
      <c r="L22" s="533">
        <f t="shared" si="5"/>
        <v>20</v>
      </c>
      <c r="N22" t="str">
        <v>t3</v>
      </c>
      <c r="O22">
        <v>1.5499999999999992</v>
      </c>
      <c r="P22">
        <v>0.60339946063193417</v>
      </c>
      <c r="Q22">
        <f>O22/P22</f>
        <v>2.5687792269099807</v>
      </c>
      <c r="R22">
        <f>TDIST(ABS(Q22),$O$15,2)</f>
        <v>1.294952192383908E-2</v>
      </c>
      <c r="S22">
        <f>O22-TINV(S$12,$O$15)*P22</f>
        <v>0.34076045868108729</v>
      </c>
      <c r="T22">
        <f>O22+TINV(S$12,$O$15)*P22</f>
        <v>2.759239541318911</v>
      </c>
      <c r="U22">
        <f>[1]!VIF(H4:K63,3)</f>
        <v>1.5000000000000004</v>
      </c>
    </row>
    <row r="23" spans="1:21" x14ac:dyDescent="0.25">
      <c r="H23" s="105">
        <v>0</v>
      </c>
      <c r="I23" s="101">
        <v>1</v>
      </c>
      <c r="J23" s="101">
        <v>0</v>
      </c>
      <c r="K23" s="7">
        <f t="shared" si="4"/>
        <v>45</v>
      </c>
      <c r="L23" s="533">
        <f t="shared" si="5"/>
        <v>12</v>
      </c>
      <c r="N23" s="762" t="str">
        <v>x</v>
      </c>
      <c r="O23" s="762">
        <v>0.25</v>
      </c>
      <c r="P23" s="762">
        <v>1.5322671448835028E-2</v>
      </c>
      <c r="Q23" s="762">
        <f>O23/P23</f>
        <v>16.315692784694363</v>
      </c>
      <c r="R23" s="762">
        <f>TDIST(ABS(Q23),$O$15,2)</f>
        <v>9.830738109062513E-23</v>
      </c>
      <c r="S23" s="762">
        <f>O23-TINV(S$12,$O$15)*P23</f>
        <v>0.21929268021690862</v>
      </c>
      <c r="T23" s="762">
        <f>O23+TINV(S$12,$O$15)*P23</f>
        <v>0.28070731978309138</v>
      </c>
      <c r="U23" s="762">
        <f>[1]!VIF(H4:K63,4)</f>
        <v>1</v>
      </c>
    </row>
    <row r="24" spans="1:21" x14ac:dyDescent="0.25">
      <c r="H24" s="105">
        <v>0</v>
      </c>
      <c r="I24" s="101">
        <v>1</v>
      </c>
      <c r="J24" s="101">
        <v>0</v>
      </c>
      <c r="K24" s="7">
        <f t="shared" si="4"/>
        <v>44</v>
      </c>
      <c r="L24" s="533">
        <f t="shared" si="5"/>
        <v>13</v>
      </c>
    </row>
    <row r="25" spans="1:21" x14ac:dyDescent="0.25">
      <c r="H25" s="105">
        <v>0</v>
      </c>
      <c r="I25" s="101">
        <v>1</v>
      </c>
      <c r="J25" s="101">
        <v>0</v>
      </c>
      <c r="K25" s="7">
        <f t="shared" si="4"/>
        <v>92</v>
      </c>
      <c r="L25" s="533">
        <f t="shared" si="5"/>
        <v>22</v>
      </c>
    </row>
    <row r="26" spans="1:21" x14ac:dyDescent="0.25">
      <c r="H26" s="105">
        <v>0</v>
      </c>
      <c r="I26" s="101">
        <v>1</v>
      </c>
      <c r="J26" s="101">
        <v>0</v>
      </c>
      <c r="K26" s="7">
        <f t="shared" si="4"/>
        <v>93</v>
      </c>
      <c r="L26" s="533">
        <f t="shared" si="5"/>
        <v>22</v>
      </c>
    </row>
    <row r="27" spans="1:21" x14ac:dyDescent="0.25">
      <c r="H27" s="105">
        <v>0</v>
      </c>
      <c r="I27" s="101">
        <v>1</v>
      </c>
      <c r="J27" s="101">
        <v>0</v>
      </c>
      <c r="K27" s="7">
        <f t="shared" si="4"/>
        <v>78</v>
      </c>
      <c r="L27" s="533">
        <f t="shared" si="5"/>
        <v>20</v>
      </c>
    </row>
    <row r="28" spans="1:21" x14ac:dyDescent="0.25">
      <c r="H28" s="105">
        <v>0</v>
      </c>
      <c r="I28" s="101">
        <v>1</v>
      </c>
      <c r="J28" s="101">
        <v>0</v>
      </c>
      <c r="K28" s="7">
        <f t="shared" si="4"/>
        <v>93</v>
      </c>
      <c r="L28" s="533">
        <f t="shared" si="5"/>
        <v>22</v>
      </c>
    </row>
    <row r="29" spans="1:21" x14ac:dyDescent="0.25">
      <c r="H29" s="105">
        <v>0</v>
      </c>
      <c r="I29" s="101">
        <v>1</v>
      </c>
      <c r="J29" s="101">
        <v>0</v>
      </c>
      <c r="K29" s="7">
        <f t="shared" si="4"/>
        <v>78</v>
      </c>
      <c r="L29" s="533">
        <f t="shared" si="5"/>
        <v>25</v>
      </c>
    </row>
    <row r="30" spans="1:21" x14ac:dyDescent="0.25">
      <c r="H30" s="105">
        <v>0</v>
      </c>
      <c r="I30" s="101">
        <v>1</v>
      </c>
      <c r="J30" s="101">
        <v>0</v>
      </c>
      <c r="K30" s="7">
        <f t="shared" si="4"/>
        <v>94</v>
      </c>
      <c r="L30" s="533">
        <f t="shared" si="5"/>
        <v>26</v>
      </c>
    </row>
    <row r="31" spans="1:21" x14ac:dyDescent="0.25">
      <c r="H31" s="105">
        <v>0</v>
      </c>
      <c r="I31" s="101">
        <v>1</v>
      </c>
      <c r="J31" s="101">
        <v>0</v>
      </c>
      <c r="K31" s="7">
        <f t="shared" si="4"/>
        <v>64</v>
      </c>
      <c r="L31" s="533">
        <f t="shared" si="5"/>
        <v>12</v>
      </c>
    </row>
    <row r="32" spans="1:21" x14ac:dyDescent="0.25">
      <c r="H32" s="105">
        <v>0</v>
      </c>
      <c r="I32" s="101">
        <v>1</v>
      </c>
      <c r="J32" s="101">
        <v>0</v>
      </c>
      <c r="K32" s="7">
        <f t="shared" si="4"/>
        <v>41</v>
      </c>
      <c r="L32" s="533">
        <f t="shared" si="5"/>
        <v>9</v>
      </c>
    </row>
    <row r="33" spans="8:12" x14ac:dyDescent="0.25">
      <c r="H33" s="1253">
        <v>0</v>
      </c>
      <c r="I33" s="1248">
        <v>1</v>
      </c>
      <c r="J33" s="1248">
        <v>0</v>
      </c>
      <c r="K33" s="762">
        <f t="shared" si="4"/>
        <v>26</v>
      </c>
      <c r="L33" s="417">
        <f t="shared" si="5"/>
        <v>8</v>
      </c>
    </row>
    <row r="34" spans="8:12" x14ac:dyDescent="0.25">
      <c r="H34" s="1252">
        <v>0</v>
      </c>
      <c r="I34" s="1196">
        <v>0</v>
      </c>
      <c r="J34" s="1196">
        <v>1</v>
      </c>
      <c r="K34" s="827">
        <f>F4</f>
        <v>86</v>
      </c>
      <c r="L34" s="1249">
        <f>D4</f>
        <v>23</v>
      </c>
    </row>
    <row r="35" spans="8:12" x14ac:dyDescent="0.25">
      <c r="H35" s="105">
        <v>0</v>
      </c>
      <c r="I35" s="101">
        <v>0</v>
      </c>
      <c r="J35" s="101">
        <v>1</v>
      </c>
      <c r="K35" s="7">
        <f t="shared" ref="K35:K48" si="6">F5</f>
        <v>83</v>
      </c>
      <c r="L35" s="533">
        <f t="shared" ref="L35:L48" si="7">D5</f>
        <v>24</v>
      </c>
    </row>
    <row r="36" spans="8:12" x14ac:dyDescent="0.25">
      <c r="H36" s="105">
        <v>0</v>
      </c>
      <c r="I36" s="101">
        <v>0</v>
      </c>
      <c r="J36" s="101">
        <v>1</v>
      </c>
      <c r="K36" s="7">
        <f t="shared" si="6"/>
        <v>100</v>
      </c>
      <c r="L36" s="533">
        <f t="shared" si="7"/>
        <v>26</v>
      </c>
    </row>
    <row r="37" spans="8:12" x14ac:dyDescent="0.25">
      <c r="H37" s="105">
        <v>0</v>
      </c>
      <c r="I37" s="101">
        <v>0</v>
      </c>
      <c r="J37" s="101">
        <v>1</v>
      </c>
      <c r="K37" s="7">
        <f t="shared" si="6"/>
        <v>86</v>
      </c>
      <c r="L37" s="533">
        <f t="shared" si="7"/>
        <v>28</v>
      </c>
    </row>
    <row r="38" spans="8:12" x14ac:dyDescent="0.25">
      <c r="H38" s="105">
        <v>0</v>
      </c>
      <c r="I38" s="101">
        <v>0</v>
      </c>
      <c r="J38" s="101">
        <v>1</v>
      </c>
      <c r="K38" s="7">
        <f t="shared" si="6"/>
        <v>45</v>
      </c>
      <c r="L38" s="533">
        <f t="shared" si="7"/>
        <v>13</v>
      </c>
    </row>
    <row r="39" spans="8:12" x14ac:dyDescent="0.25">
      <c r="H39" s="105">
        <v>0</v>
      </c>
      <c r="I39" s="101">
        <v>0</v>
      </c>
      <c r="J39" s="101">
        <v>1</v>
      </c>
      <c r="K39" s="7">
        <f t="shared" si="6"/>
        <v>44</v>
      </c>
      <c r="L39" s="533">
        <f t="shared" si="7"/>
        <v>11</v>
      </c>
    </row>
    <row r="40" spans="8:12" x14ac:dyDescent="0.25">
      <c r="H40" s="105">
        <v>0</v>
      </c>
      <c r="I40" s="101">
        <v>0</v>
      </c>
      <c r="J40" s="101">
        <v>1</v>
      </c>
      <c r="K40" s="7">
        <f t="shared" si="6"/>
        <v>92</v>
      </c>
      <c r="L40" s="533">
        <f t="shared" si="7"/>
        <v>25</v>
      </c>
    </row>
    <row r="41" spans="8:12" x14ac:dyDescent="0.25">
      <c r="H41" s="105">
        <v>0</v>
      </c>
      <c r="I41" s="101">
        <v>0</v>
      </c>
      <c r="J41" s="101">
        <v>1</v>
      </c>
      <c r="K41" s="7">
        <f t="shared" si="6"/>
        <v>93</v>
      </c>
      <c r="L41" s="533">
        <f t="shared" si="7"/>
        <v>23</v>
      </c>
    </row>
    <row r="42" spans="8:12" x14ac:dyDescent="0.25">
      <c r="H42" s="105">
        <v>0</v>
      </c>
      <c r="I42" s="101">
        <v>0</v>
      </c>
      <c r="J42" s="101">
        <v>1</v>
      </c>
      <c r="K42" s="7">
        <f t="shared" si="6"/>
        <v>78</v>
      </c>
      <c r="L42" s="533">
        <f t="shared" si="7"/>
        <v>22</v>
      </c>
    </row>
    <row r="43" spans="8:12" x14ac:dyDescent="0.25">
      <c r="H43" s="105">
        <v>0</v>
      </c>
      <c r="I43" s="101">
        <v>0</v>
      </c>
      <c r="J43" s="101">
        <v>1</v>
      </c>
      <c r="K43" s="7">
        <f t="shared" si="6"/>
        <v>93</v>
      </c>
      <c r="L43" s="533">
        <f t="shared" si="7"/>
        <v>26</v>
      </c>
    </row>
    <row r="44" spans="8:12" x14ac:dyDescent="0.25">
      <c r="H44" s="105">
        <v>0</v>
      </c>
      <c r="I44" s="101">
        <v>0</v>
      </c>
      <c r="J44" s="101">
        <v>1</v>
      </c>
      <c r="K44" s="7">
        <f t="shared" si="6"/>
        <v>78</v>
      </c>
      <c r="L44" s="533">
        <f t="shared" si="7"/>
        <v>18</v>
      </c>
    </row>
    <row r="45" spans="8:12" x14ac:dyDescent="0.25">
      <c r="H45" s="105">
        <v>0</v>
      </c>
      <c r="I45" s="101">
        <v>0</v>
      </c>
      <c r="J45" s="101">
        <v>1</v>
      </c>
      <c r="K45" s="7">
        <f t="shared" si="6"/>
        <v>94</v>
      </c>
      <c r="L45" s="533">
        <f t="shared" si="7"/>
        <v>21</v>
      </c>
    </row>
    <row r="46" spans="8:12" x14ac:dyDescent="0.25">
      <c r="H46" s="105">
        <v>0</v>
      </c>
      <c r="I46" s="101">
        <v>0</v>
      </c>
      <c r="J46" s="101">
        <v>1</v>
      </c>
      <c r="K46" s="7">
        <f t="shared" si="6"/>
        <v>64</v>
      </c>
      <c r="L46" s="533">
        <f t="shared" si="7"/>
        <v>20</v>
      </c>
    </row>
    <row r="47" spans="8:12" x14ac:dyDescent="0.25">
      <c r="H47" s="105">
        <v>0</v>
      </c>
      <c r="I47" s="101">
        <v>0</v>
      </c>
      <c r="J47" s="101">
        <v>1</v>
      </c>
      <c r="K47" s="7">
        <f t="shared" si="6"/>
        <v>41</v>
      </c>
      <c r="L47" s="533">
        <f t="shared" si="7"/>
        <v>13</v>
      </c>
    </row>
    <row r="48" spans="8:12" x14ac:dyDescent="0.25">
      <c r="H48" s="1253">
        <v>0</v>
      </c>
      <c r="I48" s="1248">
        <v>0</v>
      </c>
      <c r="J48" s="1248">
        <v>1</v>
      </c>
      <c r="K48" s="762">
        <f t="shared" si="6"/>
        <v>26</v>
      </c>
      <c r="L48" s="417">
        <f t="shared" si="7"/>
        <v>6</v>
      </c>
    </row>
    <row r="49" spans="8:12" x14ac:dyDescent="0.25">
      <c r="H49" s="1252">
        <v>-1</v>
      </c>
      <c r="I49" s="1196">
        <v>-1</v>
      </c>
      <c r="J49" s="1196">
        <v>-1</v>
      </c>
      <c r="K49" s="827">
        <f>F4</f>
        <v>86</v>
      </c>
      <c r="L49" s="1249">
        <f>E4</f>
        <v>25</v>
      </c>
    </row>
    <row r="50" spans="8:12" x14ac:dyDescent="0.25">
      <c r="H50" s="105">
        <v>-1</v>
      </c>
      <c r="I50" s="101">
        <v>-1</v>
      </c>
      <c r="J50" s="101">
        <v>-1</v>
      </c>
      <c r="K50" s="7">
        <f t="shared" ref="K50:K63" si="8">F5</f>
        <v>83</v>
      </c>
      <c r="L50" s="533">
        <f t="shared" ref="L50:L63" si="9">E5</f>
        <v>29</v>
      </c>
    </row>
    <row r="51" spans="8:12" x14ac:dyDescent="0.25">
      <c r="H51" s="105">
        <v>-1</v>
      </c>
      <c r="I51" s="101">
        <v>-1</v>
      </c>
      <c r="J51" s="101">
        <v>-1</v>
      </c>
      <c r="K51" s="7">
        <f t="shared" si="8"/>
        <v>100</v>
      </c>
      <c r="L51" s="533">
        <f t="shared" si="9"/>
        <v>27</v>
      </c>
    </row>
    <row r="52" spans="8:12" x14ac:dyDescent="0.25">
      <c r="H52" s="105">
        <v>-1</v>
      </c>
      <c r="I52" s="101">
        <v>-1</v>
      </c>
      <c r="J52" s="101">
        <v>-1</v>
      </c>
      <c r="K52" s="7">
        <f t="shared" si="8"/>
        <v>86</v>
      </c>
      <c r="L52" s="533">
        <f t="shared" si="9"/>
        <v>30</v>
      </c>
    </row>
    <row r="53" spans="8:12" x14ac:dyDescent="0.25">
      <c r="H53" s="105">
        <v>-1</v>
      </c>
      <c r="I53" s="101">
        <v>-1</v>
      </c>
      <c r="J53" s="101">
        <v>-1</v>
      </c>
      <c r="K53" s="7">
        <f t="shared" si="8"/>
        <v>45</v>
      </c>
      <c r="L53" s="533">
        <f t="shared" si="9"/>
        <v>17</v>
      </c>
    </row>
    <row r="54" spans="8:12" x14ac:dyDescent="0.25">
      <c r="H54" s="105">
        <v>-1</v>
      </c>
      <c r="I54" s="101">
        <v>-1</v>
      </c>
      <c r="J54" s="101">
        <v>-1</v>
      </c>
      <c r="K54" s="7">
        <f t="shared" si="8"/>
        <v>44</v>
      </c>
      <c r="L54" s="533">
        <f t="shared" si="9"/>
        <v>15</v>
      </c>
    </row>
    <row r="55" spans="8:12" x14ac:dyDescent="0.25">
      <c r="H55" s="105">
        <v>-1</v>
      </c>
      <c r="I55" s="101">
        <v>-1</v>
      </c>
      <c r="J55" s="101">
        <v>-1</v>
      </c>
      <c r="K55" s="7">
        <f t="shared" si="8"/>
        <v>92</v>
      </c>
      <c r="L55" s="533">
        <f t="shared" si="9"/>
        <v>26</v>
      </c>
    </row>
    <row r="56" spans="8:12" x14ac:dyDescent="0.25">
      <c r="H56" s="105">
        <v>-1</v>
      </c>
      <c r="I56" s="101">
        <v>-1</v>
      </c>
      <c r="J56" s="101">
        <v>-1</v>
      </c>
      <c r="K56" s="7">
        <f t="shared" si="8"/>
        <v>93</v>
      </c>
      <c r="L56" s="533">
        <f t="shared" si="9"/>
        <v>26</v>
      </c>
    </row>
    <row r="57" spans="8:12" x14ac:dyDescent="0.25">
      <c r="H57" s="105">
        <v>-1</v>
      </c>
      <c r="I57" s="101">
        <v>-1</v>
      </c>
      <c r="J57" s="101">
        <v>-1</v>
      </c>
      <c r="K57" s="7">
        <f t="shared" si="8"/>
        <v>78</v>
      </c>
      <c r="L57" s="533">
        <f t="shared" si="9"/>
        <v>24</v>
      </c>
    </row>
    <row r="58" spans="8:12" x14ac:dyDescent="0.25">
      <c r="H58" s="105">
        <v>-1</v>
      </c>
      <c r="I58" s="101">
        <v>-1</v>
      </c>
      <c r="J58" s="101">
        <v>-1</v>
      </c>
      <c r="K58" s="7">
        <f t="shared" si="8"/>
        <v>93</v>
      </c>
      <c r="L58" s="533">
        <f t="shared" si="9"/>
        <v>29</v>
      </c>
    </row>
    <row r="59" spans="8:12" x14ac:dyDescent="0.25">
      <c r="H59" s="105">
        <v>-1</v>
      </c>
      <c r="I59" s="101">
        <v>-1</v>
      </c>
      <c r="J59" s="101">
        <v>-1</v>
      </c>
      <c r="K59" s="7">
        <f t="shared" si="8"/>
        <v>78</v>
      </c>
      <c r="L59" s="533">
        <f t="shared" si="9"/>
        <v>21</v>
      </c>
    </row>
    <row r="60" spans="8:12" x14ac:dyDescent="0.25">
      <c r="H60" s="105">
        <v>-1</v>
      </c>
      <c r="I60" s="101">
        <v>-1</v>
      </c>
      <c r="J60" s="101">
        <v>-1</v>
      </c>
      <c r="K60" s="7">
        <f t="shared" si="8"/>
        <v>94</v>
      </c>
      <c r="L60" s="533">
        <f t="shared" si="9"/>
        <v>23</v>
      </c>
    </row>
    <row r="61" spans="8:12" x14ac:dyDescent="0.25">
      <c r="H61" s="105">
        <v>-1</v>
      </c>
      <c r="I61" s="101">
        <v>-1</v>
      </c>
      <c r="J61" s="101">
        <v>-1</v>
      </c>
      <c r="K61" s="7">
        <f t="shared" si="8"/>
        <v>64</v>
      </c>
      <c r="L61" s="533">
        <f t="shared" si="9"/>
        <v>23</v>
      </c>
    </row>
    <row r="62" spans="8:12" x14ac:dyDescent="0.25">
      <c r="H62" s="105">
        <v>-1</v>
      </c>
      <c r="I62" s="101">
        <v>-1</v>
      </c>
      <c r="J62" s="101">
        <v>-1</v>
      </c>
      <c r="K62" s="7">
        <f t="shared" si="8"/>
        <v>41</v>
      </c>
      <c r="L62" s="533">
        <f t="shared" si="9"/>
        <v>16</v>
      </c>
    </row>
    <row r="63" spans="8:12" x14ac:dyDescent="0.25">
      <c r="H63" s="1253">
        <v>-1</v>
      </c>
      <c r="I63" s="1248">
        <v>-1</v>
      </c>
      <c r="J63" s="1248">
        <v>-1</v>
      </c>
      <c r="K63" s="762">
        <f t="shared" si="8"/>
        <v>26</v>
      </c>
      <c r="L63" s="417">
        <f t="shared" si="9"/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BA42"/>
  <sheetViews>
    <sheetView workbookViewId="0"/>
  </sheetViews>
  <sheetFormatPr defaultRowHeight="15" x14ac:dyDescent="0.25"/>
  <cols>
    <col min="2" max="16" width="8.85546875" customWidth="1"/>
    <col min="17" max="17" width="11.7109375" customWidth="1"/>
    <col min="23" max="23" width="15.28515625" customWidth="1"/>
    <col min="35" max="35" width="16" customWidth="1"/>
    <col min="43" max="43" width="17.140625" customWidth="1"/>
    <col min="46" max="46" width="14.7109375" customWidth="1"/>
    <col min="47" max="47" width="12.7109375" customWidth="1"/>
  </cols>
  <sheetData>
    <row r="1" spans="1:53" x14ac:dyDescent="0.25">
      <c r="A1" s="1" t="s">
        <v>1108</v>
      </c>
      <c r="Q1" t="s">
        <v>1048</v>
      </c>
    </row>
    <row r="2" spans="1:53" ht="15.75" thickBot="1" x14ac:dyDescent="0.3">
      <c r="A2" s="1"/>
      <c r="AF2" t="s">
        <v>1052</v>
      </c>
      <c r="AI2" t="s">
        <v>963</v>
      </c>
      <c r="AM2" t="s">
        <v>1053</v>
      </c>
      <c r="AQ2" t="s">
        <v>963</v>
      </c>
      <c r="AT2" t="s">
        <v>294</v>
      </c>
    </row>
    <row r="3" spans="1:53" ht="15.75" thickBot="1" x14ac:dyDescent="0.3">
      <c r="A3" s="1"/>
      <c r="B3" s="537" t="s">
        <v>1054</v>
      </c>
      <c r="C3" s="538" t="s">
        <v>1054</v>
      </c>
      <c r="D3" s="539" t="s">
        <v>1054</v>
      </c>
      <c r="E3" s="537" t="s">
        <v>1055</v>
      </c>
      <c r="F3" s="538" t="s">
        <v>1055</v>
      </c>
      <c r="G3" s="539" t="s">
        <v>1055</v>
      </c>
      <c r="J3" s="508" t="s">
        <v>1054</v>
      </c>
      <c r="K3" s="508" t="s">
        <v>1055</v>
      </c>
      <c r="R3" s="13" t="s">
        <v>41</v>
      </c>
      <c r="S3" s="13" t="s">
        <v>42</v>
      </c>
      <c r="T3" s="13" t="s">
        <v>573</v>
      </c>
      <c r="U3" s="13" t="s">
        <v>31</v>
      </c>
      <c r="W3" t="s">
        <v>294</v>
      </c>
      <c r="AT3" s="1315" t="s">
        <v>1056</v>
      </c>
      <c r="AU3" s="1315"/>
      <c r="AV3" s="509" t="s">
        <v>219</v>
      </c>
      <c r="AW3" s="509" t="s">
        <v>60</v>
      </c>
      <c r="AX3" s="509" t="s">
        <v>240</v>
      </c>
      <c r="AY3" s="509" t="s">
        <v>135</v>
      </c>
      <c r="AZ3" s="509" t="s">
        <v>119</v>
      </c>
      <c r="BA3" s="509" t="s">
        <v>467</v>
      </c>
    </row>
    <row r="4" spans="1:53" x14ac:dyDescent="0.25">
      <c r="A4" s="508" t="s">
        <v>57</v>
      </c>
      <c r="B4" s="436" t="s">
        <v>1049</v>
      </c>
      <c r="C4" s="487" t="s">
        <v>1050</v>
      </c>
      <c r="D4" s="412" t="s">
        <v>1051</v>
      </c>
      <c r="E4" s="436" t="s">
        <v>1049</v>
      </c>
      <c r="F4" s="487" t="s">
        <v>1050</v>
      </c>
      <c r="G4" s="412" t="s">
        <v>1051</v>
      </c>
      <c r="M4" s="50" t="s">
        <v>1049</v>
      </c>
      <c r="N4" s="50" t="s">
        <v>1050</v>
      </c>
      <c r="O4" s="50" t="s">
        <v>1051</v>
      </c>
      <c r="R4" s="534">
        <f>COUNTA(J3:K3)</f>
        <v>2</v>
      </c>
      <c r="S4" s="535">
        <f>COUNTA(M4:O4)</f>
        <v>3</v>
      </c>
      <c r="T4" s="535">
        <f>COUNTA(A5:A14)</f>
        <v>10</v>
      </c>
      <c r="U4" s="536">
        <f>PRODUCT(R4:T4)</f>
        <v>60</v>
      </c>
      <c r="W4" s="509" t="s">
        <v>459</v>
      </c>
      <c r="X4" s="509" t="s">
        <v>219</v>
      </c>
      <c r="Y4" s="509" t="s">
        <v>60</v>
      </c>
      <c r="Z4" s="509" t="s">
        <v>240</v>
      </c>
      <c r="AA4" s="509" t="s">
        <v>135</v>
      </c>
      <c r="AB4" s="509" t="s">
        <v>119</v>
      </c>
      <c r="AC4" s="509" t="s">
        <v>467</v>
      </c>
      <c r="AF4">
        <v>1</v>
      </c>
      <c r="AG4">
        <f>AF4+1</f>
        <v>2</v>
      </c>
      <c r="AI4" t="s">
        <v>965</v>
      </c>
      <c r="AJ4" s="530">
        <f>R4</f>
        <v>2</v>
      </c>
      <c r="AK4" s="7"/>
      <c r="AM4">
        <v>1</v>
      </c>
      <c r="AN4">
        <f>AM4+1</f>
        <v>2</v>
      </c>
      <c r="AO4">
        <f>AN4+1</f>
        <v>3</v>
      </c>
      <c r="AQ4" t="s">
        <v>965</v>
      </c>
      <c r="AR4" s="530">
        <f>S4</f>
        <v>3</v>
      </c>
      <c r="AT4" s="19" t="s">
        <v>1057</v>
      </c>
      <c r="AU4" s="19" t="s">
        <v>1058</v>
      </c>
      <c r="AV4" s="19">
        <f>X5</f>
        <v>828.81666666666672</v>
      </c>
      <c r="AW4" s="19">
        <f>Y5</f>
        <v>1</v>
      </c>
      <c r="AX4" s="19">
        <f>AV4/AW4</f>
        <v>828.81666666666672</v>
      </c>
      <c r="AY4" s="19">
        <f>AX4/AX8</f>
        <v>33.852280462899877</v>
      </c>
      <c r="AZ4">
        <f>FDIST(AY4,AW4,AW8)</f>
        <v>2.5360766055906994E-4</v>
      </c>
      <c r="BA4">
        <f>FINV(0.05,AW4,AW8)</f>
        <v>5.1173550291992269</v>
      </c>
    </row>
    <row r="5" spans="1:53" x14ac:dyDescent="0.25">
      <c r="A5" s="508">
        <v>1</v>
      </c>
      <c r="B5" s="527">
        <v>13</v>
      </c>
      <c r="C5" s="528">
        <v>12</v>
      </c>
      <c r="D5" s="529">
        <v>17</v>
      </c>
      <c r="E5" s="527">
        <v>18</v>
      </c>
      <c r="F5" s="528">
        <v>30</v>
      </c>
      <c r="G5" s="529">
        <v>34</v>
      </c>
      <c r="H5">
        <f>AVERAGE(B5:G5)</f>
        <v>20.666666666666668</v>
      </c>
      <c r="J5" s="527">
        <f t="shared" ref="J5:K14" si="0">AVERAGEIF($B$3:$G$3,J$3,$B5:$G5)</f>
        <v>14</v>
      </c>
      <c r="K5" s="529">
        <f t="shared" si="0"/>
        <v>27.333333333333332</v>
      </c>
      <c r="M5" s="527">
        <f>AVERAGEIF($B$4:$G$4,M$4,$B5:$G5)</f>
        <v>15.5</v>
      </c>
      <c r="N5" s="528">
        <f t="shared" ref="N5:O8" si="1">AVERAGEIF($B$4:$G$4,N$4,$B5:$G5)</f>
        <v>21</v>
      </c>
      <c r="O5" s="529">
        <f t="shared" si="1"/>
        <v>25.5</v>
      </c>
      <c r="W5" s="19" t="s">
        <v>1057</v>
      </c>
      <c r="X5" s="19">
        <f>S8</f>
        <v>828.81666666666672</v>
      </c>
      <c r="Y5" s="19">
        <f>T8</f>
        <v>1</v>
      </c>
      <c r="Z5" s="19">
        <f>X5/Y5</f>
        <v>828.81666666666672</v>
      </c>
      <c r="AA5" s="19">
        <f>Z5/Z6</f>
        <v>33.852280462899877</v>
      </c>
      <c r="AB5">
        <f>FDIST(AA5,Y5,Y6)</f>
        <v>2.5360766055906994E-4</v>
      </c>
      <c r="AC5">
        <f>FINV(0.05,Y5,Y6)</f>
        <v>5.1173550291992269</v>
      </c>
      <c r="AF5" s="527">
        <f t="array" ref="AF5:AG6">[1]!COV(J5:K14)</f>
        <v>32.258024691358031</v>
      </c>
      <c r="AG5" s="529">
        <v>25.51358024691358</v>
      </c>
      <c r="AI5" t="s">
        <v>966</v>
      </c>
      <c r="AJ5" s="503">
        <f>AVERAGE(AF8:AG8)</f>
        <v>33.674691358024695</v>
      </c>
      <c r="AK5" s="7"/>
      <c r="AM5" s="527">
        <f t="array" ref="AM5:AO7">[1]!COV(M5:O14)</f>
        <v>27.166666666666664</v>
      </c>
      <c r="AN5" s="528">
        <v>21.472222222222221</v>
      </c>
      <c r="AO5" s="529">
        <v>24.555555555555554</v>
      </c>
      <c r="AQ5" t="s">
        <v>966</v>
      </c>
      <c r="AR5" s="503">
        <f>AVERAGE(AM9:AO9)</f>
        <v>38.034259259259251</v>
      </c>
      <c r="AU5" t="s">
        <v>1059</v>
      </c>
      <c r="AV5">
        <f>AV4</f>
        <v>828.81666666666672</v>
      </c>
      <c r="AW5">
        <f>AW4*AJ11</f>
        <v>1.0000000000000049</v>
      </c>
      <c r="AX5" s="19">
        <f t="shared" ref="AX5:AX11" si="2">AV5/AW5</f>
        <v>828.81666666666263</v>
      </c>
      <c r="AY5" s="19">
        <f>AX5/AX9</f>
        <v>33.852280462899877</v>
      </c>
      <c r="AZ5">
        <f>FDIST(AY5,AW5,AW9)</f>
        <v>2.5360766055906994E-4</v>
      </c>
      <c r="BA5">
        <f>FINV(0.05,AW5,AW9)</f>
        <v>5.1173550291992269</v>
      </c>
    </row>
    <row r="6" spans="1:53" x14ac:dyDescent="0.25">
      <c r="A6" s="508">
        <f>A5+1</f>
        <v>2</v>
      </c>
      <c r="B6" s="532">
        <v>12</v>
      </c>
      <c r="C6" s="7">
        <v>19</v>
      </c>
      <c r="D6" s="533">
        <v>18</v>
      </c>
      <c r="E6" s="532">
        <v>6</v>
      </c>
      <c r="F6" s="7">
        <v>18</v>
      </c>
      <c r="G6" s="533">
        <v>30</v>
      </c>
      <c r="H6">
        <f t="shared" ref="H6:H15" si="3">AVERAGE(B6:G6)</f>
        <v>17.166666666666668</v>
      </c>
      <c r="J6" s="532">
        <f t="shared" si="0"/>
        <v>16.333333333333332</v>
      </c>
      <c r="K6" s="533">
        <f t="shared" si="0"/>
        <v>18</v>
      </c>
      <c r="M6" s="532">
        <f t="shared" ref="M6:O14" si="4">AVERAGEIF($B$4:$G$4,M$4,$B6:$G6)</f>
        <v>9</v>
      </c>
      <c r="N6" s="7">
        <f t="shared" si="1"/>
        <v>18.5</v>
      </c>
      <c r="O6" s="533">
        <f t="shared" si="1"/>
        <v>24</v>
      </c>
      <c r="R6" s="13" t="s">
        <v>216</v>
      </c>
      <c r="S6" s="13" t="s">
        <v>219</v>
      </c>
      <c r="T6" s="13" t="s">
        <v>60</v>
      </c>
      <c r="U6" s="13" t="s">
        <v>240</v>
      </c>
      <c r="W6" s="19" t="s">
        <v>1060</v>
      </c>
      <c r="X6">
        <f>S14</f>
        <v>220.35000000000036</v>
      </c>
      <c r="Y6">
        <f>T14</f>
        <v>9</v>
      </c>
      <c r="Z6" s="7">
        <f t="shared" ref="Z6:Z11" si="5">X6/Y6</f>
        <v>24.483333333333373</v>
      </c>
      <c r="AF6" s="409">
        <v>25.51358024691358</v>
      </c>
      <c r="AG6" s="417">
        <v>35.09135802469136</v>
      </c>
      <c r="AI6" t="s">
        <v>967</v>
      </c>
      <c r="AJ6" s="503">
        <f>AVERAGE(AF5:AG6)</f>
        <v>29.594135802469136</v>
      </c>
      <c r="AK6" s="7"/>
      <c r="AM6" s="532">
        <v>21.472222222222221</v>
      </c>
      <c r="AN6" s="7">
        <v>44.099999999999994</v>
      </c>
      <c r="AO6" s="533">
        <v>30.094444444444438</v>
      </c>
      <c r="AQ6" t="s">
        <v>967</v>
      </c>
      <c r="AR6" s="503">
        <f>AVERAGE(AM5:AO7)</f>
        <v>29.594135802469129</v>
      </c>
      <c r="AU6" t="s">
        <v>1061</v>
      </c>
      <c r="AV6">
        <f>AV4</f>
        <v>828.81666666666672</v>
      </c>
      <c r="AW6">
        <f>AW4*AJ18</f>
        <v>1</v>
      </c>
      <c r="AX6" s="19">
        <f t="shared" si="2"/>
        <v>828.81666666666672</v>
      </c>
      <c r="AY6" s="19">
        <f>AX6/AX10</f>
        <v>33.852280462899877</v>
      </c>
      <c r="AZ6">
        <f>FDIST(AY6,AW6,AW10)</f>
        <v>2.5360766055906994E-4</v>
      </c>
      <c r="BA6">
        <f>FINV(0.05,AW6,AW10)</f>
        <v>5.1173550291992269</v>
      </c>
    </row>
    <row r="7" spans="1:53" x14ac:dyDescent="0.25">
      <c r="A7" s="508">
        <f t="shared" ref="A7:A14" si="6">A6+1</f>
        <v>3</v>
      </c>
      <c r="B7" s="532">
        <v>17</v>
      </c>
      <c r="C7" s="7">
        <v>19</v>
      </c>
      <c r="D7" s="533">
        <v>24</v>
      </c>
      <c r="E7" s="532">
        <v>21</v>
      </c>
      <c r="F7" s="7">
        <v>31</v>
      </c>
      <c r="G7" s="533">
        <v>32</v>
      </c>
      <c r="H7">
        <f t="shared" si="3"/>
        <v>24</v>
      </c>
      <c r="J7" s="532">
        <f t="shared" si="0"/>
        <v>20</v>
      </c>
      <c r="K7" s="533">
        <f t="shared" si="0"/>
        <v>28</v>
      </c>
      <c r="M7" s="532">
        <f t="shared" si="4"/>
        <v>19</v>
      </c>
      <c r="N7" s="7">
        <f t="shared" si="1"/>
        <v>25</v>
      </c>
      <c r="O7" s="533">
        <f t="shared" si="1"/>
        <v>28</v>
      </c>
      <c r="Q7" s="282" t="s">
        <v>1</v>
      </c>
      <c r="R7" s="527">
        <v>1</v>
      </c>
      <c r="S7" s="528">
        <f>DEVSQ(B5:G14)*R7</f>
        <v>4852.5833333333312</v>
      </c>
      <c r="T7" s="528">
        <f>U4-1</f>
        <v>59</v>
      </c>
      <c r="U7" s="529">
        <f t="shared" ref="U7:U17" si="7">S7/T7</f>
        <v>82.247175141242906</v>
      </c>
      <c r="W7" s="19" t="s">
        <v>1062</v>
      </c>
      <c r="X7" s="19">
        <f>S9</f>
        <v>1365.2333333333331</v>
      </c>
      <c r="Y7" s="19">
        <f>T9</f>
        <v>2</v>
      </c>
      <c r="Z7" s="7">
        <f t="shared" si="5"/>
        <v>682.61666666666656</v>
      </c>
      <c r="AA7" s="19">
        <f>Z7/Z8</f>
        <v>26.959189643823574</v>
      </c>
      <c r="AB7">
        <f>FDIST(AA7,Y7,Y8)</f>
        <v>3.8538385756846721E-6</v>
      </c>
      <c r="AC7">
        <f>FINV(0.05,Y7,Y8)</f>
        <v>3.5545571456617879</v>
      </c>
      <c r="AE7" t="s">
        <v>7</v>
      </c>
      <c r="AF7">
        <f>AVERAGE(AF5:AF6)</f>
        <v>28.885802469135804</v>
      </c>
      <c r="AG7">
        <f>AVERAGE(AG5:AG6)</f>
        <v>30.302469135802468</v>
      </c>
      <c r="AI7" t="s">
        <v>968</v>
      </c>
      <c r="AJ7" s="503">
        <f>SUMSQ(AF5:AG6)</f>
        <v>3573.8691190367326</v>
      </c>
      <c r="AK7" s="7"/>
      <c r="AM7" s="409">
        <v>24.555555555555554</v>
      </c>
      <c r="AN7" s="410">
        <v>30.094444444444438</v>
      </c>
      <c r="AO7" s="417">
        <v>42.836111111111116</v>
      </c>
      <c r="AQ7" t="s">
        <v>968</v>
      </c>
      <c r="AR7" s="503">
        <f>SUMSQ(AM5:AO7)</f>
        <v>8457.1846373456792</v>
      </c>
      <c r="AT7" s="410"/>
      <c r="AU7" s="410" t="s">
        <v>1020</v>
      </c>
      <c r="AV7" s="410">
        <f>AV4</f>
        <v>828.81666666666672</v>
      </c>
      <c r="AW7" s="410">
        <f>AW4*AJ20</f>
        <v>1</v>
      </c>
      <c r="AX7" s="410">
        <f t="shared" si="2"/>
        <v>828.81666666666672</v>
      </c>
      <c r="AY7" s="410">
        <f>AX7/AX11</f>
        <v>33.852280462899877</v>
      </c>
      <c r="AZ7" s="410">
        <f>FDIST(AY7,AW7,AW11)</f>
        <v>2.5360766055906994E-4</v>
      </c>
      <c r="BA7" s="410">
        <f>FINV(0.05,AW7,AW11)</f>
        <v>5.1173550291992269</v>
      </c>
    </row>
    <row r="8" spans="1:53" x14ac:dyDescent="0.25">
      <c r="A8" s="508">
        <f t="shared" si="6"/>
        <v>4</v>
      </c>
      <c r="B8" s="532">
        <v>12</v>
      </c>
      <c r="C8" s="7">
        <v>25</v>
      </c>
      <c r="D8" s="533">
        <v>25</v>
      </c>
      <c r="E8" s="532">
        <v>18</v>
      </c>
      <c r="F8" s="7">
        <v>39</v>
      </c>
      <c r="G8" s="533">
        <v>40</v>
      </c>
      <c r="H8">
        <f t="shared" si="3"/>
        <v>26.5</v>
      </c>
      <c r="J8" s="532">
        <f t="shared" si="0"/>
        <v>20.666666666666668</v>
      </c>
      <c r="K8" s="533">
        <f t="shared" si="0"/>
        <v>32.333333333333336</v>
      </c>
      <c r="M8" s="532">
        <f t="shared" si="4"/>
        <v>15</v>
      </c>
      <c r="N8" s="7">
        <f t="shared" si="1"/>
        <v>32</v>
      </c>
      <c r="O8" s="533">
        <f t="shared" si="1"/>
        <v>32.5</v>
      </c>
      <c r="Q8" s="282" t="s">
        <v>1057</v>
      </c>
      <c r="R8" s="532">
        <f>S4*T4</f>
        <v>30</v>
      </c>
      <c r="S8" s="7">
        <f>DEVSQ(J15:K15)*R8</f>
        <v>828.81666666666672</v>
      </c>
      <c r="T8" s="7">
        <f>R4-1</f>
        <v>1</v>
      </c>
      <c r="U8" s="533">
        <f t="shared" si="7"/>
        <v>828.81666666666672</v>
      </c>
      <c r="W8" s="19" t="s">
        <v>1063</v>
      </c>
      <c r="X8">
        <f>S16</f>
        <v>455.76666666666688</v>
      </c>
      <c r="Y8">
        <f>T16</f>
        <v>18</v>
      </c>
      <c r="Z8" s="7">
        <f t="shared" si="5"/>
        <v>25.320370370370384</v>
      </c>
      <c r="AE8" t="s">
        <v>1064</v>
      </c>
      <c r="AF8">
        <f>INDEX(AF5:AF6,AF4)</f>
        <v>32.258024691358031</v>
      </c>
      <c r="AG8">
        <f>INDEX(AG5:AG6,AG4)</f>
        <v>35.09135802469136</v>
      </c>
      <c r="AI8" t="s">
        <v>969</v>
      </c>
      <c r="AJ8" s="503">
        <f>SUMSQ(AF7:AG7)</f>
        <v>1752.6292200121934</v>
      </c>
      <c r="AK8" s="7"/>
      <c r="AL8" t="s">
        <v>7</v>
      </c>
      <c r="AM8">
        <f>AVERAGE(AM5:AM7)</f>
        <v>24.398148148148149</v>
      </c>
      <c r="AN8">
        <f>AVERAGE(AN5:AN7)</f>
        <v>31.888888888888886</v>
      </c>
      <c r="AO8">
        <f>AVERAGE(AO5:AO7)</f>
        <v>32.495370370370374</v>
      </c>
      <c r="AQ8" t="s">
        <v>969</v>
      </c>
      <c r="AR8" s="503">
        <f>SUMSQ(AM8:AO8)</f>
        <v>2668.1199631344307</v>
      </c>
      <c r="AT8" s="19" t="s">
        <v>1060</v>
      </c>
      <c r="AU8" s="19" t="s">
        <v>1058</v>
      </c>
      <c r="AV8">
        <f>X6</f>
        <v>220.35000000000036</v>
      </c>
      <c r="AW8">
        <f>Y6</f>
        <v>9</v>
      </c>
      <c r="AX8" s="7">
        <f t="shared" si="2"/>
        <v>24.483333333333373</v>
      </c>
      <c r="AY8" s="19"/>
      <c r="AZ8" s="19"/>
      <c r="BA8" s="19"/>
    </row>
    <row r="9" spans="1:53" x14ac:dyDescent="0.25">
      <c r="A9" s="508">
        <f t="shared" si="6"/>
        <v>5</v>
      </c>
      <c r="B9" s="532">
        <v>19</v>
      </c>
      <c r="C9" s="7">
        <v>27</v>
      </c>
      <c r="D9" s="533">
        <v>19</v>
      </c>
      <c r="E9" s="532">
        <v>18</v>
      </c>
      <c r="F9" s="7">
        <v>28</v>
      </c>
      <c r="G9" s="533">
        <v>27</v>
      </c>
      <c r="H9">
        <f t="shared" si="3"/>
        <v>23</v>
      </c>
      <c r="J9" s="532">
        <f t="shared" si="0"/>
        <v>21.666666666666668</v>
      </c>
      <c r="K9" s="533">
        <f t="shared" si="0"/>
        <v>24.333333333333332</v>
      </c>
      <c r="M9" s="532">
        <f t="shared" si="4"/>
        <v>18.5</v>
      </c>
      <c r="N9" s="7">
        <f t="shared" si="4"/>
        <v>27.5</v>
      </c>
      <c r="O9" s="533">
        <f t="shared" si="4"/>
        <v>23</v>
      </c>
      <c r="Q9" s="282" t="s">
        <v>1062</v>
      </c>
      <c r="R9" s="532">
        <f>R4*T4</f>
        <v>20</v>
      </c>
      <c r="S9" s="7">
        <f>DEVSQ(M15:O15)*R9</f>
        <v>1365.2333333333331</v>
      </c>
      <c r="T9" s="7">
        <f>S4-1</f>
        <v>2</v>
      </c>
      <c r="U9" s="533">
        <f t="shared" si="7"/>
        <v>682.61666666666656</v>
      </c>
      <c r="W9" s="19" t="s">
        <v>622</v>
      </c>
      <c r="X9" s="19">
        <f>S12</f>
        <v>224.43333333333339</v>
      </c>
      <c r="Y9" s="19">
        <f>T12</f>
        <v>2</v>
      </c>
      <c r="Z9" s="7">
        <f t="shared" si="5"/>
        <v>112.2166666666667</v>
      </c>
      <c r="AA9" s="19">
        <f>Z9/Z10</f>
        <v>12.63227016885571</v>
      </c>
      <c r="AB9">
        <f>FDIST(AA9,Y9,Y10)</f>
        <v>3.7347686147367487E-4</v>
      </c>
      <c r="AC9">
        <f>FINV(0.05,Y9,Y10)</f>
        <v>3.5545571456617879</v>
      </c>
      <c r="AI9" t="s">
        <v>970</v>
      </c>
      <c r="AJ9" s="503">
        <f>(AJ4*(AJ5-AJ6))^2</f>
        <v>66.603734567901355</v>
      </c>
      <c r="AK9" s="7"/>
      <c r="AL9" t="s">
        <v>1064</v>
      </c>
      <c r="AM9">
        <f>INDEX(AM5:AM7,AM4)</f>
        <v>27.166666666666664</v>
      </c>
      <c r="AN9">
        <f>INDEX(AN5:AN7,AN4)</f>
        <v>44.099999999999994</v>
      </c>
      <c r="AO9">
        <f>INDEX(AO5:AO7,AO4)</f>
        <v>42.836111111111116</v>
      </c>
      <c r="AQ9" t="s">
        <v>970</v>
      </c>
      <c r="AR9" s="503">
        <f>(AR4*(AR5-AR6))^2</f>
        <v>641.12115569272953</v>
      </c>
      <c r="AU9" t="s">
        <v>1059</v>
      </c>
      <c r="AV9">
        <f>AV8</f>
        <v>220.35000000000036</v>
      </c>
      <c r="AW9">
        <f>AW8*AJ11</f>
        <v>9.0000000000000444</v>
      </c>
      <c r="AX9" s="7">
        <f t="shared" si="2"/>
        <v>24.483333333333253</v>
      </c>
      <c r="AY9" s="19"/>
      <c r="AZ9" s="19"/>
      <c r="BA9" s="19"/>
    </row>
    <row r="10" spans="1:53" x14ac:dyDescent="0.25">
      <c r="A10" s="508">
        <f t="shared" si="6"/>
        <v>6</v>
      </c>
      <c r="B10" s="532">
        <v>6</v>
      </c>
      <c r="C10" s="7">
        <v>12</v>
      </c>
      <c r="D10" s="533">
        <v>6</v>
      </c>
      <c r="E10" s="532">
        <v>6</v>
      </c>
      <c r="F10" s="7">
        <v>18</v>
      </c>
      <c r="G10" s="533">
        <v>23</v>
      </c>
      <c r="H10">
        <f t="shared" si="3"/>
        <v>11.833333333333334</v>
      </c>
      <c r="J10" s="532">
        <f t="shared" si="0"/>
        <v>8</v>
      </c>
      <c r="K10" s="533">
        <f t="shared" si="0"/>
        <v>15.666666666666666</v>
      </c>
      <c r="M10" s="532">
        <f t="shared" si="4"/>
        <v>6</v>
      </c>
      <c r="N10" s="7">
        <f t="shared" si="4"/>
        <v>15</v>
      </c>
      <c r="O10" s="533">
        <f t="shared" si="4"/>
        <v>14.5</v>
      </c>
      <c r="Q10" s="88" t="s">
        <v>1065</v>
      </c>
      <c r="R10" s="532">
        <f>R4*S4</f>
        <v>6</v>
      </c>
      <c r="S10" s="7">
        <f>DEVSQ(H5:H14)*R10</f>
        <v>1598.083333333333</v>
      </c>
      <c r="T10" s="7">
        <f>T4-1</f>
        <v>9</v>
      </c>
      <c r="U10" s="533">
        <f t="shared" si="7"/>
        <v>177.56481481481478</v>
      </c>
      <c r="W10" s="19" t="s">
        <v>1066</v>
      </c>
      <c r="X10" s="19">
        <f>S17</f>
        <v>159.89999999999782</v>
      </c>
      <c r="Y10" s="19">
        <f>T17</f>
        <v>18</v>
      </c>
      <c r="Z10" s="7">
        <f t="shared" si="5"/>
        <v>8.8833333333332121</v>
      </c>
      <c r="AA10" s="19"/>
      <c r="AB10" s="19"/>
      <c r="AC10" s="19"/>
      <c r="AI10" t="s">
        <v>971</v>
      </c>
      <c r="AJ10" s="503">
        <f>(AJ4-1)*(AJ7-2*AJ4*AJ8+AJ4^2*AJ6^2)</f>
        <v>66.603734567901029</v>
      </c>
      <c r="AK10" s="7"/>
      <c r="AQ10" t="s">
        <v>971</v>
      </c>
      <c r="AR10" s="503">
        <f>(AR4-1)*(AR7-2*AR4*AR8+AR4^2*AR6^2)</f>
        <v>661.56144718792348</v>
      </c>
      <c r="AU10" t="s">
        <v>1061</v>
      </c>
      <c r="AV10">
        <f>AV8</f>
        <v>220.35000000000036</v>
      </c>
      <c r="AW10">
        <f>AW8*$AJ$18</f>
        <v>9</v>
      </c>
      <c r="AX10" s="7">
        <f t="shared" si="2"/>
        <v>24.483333333333373</v>
      </c>
      <c r="AY10" s="19"/>
      <c r="AZ10" s="19"/>
      <c r="BA10" s="19"/>
    </row>
    <row r="11" spans="1:53" ht="15.75" thickBot="1" x14ac:dyDescent="0.3">
      <c r="A11" s="508">
        <f t="shared" si="6"/>
        <v>7</v>
      </c>
      <c r="B11" s="532">
        <v>17</v>
      </c>
      <c r="C11" s="7">
        <v>18</v>
      </c>
      <c r="D11" s="533">
        <v>30</v>
      </c>
      <c r="E11" s="532">
        <v>24</v>
      </c>
      <c r="F11" s="7">
        <v>36</v>
      </c>
      <c r="G11" s="533">
        <v>38</v>
      </c>
      <c r="H11">
        <f t="shared" si="3"/>
        <v>27.166666666666668</v>
      </c>
      <c r="J11" s="532">
        <f t="shared" si="0"/>
        <v>21.666666666666668</v>
      </c>
      <c r="K11" s="533">
        <f t="shared" si="0"/>
        <v>32.666666666666664</v>
      </c>
      <c r="M11" s="532">
        <f t="shared" si="4"/>
        <v>20.5</v>
      </c>
      <c r="N11" s="7">
        <f t="shared" si="4"/>
        <v>27</v>
      </c>
      <c r="O11" s="533">
        <f t="shared" si="4"/>
        <v>34</v>
      </c>
      <c r="Q11" s="53" t="s">
        <v>634</v>
      </c>
      <c r="R11" s="532">
        <f>T4</f>
        <v>10</v>
      </c>
      <c r="S11" s="7">
        <f>DEVSQ(B15:G15)*R11</f>
        <v>2418.4833333333331</v>
      </c>
      <c r="T11" s="7">
        <f>R4*S4-1</f>
        <v>5</v>
      </c>
      <c r="U11" s="533">
        <f t="shared" si="7"/>
        <v>483.6966666666666</v>
      </c>
      <c r="W11" s="19" t="s">
        <v>1065</v>
      </c>
      <c r="X11" s="19">
        <f>S10</f>
        <v>1598.083333333333</v>
      </c>
      <c r="Y11" s="19">
        <f>T10</f>
        <v>9</v>
      </c>
      <c r="Z11" s="7">
        <f t="shared" si="5"/>
        <v>177.56481481481478</v>
      </c>
      <c r="AA11" s="19"/>
      <c r="AB11" s="19"/>
      <c r="AC11" s="19"/>
      <c r="AI11" t="s">
        <v>972</v>
      </c>
      <c r="AJ11" s="420">
        <f>AJ9/AJ10</f>
        <v>1.0000000000000049</v>
      </c>
      <c r="AK11" s="7"/>
      <c r="AQ11" t="s">
        <v>972</v>
      </c>
      <c r="AR11" s="420">
        <f>AR9/AR10</f>
        <v>0.96910295848998029</v>
      </c>
      <c r="AT11" s="22"/>
      <c r="AU11" s="22" t="s">
        <v>1020</v>
      </c>
      <c r="AV11" s="22">
        <f>AV8</f>
        <v>220.35000000000036</v>
      </c>
      <c r="AW11" s="22">
        <f>AW8*$AJ$20</f>
        <v>9</v>
      </c>
      <c r="AX11" s="22">
        <f t="shared" si="2"/>
        <v>24.483333333333373</v>
      </c>
      <c r="AY11" s="22"/>
      <c r="AZ11" s="22"/>
      <c r="BA11" s="22"/>
    </row>
    <row r="12" spans="1:53" x14ac:dyDescent="0.25">
      <c r="A12" s="508">
        <f t="shared" si="6"/>
        <v>8</v>
      </c>
      <c r="B12" s="532">
        <v>18</v>
      </c>
      <c r="C12" s="7">
        <v>29</v>
      </c>
      <c r="D12" s="533">
        <v>36</v>
      </c>
      <c r="E12" s="532">
        <v>22</v>
      </c>
      <c r="F12" s="7">
        <v>36</v>
      </c>
      <c r="G12" s="533">
        <v>40</v>
      </c>
      <c r="H12">
        <f t="shared" si="3"/>
        <v>30.166666666666668</v>
      </c>
      <c r="J12" s="532">
        <f t="shared" si="0"/>
        <v>27.666666666666668</v>
      </c>
      <c r="K12" s="533">
        <f t="shared" si="0"/>
        <v>32.666666666666664</v>
      </c>
      <c r="M12" s="532">
        <f t="shared" si="4"/>
        <v>20</v>
      </c>
      <c r="N12" s="7">
        <f t="shared" si="4"/>
        <v>32.5</v>
      </c>
      <c r="O12" s="533">
        <f t="shared" si="4"/>
        <v>38</v>
      </c>
      <c r="Q12" s="132" t="s">
        <v>622</v>
      </c>
      <c r="R12" s="532"/>
      <c r="S12" s="7">
        <f>S11-S8-S9</f>
        <v>224.43333333333339</v>
      </c>
      <c r="T12" s="7">
        <f>T11-T8-T9</f>
        <v>2</v>
      </c>
      <c r="U12" s="533">
        <f t="shared" si="7"/>
        <v>112.2166666666667</v>
      </c>
      <c r="W12" s="19"/>
      <c r="X12" s="19"/>
      <c r="Y12" s="19"/>
      <c r="Z12" s="19"/>
      <c r="AA12" s="19"/>
      <c r="AB12" s="19"/>
      <c r="AC12" s="19"/>
      <c r="AT12" s="19" t="s">
        <v>1062</v>
      </c>
      <c r="AU12" s="19" t="s">
        <v>1058</v>
      </c>
      <c r="AV12">
        <f>X7</f>
        <v>1365.2333333333331</v>
      </c>
      <c r="AW12">
        <f>Y7</f>
        <v>2</v>
      </c>
      <c r="AX12" s="7">
        <f>AV12/AW12</f>
        <v>682.61666666666656</v>
      </c>
      <c r="AY12" s="19">
        <f>AX12/AX16</f>
        <v>26.959189643823574</v>
      </c>
      <c r="AZ12">
        <f>FDIST(AY12,AW12,AW16)</f>
        <v>3.8538385756846721E-6</v>
      </c>
      <c r="BA12">
        <f>FINV(0.05,AW12,AW16)</f>
        <v>3.5545571456617879</v>
      </c>
    </row>
    <row r="13" spans="1:53" ht="15.75" thickBot="1" x14ac:dyDescent="0.3">
      <c r="A13" s="508">
        <f t="shared" si="6"/>
        <v>9</v>
      </c>
      <c r="B13" s="532">
        <v>23</v>
      </c>
      <c r="C13" s="7">
        <v>30</v>
      </c>
      <c r="D13" s="533">
        <v>24</v>
      </c>
      <c r="E13" s="532">
        <v>18</v>
      </c>
      <c r="F13" s="7">
        <v>38</v>
      </c>
      <c r="G13" s="533">
        <v>32</v>
      </c>
      <c r="H13">
        <f t="shared" si="3"/>
        <v>27.5</v>
      </c>
      <c r="J13" s="532">
        <f t="shared" si="0"/>
        <v>25.666666666666668</v>
      </c>
      <c r="K13" s="533">
        <f t="shared" si="0"/>
        <v>29.333333333333332</v>
      </c>
      <c r="M13" s="532">
        <f t="shared" si="4"/>
        <v>20.5</v>
      </c>
      <c r="N13" s="7">
        <f t="shared" si="4"/>
        <v>34</v>
      </c>
      <c r="O13" s="533">
        <f t="shared" si="4"/>
        <v>28</v>
      </c>
      <c r="Q13" s="132" t="s">
        <v>635</v>
      </c>
      <c r="R13" s="532">
        <f>S4</f>
        <v>3</v>
      </c>
      <c r="S13" s="7">
        <f>DEVSQ(J5:K14)*R13</f>
        <v>2647.25</v>
      </c>
      <c r="T13" s="7">
        <f>R4*T4-1</f>
        <v>19</v>
      </c>
      <c r="U13" s="533">
        <f t="shared" si="7"/>
        <v>139.32894736842104</v>
      </c>
      <c r="W13" s="20" t="s">
        <v>1</v>
      </c>
      <c r="X13" s="20">
        <f>S7</f>
        <v>4852.5833333333312</v>
      </c>
      <c r="Y13" s="20">
        <f>T7</f>
        <v>59</v>
      </c>
      <c r="Z13" s="20">
        <f>X13/Y13</f>
        <v>82.247175141242906</v>
      </c>
      <c r="AA13" s="20"/>
      <c r="AB13" s="20"/>
      <c r="AC13" s="20"/>
      <c r="AI13" t="s">
        <v>964</v>
      </c>
      <c r="AJ13" s="530">
        <f>T4</f>
        <v>10</v>
      </c>
      <c r="AK13" s="7"/>
      <c r="AQ13" t="s">
        <v>964</v>
      </c>
      <c r="AR13" s="530">
        <f>T4</f>
        <v>10</v>
      </c>
      <c r="AU13" t="s">
        <v>1059</v>
      </c>
      <c r="AV13">
        <f>AV12</f>
        <v>1365.2333333333331</v>
      </c>
      <c r="AW13">
        <f>AW12*AR11</f>
        <v>1.9382059169799606</v>
      </c>
      <c r="AX13" s="7">
        <f>AV13/AW13</f>
        <v>704.37992236685989</v>
      </c>
      <c r="AY13" s="19">
        <f>AX13/AX17</f>
        <v>26.959189643823581</v>
      </c>
      <c r="AZ13">
        <f>FDIST(AY13,AW13,AW17)</f>
        <v>7.3438467216327717E-5</v>
      </c>
      <c r="BA13">
        <f>FINV(0.05,AW13,AW17)</f>
        <v>4.4513217724681331</v>
      </c>
    </row>
    <row r="14" spans="1:53" x14ac:dyDescent="0.25">
      <c r="A14" s="508">
        <f t="shared" si="6"/>
        <v>10</v>
      </c>
      <c r="B14" s="409">
        <v>18</v>
      </c>
      <c r="C14" s="410">
        <v>12</v>
      </c>
      <c r="D14" s="417">
        <v>24</v>
      </c>
      <c r="E14" s="409">
        <v>24</v>
      </c>
      <c r="F14" s="410">
        <v>25</v>
      </c>
      <c r="G14" s="417">
        <v>34</v>
      </c>
      <c r="H14">
        <f t="shared" si="3"/>
        <v>22.833333333333332</v>
      </c>
      <c r="J14" s="409">
        <f t="shared" si="0"/>
        <v>18</v>
      </c>
      <c r="K14" s="417">
        <f t="shared" si="0"/>
        <v>27.666666666666668</v>
      </c>
      <c r="M14" s="409">
        <f t="shared" si="4"/>
        <v>21</v>
      </c>
      <c r="N14" s="410">
        <f t="shared" si="4"/>
        <v>18.5</v>
      </c>
      <c r="O14" s="417">
        <f t="shared" si="4"/>
        <v>29</v>
      </c>
      <c r="Q14" s="7" t="s">
        <v>624</v>
      </c>
      <c r="R14" s="532"/>
      <c r="S14" s="7">
        <f>S13-S8-S10</f>
        <v>220.35000000000036</v>
      </c>
      <c r="T14" s="7">
        <f>T13-T8-T10</f>
        <v>9</v>
      </c>
      <c r="U14" s="533">
        <f t="shared" si="7"/>
        <v>24.483333333333373</v>
      </c>
      <c r="AI14" t="s">
        <v>965</v>
      </c>
      <c r="AJ14" s="503">
        <f>AJ4</f>
        <v>2</v>
      </c>
      <c r="AK14" s="7"/>
      <c r="AQ14" t="s">
        <v>965</v>
      </c>
      <c r="AR14" s="503">
        <f>AR4</f>
        <v>3</v>
      </c>
      <c r="AU14" t="s">
        <v>1061</v>
      </c>
      <c r="AV14">
        <f>AV12</f>
        <v>1365.2333333333331</v>
      </c>
      <c r="AW14">
        <f>AW12*AR18</f>
        <v>2</v>
      </c>
      <c r="AX14" s="7">
        <f>AV14/AW14</f>
        <v>682.61666666666656</v>
      </c>
      <c r="AY14" s="19">
        <f>AX14/AX18</f>
        <v>26.959189643823574</v>
      </c>
      <c r="AZ14">
        <f>FDIST(AY14,AW14,AW18)</f>
        <v>3.8538385756846721E-6</v>
      </c>
      <c r="BA14">
        <f>FINV(0.05,AW14,AW18)</f>
        <v>3.5545571456617879</v>
      </c>
    </row>
    <row r="15" spans="1:53" x14ac:dyDescent="0.25">
      <c r="B15">
        <f t="shared" ref="B15:G15" si="8">AVERAGE(B5:B14)</f>
        <v>15.5</v>
      </c>
      <c r="C15">
        <f t="shared" si="8"/>
        <v>20.3</v>
      </c>
      <c r="D15">
        <f t="shared" si="8"/>
        <v>22.3</v>
      </c>
      <c r="E15">
        <f t="shared" si="8"/>
        <v>17.5</v>
      </c>
      <c r="F15">
        <f t="shared" si="8"/>
        <v>29.9</v>
      </c>
      <c r="G15">
        <f t="shared" si="8"/>
        <v>33</v>
      </c>
      <c r="H15">
        <f t="shared" si="3"/>
        <v>23.083333333333332</v>
      </c>
      <c r="J15">
        <f>AVERAGE(J5:J14)</f>
        <v>19.366666666666667</v>
      </c>
      <c r="K15">
        <f>AVERAGE(K5:K14)</f>
        <v>26.8</v>
      </c>
      <c r="M15">
        <f>AVERAGE(M5:M14)</f>
        <v>16.5</v>
      </c>
      <c r="N15">
        <f>AVERAGE(N5:N14)</f>
        <v>25.1</v>
      </c>
      <c r="O15">
        <f>AVERAGE(O5:O14)</f>
        <v>27.65</v>
      </c>
      <c r="Q15" s="132" t="s">
        <v>636</v>
      </c>
      <c r="R15" s="532">
        <f>R4</f>
        <v>2</v>
      </c>
      <c r="S15" s="7">
        <f>DEVSQ(M5:O14)*R15</f>
        <v>3419.083333333333</v>
      </c>
      <c r="T15" s="7">
        <f>S4*T4-1</f>
        <v>29</v>
      </c>
      <c r="U15" s="533">
        <f t="shared" si="7"/>
        <v>117.89942528735631</v>
      </c>
      <c r="AI15" t="s">
        <v>972</v>
      </c>
      <c r="AJ15" s="503">
        <f>AJ11</f>
        <v>1.0000000000000049</v>
      </c>
      <c r="AK15" s="7"/>
      <c r="AQ15" t="s">
        <v>972</v>
      </c>
      <c r="AR15" s="503">
        <f>AR11</f>
        <v>0.96910295848998029</v>
      </c>
      <c r="AT15" s="410"/>
      <c r="AU15" s="410" t="s">
        <v>1020</v>
      </c>
      <c r="AV15" s="410">
        <f>AV12</f>
        <v>1365.2333333333331</v>
      </c>
      <c r="AW15" s="410">
        <f>AW12*AR20</f>
        <v>1</v>
      </c>
      <c r="AX15" s="410">
        <f>AV15/AW15</f>
        <v>1365.2333333333331</v>
      </c>
      <c r="AY15" s="410">
        <f>AX15/AX19</f>
        <v>26.959189643823574</v>
      </c>
      <c r="AZ15" s="410">
        <f>FDIST(AY15,AW15,AW19)</f>
        <v>5.6995007547536039E-4</v>
      </c>
      <c r="BA15" s="410">
        <f>FINV(0.05,AW15,AW19)</f>
        <v>5.1173550291992269</v>
      </c>
    </row>
    <row r="16" spans="1:53" x14ac:dyDescent="0.25">
      <c r="Q16" s="88" t="s">
        <v>626</v>
      </c>
      <c r="R16" s="532"/>
      <c r="S16" s="7">
        <f>S15-S9-S10</f>
        <v>455.76666666666688</v>
      </c>
      <c r="T16" s="7">
        <f>T15-T9-T10</f>
        <v>18</v>
      </c>
      <c r="U16" s="533">
        <f t="shared" si="7"/>
        <v>25.320370370370384</v>
      </c>
      <c r="AI16" t="s">
        <v>973</v>
      </c>
      <c r="AJ16" s="503">
        <f>AJ13*(AJ14-1)*AJ15-2</f>
        <v>8.0000000000000497</v>
      </c>
      <c r="AK16" s="7"/>
      <c r="AQ16" t="s">
        <v>973</v>
      </c>
      <c r="AR16" s="503">
        <f>AR13*(AR14-1)*AR15-2</f>
        <v>17.382059169799607</v>
      </c>
      <c r="AT16" s="19" t="s">
        <v>1063</v>
      </c>
      <c r="AU16" s="19" t="s">
        <v>1058</v>
      </c>
      <c r="AV16">
        <f>X8</f>
        <v>455.76666666666688</v>
      </c>
      <c r="AW16">
        <f>Y8</f>
        <v>18</v>
      </c>
      <c r="AX16" s="7">
        <f>AV16/AW16</f>
        <v>25.320370370370384</v>
      </c>
      <c r="AY16" s="19"/>
      <c r="AZ16" s="19"/>
      <c r="BA16" s="19"/>
    </row>
    <row r="17" spans="17:53" x14ac:dyDescent="0.25">
      <c r="Q17" s="17" t="s">
        <v>628</v>
      </c>
      <c r="R17" s="409"/>
      <c r="S17" s="410">
        <f>S7-S8-S9-S10-S12-S14-S16</f>
        <v>159.89999999999782</v>
      </c>
      <c r="T17" s="410">
        <f>T7-T8-T9-T10-T12-T14-T16</f>
        <v>18</v>
      </c>
      <c r="U17" s="417">
        <f t="shared" si="7"/>
        <v>8.8833333333332121</v>
      </c>
      <c r="AI17" t="s">
        <v>974</v>
      </c>
      <c r="AJ17" s="503">
        <f>(AJ14-1)*(AJ13-1-(AJ14-1)*AJ15)</f>
        <v>7.9999999999999947</v>
      </c>
      <c r="AK17" s="7"/>
      <c r="AQ17" t="s">
        <v>974</v>
      </c>
      <c r="AR17" s="503">
        <f>(AR14-1)*(AR13-1-(AR14-1)*AR15)</f>
        <v>14.123588166040079</v>
      </c>
      <c r="AU17" t="s">
        <v>1059</v>
      </c>
      <c r="AV17">
        <f>AV16</f>
        <v>455.76666666666688</v>
      </c>
      <c r="AW17">
        <f>AW16*AR11</f>
        <v>17.443853252819647</v>
      </c>
      <c r="AX17" s="7">
        <f t="shared" ref="AX17:AX25" si="9">AV17/AW17</f>
        <v>26.127637057081763</v>
      </c>
      <c r="AY17" s="19"/>
      <c r="AZ17" s="19"/>
      <c r="BA17" s="19"/>
    </row>
    <row r="18" spans="17:53" x14ac:dyDescent="0.25">
      <c r="AI18" t="s">
        <v>975</v>
      </c>
      <c r="AJ18" s="420">
        <f>MIN(AJ16/AJ17,1)</f>
        <v>1</v>
      </c>
      <c r="AK18" s="7"/>
      <c r="AQ18" t="s">
        <v>975</v>
      </c>
      <c r="AR18" s="420">
        <f>MIN(AR16/AR17,1)</f>
        <v>1</v>
      </c>
      <c r="AU18" t="s">
        <v>1061</v>
      </c>
      <c r="AV18">
        <f>AV16</f>
        <v>455.76666666666688</v>
      </c>
      <c r="AW18">
        <f>AW16*AR18</f>
        <v>18</v>
      </c>
      <c r="AX18" s="7">
        <f t="shared" si="9"/>
        <v>25.320370370370384</v>
      </c>
      <c r="AY18" s="19"/>
      <c r="AZ18" s="19"/>
      <c r="BA18" s="19"/>
    </row>
    <row r="19" spans="17:53" ht="15.75" thickBot="1" x14ac:dyDescent="0.3">
      <c r="AT19" s="22"/>
      <c r="AU19" s="22" t="s">
        <v>1020</v>
      </c>
      <c r="AV19" s="22">
        <f>AV16</f>
        <v>455.76666666666688</v>
      </c>
      <c r="AW19" s="22">
        <f>AW16*AR20</f>
        <v>9</v>
      </c>
      <c r="AX19" s="22">
        <f t="shared" si="9"/>
        <v>50.640740740740767</v>
      </c>
      <c r="AY19" s="22"/>
      <c r="AZ19" s="22"/>
      <c r="BA19" s="22"/>
    </row>
    <row r="20" spans="17:53" x14ac:dyDescent="0.25">
      <c r="AI20" t="s">
        <v>1020</v>
      </c>
      <c r="AJ20" s="531">
        <f>1/(AJ4-1)</f>
        <v>1</v>
      </c>
      <c r="AK20" s="7"/>
      <c r="AQ20" t="s">
        <v>1020</v>
      </c>
      <c r="AR20" s="531">
        <f>1/(AR4-1)</f>
        <v>0.5</v>
      </c>
      <c r="AT20" s="19" t="s">
        <v>622</v>
      </c>
      <c r="AU20" s="19" t="s">
        <v>1058</v>
      </c>
      <c r="AV20" s="19">
        <f>X9</f>
        <v>224.43333333333339</v>
      </c>
      <c r="AW20" s="19">
        <f>Y9</f>
        <v>2</v>
      </c>
      <c r="AX20" s="7">
        <f t="shared" si="9"/>
        <v>112.2166666666667</v>
      </c>
      <c r="AY20" s="19">
        <f>AX20/AX22</f>
        <v>12.63227016885571</v>
      </c>
      <c r="AZ20">
        <f>FDIST(AY20,AW20,AW22)</f>
        <v>3.7347686147367487E-4</v>
      </c>
      <c r="BA20">
        <f>FINV(0.05,AW20,AW22)</f>
        <v>3.5545571456617879</v>
      </c>
    </row>
    <row r="21" spans="17:53" x14ac:dyDescent="0.25">
      <c r="AT21" s="410"/>
      <c r="AU21" s="410" t="s">
        <v>1020</v>
      </c>
      <c r="AV21" s="410">
        <f>AV20</f>
        <v>224.43333333333339</v>
      </c>
      <c r="AW21" s="410">
        <f>AW20*0.5</f>
        <v>1</v>
      </c>
      <c r="AX21" s="410">
        <f t="shared" si="9"/>
        <v>224.43333333333339</v>
      </c>
      <c r="AY21" s="410">
        <f>AX21/AX23</f>
        <v>12.63227016885571</v>
      </c>
      <c r="AZ21" s="410">
        <f>FDIST(AY21,AW21,AW23)</f>
        <v>6.1752137631104539E-3</v>
      </c>
      <c r="BA21" s="410">
        <f>FINV(0.05,AW21,AW23)</f>
        <v>5.1173550291992269</v>
      </c>
    </row>
    <row r="22" spans="17:53" x14ac:dyDescent="0.25">
      <c r="AT22" s="19" t="s">
        <v>1066</v>
      </c>
      <c r="AU22" s="19" t="s">
        <v>1058</v>
      </c>
      <c r="AV22" s="19">
        <f>X10</f>
        <v>159.89999999999782</v>
      </c>
      <c r="AW22" s="19">
        <f>Y10</f>
        <v>18</v>
      </c>
      <c r="AX22" s="7">
        <f t="shared" si="9"/>
        <v>8.8833333333332121</v>
      </c>
      <c r="AY22" s="19"/>
      <c r="AZ22" s="19"/>
      <c r="BA22" s="19"/>
    </row>
    <row r="23" spans="17:53" ht="15.75" thickBot="1" x14ac:dyDescent="0.3">
      <c r="AJ23" t="s">
        <v>1067</v>
      </c>
      <c r="AT23" s="22"/>
      <c r="AU23" s="22" t="s">
        <v>1020</v>
      </c>
      <c r="AV23" s="22">
        <f>AV22</f>
        <v>159.89999999999782</v>
      </c>
      <c r="AW23" s="22">
        <f>AW22*0.5</f>
        <v>9</v>
      </c>
      <c r="AX23" s="22">
        <f t="shared" si="9"/>
        <v>17.766666666666424</v>
      </c>
      <c r="AY23" s="22"/>
      <c r="AZ23" s="22"/>
      <c r="BA23" s="22"/>
    </row>
    <row r="24" spans="17:53" x14ac:dyDescent="0.25">
      <c r="AT24" t="s">
        <v>1065</v>
      </c>
      <c r="AV24">
        <f>X11</f>
        <v>1598.083333333333</v>
      </c>
      <c r="AW24">
        <f>Y11</f>
        <v>9</v>
      </c>
      <c r="AX24">
        <f t="shared" si="9"/>
        <v>177.56481481481478</v>
      </c>
    </row>
    <row r="25" spans="17:53" ht="15.75" thickBot="1" x14ac:dyDescent="0.3">
      <c r="AJ25">
        <v>1</v>
      </c>
      <c r="AK25">
        <f>AJ25+1</f>
        <v>2</v>
      </c>
      <c r="AL25">
        <f>AK25+1</f>
        <v>3</v>
      </c>
      <c r="AM25">
        <f>AL25+1</f>
        <v>4</v>
      </c>
      <c r="AN25">
        <f>AM25+1</f>
        <v>5</v>
      </c>
      <c r="AO25">
        <f>AN25+1</f>
        <v>6</v>
      </c>
      <c r="AT25" s="22" t="s">
        <v>1</v>
      </c>
      <c r="AU25" s="22"/>
      <c r="AV25" s="22">
        <f>X13</f>
        <v>4852.5833333333312</v>
      </c>
      <c r="AW25" s="22">
        <f>Y13</f>
        <v>59</v>
      </c>
      <c r="AX25" s="22">
        <f t="shared" si="9"/>
        <v>82.247175141242906</v>
      </c>
      <c r="AY25" s="22"/>
      <c r="AZ25" s="22"/>
      <c r="BA25" s="22"/>
    </row>
    <row r="26" spans="17:53" x14ac:dyDescent="0.25">
      <c r="AJ26" s="527">
        <f t="array" ref="AJ26:AO31">[1]!COV(B5:G14)</f>
        <v>22.944444444444443</v>
      </c>
      <c r="AK26" s="528">
        <v>19.944444444444443</v>
      </c>
      <c r="AL26" s="528">
        <v>25.277777777777775</v>
      </c>
      <c r="AM26" s="528">
        <v>21.611111111111111</v>
      </c>
      <c r="AN26" s="528">
        <v>21.166666666666664</v>
      </c>
      <c r="AO26" s="529">
        <v>8.4444444444444446</v>
      </c>
      <c r="AP26">
        <f>AVERAGE(AJ26:AO26)</f>
        <v>19.898148148148145</v>
      </c>
    </row>
    <row r="27" spans="17:53" x14ac:dyDescent="0.25">
      <c r="AJ27" s="532">
        <v>19.944444444444443</v>
      </c>
      <c r="AK27" s="7">
        <v>50.233333333333334</v>
      </c>
      <c r="AL27" s="7">
        <v>30.788888888888884</v>
      </c>
      <c r="AM27" s="7">
        <v>9.1666666666666643</v>
      </c>
      <c r="AN27" s="7">
        <v>33.366666666666667</v>
      </c>
      <c r="AO27" s="533">
        <v>11.555555555555554</v>
      </c>
      <c r="AP27">
        <f t="shared" ref="AP27:AP32" si="10">AVERAGE(AJ27:AO27)</f>
        <v>25.842592592592592</v>
      </c>
    </row>
    <row r="28" spans="17:53" x14ac:dyDescent="0.25">
      <c r="AJ28" s="532">
        <v>25.277777777777775</v>
      </c>
      <c r="AK28" s="7">
        <v>30.788888888888884</v>
      </c>
      <c r="AL28" s="7">
        <v>65.122222222222206</v>
      </c>
      <c r="AM28" s="7">
        <v>40.388888888888893</v>
      </c>
      <c r="AN28" s="7">
        <v>45.922222222222224</v>
      </c>
      <c r="AO28" s="533">
        <v>38</v>
      </c>
      <c r="AP28">
        <f t="shared" si="10"/>
        <v>40.916666666666664</v>
      </c>
    </row>
    <row r="29" spans="17:53" x14ac:dyDescent="0.25">
      <c r="AJ29" s="532">
        <v>21.611111111111111</v>
      </c>
      <c r="AK29" s="7">
        <v>9.1666666666666643</v>
      </c>
      <c r="AL29" s="7">
        <v>40.388888888888893</v>
      </c>
      <c r="AM29" s="7">
        <v>42.5</v>
      </c>
      <c r="AN29" s="7">
        <v>35.611111111111114</v>
      </c>
      <c r="AO29" s="533">
        <v>24.111111111111111</v>
      </c>
      <c r="AP29">
        <f t="shared" si="10"/>
        <v>28.898148148148149</v>
      </c>
    </row>
    <row r="30" spans="17:53" x14ac:dyDescent="0.25">
      <c r="AJ30" s="532">
        <v>21.166666666666664</v>
      </c>
      <c r="AK30" s="7">
        <v>33.366666666666667</v>
      </c>
      <c r="AL30" s="7">
        <v>45.922222222222224</v>
      </c>
      <c r="AM30" s="7">
        <v>35.611111111111114</v>
      </c>
      <c r="AN30" s="7">
        <v>59.43333333333333</v>
      </c>
      <c r="AO30" s="533">
        <v>32.111111111111107</v>
      </c>
      <c r="AP30">
        <f t="shared" si="10"/>
        <v>37.935185185185183</v>
      </c>
    </row>
    <row r="31" spans="17:53" x14ac:dyDescent="0.25">
      <c r="AJ31" s="409">
        <v>8.4444444444444446</v>
      </c>
      <c r="AK31" s="410">
        <v>11.555555555555554</v>
      </c>
      <c r="AL31" s="410">
        <v>38</v>
      </c>
      <c r="AM31" s="410">
        <v>24.111111111111111</v>
      </c>
      <c r="AN31" s="410">
        <v>32.111111111111107</v>
      </c>
      <c r="AO31" s="417">
        <v>30.222222222222221</v>
      </c>
      <c r="AP31">
        <f t="shared" si="10"/>
        <v>24.074074074074076</v>
      </c>
    </row>
    <row r="32" spans="17:53" x14ac:dyDescent="0.25">
      <c r="AJ32">
        <f t="shared" ref="AJ32:AO32" si="11">AVERAGE(AJ26:AJ31)</f>
        <v>19.898148148148145</v>
      </c>
      <c r="AK32">
        <f t="shared" si="11"/>
        <v>25.842592592592592</v>
      </c>
      <c r="AL32">
        <f t="shared" si="11"/>
        <v>40.916666666666664</v>
      </c>
      <c r="AM32">
        <f t="shared" si="11"/>
        <v>28.898148148148149</v>
      </c>
      <c r="AN32">
        <f t="shared" si="11"/>
        <v>37.935185185185183</v>
      </c>
      <c r="AO32">
        <f t="shared" si="11"/>
        <v>24.074074074074076</v>
      </c>
      <c r="AP32">
        <f t="shared" si="10"/>
        <v>29.594135802469136</v>
      </c>
    </row>
    <row r="35" spans="36:44" x14ac:dyDescent="0.25">
      <c r="AJ35" s="527">
        <f t="shared" ref="AJ35:AO35" si="12">AJ26-$AP26-AJ$32+$AP$32</f>
        <v>12.742283950617288</v>
      </c>
      <c r="AK35" s="528">
        <f t="shared" si="12"/>
        <v>3.7978395061728421</v>
      </c>
      <c r="AL35" s="528">
        <f t="shared" si="12"/>
        <v>-5.942901234567902</v>
      </c>
      <c r="AM35" s="528">
        <f t="shared" si="12"/>
        <v>2.4089506172839528</v>
      </c>
      <c r="AN35" s="528">
        <f t="shared" si="12"/>
        <v>-7.0725308641975282</v>
      </c>
      <c r="AO35" s="529">
        <f t="shared" si="12"/>
        <v>-5.9336419753086425</v>
      </c>
      <c r="AQ35" t="s">
        <v>1068</v>
      </c>
      <c r="AR35">
        <f>R4</f>
        <v>2</v>
      </c>
    </row>
    <row r="36" spans="36:44" x14ac:dyDescent="0.25">
      <c r="AJ36" s="532">
        <f t="shared" ref="AJ36:AO40" si="13">AJ27-$AP27-AJ$32+$AP$32</f>
        <v>3.7978395061728421</v>
      </c>
      <c r="AK36" s="7">
        <f t="shared" si="13"/>
        <v>28.142283950617287</v>
      </c>
      <c r="AL36" s="7">
        <f t="shared" si="13"/>
        <v>-6.3762345679012391</v>
      </c>
      <c r="AM36" s="7">
        <f t="shared" si="13"/>
        <v>-15.97993827160494</v>
      </c>
      <c r="AN36" s="7">
        <f t="shared" si="13"/>
        <v>-0.81697530864197176</v>
      </c>
      <c r="AO36" s="533">
        <f t="shared" si="13"/>
        <v>-8.7669753086419782</v>
      </c>
      <c r="AQ36" t="s">
        <v>1069</v>
      </c>
      <c r="AR36">
        <f>S4</f>
        <v>3</v>
      </c>
    </row>
    <row r="37" spans="36:44" x14ac:dyDescent="0.25">
      <c r="AJ37" s="532">
        <f t="shared" si="13"/>
        <v>-5.942901234567902</v>
      </c>
      <c r="AK37" s="7">
        <f t="shared" si="13"/>
        <v>-6.3762345679012391</v>
      </c>
      <c r="AL37" s="7">
        <f t="shared" si="13"/>
        <v>12.883024691358013</v>
      </c>
      <c r="AM37" s="7">
        <f t="shared" si="13"/>
        <v>0.16820987654321584</v>
      </c>
      <c r="AN37" s="7">
        <f t="shared" si="13"/>
        <v>-3.3354938271604873</v>
      </c>
      <c r="AO37" s="533">
        <f t="shared" si="13"/>
        <v>2.6033950617283956</v>
      </c>
      <c r="AQ37" t="s">
        <v>1070</v>
      </c>
      <c r="AR37">
        <f>SUM(AJ42:AN42)^2</f>
        <v>8628.6897150078476</v>
      </c>
    </row>
    <row r="38" spans="36:44" x14ac:dyDescent="0.25">
      <c r="AJ38" s="532">
        <f t="shared" si="13"/>
        <v>2.4089506172839528</v>
      </c>
      <c r="AK38" s="7">
        <f t="shared" si="13"/>
        <v>-15.97993827160494</v>
      </c>
      <c r="AL38" s="7">
        <f t="shared" si="13"/>
        <v>0.16820987654321584</v>
      </c>
      <c r="AM38" s="7">
        <f t="shared" si="13"/>
        <v>14.297839506172838</v>
      </c>
      <c r="AN38" s="7">
        <f t="shared" si="13"/>
        <v>-1.6280864197530818</v>
      </c>
      <c r="AO38" s="533">
        <f t="shared" si="13"/>
        <v>0.73302469135802184</v>
      </c>
      <c r="AQ38" t="s">
        <v>1071</v>
      </c>
      <c r="AR38">
        <f>SUMSQ(AJ42:AN42)*(AR35-1)*(AR36-1)</f>
        <v>5410.1316940856486</v>
      </c>
    </row>
    <row r="39" spans="36:44" x14ac:dyDescent="0.25">
      <c r="AJ39" s="532">
        <f t="shared" si="13"/>
        <v>-7.0725308641975282</v>
      </c>
      <c r="AK39" s="7">
        <f t="shared" si="13"/>
        <v>-0.81697530864197176</v>
      </c>
      <c r="AL39" s="7">
        <f t="shared" si="13"/>
        <v>-3.3354938271604873</v>
      </c>
      <c r="AM39" s="7">
        <f t="shared" si="13"/>
        <v>-1.6280864197530818</v>
      </c>
      <c r="AN39" s="7">
        <f t="shared" si="13"/>
        <v>13.157098765432099</v>
      </c>
      <c r="AO39" s="533">
        <f t="shared" si="13"/>
        <v>-0.30401234567901625</v>
      </c>
      <c r="AQ39" t="s">
        <v>972</v>
      </c>
      <c r="AR39">
        <f>AR37/AR38</f>
        <v>1.5949130636580851</v>
      </c>
    </row>
    <row r="40" spans="36:44" x14ac:dyDescent="0.25">
      <c r="AJ40" s="409">
        <f t="shared" si="13"/>
        <v>-5.9336419753086425</v>
      </c>
      <c r="AK40" s="410">
        <f t="shared" si="13"/>
        <v>-8.7669753086419782</v>
      </c>
      <c r="AL40" s="410">
        <f t="shared" si="13"/>
        <v>2.6033950617283956</v>
      </c>
      <c r="AM40" s="410">
        <f t="shared" si="13"/>
        <v>0.73302469135802184</v>
      </c>
      <c r="AN40" s="410">
        <f t="shared" si="13"/>
        <v>-0.30401234567901625</v>
      </c>
      <c r="AO40" s="417">
        <f t="shared" si="13"/>
        <v>11.668209876543205</v>
      </c>
    </row>
    <row r="42" spans="36:44" x14ac:dyDescent="0.25">
      <c r="AJ42" s="534">
        <f t="array" ref="AJ42:AN42">[1]!eVALUES(AJ35:AO40)</f>
        <v>42.789775777418669</v>
      </c>
      <c r="AK42" s="535">
        <v>23.134551104751569</v>
      </c>
      <c r="AL42" s="535">
        <v>15.966976956337323</v>
      </c>
      <c r="AM42" s="535">
        <v>8.9242857189133993</v>
      </c>
      <c r="AN42" s="536">
        <v>2.0751511814053707</v>
      </c>
    </row>
  </sheetData>
  <mergeCells count="1">
    <mergeCell ref="AT3:AU3"/>
  </mergeCells>
  <pageMargins left="0.7" right="0.7" top="0.75" bottom="0.75" header="0.3" footer="0.3"/>
  <ignoredErrors>
    <ignoredError sqref="H5" formulaRange="1"/>
  </ignoredError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AE53"/>
  <sheetViews>
    <sheetView workbookViewId="0"/>
  </sheetViews>
  <sheetFormatPr defaultRowHeight="15" x14ac:dyDescent="0.25"/>
  <sheetData>
    <row r="1" spans="1:28" x14ac:dyDescent="0.25">
      <c r="A1" s="1" t="s">
        <v>1109</v>
      </c>
    </row>
    <row r="3" spans="1:28" x14ac:dyDescent="0.25">
      <c r="A3" s="1" t="s">
        <v>1049</v>
      </c>
      <c r="I3" s="1" t="s">
        <v>1050</v>
      </c>
      <c r="Q3" s="1" t="s">
        <v>1051</v>
      </c>
      <c r="Y3" s="1" t="s">
        <v>1111</v>
      </c>
    </row>
    <row r="5" spans="1:28" x14ac:dyDescent="0.25">
      <c r="A5" s="508" t="s">
        <v>57</v>
      </c>
      <c r="B5" s="508" t="s">
        <v>1054</v>
      </c>
      <c r="C5" s="508" t="s">
        <v>1055</v>
      </c>
      <c r="I5" s="508" t="s">
        <v>57</v>
      </c>
      <c r="J5" s="508" t="s">
        <v>1054</v>
      </c>
      <c r="K5" s="508" t="s">
        <v>1055</v>
      </c>
      <c r="Q5" s="508" t="s">
        <v>57</v>
      </c>
      <c r="R5" s="508" t="s">
        <v>1054</v>
      </c>
      <c r="S5" s="508" t="s">
        <v>1055</v>
      </c>
      <c r="Y5" s="511" t="s">
        <v>57</v>
      </c>
      <c r="Z5" s="511" t="s">
        <v>1050</v>
      </c>
      <c r="AA5" s="511" t="s">
        <v>1051</v>
      </c>
    </row>
    <row r="6" spans="1:28" x14ac:dyDescent="0.25">
      <c r="A6" s="508" t="s">
        <v>556</v>
      </c>
      <c r="B6" s="513">
        <v>1</v>
      </c>
      <c r="C6" s="515">
        <v>-1</v>
      </c>
      <c r="D6" s="516" t="s">
        <v>999</v>
      </c>
      <c r="I6" s="508" t="s">
        <v>556</v>
      </c>
      <c r="J6" s="513">
        <v>1</v>
      </c>
      <c r="K6" s="515">
        <v>-1</v>
      </c>
      <c r="L6" s="516" t="s">
        <v>999</v>
      </c>
      <c r="Q6" s="508" t="s">
        <v>556</v>
      </c>
      <c r="R6" s="513">
        <v>1</v>
      </c>
      <c r="S6" s="515">
        <v>-1</v>
      </c>
      <c r="T6" s="516" t="s">
        <v>999</v>
      </c>
      <c r="Y6" s="511" t="s">
        <v>556</v>
      </c>
      <c r="Z6" s="513">
        <v>1</v>
      </c>
      <c r="AA6" s="515">
        <v>-1</v>
      </c>
      <c r="AB6" s="516" t="s">
        <v>999</v>
      </c>
    </row>
    <row r="7" spans="1:28" x14ac:dyDescent="0.25">
      <c r="A7" s="508">
        <v>1</v>
      </c>
      <c r="B7" s="525">
        <f>'ANOVA Match 2.1'!B5</f>
        <v>13</v>
      </c>
      <c r="C7" s="519">
        <f>'ANOVA Match 2.1'!E5</f>
        <v>18</v>
      </c>
      <c r="D7" s="503">
        <f>SUMPRODUCT(B$6:C$6,B7:C7)</f>
        <v>-5</v>
      </c>
      <c r="I7" s="508">
        <v>1</v>
      </c>
      <c r="J7" s="525">
        <f>'ANOVA Match 2.1'!C5</f>
        <v>12</v>
      </c>
      <c r="K7" s="519">
        <f>'ANOVA Match 2.1'!F5</f>
        <v>30</v>
      </c>
      <c r="L7" s="503">
        <f>SUMPRODUCT(J$6:K$6,J7:K7)</f>
        <v>-18</v>
      </c>
      <c r="Q7" s="508">
        <v>1</v>
      </c>
      <c r="R7" s="525">
        <f>'ANOVA Match 2.1'!D5</f>
        <v>17</v>
      </c>
      <c r="S7" s="519">
        <f>'ANOVA Match 2.1'!G5</f>
        <v>34</v>
      </c>
      <c r="T7" s="503">
        <f>SUMPRODUCT(R$6:S$6,R7:S7)</f>
        <v>-17</v>
      </c>
      <c r="Y7" s="511">
        <v>1</v>
      </c>
      <c r="Z7" s="486">
        <f>K7-J7</f>
        <v>18</v>
      </c>
      <c r="AA7" s="502">
        <f>S7-R7</f>
        <v>17</v>
      </c>
      <c r="AB7" s="503">
        <f>SUMPRODUCT(Z$6:AA$6,Z7:AA7)</f>
        <v>1</v>
      </c>
    </row>
    <row r="8" spans="1:28" x14ac:dyDescent="0.25">
      <c r="A8" s="508">
        <f>A7+1</f>
        <v>2</v>
      </c>
      <c r="B8" s="540">
        <f>'ANOVA Match 2.1'!B6</f>
        <v>12</v>
      </c>
      <c r="C8" s="494">
        <f>'ANOVA Match 2.1'!E6</f>
        <v>6</v>
      </c>
      <c r="D8" s="503">
        <f t="shared" ref="D8:D16" si="0">SUMPRODUCT(B$6:C$6,B8:C8)</f>
        <v>6</v>
      </c>
      <c r="I8" s="508">
        <f>I7+1</f>
        <v>2</v>
      </c>
      <c r="J8" s="540">
        <f>'ANOVA Match 2.1'!C6</f>
        <v>19</v>
      </c>
      <c r="K8" s="494">
        <f>'ANOVA Match 2.1'!F6</f>
        <v>18</v>
      </c>
      <c r="L8" s="503">
        <f t="shared" ref="L8:L16" si="1">SUMPRODUCT(J$6:K$6,J8:K8)</f>
        <v>1</v>
      </c>
      <c r="Q8" s="508">
        <f>Q7+1</f>
        <v>2</v>
      </c>
      <c r="R8" s="540">
        <f>'ANOVA Match 2.1'!D6</f>
        <v>18</v>
      </c>
      <c r="S8" s="494">
        <f>'ANOVA Match 2.1'!G6</f>
        <v>30</v>
      </c>
      <c r="T8" s="503">
        <f t="shared" ref="T8:T16" si="2">SUMPRODUCT(R$6:S$6,R8:S8)</f>
        <v>-12</v>
      </c>
      <c r="Y8" s="511">
        <f>Y7+1</f>
        <v>2</v>
      </c>
      <c r="Z8" s="540">
        <f t="shared" ref="Z8:Z16" si="3">K8-J8</f>
        <v>-1</v>
      </c>
      <c r="AA8" s="494">
        <f t="shared" ref="AA8:AA16" si="4">S8-R8</f>
        <v>12</v>
      </c>
      <c r="AB8" s="503">
        <f t="shared" ref="AB8:AB16" si="5">SUMPRODUCT(Z$6:AA$6,Z8:AA8)</f>
        <v>-13</v>
      </c>
    </row>
    <row r="9" spans="1:28" x14ac:dyDescent="0.25">
      <c r="A9" s="508">
        <f t="shared" ref="A9:A16" si="6">A8+1</f>
        <v>3</v>
      </c>
      <c r="B9" s="540">
        <f>'ANOVA Match 2.1'!B7</f>
        <v>17</v>
      </c>
      <c r="C9" s="494">
        <f>'ANOVA Match 2.1'!E7</f>
        <v>21</v>
      </c>
      <c r="D9" s="503">
        <f t="shared" si="0"/>
        <v>-4</v>
      </c>
      <c r="I9" s="508">
        <f t="shared" ref="I9:I16" si="7">I8+1</f>
        <v>3</v>
      </c>
      <c r="J9" s="540">
        <f>'ANOVA Match 2.1'!C7</f>
        <v>19</v>
      </c>
      <c r="K9" s="494">
        <f>'ANOVA Match 2.1'!F7</f>
        <v>31</v>
      </c>
      <c r="L9" s="503">
        <f t="shared" si="1"/>
        <v>-12</v>
      </c>
      <c r="Q9" s="508">
        <f t="shared" ref="Q9:Q16" si="8">Q8+1</f>
        <v>3</v>
      </c>
      <c r="R9" s="540">
        <f>'ANOVA Match 2.1'!D7</f>
        <v>24</v>
      </c>
      <c r="S9" s="494">
        <f>'ANOVA Match 2.1'!G7</f>
        <v>32</v>
      </c>
      <c r="T9" s="503">
        <f t="shared" si="2"/>
        <v>-8</v>
      </c>
      <c r="Y9" s="511">
        <f t="shared" ref="Y9:Y16" si="9">Y8+1</f>
        <v>3</v>
      </c>
      <c r="Z9" s="540">
        <f t="shared" si="3"/>
        <v>12</v>
      </c>
      <c r="AA9" s="494">
        <f t="shared" si="4"/>
        <v>8</v>
      </c>
      <c r="AB9" s="503">
        <f t="shared" si="5"/>
        <v>4</v>
      </c>
    </row>
    <row r="10" spans="1:28" x14ac:dyDescent="0.25">
      <c r="A10" s="508">
        <f t="shared" si="6"/>
        <v>4</v>
      </c>
      <c r="B10" s="540">
        <f>'ANOVA Match 2.1'!B8</f>
        <v>12</v>
      </c>
      <c r="C10" s="494">
        <f>'ANOVA Match 2.1'!E8</f>
        <v>18</v>
      </c>
      <c r="D10" s="503">
        <f t="shared" si="0"/>
        <v>-6</v>
      </c>
      <c r="I10" s="508">
        <f t="shared" si="7"/>
        <v>4</v>
      </c>
      <c r="J10" s="540">
        <f>'ANOVA Match 2.1'!C8</f>
        <v>25</v>
      </c>
      <c r="K10" s="494">
        <f>'ANOVA Match 2.1'!F8</f>
        <v>39</v>
      </c>
      <c r="L10" s="503">
        <f t="shared" si="1"/>
        <v>-14</v>
      </c>
      <c r="Q10" s="508">
        <f t="shared" si="8"/>
        <v>4</v>
      </c>
      <c r="R10" s="540">
        <f>'ANOVA Match 2.1'!D8</f>
        <v>25</v>
      </c>
      <c r="S10" s="494">
        <f>'ANOVA Match 2.1'!G8</f>
        <v>40</v>
      </c>
      <c r="T10" s="503">
        <f t="shared" si="2"/>
        <v>-15</v>
      </c>
      <c r="Y10" s="511">
        <f t="shared" si="9"/>
        <v>4</v>
      </c>
      <c r="Z10" s="540">
        <f t="shared" si="3"/>
        <v>14</v>
      </c>
      <c r="AA10" s="494">
        <f t="shared" si="4"/>
        <v>15</v>
      </c>
      <c r="AB10" s="503">
        <f t="shared" si="5"/>
        <v>-1</v>
      </c>
    </row>
    <row r="11" spans="1:28" x14ac:dyDescent="0.25">
      <c r="A11" s="508">
        <f t="shared" si="6"/>
        <v>5</v>
      </c>
      <c r="B11" s="540">
        <f>'ANOVA Match 2.1'!B9</f>
        <v>19</v>
      </c>
      <c r="C11" s="494">
        <f>'ANOVA Match 2.1'!E9</f>
        <v>18</v>
      </c>
      <c r="D11" s="503">
        <f t="shared" si="0"/>
        <v>1</v>
      </c>
      <c r="I11" s="508">
        <f t="shared" si="7"/>
        <v>5</v>
      </c>
      <c r="J11" s="540">
        <f>'ANOVA Match 2.1'!C9</f>
        <v>27</v>
      </c>
      <c r="K11" s="494">
        <f>'ANOVA Match 2.1'!F9</f>
        <v>28</v>
      </c>
      <c r="L11" s="503">
        <f t="shared" si="1"/>
        <v>-1</v>
      </c>
      <c r="Q11" s="508">
        <f t="shared" si="8"/>
        <v>5</v>
      </c>
      <c r="R11" s="540">
        <f>'ANOVA Match 2.1'!D9</f>
        <v>19</v>
      </c>
      <c r="S11" s="494">
        <f>'ANOVA Match 2.1'!G9</f>
        <v>27</v>
      </c>
      <c r="T11" s="503">
        <f t="shared" si="2"/>
        <v>-8</v>
      </c>
      <c r="Y11" s="511">
        <f t="shared" si="9"/>
        <v>5</v>
      </c>
      <c r="Z11" s="540">
        <f t="shared" si="3"/>
        <v>1</v>
      </c>
      <c r="AA11" s="494">
        <f t="shared" si="4"/>
        <v>8</v>
      </c>
      <c r="AB11" s="503">
        <f t="shared" si="5"/>
        <v>-7</v>
      </c>
    </row>
    <row r="12" spans="1:28" x14ac:dyDescent="0.25">
      <c r="A12" s="508">
        <f t="shared" si="6"/>
        <v>6</v>
      </c>
      <c r="B12" s="540">
        <f>'ANOVA Match 2.1'!B10</f>
        <v>6</v>
      </c>
      <c r="C12" s="494">
        <f>'ANOVA Match 2.1'!E10</f>
        <v>6</v>
      </c>
      <c r="D12" s="503">
        <f t="shared" si="0"/>
        <v>0</v>
      </c>
      <c r="I12" s="508">
        <f t="shared" si="7"/>
        <v>6</v>
      </c>
      <c r="J12" s="540">
        <f>'ANOVA Match 2.1'!C10</f>
        <v>12</v>
      </c>
      <c r="K12" s="494">
        <f>'ANOVA Match 2.1'!F10</f>
        <v>18</v>
      </c>
      <c r="L12" s="503">
        <f t="shared" si="1"/>
        <v>-6</v>
      </c>
      <c r="Q12" s="508">
        <f t="shared" si="8"/>
        <v>6</v>
      </c>
      <c r="R12" s="540">
        <f>'ANOVA Match 2.1'!D10</f>
        <v>6</v>
      </c>
      <c r="S12" s="494">
        <f>'ANOVA Match 2.1'!G10</f>
        <v>23</v>
      </c>
      <c r="T12" s="503">
        <f t="shared" si="2"/>
        <v>-17</v>
      </c>
      <c r="Y12" s="511">
        <f t="shared" si="9"/>
        <v>6</v>
      </c>
      <c r="Z12" s="540">
        <f t="shared" si="3"/>
        <v>6</v>
      </c>
      <c r="AA12" s="494">
        <f t="shared" si="4"/>
        <v>17</v>
      </c>
      <c r="AB12" s="503">
        <f t="shared" si="5"/>
        <v>-11</v>
      </c>
    </row>
    <row r="13" spans="1:28" x14ac:dyDescent="0.25">
      <c r="A13" s="508">
        <f t="shared" si="6"/>
        <v>7</v>
      </c>
      <c r="B13" s="540">
        <f>'ANOVA Match 2.1'!B11</f>
        <v>17</v>
      </c>
      <c r="C13" s="494">
        <f>'ANOVA Match 2.1'!E11</f>
        <v>24</v>
      </c>
      <c r="D13" s="503">
        <f t="shared" si="0"/>
        <v>-7</v>
      </c>
      <c r="I13" s="508">
        <f t="shared" si="7"/>
        <v>7</v>
      </c>
      <c r="J13" s="540">
        <f>'ANOVA Match 2.1'!C11</f>
        <v>18</v>
      </c>
      <c r="K13" s="494">
        <f>'ANOVA Match 2.1'!F11</f>
        <v>36</v>
      </c>
      <c r="L13" s="503">
        <f t="shared" si="1"/>
        <v>-18</v>
      </c>
      <c r="Q13" s="508">
        <f t="shared" si="8"/>
        <v>7</v>
      </c>
      <c r="R13" s="540">
        <f>'ANOVA Match 2.1'!D11</f>
        <v>30</v>
      </c>
      <c r="S13" s="494">
        <f>'ANOVA Match 2.1'!G11</f>
        <v>38</v>
      </c>
      <c r="T13" s="503">
        <f t="shared" si="2"/>
        <v>-8</v>
      </c>
      <c r="Y13" s="511">
        <f t="shared" si="9"/>
        <v>7</v>
      </c>
      <c r="Z13" s="540">
        <f t="shared" si="3"/>
        <v>18</v>
      </c>
      <c r="AA13" s="494">
        <f t="shared" si="4"/>
        <v>8</v>
      </c>
      <c r="AB13" s="503">
        <f t="shared" si="5"/>
        <v>10</v>
      </c>
    </row>
    <row r="14" spans="1:28" x14ac:dyDescent="0.25">
      <c r="A14" s="508">
        <f t="shared" si="6"/>
        <v>8</v>
      </c>
      <c r="B14" s="540">
        <f>'ANOVA Match 2.1'!B12</f>
        <v>18</v>
      </c>
      <c r="C14" s="494">
        <f>'ANOVA Match 2.1'!E12</f>
        <v>22</v>
      </c>
      <c r="D14" s="503">
        <f t="shared" si="0"/>
        <v>-4</v>
      </c>
      <c r="I14" s="508">
        <f t="shared" si="7"/>
        <v>8</v>
      </c>
      <c r="J14" s="540">
        <f>'ANOVA Match 2.1'!C12</f>
        <v>29</v>
      </c>
      <c r="K14" s="494">
        <f>'ANOVA Match 2.1'!F12</f>
        <v>36</v>
      </c>
      <c r="L14" s="503">
        <f t="shared" si="1"/>
        <v>-7</v>
      </c>
      <c r="Q14" s="508">
        <f t="shared" si="8"/>
        <v>8</v>
      </c>
      <c r="R14" s="540">
        <f>'ANOVA Match 2.1'!D12</f>
        <v>36</v>
      </c>
      <c r="S14" s="494">
        <f>'ANOVA Match 2.1'!G12</f>
        <v>40</v>
      </c>
      <c r="T14" s="503">
        <f t="shared" si="2"/>
        <v>-4</v>
      </c>
      <c r="Y14" s="511">
        <f t="shared" si="9"/>
        <v>8</v>
      </c>
      <c r="Z14" s="540">
        <f t="shared" si="3"/>
        <v>7</v>
      </c>
      <c r="AA14" s="494">
        <f t="shared" si="4"/>
        <v>4</v>
      </c>
      <c r="AB14" s="503">
        <f t="shared" si="5"/>
        <v>3</v>
      </c>
    </row>
    <row r="15" spans="1:28" x14ac:dyDescent="0.25">
      <c r="A15" s="508">
        <f t="shared" si="6"/>
        <v>9</v>
      </c>
      <c r="B15" s="540">
        <f>'ANOVA Match 2.1'!B13</f>
        <v>23</v>
      </c>
      <c r="C15" s="494">
        <f>'ANOVA Match 2.1'!E13</f>
        <v>18</v>
      </c>
      <c r="D15" s="503">
        <f t="shared" si="0"/>
        <v>5</v>
      </c>
      <c r="I15" s="508">
        <f t="shared" si="7"/>
        <v>9</v>
      </c>
      <c r="J15" s="540">
        <f>'ANOVA Match 2.1'!C13</f>
        <v>30</v>
      </c>
      <c r="K15" s="494">
        <f>'ANOVA Match 2.1'!F13</f>
        <v>38</v>
      </c>
      <c r="L15" s="503">
        <f t="shared" si="1"/>
        <v>-8</v>
      </c>
      <c r="Q15" s="508">
        <f t="shared" si="8"/>
        <v>9</v>
      </c>
      <c r="R15" s="540">
        <f>'ANOVA Match 2.1'!D13</f>
        <v>24</v>
      </c>
      <c r="S15" s="494">
        <f>'ANOVA Match 2.1'!G13</f>
        <v>32</v>
      </c>
      <c r="T15" s="503">
        <f t="shared" si="2"/>
        <v>-8</v>
      </c>
      <c r="Y15" s="511">
        <f t="shared" si="9"/>
        <v>9</v>
      </c>
      <c r="Z15" s="540">
        <f t="shared" si="3"/>
        <v>8</v>
      </c>
      <c r="AA15" s="494">
        <f t="shared" si="4"/>
        <v>8</v>
      </c>
      <c r="AB15" s="503">
        <f t="shared" si="5"/>
        <v>0</v>
      </c>
    </row>
    <row r="16" spans="1:28" x14ac:dyDescent="0.25">
      <c r="A16" s="508">
        <f t="shared" si="6"/>
        <v>10</v>
      </c>
      <c r="B16" s="436">
        <f>'ANOVA Match 2.1'!B14</f>
        <v>18</v>
      </c>
      <c r="C16" s="412">
        <f>'ANOVA Match 2.1'!E14</f>
        <v>24</v>
      </c>
      <c r="D16" s="503">
        <f t="shared" si="0"/>
        <v>-6</v>
      </c>
      <c r="I16" s="508">
        <f t="shared" si="7"/>
        <v>10</v>
      </c>
      <c r="J16" s="436">
        <f>'ANOVA Match 2.1'!C14</f>
        <v>12</v>
      </c>
      <c r="K16" s="412">
        <f>'ANOVA Match 2.1'!F14</f>
        <v>25</v>
      </c>
      <c r="L16" s="503">
        <f t="shared" si="1"/>
        <v>-13</v>
      </c>
      <c r="Q16" s="508">
        <f t="shared" si="8"/>
        <v>10</v>
      </c>
      <c r="R16" s="436">
        <f>'ANOVA Match 2.1'!D14</f>
        <v>24</v>
      </c>
      <c r="S16" s="412">
        <f>'ANOVA Match 2.1'!G14</f>
        <v>34</v>
      </c>
      <c r="T16" s="503">
        <f t="shared" si="2"/>
        <v>-10</v>
      </c>
      <c r="Y16" s="511">
        <f t="shared" si="9"/>
        <v>10</v>
      </c>
      <c r="Z16" s="436">
        <f t="shared" si="3"/>
        <v>13</v>
      </c>
      <c r="AA16" s="412">
        <f t="shared" si="4"/>
        <v>10</v>
      </c>
      <c r="AB16" s="503">
        <f t="shared" si="5"/>
        <v>3</v>
      </c>
    </row>
    <row r="17" spans="1:31" x14ac:dyDescent="0.25">
      <c r="A17" s="508" t="s">
        <v>7</v>
      </c>
      <c r="D17" s="520">
        <f>AVERAGE(D7:D16)</f>
        <v>-2</v>
      </c>
      <c r="I17" s="508" t="s">
        <v>7</v>
      </c>
      <c r="L17" s="520">
        <f>AVERAGE(L7:L16)</f>
        <v>-9.6</v>
      </c>
      <c r="Q17" s="508" t="s">
        <v>7</v>
      </c>
      <c r="T17" s="520">
        <f>AVERAGE(T7:T16)</f>
        <v>-10.7</v>
      </c>
      <c r="Y17" s="511" t="s">
        <v>7</v>
      </c>
      <c r="AB17" s="520">
        <f>AVERAGE(AB7:AB16)</f>
        <v>-1.1000000000000001</v>
      </c>
    </row>
    <row r="18" spans="1:31" x14ac:dyDescent="0.25">
      <c r="A18" s="508" t="s">
        <v>77</v>
      </c>
      <c r="D18" s="503">
        <f>STDEV(D7:D16)</f>
        <v>4.714045207910317</v>
      </c>
      <c r="I18" s="508" t="s">
        <v>77</v>
      </c>
      <c r="L18" s="503">
        <f>STDEV(L7:L16)</f>
        <v>6.5523532668296607</v>
      </c>
      <c r="Q18" s="508" t="s">
        <v>77</v>
      </c>
      <c r="T18" s="503">
        <f>STDEV(T7:T16)</f>
        <v>4.3982319680121957</v>
      </c>
      <c r="Y18" s="511" t="s">
        <v>77</v>
      </c>
      <c r="AB18" s="503">
        <f>STDEV(AB7:AB16)</f>
        <v>7.1717036562683854</v>
      </c>
    </row>
    <row r="19" spans="1:31" x14ac:dyDescent="0.25">
      <c r="A19" s="508" t="s">
        <v>1000</v>
      </c>
      <c r="D19" s="420">
        <f>D18/SQRT(COUNTA($A$5:$A$14))</f>
        <v>1.4907119849998598</v>
      </c>
      <c r="I19" s="508" t="s">
        <v>1000</v>
      </c>
      <c r="L19" s="420">
        <f>L18/SQRT(COUNTA($A$5:$A$14))</f>
        <v>2.0720360357226735</v>
      </c>
      <c r="Q19" s="508" t="s">
        <v>1000</v>
      </c>
      <c r="T19" s="420">
        <f>T18/SQRT(COUNTA($A$5:$A$14))</f>
        <v>1.3908430696683372</v>
      </c>
      <c r="Y19" s="511" t="s">
        <v>1000</v>
      </c>
      <c r="AB19" s="420">
        <f>AB18/SQRT(COUNTA($A$5:$A$14))</f>
        <v>2.2678918257565401</v>
      </c>
    </row>
    <row r="21" spans="1:31" ht="15.75" thickBot="1" x14ac:dyDescent="0.3">
      <c r="A21" t="s">
        <v>509</v>
      </c>
      <c r="I21" t="s">
        <v>509</v>
      </c>
      <c r="Q21" t="s">
        <v>509</v>
      </c>
      <c r="Y21" t="s">
        <v>509</v>
      </c>
    </row>
    <row r="22" spans="1:31" x14ac:dyDescent="0.25">
      <c r="A22" s="509" t="s">
        <v>7</v>
      </c>
      <c r="B22" s="509" t="s">
        <v>212</v>
      </c>
      <c r="C22" s="509" t="s">
        <v>1001</v>
      </c>
      <c r="D22" s="509" t="s">
        <v>60</v>
      </c>
      <c r="E22" s="506" t="s">
        <v>67</v>
      </c>
      <c r="F22" s="506" t="s">
        <v>1008</v>
      </c>
      <c r="G22" s="506" t="s">
        <v>1009</v>
      </c>
      <c r="I22" s="509" t="s">
        <v>7</v>
      </c>
      <c r="J22" s="509" t="s">
        <v>212</v>
      </c>
      <c r="K22" s="509" t="s">
        <v>1001</v>
      </c>
      <c r="L22" s="509" t="s">
        <v>60</v>
      </c>
      <c r="M22" s="506" t="s">
        <v>67</v>
      </c>
      <c r="N22" s="506" t="s">
        <v>1008</v>
      </c>
      <c r="O22" s="506" t="s">
        <v>1009</v>
      </c>
      <c r="Q22" s="509" t="s">
        <v>7</v>
      </c>
      <c r="R22" s="509" t="s">
        <v>212</v>
      </c>
      <c r="S22" s="509" t="s">
        <v>1001</v>
      </c>
      <c r="T22" s="509" t="s">
        <v>60</v>
      </c>
      <c r="U22" s="506" t="s">
        <v>67</v>
      </c>
      <c r="V22" s="506" t="s">
        <v>1008</v>
      </c>
      <c r="W22" s="506" t="s">
        <v>1009</v>
      </c>
      <c r="Y22" s="512" t="s">
        <v>7</v>
      </c>
      <c r="Z22" s="512" t="s">
        <v>212</v>
      </c>
      <c r="AA22" s="512" t="s">
        <v>1001</v>
      </c>
      <c r="AB22" s="512" t="s">
        <v>60</v>
      </c>
      <c r="AC22" s="506" t="s">
        <v>67</v>
      </c>
      <c r="AD22" s="506" t="s">
        <v>1008</v>
      </c>
      <c r="AE22" s="506" t="s">
        <v>1009</v>
      </c>
    </row>
    <row r="23" spans="1:31" ht="15.75" thickBot="1" x14ac:dyDescent="0.3">
      <c r="A23" s="22">
        <f>D17</f>
        <v>-2</v>
      </c>
      <c r="B23" s="22">
        <f>D19</f>
        <v>1.4907119849998598</v>
      </c>
      <c r="C23" s="22">
        <f>A23/B23</f>
        <v>-1.3416407864998738</v>
      </c>
      <c r="D23" s="507">
        <f>A16-1</f>
        <v>9</v>
      </c>
      <c r="E23" s="22">
        <f>TDIST(ABS(C23),D23,2)</f>
        <v>0.21257989232273572</v>
      </c>
      <c r="F23" s="22">
        <f>ABS(D17/D18)</f>
        <v>0.42426406871192851</v>
      </c>
      <c r="G23" s="22">
        <f>SQRT(C23^2/(C23^2+D23))</f>
        <v>0.40824829046386302</v>
      </c>
      <c r="I23" s="22">
        <f>L17</f>
        <v>-9.6</v>
      </c>
      <c r="J23" s="22">
        <f>L19</f>
        <v>2.0720360357226735</v>
      </c>
      <c r="K23" s="22">
        <f>I23/J23</f>
        <v>-4.6331240550320656</v>
      </c>
      <c r="L23" s="507">
        <f>I16-1</f>
        <v>9</v>
      </c>
      <c r="M23" s="22">
        <f>TDIST(ABS(K23),L23,2)</f>
        <v>1.2312062054452308E-3</v>
      </c>
      <c r="N23" s="22">
        <f>ABS(L17/L18)</f>
        <v>1.4651224696016634</v>
      </c>
      <c r="O23" s="22">
        <f>SQRT(K23^2/(K23^2+L23))</f>
        <v>0.83939690013920276</v>
      </c>
      <c r="Q23" s="22">
        <f>T17</f>
        <v>-10.7</v>
      </c>
      <c r="R23" s="22">
        <f>T19</f>
        <v>1.3908430696683372</v>
      </c>
      <c r="S23" s="22">
        <f>Q23/R23</f>
        <v>-7.6931756237255007</v>
      </c>
      <c r="T23" s="507">
        <f>Q16-1</f>
        <v>9</v>
      </c>
      <c r="U23" s="22">
        <f>TDIST(ABS(S23),T23,2)</f>
        <v>3.0211257637859244E-5</v>
      </c>
      <c r="V23" s="22">
        <f>ABS(T17/T18)</f>
        <v>2.4327957410659087</v>
      </c>
      <c r="W23" s="22">
        <f>SQRT(S23^2/(S23^2+T23))</f>
        <v>0.9316684309350135</v>
      </c>
      <c r="Y23" s="22">
        <f>AB17</f>
        <v>-1.1000000000000001</v>
      </c>
      <c r="Z23" s="22">
        <f>AB19</f>
        <v>2.2678918257565401</v>
      </c>
      <c r="AA23" s="22">
        <f>Y23/Z23</f>
        <v>-0.48503195236530028</v>
      </c>
      <c r="AB23" s="507">
        <f>Y16-1</f>
        <v>9</v>
      </c>
      <c r="AC23" s="22">
        <f>TDIST(ABS(AA23),AB23,2)</f>
        <v>0.63924107339333402</v>
      </c>
      <c r="AD23" s="22">
        <f>ABS(AB17/AB18)</f>
        <v>0.15338057074326428</v>
      </c>
      <c r="AE23" s="22">
        <f>SQRT(AA23^2/(AA23^2+AB23))</f>
        <v>0.15960477502420259</v>
      </c>
    </row>
    <row r="26" spans="1:31" x14ac:dyDescent="0.25">
      <c r="A26" s="1" t="s">
        <v>437</v>
      </c>
    </row>
    <row r="27" spans="1:31" x14ac:dyDescent="0.25">
      <c r="A27" s="1"/>
    </row>
    <row r="28" spans="1:31" x14ac:dyDescent="0.25">
      <c r="B28" t="s">
        <v>1049</v>
      </c>
      <c r="C28" t="s">
        <v>1050</v>
      </c>
      <c r="D28" t="s">
        <v>1051</v>
      </c>
    </row>
    <row r="29" spans="1:31" x14ac:dyDescent="0.25">
      <c r="A29" t="s">
        <v>1054</v>
      </c>
      <c r="B29" s="527">
        <f>'ANOVA Match 2.1'!B15</f>
        <v>15.5</v>
      </c>
      <c r="C29" s="528">
        <f>'ANOVA Match 2.1'!C15</f>
        <v>20.3</v>
      </c>
      <c r="D29" s="529">
        <f>'ANOVA Match 2.1'!D15</f>
        <v>22.3</v>
      </c>
    </row>
    <row r="30" spans="1:31" x14ac:dyDescent="0.25">
      <c r="A30" t="s">
        <v>1055</v>
      </c>
      <c r="B30" s="409">
        <f>'ANOVA Match 2.1'!E15</f>
        <v>17.5</v>
      </c>
      <c r="C30" s="410">
        <f>'ANOVA Match 2.1'!F15</f>
        <v>29.9</v>
      </c>
      <c r="D30" s="417">
        <f>'ANOVA Match 2.1'!G15</f>
        <v>33</v>
      </c>
    </row>
    <row r="40" spans="1:2" x14ac:dyDescent="0.25">
      <c r="A40" s="1" t="s">
        <v>532</v>
      </c>
    </row>
    <row r="42" spans="1:2" x14ac:dyDescent="0.25">
      <c r="A42" t="s">
        <v>1073</v>
      </c>
    </row>
    <row r="44" spans="1:2" x14ac:dyDescent="0.25">
      <c r="A44" t="s">
        <v>41</v>
      </c>
      <c r="B44" s="530">
        <f>COUNTA(A29:A30)</f>
        <v>2</v>
      </c>
    </row>
    <row r="45" spans="1:2" x14ac:dyDescent="0.25">
      <c r="A45" t="s">
        <v>42</v>
      </c>
      <c r="B45" s="503">
        <f>COUNTA(B28:D28)</f>
        <v>3</v>
      </c>
    </row>
    <row r="46" spans="1:2" x14ac:dyDescent="0.25">
      <c r="A46" t="s">
        <v>56</v>
      </c>
      <c r="B46" s="503">
        <f>B44*B45</f>
        <v>6</v>
      </c>
    </row>
    <row r="47" spans="1:2" x14ac:dyDescent="0.25">
      <c r="A47" t="s">
        <v>31</v>
      </c>
      <c r="B47" s="503">
        <f>COUNTA(A7:A16)</f>
        <v>10</v>
      </c>
    </row>
    <row r="48" spans="1:2" x14ac:dyDescent="0.25">
      <c r="A48" t="s">
        <v>60</v>
      </c>
      <c r="B48" s="503">
        <f>B47-1</f>
        <v>9</v>
      </c>
    </row>
    <row r="49" spans="1:2" x14ac:dyDescent="0.25">
      <c r="A49" s="30" t="s">
        <v>48</v>
      </c>
      <c r="B49" s="503">
        <v>0.05</v>
      </c>
    </row>
    <row r="50" spans="1:2" x14ac:dyDescent="0.25">
      <c r="A50" s="30" t="s">
        <v>534</v>
      </c>
      <c r="B50" s="503">
        <f>'Stud. Q Table'!F64</f>
        <v>5.024</v>
      </c>
    </row>
    <row r="51" spans="1:2" x14ac:dyDescent="0.25">
      <c r="A51" s="30" t="s">
        <v>68</v>
      </c>
      <c r="B51" s="503">
        <f>B50/SQRT(2)</f>
        <v>3.5525044686812146</v>
      </c>
    </row>
    <row r="52" spans="1:2" x14ac:dyDescent="0.25">
      <c r="A52" s="30" t="s">
        <v>1074</v>
      </c>
      <c r="B52" s="503">
        <f>C23</f>
        <v>-1.3416407864998738</v>
      </c>
    </row>
    <row r="53" spans="1:2" x14ac:dyDescent="0.25">
      <c r="A53" s="30" t="s">
        <v>527</v>
      </c>
      <c r="B53" s="414" t="str">
        <f>IF(ABS(B52)&gt;B51,"yes","no")</f>
        <v>no</v>
      </c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CS104"/>
  <sheetViews>
    <sheetView workbookViewId="0">
      <selection activeCell="R15" sqref="R15"/>
    </sheetView>
  </sheetViews>
  <sheetFormatPr defaultRowHeight="15" x14ac:dyDescent="0.25"/>
  <cols>
    <col min="2" max="7" width="6.5703125" customWidth="1"/>
    <col min="10" max="15" width="9.140625" customWidth="1"/>
    <col min="17" max="17" width="17.28515625" customWidth="1"/>
    <col min="18" max="19" width="9.140625" customWidth="1"/>
    <col min="23" max="23" width="20.5703125" customWidth="1"/>
    <col min="28" max="28" width="9.140625" customWidth="1"/>
    <col min="35" max="35" width="17.140625" customWidth="1"/>
    <col min="40" max="40" width="8.7109375" customWidth="1"/>
    <col min="49" max="49" width="6.5703125" customWidth="1"/>
    <col min="50" max="50" width="17" customWidth="1"/>
    <col min="51" max="51" width="10" bestFit="1" customWidth="1"/>
    <col min="52" max="52" width="10.140625" customWidth="1"/>
    <col min="53" max="53" width="16.42578125" customWidth="1"/>
    <col min="76" max="79" width="9.140625" style="189"/>
    <col min="81" max="81" width="17.42578125" customWidth="1"/>
    <col min="89" max="89" width="10.42578125" customWidth="1"/>
    <col min="90" max="90" width="11" customWidth="1"/>
    <col min="93" max="97" width="11.5703125" customWidth="1"/>
  </cols>
  <sheetData>
    <row r="1" spans="1:97" x14ac:dyDescent="0.25">
      <c r="A1" s="1" t="s">
        <v>1110</v>
      </c>
    </row>
    <row r="3" spans="1:97" x14ac:dyDescent="0.25">
      <c r="A3" s="487" t="s">
        <v>2</v>
      </c>
      <c r="B3" s="13" t="s">
        <v>1086</v>
      </c>
      <c r="C3" s="13" t="s">
        <v>1087</v>
      </c>
      <c r="D3" s="13" t="s">
        <v>1088</v>
      </c>
      <c r="E3" s="13" t="s">
        <v>1089</v>
      </c>
      <c r="F3" s="13" t="s">
        <v>1090</v>
      </c>
      <c r="G3" s="13" t="s">
        <v>10</v>
      </c>
      <c r="I3" t="s">
        <v>652</v>
      </c>
      <c r="Q3" t="s">
        <v>1056</v>
      </c>
      <c r="AI3" t="s">
        <v>1149</v>
      </c>
      <c r="AQ3" t="s">
        <v>1081</v>
      </c>
      <c r="AX3" t="s">
        <v>1083</v>
      </c>
      <c r="BD3" t="s">
        <v>721</v>
      </c>
      <c r="BU3" t="s">
        <v>1128</v>
      </c>
      <c r="CK3" t="s">
        <v>1130</v>
      </c>
      <c r="CO3" s="511" t="s">
        <v>1134</v>
      </c>
      <c r="CP3" s="511" t="s">
        <v>1135</v>
      </c>
      <c r="CQ3" s="511" t="s">
        <v>1143</v>
      </c>
      <c r="CR3" s="511" t="s">
        <v>1144</v>
      </c>
      <c r="CS3" s="511" t="s">
        <v>1145</v>
      </c>
    </row>
    <row r="4" spans="1:97" ht="15.75" thickBot="1" x14ac:dyDescent="0.3">
      <c r="A4" s="527" t="s">
        <v>1084</v>
      </c>
      <c r="B4" s="544">
        <v>250</v>
      </c>
      <c r="C4" s="545">
        <v>278</v>
      </c>
      <c r="D4" s="545">
        <v>442</v>
      </c>
      <c r="E4" s="545">
        <v>368</v>
      </c>
      <c r="F4" s="546">
        <v>456</v>
      </c>
      <c r="G4" s="7">
        <f>AVERAGE(B4:F4)</f>
        <v>358.8</v>
      </c>
      <c r="J4" s="541" t="s">
        <v>2</v>
      </c>
      <c r="K4" s="541" t="s">
        <v>1091</v>
      </c>
      <c r="L4" s="541" t="s">
        <v>57</v>
      </c>
      <c r="R4" s="13" t="s">
        <v>216</v>
      </c>
      <c r="S4" s="13" t="s">
        <v>219</v>
      </c>
      <c r="T4" s="13" t="s">
        <v>60</v>
      </c>
      <c r="U4" s="13" t="s">
        <v>240</v>
      </c>
      <c r="W4" t="s">
        <v>294</v>
      </c>
      <c r="AE4" t="s">
        <v>1075</v>
      </c>
      <c r="CN4" t="s">
        <v>1084</v>
      </c>
      <c r="CO4" s="429">
        <f>MDETERM(AR15:AV19)</f>
        <v>1.0473579666471442E+16</v>
      </c>
      <c r="CP4" s="542">
        <f>LN(CO4)</f>
        <v>36.887632258825739</v>
      </c>
      <c r="CQ4" s="542">
        <f>CP4*($CL$7-1)</f>
        <v>221.32579355295445</v>
      </c>
      <c r="CR4" s="542">
        <f>1/($CL$7-1)</f>
        <v>0.16666666666666666</v>
      </c>
      <c r="CS4" s="543">
        <f>CR4^2</f>
        <v>2.7777777777777776E-2</v>
      </c>
    </row>
    <row r="5" spans="1:97" ht="15.75" thickBot="1" x14ac:dyDescent="0.3">
      <c r="A5" s="532"/>
      <c r="B5" s="547">
        <v>65</v>
      </c>
      <c r="C5" s="548">
        <v>207</v>
      </c>
      <c r="D5" s="548">
        <v>341</v>
      </c>
      <c r="E5" s="548">
        <v>382</v>
      </c>
      <c r="F5" s="549">
        <v>298</v>
      </c>
      <c r="G5" s="7">
        <f t="shared" ref="G5:G24" si="0">AVERAGE(B5:F5)</f>
        <v>258.60000000000002</v>
      </c>
      <c r="J5" s="541">
        <f>COUNT(O9:O11)</f>
        <v>3</v>
      </c>
      <c r="K5" s="541">
        <f>COUNT(J12:N12)</f>
        <v>5</v>
      </c>
      <c r="L5" s="541">
        <f>COUNT(B4:B10)</f>
        <v>7</v>
      </c>
      <c r="Q5" s="53" t="s">
        <v>1</v>
      </c>
      <c r="R5" s="527">
        <v>1</v>
      </c>
      <c r="S5" s="528">
        <f>DEVSQ(B4:F24)</f>
        <v>1597343.4285714282</v>
      </c>
      <c r="T5" s="528">
        <f>J5*K5*L5-1</f>
        <v>104</v>
      </c>
      <c r="U5" s="529">
        <f t="shared" ref="U5:U13" si="1">S5/T5</f>
        <v>15359.071428571424</v>
      </c>
      <c r="W5" s="509" t="s">
        <v>466</v>
      </c>
      <c r="X5" s="509" t="s">
        <v>219</v>
      </c>
      <c r="Y5" s="509" t="s">
        <v>60</v>
      </c>
      <c r="Z5" s="509" t="s">
        <v>240</v>
      </c>
      <c r="AA5" s="509" t="s">
        <v>135</v>
      </c>
      <c r="AB5" s="509" t="s">
        <v>119</v>
      </c>
      <c r="AC5" s="509" t="s">
        <v>467</v>
      </c>
      <c r="AI5" t="s">
        <v>1103</v>
      </c>
      <c r="AR5">
        <v>1</v>
      </c>
      <c r="AS5">
        <f>AR5+1</f>
        <v>2</v>
      </c>
      <c r="AT5">
        <f>AS5+1</f>
        <v>3</v>
      </c>
      <c r="AU5">
        <f>AT5+1</f>
        <v>4</v>
      </c>
      <c r="AV5">
        <f>AU5+1</f>
        <v>5</v>
      </c>
      <c r="AX5" t="s">
        <v>965</v>
      </c>
      <c r="AY5" s="520">
        <f>$K$5</f>
        <v>5</v>
      </c>
      <c r="BA5" t="s">
        <v>964</v>
      </c>
      <c r="BB5" s="530">
        <f>$L$5*$J$5</f>
        <v>21</v>
      </c>
      <c r="BD5" s="511" t="s">
        <v>1084</v>
      </c>
      <c r="BE5" s="511" t="s">
        <v>1085</v>
      </c>
      <c r="BF5" s="511" t="s">
        <v>76</v>
      </c>
      <c r="BI5" s="511" t="s">
        <v>1084</v>
      </c>
      <c r="BJ5" s="511" t="s">
        <v>1085</v>
      </c>
      <c r="BK5" s="511" t="s">
        <v>76</v>
      </c>
      <c r="BU5" t="s">
        <v>1086</v>
      </c>
      <c r="CC5" t="s">
        <v>464</v>
      </c>
      <c r="CK5" t="s">
        <v>1131</v>
      </c>
      <c r="CL5">
        <f>J5</f>
        <v>3</v>
      </c>
      <c r="CN5" t="s">
        <v>1085</v>
      </c>
      <c r="CO5" s="532">
        <f>MDETERM(AR24:AV28)</f>
        <v>4.5544512692109672E+16</v>
      </c>
      <c r="CP5" s="7">
        <f>LN(CO5)</f>
        <v>38.357466543568599</v>
      </c>
      <c r="CQ5" s="7">
        <f>CP5*($CL$7-1)</f>
        <v>230.14479926141161</v>
      </c>
      <c r="CR5" s="7">
        <f>1/($CL$7-1)</f>
        <v>0.16666666666666666</v>
      </c>
      <c r="CS5" s="533">
        <f>CR5^2</f>
        <v>2.7777777777777776E-2</v>
      </c>
    </row>
    <row r="6" spans="1:97" x14ac:dyDescent="0.25">
      <c r="A6" s="532"/>
      <c r="B6" s="547">
        <v>251</v>
      </c>
      <c r="C6" s="548">
        <v>261</v>
      </c>
      <c r="D6" s="548">
        <v>384</v>
      </c>
      <c r="E6" s="548">
        <v>421</v>
      </c>
      <c r="F6" s="549">
        <v>342</v>
      </c>
      <c r="G6" s="7">
        <f t="shared" si="0"/>
        <v>331.8</v>
      </c>
      <c r="Q6" s="53" t="s">
        <v>2</v>
      </c>
      <c r="R6" s="532">
        <f>K5*L5</f>
        <v>35</v>
      </c>
      <c r="S6" s="7">
        <f>DEVSQ(O9:O11)*R6</f>
        <v>178358.11428571431</v>
      </c>
      <c r="T6">
        <f>J5-1</f>
        <v>2</v>
      </c>
      <c r="U6" s="533">
        <f t="shared" si="1"/>
        <v>89179.057142857157</v>
      </c>
      <c r="W6" t="s">
        <v>1076</v>
      </c>
      <c r="X6">
        <f>S9</f>
        <v>371727.82857142854</v>
      </c>
      <c r="Y6">
        <f>T9</f>
        <v>20</v>
      </c>
      <c r="AE6" s="13" t="s">
        <v>1084</v>
      </c>
      <c r="AF6" s="13" t="s">
        <v>1085</v>
      </c>
      <c r="AG6" s="13" t="s">
        <v>76</v>
      </c>
      <c r="AH6" s="13"/>
      <c r="AI6" s="512" t="s">
        <v>466</v>
      </c>
      <c r="AJ6" s="512" t="s">
        <v>219</v>
      </c>
      <c r="AK6" s="512" t="s">
        <v>60</v>
      </c>
      <c r="AL6" s="512" t="s">
        <v>240</v>
      </c>
      <c r="AM6" s="512" t="s">
        <v>135</v>
      </c>
      <c r="AN6" s="512" t="s">
        <v>119</v>
      </c>
      <c r="AO6" s="512" t="s">
        <v>467</v>
      </c>
      <c r="AQ6" t="s">
        <v>1</v>
      </c>
      <c r="AR6" s="527">
        <f t="array" ref="AR6:AV10">[1]!COV(B4:F24)</f>
        <v>6605.0904761904767</v>
      </c>
      <c r="AS6" s="528">
        <v>4065.1904761904766</v>
      </c>
      <c r="AT6" s="528">
        <v>1998.9619047619051</v>
      </c>
      <c r="AU6" s="528">
        <v>1945.3476190476194</v>
      </c>
      <c r="AV6" s="529">
        <v>2672.7523809523809</v>
      </c>
      <c r="AX6" t="s">
        <v>966</v>
      </c>
      <c r="AY6" s="503">
        <f>AVERAGE(AR12:AV12)</f>
        <v>5715.4304761904759</v>
      </c>
      <c r="BA6" t="s">
        <v>965</v>
      </c>
      <c r="BB6" s="503">
        <f>AY5</f>
        <v>5</v>
      </c>
      <c r="BD6" s="429">
        <f t="shared" ref="BD6:BD12" si="2">G4</f>
        <v>358.8</v>
      </c>
      <c r="BE6" s="542">
        <f t="shared" ref="BE6:BE12" si="3">G11</f>
        <v>230.8</v>
      </c>
      <c r="BF6" s="543">
        <f t="shared" ref="BF6:BF12" si="4">G18</f>
        <v>249.8</v>
      </c>
      <c r="BH6" t="s">
        <v>50</v>
      </c>
      <c r="BI6">
        <f>MIN(BD6:BD12)</f>
        <v>237</v>
      </c>
      <c r="BJ6">
        <f>MIN(BE6:BE12)</f>
        <v>155.19999999999999</v>
      </c>
      <c r="BK6">
        <f>MIN(BF6:BF12)</f>
        <v>249.8</v>
      </c>
      <c r="CK6" t="s">
        <v>1132</v>
      </c>
      <c r="CL6">
        <f>K5</f>
        <v>5</v>
      </c>
      <c r="CN6" t="s">
        <v>76</v>
      </c>
      <c r="CO6" s="532">
        <f>MDETERM(AR33:AV37)</f>
        <v>1.8162198398096784E+16</v>
      </c>
      <c r="CP6" s="7">
        <f>LN(CO6)</f>
        <v>37.438118817920923</v>
      </c>
      <c r="CQ6" s="7">
        <f>CP6*($CL$7-1)</f>
        <v>224.62871290752554</v>
      </c>
      <c r="CR6" s="7">
        <f>1/($CL$7-1)</f>
        <v>0.16666666666666666</v>
      </c>
      <c r="CS6" s="533">
        <f>CR6^2</f>
        <v>2.7777777777777776E-2</v>
      </c>
    </row>
    <row r="7" spans="1:97" ht="15.75" thickBot="1" x14ac:dyDescent="0.3">
      <c r="A7" s="532"/>
      <c r="B7" s="547">
        <v>241</v>
      </c>
      <c r="C7" s="548">
        <v>314</v>
      </c>
      <c r="D7" s="548">
        <v>423</v>
      </c>
      <c r="E7" s="548">
        <v>415</v>
      </c>
      <c r="F7" s="549">
        <v>468</v>
      </c>
      <c r="G7" s="7">
        <f t="shared" si="0"/>
        <v>372.2</v>
      </c>
      <c r="I7" s="53" t="s">
        <v>437</v>
      </c>
      <c r="Q7" s="53" t="s">
        <v>1091</v>
      </c>
      <c r="R7" s="532">
        <f>J5*L5</f>
        <v>21</v>
      </c>
      <c r="S7" s="7">
        <f>DEVSQ(J12:N12)*R7</f>
        <v>1025800.38095238</v>
      </c>
      <c r="T7" s="7">
        <f>K5-1</f>
        <v>4</v>
      </c>
      <c r="U7" s="533">
        <f t="shared" si="1"/>
        <v>256450.095238095</v>
      </c>
      <c r="W7" s="19" t="s">
        <v>1112</v>
      </c>
      <c r="X7" s="19">
        <f>S6</f>
        <v>178358.11428571431</v>
      </c>
      <c r="Y7" s="19">
        <f>T6</f>
        <v>2</v>
      </c>
      <c r="Z7" s="19">
        <f>X7/Y7</f>
        <v>89179.057142857157</v>
      </c>
      <c r="AA7" s="19">
        <f>Z7/Z8</f>
        <v>8.3013156145001332</v>
      </c>
      <c r="AB7">
        <f>FDIST(AA7,Y7,Y8)</f>
        <v>2.7891407228899608E-3</v>
      </c>
      <c r="AC7">
        <f>FINV(0.05,Y7,Y8)</f>
        <v>3.5545571456617879</v>
      </c>
      <c r="AE7" s="527">
        <f t="shared" ref="AE7:AE13" si="5">G4</f>
        <v>358.8</v>
      </c>
      <c r="AF7" s="528">
        <f t="shared" ref="AF7:AF13" si="6">G11</f>
        <v>230.8</v>
      </c>
      <c r="AG7" s="529">
        <f t="shared" ref="AG7:AG13" si="7">G18</f>
        <v>249.8</v>
      </c>
      <c r="AH7" s="7"/>
      <c r="AI7" s="19" t="s">
        <v>136</v>
      </c>
      <c r="AJ7" s="19">
        <v>85072.171428571397</v>
      </c>
      <c r="AK7" s="19">
        <v>6</v>
      </c>
      <c r="AL7" s="19">
        <v>14178.695238095233</v>
      </c>
      <c r="AM7" s="19">
        <v>8.6115148903433116</v>
      </c>
      <c r="AN7" s="19">
        <v>4.7218804282676579E-5</v>
      </c>
      <c r="AO7" s="19">
        <v>2.5081888234232559</v>
      </c>
      <c r="AR7" s="532">
        <v>4065.1904761904766</v>
      </c>
      <c r="AS7" s="7">
        <v>6896.0904761904767</v>
      </c>
      <c r="AT7" s="7">
        <v>3729.7619047619046</v>
      </c>
      <c r="AU7" s="7">
        <v>4105.5976190476194</v>
      </c>
      <c r="AV7" s="533">
        <v>4255.3523809523813</v>
      </c>
      <c r="AX7" t="s">
        <v>967</v>
      </c>
      <c r="AY7" s="503">
        <f>AVERAGE(AR6:AV10)</f>
        <v>3717.2782857142865</v>
      </c>
      <c r="BA7" t="s">
        <v>972</v>
      </c>
      <c r="BB7" s="503">
        <f>AY12</f>
        <v>0.78982239169994173</v>
      </c>
      <c r="BD7" s="532">
        <f t="shared" si="2"/>
        <v>258.60000000000002</v>
      </c>
      <c r="BE7" s="7">
        <f t="shared" si="3"/>
        <v>245.4</v>
      </c>
      <c r="BF7" s="533">
        <f t="shared" si="4"/>
        <v>279</v>
      </c>
      <c r="BH7" t="s">
        <v>51</v>
      </c>
      <c r="BI7">
        <f>QUARTILE(BD6:BD12,1)-BI6</f>
        <v>37.100000000000023</v>
      </c>
      <c r="BJ7">
        <f>QUARTILE(BE6:BE12,1)-BJ6</f>
        <v>32.199999999999989</v>
      </c>
      <c r="BK7">
        <f>QUARTILE(BF6:BF12,1)-BK6</f>
        <v>9.6999999999999886</v>
      </c>
      <c r="BU7" s="511" t="s">
        <v>1084</v>
      </c>
      <c r="BV7" s="511" t="s">
        <v>1085</v>
      </c>
      <c r="BW7" s="511" t="s">
        <v>76</v>
      </c>
      <c r="BX7" s="245"/>
      <c r="BY7" s="511" t="s">
        <v>1084</v>
      </c>
      <c r="BZ7" s="511" t="s">
        <v>1085</v>
      </c>
      <c r="CA7" s="511" t="s">
        <v>76</v>
      </c>
      <c r="CC7" t="s">
        <v>62</v>
      </c>
      <c r="CK7" t="s">
        <v>1133</v>
      </c>
      <c r="CL7">
        <f>L5</f>
        <v>7</v>
      </c>
      <c r="CN7" t="s">
        <v>82</v>
      </c>
      <c r="CO7" s="409">
        <f>MDETERM(AR51:AV55)</f>
        <v>1.4203888611701741E+17</v>
      </c>
      <c r="CP7" s="410">
        <f>LN(CO7)</f>
        <v>39.494877260917491</v>
      </c>
      <c r="CQ7" s="410">
        <f>CP7*(CL8-CL5)</f>
        <v>710.90779069651489</v>
      </c>
      <c r="CR7" s="410">
        <f>1/(CL8-CL5)</f>
        <v>5.5555555555555552E-2</v>
      </c>
      <c r="CS7" s="417">
        <f>CR7^2</f>
        <v>3.0864197530864196E-3</v>
      </c>
    </row>
    <row r="8" spans="1:97" x14ac:dyDescent="0.25">
      <c r="A8" s="532"/>
      <c r="B8" s="547">
        <v>154</v>
      </c>
      <c r="C8" s="548">
        <v>167</v>
      </c>
      <c r="D8" s="548">
        <v>257</v>
      </c>
      <c r="E8" s="548">
        <v>275</v>
      </c>
      <c r="F8" s="549">
        <v>332</v>
      </c>
      <c r="G8" s="7">
        <f t="shared" si="0"/>
        <v>237</v>
      </c>
      <c r="J8" s="13" t="s">
        <v>1086</v>
      </c>
      <c r="K8" s="13" t="s">
        <v>1087</v>
      </c>
      <c r="L8" s="13" t="s">
        <v>1088</v>
      </c>
      <c r="M8" s="13" t="s">
        <v>1089</v>
      </c>
      <c r="N8" s="13" t="s">
        <v>1090</v>
      </c>
      <c r="Q8" s="53" t="s">
        <v>1095</v>
      </c>
      <c r="R8" s="532">
        <f>L5</f>
        <v>7</v>
      </c>
      <c r="S8" s="7">
        <f>DEVSQ(J9:N11)*R8</f>
        <v>1242898.5714285714</v>
      </c>
      <c r="T8" s="7">
        <f>J5*K5-1</f>
        <v>14</v>
      </c>
      <c r="U8" s="533">
        <f t="shared" si="1"/>
        <v>88778.469387755104</v>
      </c>
      <c r="W8" s="19" t="s">
        <v>1096</v>
      </c>
      <c r="X8">
        <f>S12</f>
        <v>193369.71428571423</v>
      </c>
      <c r="Y8">
        <f>T12</f>
        <v>18</v>
      </c>
      <c r="Z8" s="19">
        <f>X8/Y8</f>
        <v>10742.761904761901</v>
      </c>
      <c r="AE8" s="532">
        <f t="shared" si="5"/>
        <v>258.60000000000002</v>
      </c>
      <c r="AF8" s="7">
        <f t="shared" si="6"/>
        <v>245.4</v>
      </c>
      <c r="AG8" s="533">
        <f t="shared" si="7"/>
        <v>279</v>
      </c>
      <c r="AH8" s="7"/>
      <c r="AI8" s="19" t="s">
        <v>589</v>
      </c>
      <c r="AJ8" s="19">
        <v>220968.45714285711</v>
      </c>
      <c r="AK8" s="19">
        <v>4</v>
      </c>
      <c r="AL8" s="19">
        <v>55242.114285714277</v>
      </c>
      <c r="AM8" s="19">
        <v>33.551626701681158</v>
      </c>
      <c r="AN8" s="19">
        <v>1.6606146059093755E-9</v>
      </c>
      <c r="AO8" s="19">
        <v>2.7762892892514786</v>
      </c>
      <c r="AR8" s="532">
        <v>1998.9619047619051</v>
      </c>
      <c r="AS8" s="7">
        <v>3729.7619047619046</v>
      </c>
      <c r="AT8" s="7">
        <v>4884.5476190476184</v>
      </c>
      <c r="AU8" s="7">
        <v>3406.4404761904757</v>
      </c>
      <c r="AV8" s="533">
        <v>3335.8595238095231</v>
      </c>
      <c r="AX8" t="s">
        <v>968</v>
      </c>
      <c r="AY8" s="503">
        <f>SUMSQ(AR6:AV10)</f>
        <v>387524162.64202964</v>
      </c>
      <c r="BA8" t="s">
        <v>973</v>
      </c>
      <c r="BB8" s="503">
        <f>BB5*(BB6-1)*BB7-2</f>
        <v>64.345080902795104</v>
      </c>
      <c r="BD8" s="532">
        <f t="shared" si="2"/>
        <v>331.8</v>
      </c>
      <c r="BE8" s="7">
        <f t="shared" si="3"/>
        <v>274.8</v>
      </c>
      <c r="BF8" s="533">
        <f t="shared" si="4"/>
        <v>258.39999999999998</v>
      </c>
      <c r="BH8" t="s">
        <v>52</v>
      </c>
      <c r="BI8">
        <f>MEDIAN(BD6:BD12)-QUARTILE(BD6:BD12,1)</f>
        <v>57.699999999999989</v>
      </c>
      <c r="BJ8">
        <f>MEDIAN(BE6:BE12)-QUARTILE(BE6:BE12,1)</f>
        <v>43.400000000000034</v>
      </c>
      <c r="BK8">
        <f>MEDIAN(BF6:BF12)-QUARTILE(BF6:BF12,1)</f>
        <v>5.1000000000000227</v>
      </c>
      <c r="BU8" s="429">
        <f t="shared" ref="BU8:BU14" si="8">B4</f>
        <v>250</v>
      </c>
      <c r="BV8" s="542">
        <f t="shared" ref="BV8:BV14" si="9">B11</f>
        <v>54</v>
      </c>
      <c r="BW8" s="543">
        <f t="shared" ref="BW8:BW14" si="10">B18</f>
        <v>118</v>
      </c>
      <c r="BX8" s="293"/>
      <c r="BY8" s="429">
        <f>ABS(BU8-$BU$15)</f>
        <v>65.142857142857139</v>
      </c>
      <c r="BZ8" s="542">
        <f>ABS(BV8-BV$15)</f>
        <v>0.4285714285714306</v>
      </c>
      <c r="CA8" s="543">
        <f>ABS(BW8-BW$15)</f>
        <v>30.571428571428569</v>
      </c>
      <c r="CC8" s="512" t="s">
        <v>79</v>
      </c>
      <c r="CD8" s="512" t="s">
        <v>22</v>
      </c>
      <c r="CE8" s="512" t="s">
        <v>21</v>
      </c>
      <c r="CF8" s="512" t="s">
        <v>465</v>
      </c>
      <c r="CG8" s="512" t="s">
        <v>80</v>
      </c>
      <c r="CK8" t="s">
        <v>31</v>
      </c>
      <c r="CL8">
        <f>CL5*CL7</f>
        <v>21</v>
      </c>
      <c r="CN8" t="s">
        <v>1136</v>
      </c>
      <c r="CQ8" s="531">
        <f>CQ7-SUM(CQ4:CQ6)</f>
        <v>34.808484974623298</v>
      </c>
      <c r="CR8">
        <f>SUM(CR4:CR6)-CR7</f>
        <v>0.44444444444444442</v>
      </c>
      <c r="CS8">
        <f>SUM(CS4:CS6)-CS7</f>
        <v>8.0246913580246909E-2</v>
      </c>
    </row>
    <row r="9" spans="1:97" x14ac:dyDescent="0.25">
      <c r="A9" s="532"/>
      <c r="B9" s="547">
        <v>103</v>
      </c>
      <c r="C9" s="548">
        <v>286</v>
      </c>
      <c r="D9" s="548">
        <v>401</v>
      </c>
      <c r="E9" s="548">
        <v>291</v>
      </c>
      <c r="F9" s="549">
        <v>367</v>
      </c>
      <c r="G9" s="7">
        <f t="shared" si="0"/>
        <v>289.60000000000002</v>
      </c>
      <c r="I9" t="s">
        <v>1084</v>
      </c>
      <c r="J9" s="527">
        <f>AVERAGE(B4:B10)</f>
        <v>184.85714285714286</v>
      </c>
      <c r="K9" s="528">
        <f>AVERAGE(C4:C10)</f>
        <v>259.85714285714283</v>
      </c>
      <c r="L9" s="528">
        <f>AVERAGE(D4:D10)</f>
        <v>382.85714285714283</v>
      </c>
      <c r="M9" s="528">
        <f>AVERAGE(E4:E10)</f>
        <v>362.57142857142856</v>
      </c>
      <c r="N9" s="529">
        <f>AVERAGE(F4:F10)</f>
        <v>383.71428571428572</v>
      </c>
      <c r="O9" s="31">
        <f>AVERAGE(J9:N9)</f>
        <v>314.77142857142854</v>
      </c>
      <c r="Q9" s="7" t="s">
        <v>1077</v>
      </c>
      <c r="R9" s="532">
        <f>K5</f>
        <v>5</v>
      </c>
      <c r="S9" s="7">
        <f>DEVSQ(G4:G24)*R9</f>
        <v>371727.82857142854</v>
      </c>
      <c r="T9" s="7">
        <f>J5*L5-1</f>
        <v>20</v>
      </c>
      <c r="U9" s="533">
        <f t="shared" si="1"/>
        <v>18586.391428571427</v>
      </c>
      <c r="W9" s="19" t="s">
        <v>1078</v>
      </c>
      <c r="X9">
        <f>S10</f>
        <v>1225615.5999999996</v>
      </c>
      <c r="Y9">
        <f>T10</f>
        <v>84</v>
      </c>
      <c r="AE9" s="532">
        <f t="shared" si="5"/>
        <v>331.8</v>
      </c>
      <c r="AF9" s="7">
        <f t="shared" si="6"/>
        <v>274.8</v>
      </c>
      <c r="AG9" s="533">
        <f t="shared" si="7"/>
        <v>258.39999999999998</v>
      </c>
      <c r="AH9" s="7"/>
      <c r="AI9" s="19" t="s">
        <v>588</v>
      </c>
      <c r="AJ9" s="19">
        <v>39515.542857142922</v>
      </c>
      <c r="AK9" s="19">
        <v>24</v>
      </c>
      <c r="AL9" s="19">
        <v>1646.4809523809552</v>
      </c>
      <c r="AM9" s="19"/>
      <c r="AN9" s="19"/>
      <c r="AO9" s="19"/>
      <c r="AR9" s="532">
        <v>1945.3476190476194</v>
      </c>
      <c r="AS9" s="7">
        <v>4105.5976190476194</v>
      </c>
      <c r="AT9" s="7">
        <v>3406.4404761904757</v>
      </c>
      <c r="AU9" s="7">
        <v>4733.361904761905</v>
      </c>
      <c r="AV9" s="533">
        <v>2662.138095238095</v>
      </c>
      <c r="AX9" t="s">
        <v>969</v>
      </c>
      <c r="AY9" s="503">
        <f>SUMSQ(AR11:AV11)</f>
        <v>70138388.429653078</v>
      </c>
      <c r="BA9" t="s">
        <v>974</v>
      </c>
      <c r="BB9" s="503">
        <f>(BB6-1)*(BB5-1-(BB6-1)*BB7)</f>
        <v>67.362841732800931</v>
      </c>
      <c r="BD9" s="532">
        <f t="shared" si="2"/>
        <v>372.2</v>
      </c>
      <c r="BE9" s="7">
        <f t="shared" si="3"/>
        <v>234.4</v>
      </c>
      <c r="BF9" s="533">
        <f t="shared" si="4"/>
        <v>264.60000000000002</v>
      </c>
      <c r="BH9" t="s">
        <v>53</v>
      </c>
      <c r="BI9">
        <f>QUARTILE(BD6:BD12,3)-MEDIAN(BD6:BD12)</f>
        <v>25.300000000000011</v>
      </c>
      <c r="BJ9">
        <f>QUARTILE(BE6:BE12,3)-MEDIAN(BE6:BE12)</f>
        <v>9.0999999999999943</v>
      </c>
      <c r="BK9">
        <f>QUARTILE(BF6:BF12,3)-MEDIAN(BF6:BF12)</f>
        <v>41.599999999999966</v>
      </c>
      <c r="BU9" s="532">
        <f t="shared" si="8"/>
        <v>65</v>
      </c>
      <c r="BV9" s="7">
        <f t="shared" si="9"/>
        <v>20</v>
      </c>
      <c r="BW9" s="533">
        <f t="shared" si="10"/>
        <v>83</v>
      </c>
      <c r="BX9" s="293"/>
      <c r="BY9" s="532">
        <f t="shared" ref="BY9:BY14" si="11">ABS(BU9-BU$15)</f>
        <v>119.85714285714286</v>
      </c>
      <c r="BZ9" s="7">
        <f t="shared" ref="BZ9:BZ14" si="12">ABS(BV9-BV$15)</f>
        <v>34.428571428571431</v>
      </c>
      <c r="CA9" s="533">
        <f t="shared" ref="CA9:CA14" si="13">ABS(BW9-BW$15)</f>
        <v>4.4285714285714306</v>
      </c>
      <c r="CC9" s="19" t="s">
        <v>1084</v>
      </c>
      <c r="CD9" s="19">
        <v>7</v>
      </c>
      <c r="CE9" s="19">
        <v>465.14285714285711</v>
      </c>
      <c r="CF9" s="19">
        <v>66.448979591836732</v>
      </c>
      <c r="CG9" s="19">
        <v>819.7648202138007</v>
      </c>
    </row>
    <row r="10" spans="1:97" x14ac:dyDescent="0.25">
      <c r="A10" s="409"/>
      <c r="B10" s="550">
        <v>230</v>
      </c>
      <c r="C10" s="548">
        <v>306</v>
      </c>
      <c r="D10" s="551">
        <v>432</v>
      </c>
      <c r="E10" s="551">
        <v>386</v>
      </c>
      <c r="F10" s="552">
        <v>423</v>
      </c>
      <c r="G10" s="7">
        <f t="shared" si="0"/>
        <v>355.4</v>
      </c>
      <c r="I10" t="s">
        <v>1085</v>
      </c>
      <c r="J10" s="532">
        <f>AVERAGE(B11:B17)</f>
        <v>54.428571428571431</v>
      </c>
      <c r="K10" s="7">
        <f>AVERAGE(C11:C17)</f>
        <v>119.14285714285714</v>
      </c>
      <c r="L10" s="7">
        <f>AVERAGE(D11:D17)</f>
        <v>317.42857142857144</v>
      </c>
      <c r="M10" s="7">
        <f>AVERAGE(E11:E17)</f>
        <v>281.57142857142856</v>
      </c>
      <c r="N10" s="533">
        <f>AVERAGE(F11:F17)</f>
        <v>309.85714285714283</v>
      </c>
      <c r="O10" s="31">
        <f>AVERAGE(J10:N10)</f>
        <v>216.48571428571427</v>
      </c>
      <c r="Q10" s="53" t="s">
        <v>1079</v>
      </c>
      <c r="R10" s="532"/>
      <c r="S10" s="7">
        <f>S5-S9</f>
        <v>1225615.5999999996</v>
      </c>
      <c r="T10" s="7">
        <f>T5-T9</f>
        <v>84</v>
      </c>
      <c r="U10" s="533">
        <f t="shared" si="1"/>
        <v>14590.661904761901</v>
      </c>
      <c r="W10" s="19" t="s">
        <v>1097</v>
      </c>
      <c r="X10" s="19">
        <f>S7</f>
        <v>1025800.38095238</v>
      </c>
      <c r="Y10" s="19">
        <f>T7</f>
        <v>4</v>
      </c>
      <c r="Z10" s="19">
        <f>X10/Y10</f>
        <v>256450.095238095</v>
      </c>
      <c r="AA10" s="19">
        <f>Z10/Z12</f>
        <v>114.63225504334284</v>
      </c>
      <c r="AB10">
        <f>FDIST(AA10,Y10,Y12)</f>
        <v>1.9104657472457449E-30</v>
      </c>
      <c r="AC10">
        <f>FINV(0.05,Y10,Y12)</f>
        <v>2.4989185828063061</v>
      </c>
      <c r="AE10" s="532">
        <f t="shared" si="5"/>
        <v>372.2</v>
      </c>
      <c r="AF10" s="7">
        <f t="shared" si="6"/>
        <v>234.4</v>
      </c>
      <c r="AG10" s="533">
        <f t="shared" si="7"/>
        <v>264.60000000000002</v>
      </c>
      <c r="AH10" s="7"/>
      <c r="AI10" s="19"/>
      <c r="AJ10" s="19"/>
      <c r="AK10" s="19"/>
      <c r="AL10" s="19"/>
      <c r="AM10" s="19"/>
      <c r="AN10" s="19"/>
      <c r="AO10" s="19"/>
      <c r="AR10" s="409">
        <v>2672.7523809523809</v>
      </c>
      <c r="AS10" s="410">
        <v>4255.3523809523813</v>
      </c>
      <c r="AT10" s="410">
        <v>3335.8595238095231</v>
      </c>
      <c r="AU10" s="410">
        <v>2662.138095238095</v>
      </c>
      <c r="AV10" s="417">
        <v>5458.0619047619057</v>
      </c>
      <c r="AX10" t="s">
        <v>970</v>
      </c>
      <c r="AY10" s="503">
        <f>(AY5*(AY6-AY7))^2</f>
        <v>99815304.407619864</v>
      </c>
      <c r="BA10" t="s">
        <v>975</v>
      </c>
      <c r="BB10" s="420">
        <f>MIN(BB8/BB9,1)</f>
        <v>0.95520140254806984</v>
      </c>
      <c r="BD10" s="532">
        <f t="shared" si="2"/>
        <v>237</v>
      </c>
      <c r="BE10" s="7">
        <f t="shared" si="3"/>
        <v>214.2</v>
      </c>
      <c r="BF10" s="533">
        <f t="shared" si="4"/>
        <v>353.4</v>
      </c>
      <c r="BH10" t="s">
        <v>54</v>
      </c>
      <c r="BI10">
        <f>MAX(BD6:BD12)-QUARTILE(BD6:BD12,3)</f>
        <v>15.099999999999966</v>
      </c>
      <c r="BJ10">
        <f>MAX(BE6:BE12)-QUARTILE(BE6:BE12,3)</f>
        <v>34.900000000000006</v>
      </c>
      <c r="BK10">
        <f>MAX(BF6:BF12)-QUARTILE(BF6:BF12,3)</f>
        <v>47.199999999999989</v>
      </c>
      <c r="BU10" s="532">
        <f t="shared" si="8"/>
        <v>251</v>
      </c>
      <c r="BV10" s="7">
        <f t="shared" si="9"/>
        <v>41</v>
      </c>
      <c r="BW10" s="533">
        <f t="shared" si="10"/>
        <v>38</v>
      </c>
      <c r="BX10" s="293"/>
      <c r="BY10" s="532">
        <f t="shared" si="11"/>
        <v>66.142857142857139</v>
      </c>
      <c r="BZ10" s="7">
        <f t="shared" si="12"/>
        <v>13.428571428571431</v>
      </c>
      <c r="CA10" s="533">
        <f t="shared" si="13"/>
        <v>49.428571428571431</v>
      </c>
      <c r="CC10" s="19" t="s">
        <v>1085</v>
      </c>
      <c r="CD10" s="19">
        <v>7</v>
      </c>
      <c r="CE10" s="19">
        <v>291.14285714285717</v>
      </c>
      <c r="CF10" s="19">
        <v>41.591836734693878</v>
      </c>
      <c r="CG10" s="19">
        <v>2359.4246841593772</v>
      </c>
    </row>
    <row r="11" spans="1:97" ht="15.75" thickBot="1" x14ac:dyDescent="0.3">
      <c r="A11" s="530" t="s">
        <v>1085</v>
      </c>
      <c r="B11" s="544">
        <v>54</v>
      </c>
      <c r="C11" s="545">
        <v>172</v>
      </c>
      <c r="D11" s="545">
        <v>307</v>
      </c>
      <c r="E11" s="545">
        <v>261</v>
      </c>
      <c r="F11" s="546">
        <v>360</v>
      </c>
      <c r="G11" s="7">
        <f t="shared" si="0"/>
        <v>230.8</v>
      </c>
      <c r="I11" t="s">
        <v>76</v>
      </c>
      <c r="J11" s="409">
        <f>AVERAGE(B18:B24)</f>
        <v>87.428571428571431</v>
      </c>
      <c r="K11" s="410">
        <f>AVERAGE(C18:C24)</f>
        <v>238.71428571428572</v>
      </c>
      <c r="L11" s="410">
        <f>AVERAGE(D18:D24)</f>
        <v>369.57142857142856</v>
      </c>
      <c r="M11" s="410">
        <f>AVERAGE(E18:E24)</f>
        <v>374.28571428571428</v>
      </c>
      <c r="N11" s="417">
        <f>AVERAGE(F18:F24)</f>
        <v>358</v>
      </c>
      <c r="O11" s="31">
        <f>AVERAGE(J11:N11)</f>
        <v>285.60000000000002</v>
      </c>
      <c r="Q11" s="53" t="s">
        <v>1094</v>
      </c>
      <c r="R11" s="532"/>
      <c r="S11" s="7">
        <f>S8-S6-S7</f>
        <v>38740.076190477121</v>
      </c>
      <c r="T11" s="7">
        <f>T8-T6-T7</f>
        <v>8</v>
      </c>
      <c r="U11" s="533">
        <f t="shared" si="1"/>
        <v>4842.5095238096401</v>
      </c>
      <c r="W11" s="53" t="s">
        <v>1146</v>
      </c>
      <c r="X11">
        <f>S11</f>
        <v>38740.076190477121</v>
      </c>
      <c r="Y11">
        <f>T11</f>
        <v>8</v>
      </c>
      <c r="Z11" s="19">
        <f>X11/Y11</f>
        <v>4842.5095238096401</v>
      </c>
      <c r="AA11">
        <f>Z11/Z12</f>
        <v>2.1645840539376158</v>
      </c>
      <c r="AB11">
        <f>FDIST(AA11,Y11,Y12)</f>
        <v>4.0346173311157994E-2</v>
      </c>
      <c r="AC11">
        <f>FINV(0.05,Y11,Y12)</f>
        <v>2.0698316419588703</v>
      </c>
      <c r="AE11" s="532">
        <f t="shared" si="5"/>
        <v>237</v>
      </c>
      <c r="AF11" s="7">
        <f t="shared" si="6"/>
        <v>214.2</v>
      </c>
      <c r="AG11" s="533">
        <f t="shared" si="7"/>
        <v>353.4</v>
      </c>
      <c r="AH11" s="7"/>
      <c r="AI11" s="20" t="s">
        <v>1</v>
      </c>
      <c r="AJ11" s="20">
        <v>345556.1714285714</v>
      </c>
      <c r="AK11" s="20">
        <v>34</v>
      </c>
      <c r="AL11" s="20"/>
      <c r="AM11" s="20"/>
      <c r="AN11" s="20"/>
      <c r="AO11" s="20"/>
      <c r="AQ11" t="s">
        <v>7</v>
      </c>
      <c r="AR11">
        <f>AVERAGE(AR6:AR10)</f>
        <v>3457.468571428572</v>
      </c>
      <c r="AS11">
        <f>AVERAGE(AS6:AS10)</f>
        <v>4610.3985714285718</v>
      </c>
      <c r="AT11">
        <f>AVERAGE(AT6:AT10)</f>
        <v>3471.1142857142854</v>
      </c>
      <c r="AU11">
        <f>AVERAGE(AU6:AU10)</f>
        <v>3370.5771428571434</v>
      </c>
      <c r="AV11">
        <f>AVERAGE(AV6:AV10)</f>
        <v>3676.8328571428574</v>
      </c>
      <c r="AX11" t="s">
        <v>971</v>
      </c>
      <c r="AY11" s="503">
        <f>(AY5-1)*(AY8-2*AY5*AY9+AY5^2*AY7^2)</f>
        <v>126376898.72629023</v>
      </c>
      <c r="BD11" s="532">
        <f t="shared" si="2"/>
        <v>289.60000000000002</v>
      </c>
      <c r="BE11" s="7">
        <f t="shared" si="3"/>
        <v>155.19999999999999</v>
      </c>
      <c r="BF11" s="533">
        <f t="shared" si="4"/>
        <v>333.4</v>
      </c>
      <c r="BU11" s="532">
        <f t="shared" si="8"/>
        <v>241</v>
      </c>
      <c r="BV11" s="7">
        <f t="shared" si="9"/>
        <v>200</v>
      </c>
      <c r="BW11" s="533">
        <f t="shared" si="10"/>
        <v>71</v>
      </c>
      <c r="BX11" s="293"/>
      <c r="BY11" s="532">
        <f t="shared" si="11"/>
        <v>56.142857142857139</v>
      </c>
      <c r="BZ11" s="7">
        <f t="shared" si="12"/>
        <v>145.57142857142856</v>
      </c>
      <c r="CA11" s="533">
        <f t="shared" si="13"/>
        <v>16.428571428571431</v>
      </c>
      <c r="CC11" s="20" t="s">
        <v>76</v>
      </c>
      <c r="CD11" s="20">
        <v>7</v>
      </c>
      <c r="CE11" s="20">
        <v>173.42857142857144</v>
      </c>
      <c r="CF11" s="20">
        <v>24.775510204081634</v>
      </c>
      <c r="CG11" s="20">
        <v>221.48882410106884</v>
      </c>
      <c r="CK11" t="s">
        <v>1136</v>
      </c>
      <c r="CL11" s="418">
        <f>CQ8</f>
        <v>34.808484974623298</v>
      </c>
      <c r="CN11" t="s">
        <v>1137</v>
      </c>
      <c r="CO11" s="418">
        <f>(CL6-1)*(CL6+2)/(6*(CL5-1))*CS8</f>
        <v>0.18724279835390947</v>
      </c>
    </row>
    <row r="12" spans="1:97" x14ac:dyDescent="0.25">
      <c r="A12" s="503"/>
      <c r="B12" s="547">
        <v>20</v>
      </c>
      <c r="C12" s="548">
        <v>116</v>
      </c>
      <c r="D12" s="548">
        <v>425</v>
      </c>
      <c r="E12" s="548">
        <v>398</v>
      </c>
      <c r="F12" s="549">
        <v>268</v>
      </c>
      <c r="G12" s="7">
        <f t="shared" si="0"/>
        <v>245.4</v>
      </c>
      <c r="J12">
        <f>AVERAGE(J9:J11)</f>
        <v>108.90476190476191</v>
      </c>
      <c r="K12">
        <f>AVERAGE(K9:K11)</f>
        <v>205.90476190476193</v>
      </c>
      <c r="L12">
        <f>AVERAGE(L9:L11)</f>
        <v>356.61904761904754</v>
      </c>
      <c r="M12">
        <f>AVERAGE(M9:M11)</f>
        <v>339.47619047619042</v>
      </c>
      <c r="N12">
        <f>AVERAGE(N9:N11)</f>
        <v>350.52380952380946</v>
      </c>
      <c r="O12">
        <f>AVERAGE(J9:N11)</f>
        <v>272.28571428571428</v>
      </c>
      <c r="Q12" s="19" t="s">
        <v>1093</v>
      </c>
      <c r="R12" s="532"/>
      <c r="S12" s="7">
        <f>S9-S6</f>
        <v>193369.71428571423</v>
      </c>
      <c r="T12" s="7">
        <f>T9-T6</f>
        <v>18</v>
      </c>
      <c r="U12" s="533">
        <f t="shared" si="1"/>
        <v>10742.761904761901</v>
      </c>
      <c r="W12" s="19" t="s">
        <v>1098</v>
      </c>
      <c r="X12" s="19">
        <f>S13</f>
        <v>161075.14285714249</v>
      </c>
      <c r="Y12" s="19">
        <f>T13</f>
        <v>72</v>
      </c>
      <c r="Z12" s="19">
        <f>X12/Y12</f>
        <v>2237.1547619047569</v>
      </c>
      <c r="AE12" s="532">
        <f t="shared" si="5"/>
        <v>289.60000000000002</v>
      </c>
      <c r="AF12" s="7">
        <f t="shared" si="6"/>
        <v>155.19999999999999</v>
      </c>
      <c r="AG12" s="533">
        <f t="shared" si="7"/>
        <v>333.4</v>
      </c>
      <c r="AH12" s="7"/>
      <c r="AQ12" t="s">
        <v>8</v>
      </c>
      <c r="AR12">
        <f>INDEX(AR6:AR10,AR5)</f>
        <v>6605.0904761904767</v>
      </c>
      <c r="AS12">
        <f>INDEX(AS6:AS10,AS5)</f>
        <v>6896.0904761904767</v>
      </c>
      <c r="AT12">
        <f>INDEX(AT6:AT10,AT5)</f>
        <v>4884.5476190476184</v>
      </c>
      <c r="AU12">
        <f>INDEX(AU6:AU10,AU5)</f>
        <v>4733.361904761905</v>
      </c>
      <c r="AV12">
        <f>INDEX(AV6:AV10,AV5)</f>
        <v>5458.0619047619057</v>
      </c>
      <c r="AX12" t="s">
        <v>972</v>
      </c>
      <c r="AY12" s="168">
        <f>AY10/AY11</f>
        <v>0.78982239169994173</v>
      </c>
      <c r="BA12" t="s">
        <v>1020</v>
      </c>
      <c r="BB12" s="531">
        <f>1/(BB6-1)</f>
        <v>0.25</v>
      </c>
      <c r="BD12" s="409">
        <f t="shared" si="2"/>
        <v>355.4</v>
      </c>
      <c r="BE12" s="410">
        <f t="shared" si="3"/>
        <v>160.6</v>
      </c>
      <c r="BF12" s="417">
        <f t="shared" si="4"/>
        <v>260.60000000000002</v>
      </c>
      <c r="BU12" s="532">
        <f t="shared" si="8"/>
        <v>154</v>
      </c>
      <c r="BV12" s="7">
        <f t="shared" si="9"/>
        <v>34</v>
      </c>
      <c r="BW12" s="533">
        <f t="shared" si="10"/>
        <v>123</v>
      </c>
      <c r="BX12" s="293"/>
      <c r="BY12" s="532">
        <f t="shared" si="11"/>
        <v>30.857142857142861</v>
      </c>
      <c r="BZ12" s="7">
        <f t="shared" si="12"/>
        <v>20.428571428571431</v>
      </c>
      <c r="CA12" s="533">
        <f t="shared" si="13"/>
        <v>35.571428571428569</v>
      </c>
      <c r="CK12" t="s">
        <v>43</v>
      </c>
      <c r="CL12" s="503">
        <f>(2*CL6^2+3*CL6-1)/(6*(CL6+1)*(CL5-1))*CR8</f>
        <v>0.39506172839506171</v>
      </c>
      <c r="CN12" t="s">
        <v>1138</v>
      </c>
      <c r="CO12" s="503">
        <f>(CL14+2)/ABS(CO11-CL12^2)</f>
        <v>1026.6601466992654</v>
      </c>
    </row>
    <row r="13" spans="1:97" ht="15.75" thickBot="1" x14ac:dyDescent="0.3">
      <c r="A13" s="503"/>
      <c r="B13" s="547">
        <v>41</v>
      </c>
      <c r="C13" s="548">
        <v>168</v>
      </c>
      <c r="D13" s="548">
        <v>378</v>
      </c>
      <c r="E13" s="548">
        <v>317</v>
      </c>
      <c r="F13" s="549">
        <v>470</v>
      </c>
      <c r="G13" s="7">
        <f t="shared" si="0"/>
        <v>274.8</v>
      </c>
      <c r="Q13" s="19" t="s">
        <v>1092</v>
      </c>
      <c r="R13" s="409"/>
      <c r="S13" s="410">
        <f>S10-S7-S11</f>
        <v>161075.14285714249</v>
      </c>
      <c r="T13" s="410">
        <f>T10-T7-T11</f>
        <v>72</v>
      </c>
      <c r="U13" s="417">
        <f t="shared" si="1"/>
        <v>2237.1547619047569</v>
      </c>
      <c r="AA13" s="19"/>
      <c r="AB13" s="19"/>
      <c r="AC13" s="19"/>
      <c r="AE13" s="409">
        <f t="shared" si="5"/>
        <v>355.4</v>
      </c>
      <c r="AF13" s="410">
        <f t="shared" si="6"/>
        <v>160.6</v>
      </c>
      <c r="AG13" s="417">
        <f t="shared" si="7"/>
        <v>260.60000000000002</v>
      </c>
      <c r="AH13" s="7"/>
      <c r="AI13" t="s">
        <v>1104</v>
      </c>
      <c r="BU13" s="532">
        <f t="shared" si="8"/>
        <v>103</v>
      </c>
      <c r="BV13" s="7">
        <f t="shared" si="9"/>
        <v>29</v>
      </c>
      <c r="BW13" s="533">
        <f t="shared" si="10"/>
        <v>71</v>
      </c>
      <c r="BX13" s="293"/>
      <c r="BY13" s="532">
        <f t="shared" si="11"/>
        <v>81.857142857142861</v>
      </c>
      <c r="BZ13" s="7">
        <f t="shared" si="12"/>
        <v>25.428571428571431</v>
      </c>
      <c r="CA13" s="533">
        <f t="shared" si="13"/>
        <v>16.428571428571431</v>
      </c>
      <c r="CK13" s="30" t="s">
        <v>109</v>
      </c>
      <c r="CL13" s="503">
        <f>CL11*(1-CL12)</f>
        <v>21.056984737735082</v>
      </c>
      <c r="CN13" t="s">
        <v>1140</v>
      </c>
      <c r="CO13" s="503">
        <f>CL14/(1-CL12-CL14/CO12)</f>
        <v>52.108907696507906</v>
      </c>
    </row>
    <row r="14" spans="1:97" ht="15.75" thickBot="1" x14ac:dyDescent="0.3">
      <c r="A14" s="503"/>
      <c r="B14" s="547">
        <v>200</v>
      </c>
      <c r="C14" s="548">
        <v>157</v>
      </c>
      <c r="D14" s="548">
        <v>283</v>
      </c>
      <c r="E14" s="548">
        <v>259</v>
      </c>
      <c r="F14" s="549">
        <v>273</v>
      </c>
      <c r="G14" s="7">
        <f t="shared" si="0"/>
        <v>234.4</v>
      </c>
      <c r="W14" s="20" t="s">
        <v>1</v>
      </c>
      <c r="X14" s="20">
        <f>S5</f>
        <v>1597343.4285714282</v>
      </c>
      <c r="Y14" s="20">
        <f>T5</f>
        <v>104</v>
      </c>
      <c r="Z14" s="20"/>
      <c r="AA14" s="20"/>
      <c r="AB14" s="20"/>
      <c r="AC14" s="20"/>
      <c r="AH14" s="7"/>
      <c r="AI14" s="512" t="s">
        <v>466</v>
      </c>
      <c r="AJ14" s="512" t="s">
        <v>219</v>
      </c>
      <c r="AK14" s="512" t="s">
        <v>60</v>
      </c>
      <c r="AL14" s="512" t="s">
        <v>240</v>
      </c>
      <c r="AM14" s="512" t="s">
        <v>135</v>
      </c>
      <c r="AN14" s="512" t="s">
        <v>119</v>
      </c>
      <c r="AO14" s="512" t="s">
        <v>467</v>
      </c>
      <c r="AR14">
        <v>1</v>
      </c>
      <c r="AS14">
        <f>AR14+1</f>
        <v>2</v>
      </c>
      <c r="AT14">
        <f>AS14+1</f>
        <v>3</v>
      </c>
      <c r="AU14">
        <f>AT14+1</f>
        <v>4</v>
      </c>
      <c r="AV14">
        <f>AU14+1</f>
        <v>5</v>
      </c>
      <c r="AX14" t="s">
        <v>965</v>
      </c>
      <c r="AY14" s="520">
        <f>$K$5</f>
        <v>5</v>
      </c>
      <c r="BA14" t="s">
        <v>964</v>
      </c>
      <c r="BB14" s="530">
        <f>$L$5</f>
        <v>7</v>
      </c>
      <c r="BD14" s="511" t="s">
        <v>1113</v>
      </c>
      <c r="BE14" s="511" t="s">
        <v>1114</v>
      </c>
      <c r="BF14" s="511" t="s">
        <v>1117</v>
      </c>
      <c r="BG14" s="511" t="s">
        <v>1115</v>
      </c>
      <c r="BH14" s="511" t="s">
        <v>1116</v>
      </c>
      <c r="BI14" s="511" t="s">
        <v>1122</v>
      </c>
      <c r="BJ14" s="511" t="s">
        <v>1118</v>
      </c>
      <c r="BK14" s="511" t="s">
        <v>1119</v>
      </c>
      <c r="BL14" s="511" t="s">
        <v>1120</v>
      </c>
      <c r="BM14" s="511" t="s">
        <v>1121</v>
      </c>
      <c r="BN14" s="511" t="s">
        <v>1123</v>
      </c>
      <c r="BO14" s="511" t="s">
        <v>1124</v>
      </c>
      <c r="BP14" s="511" t="s">
        <v>1125</v>
      </c>
      <c r="BQ14" s="511" t="s">
        <v>1126</v>
      </c>
      <c r="BR14" s="511" t="s">
        <v>1127</v>
      </c>
      <c r="BU14" s="409">
        <f t="shared" si="8"/>
        <v>230</v>
      </c>
      <c r="BV14" s="410">
        <f t="shared" si="9"/>
        <v>3</v>
      </c>
      <c r="BW14" s="417">
        <f t="shared" si="10"/>
        <v>108</v>
      </c>
      <c r="BX14" s="293"/>
      <c r="BY14" s="409">
        <f t="shared" si="11"/>
        <v>45.142857142857139</v>
      </c>
      <c r="BZ14" s="410">
        <f t="shared" si="12"/>
        <v>51.428571428571431</v>
      </c>
      <c r="CA14" s="417">
        <f t="shared" si="13"/>
        <v>20.571428571428569</v>
      </c>
      <c r="CC14" t="s">
        <v>294</v>
      </c>
      <c r="CK14" s="30" t="s">
        <v>60</v>
      </c>
      <c r="CL14" s="503">
        <f>CL6*(CL6+1)*(CL5-1)/2</f>
        <v>30</v>
      </c>
      <c r="CN14" t="s">
        <v>1141</v>
      </c>
      <c r="CO14" s="503">
        <f>CO12/(1-CL12+2/CO12)</f>
        <v>1691.6843994114142</v>
      </c>
    </row>
    <row r="15" spans="1:97" x14ac:dyDescent="0.25">
      <c r="A15" s="503"/>
      <c r="B15" s="547">
        <v>34</v>
      </c>
      <c r="C15" s="548">
        <v>86</v>
      </c>
      <c r="D15" s="548">
        <v>351</v>
      </c>
      <c r="E15" s="548">
        <v>280</v>
      </c>
      <c r="F15" s="549">
        <v>320</v>
      </c>
      <c r="G15" s="7">
        <f t="shared" si="0"/>
        <v>214.2</v>
      </c>
      <c r="AI15" s="19" t="s">
        <v>136</v>
      </c>
      <c r="AJ15" s="19">
        <v>58233.942857142829</v>
      </c>
      <c r="AK15" s="19">
        <v>6</v>
      </c>
      <c r="AL15" s="19">
        <v>9705.6571428571388</v>
      </c>
      <c r="AM15" s="19">
        <v>2.9519576278182553</v>
      </c>
      <c r="AN15" s="19">
        <v>2.6540423840703348E-2</v>
      </c>
      <c r="AO15" s="19">
        <v>2.5081888234232559</v>
      </c>
      <c r="AQ15" t="str">
        <f>A4</f>
        <v>Young</v>
      </c>
      <c r="AR15" s="527">
        <f t="array" ref="AR15:AV19">[1]!COV(B4:F10)</f>
        <v>5971.1428571428569</v>
      </c>
      <c r="AS15" s="528">
        <v>2240.1428571428573</v>
      </c>
      <c r="AT15" s="528">
        <v>2635.9761904761899</v>
      </c>
      <c r="AU15" s="528">
        <v>2408.5952380952376</v>
      </c>
      <c r="AV15" s="529">
        <v>3615.4523809523807</v>
      </c>
      <c r="AX15" t="s">
        <v>966</v>
      </c>
      <c r="AY15" s="503">
        <f>AVERAGE(AR21:AV21)</f>
        <v>4152.9238095238088</v>
      </c>
      <c r="BA15" t="s">
        <v>965</v>
      </c>
      <c r="BB15" s="503">
        <f>AY14</f>
        <v>5</v>
      </c>
      <c r="BD15" s="553">
        <v>250</v>
      </c>
      <c r="BE15" s="554">
        <v>278</v>
      </c>
      <c r="BF15" s="554">
        <v>442</v>
      </c>
      <c r="BG15" s="554">
        <v>368</v>
      </c>
      <c r="BH15" s="555">
        <v>456</v>
      </c>
      <c r="BI15" s="553">
        <v>54</v>
      </c>
      <c r="BJ15" s="554">
        <v>172</v>
      </c>
      <c r="BK15" s="554">
        <v>307</v>
      </c>
      <c r="BL15" s="554">
        <v>261</v>
      </c>
      <c r="BM15" s="555">
        <v>360</v>
      </c>
      <c r="BN15" s="553">
        <v>118</v>
      </c>
      <c r="BO15" s="554">
        <v>124</v>
      </c>
      <c r="BP15" s="554">
        <v>365</v>
      </c>
      <c r="BQ15" s="554">
        <v>311</v>
      </c>
      <c r="BR15" s="555">
        <v>331</v>
      </c>
      <c r="BT15" t="s">
        <v>7</v>
      </c>
      <c r="BU15" s="31">
        <f>AVERAGE(BU8:BU14)</f>
        <v>184.85714285714286</v>
      </c>
      <c r="BV15" s="31">
        <f>AVERAGE(BV8:BV14)</f>
        <v>54.428571428571431</v>
      </c>
      <c r="BW15" s="31">
        <f>AVERAGE(BW8:BW14)</f>
        <v>87.428571428571431</v>
      </c>
      <c r="BX15" s="561"/>
      <c r="BY15" s="561"/>
      <c r="BZ15" s="561"/>
      <c r="CA15" s="561"/>
      <c r="CC15" s="512" t="s">
        <v>466</v>
      </c>
      <c r="CD15" s="512" t="s">
        <v>219</v>
      </c>
      <c r="CE15" s="512" t="s">
        <v>60</v>
      </c>
      <c r="CF15" s="512" t="s">
        <v>240</v>
      </c>
      <c r="CG15" s="512" t="s">
        <v>135</v>
      </c>
      <c r="CH15" s="512" t="s">
        <v>119</v>
      </c>
      <c r="CI15" s="512" t="s">
        <v>467</v>
      </c>
      <c r="CK15" s="30" t="s">
        <v>67</v>
      </c>
      <c r="CL15" s="503">
        <f>CHIDIST(CL13,CL14)</f>
        <v>0.88609754039959765</v>
      </c>
      <c r="CN15" t="s">
        <v>1139</v>
      </c>
      <c r="CO15" s="503">
        <f>CL11/CO13</f>
        <v>0.66799490746101364</v>
      </c>
    </row>
    <row r="16" spans="1:97" x14ac:dyDescent="0.25">
      <c r="A16" s="503"/>
      <c r="B16" s="547">
        <v>29</v>
      </c>
      <c r="C16" s="548">
        <v>81</v>
      </c>
      <c r="D16" s="548">
        <v>193</v>
      </c>
      <c r="E16" s="548">
        <v>240</v>
      </c>
      <c r="F16" s="549">
        <v>233</v>
      </c>
      <c r="G16" s="7">
        <f t="shared" si="0"/>
        <v>155.19999999999999</v>
      </c>
      <c r="AI16" s="19" t="s">
        <v>589</v>
      </c>
      <c r="AJ16" s="19">
        <v>412173.88571428566</v>
      </c>
      <c r="AK16" s="19">
        <v>4</v>
      </c>
      <c r="AL16" s="19">
        <v>103043.47142857141</v>
      </c>
      <c r="AM16" s="19">
        <v>31.340480814769411</v>
      </c>
      <c r="AN16" s="19">
        <v>3.2800032757234696E-9</v>
      </c>
      <c r="AO16" s="19">
        <v>2.7762892892514786</v>
      </c>
      <c r="AR16" s="532">
        <v>2240.1428571428573</v>
      </c>
      <c r="AS16" s="7">
        <v>2915.1428571428573</v>
      </c>
      <c r="AT16" s="7">
        <v>3314.8095238095239</v>
      </c>
      <c r="AU16" s="7">
        <v>1553.0952380952378</v>
      </c>
      <c r="AV16" s="533">
        <v>2755.9523809523803</v>
      </c>
      <c r="AX16" t="s">
        <v>967</v>
      </c>
      <c r="AY16" s="503">
        <f>AVERAGE(AR15:AV19)</f>
        <v>2835.7390476190481</v>
      </c>
      <c r="BA16" t="s">
        <v>972</v>
      </c>
      <c r="BB16" s="503">
        <f>AY21</f>
        <v>0.6348706668595312</v>
      </c>
      <c r="BD16" s="556">
        <v>65</v>
      </c>
      <c r="BE16" s="31">
        <v>207</v>
      </c>
      <c r="BF16" s="31">
        <v>341</v>
      </c>
      <c r="BG16" s="31">
        <v>382</v>
      </c>
      <c r="BH16" s="557">
        <v>298</v>
      </c>
      <c r="BI16" s="556">
        <v>20</v>
      </c>
      <c r="BJ16" s="31">
        <v>116</v>
      </c>
      <c r="BK16" s="31">
        <v>425</v>
      </c>
      <c r="BL16" s="31">
        <v>398</v>
      </c>
      <c r="BM16" s="557">
        <v>268</v>
      </c>
      <c r="BN16" s="556">
        <v>83</v>
      </c>
      <c r="BO16" s="31">
        <v>266</v>
      </c>
      <c r="BP16" s="31">
        <v>382</v>
      </c>
      <c r="BQ16" s="31">
        <v>369</v>
      </c>
      <c r="BR16" s="557">
        <v>295</v>
      </c>
      <c r="BT16" t="s">
        <v>8</v>
      </c>
      <c r="BU16" s="31">
        <f>VAR(BU8:BU15)</f>
        <v>5118.1224489795941</v>
      </c>
      <c r="BV16" s="31">
        <f>VAR(BV8:BV14)</f>
        <v>4377.6190476190477</v>
      </c>
      <c r="BW16" s="31">
        <f>VAR(BW8:BW14)</f>
        <v>937.61904761904714</v>
      </c>
      <c r="CC16" s="19" t="s">
        <v>462</v>
      </c>
      <c r="CD16" s="19">
        <v>6153.8036929057344</v>
      </c>
      <c r="CE16" s="19">
        <v>2</v>
      </c>
      <c r="CF16" s="19">
        <v>3076.9018464528672</v>
      </c>
      <c r="CG16" s="19">
        <v>2.7143718540118629</v>
      </c>
      <c r="CH16" s="19">
        <v>9.3263461825975183E-2</v>
      </c>
      <c r="CI16" s="19">
        <v>3.5545571456617879</v>
      </c>
      <c r="CK16" s="30" t="s">
        <v>48</v>
      </c>
      <c r="CL16" s="503">
        <v>0.05</v>
      </c>
      <c r="CN16" t="s">
        <v>1142</v>
      </c>
      <c r="CO16" s="503">
        <f>CO12*CL11/(CL14*(CO14-CO12))</f>
        <v>1.7912371438426429</v>
      </c>
    </row>
    <row r="17" spans="1:93" ht="15.75" thickBot="1" x14ac:dyDescent="0.3">
      <c r="A17" s="420"/>
      <c r="B17" s="550">
        <v>3</v>
      </c>
      <c r="C17" s="551">
        <v>54</v>
      </c>
      <c r="D17" s="551">
        <v>285</v>
      </c>
      <c r="E17" s="551">
        <v>216</v>
      </c>
      <c r="F17" s="552">
        <v>245</v>
      </c>
      <c r="G17" s="7">
        <f t="shared" si="0"/>
        <v>160.6</v>
      </c>
      <c r="W17" t="s">
        <v>976</v>
      </c>
      <c r="AI17" s="19" t="s">
        <v>588</v>
      </c>
      <c r="AJ17" s="19">
        <v>78908.914285714331</v>
      </c>
      <c r="AK17" s="19">
        <v>24</v>
      </c>
      <c r="AL17" s="19">
        <v>3287.8714285714304</v>
      </c>
      <c r="AM17" s="19"/>
      <c r="AN17" s="19"/>
      <c r="AO17" s="19"/>
      <c r="AR17" s="532">
        <v>2635.9761904761899</v>
      </c>
      <c r="AS17" s="7">
        <v>3314.8095238095239</v>
      </c>
      <c r="AT17" s="7">
        <v>4241.1428571428569</v>
      </c>
      <c r="AU17" s="7">
        <v>2092.2619047619046</v>
      </c>
      <c r="AV17" s="533">
        <v>3222.4523809523807</v>
      </c>
      <c r="AX17" t="s">
        <v>968</v>
      </c>
      <c r="AY17" s="503">
        <f>SUMSQ(AR15:AV19)</f>
        <v>228001564.71655318</v>
      </c>
      <c r="BA17" t="s">
        <v>973</v>
      </c>
      <c r="BB17" s="503">
        <f>BB14*(BB15-1)*BB16-2</f>
        <v>15.776378672066873</v>
      </c>
      <c r="BD17" s="556">
        <v>251</v>
      </c>
      <c r="BE17" s="31">
        <v>261</v>
      </c>
      <c r="BF17" s="31">
        <v>384</v>
      </c>
      <c r="BG17" s="31">
        <v>421</v>
      </c>
      <c r="BH17" s="557">
        <v>342</v>
      </c>
      <c r="BI17" s="556">
        <v>41</v>
      </c>
      <c r="BJ17" s="31">
        <v>168</v>
      </c>
      <c r="BK17" s="31">
        <v>378</v>
      </c>
      <c r="BL17" s="31">
        <v>317</v>
      </c>
      <c r="BM17" s="557">
        <v>470</v>
      </c>
      <c r="BN17" s="556">
        <v>38</v>
      </c>
      <c r="BO17" s="31">
        <v>207</v>
      </c>
      <c r="BP17" s="31">
        <v>289</v>
      </c>
      <c r="BQ17" s="31">
        <v>385</v>
      </c>
      <c r="BR17" s="557">
        <v>373</v>
      </c>
      <c r="CC17" s="19" t="s">
        <v>463</v>
      </c>
      <c r="CD17" s="19">
        <v>20404.069970845478</v>
      </c>
      <c r="CE17" s="19">
        <v>18</v>
      </c>
      <c r="CF17" s="19">
        <v>1133.5594428247487</v>
      </c>
      <c r="CG17" s="19"/>
      <c r="CH17" s="19"/>
      <c r="CI17" s="19"/>
      <c r="CK17" s="30" t="s">
        <v>110</v>
      </c>
      <c r="CL17" s="503">
        <f>CHIINV(CL16,CL14)</f>
        <v>43.772971825742189</v>
      </c>
      <c r="CN17" t="s">
        <v>135</v>
      </c>
      <c r="CO17" s="503">
        <f>IF(CO11&gt;CL12^2,CO15,CO16)</f>
        <v>0.66799490746101364</v>
      </c>
    </row>
    <row r="18" spans="1:93" x14ac:dyDescent="0.25">
      <c r="A18" s="530" t="s">
        <v>76</v>
      </c>
      <c r="B18" s="547">
        <v>118</v>
      </c>
      <c r="C18" s="548">
        <v>124</v>
      </c>
      <c r="D18" s="548">
        <v>365</v>
      </c>
      <c r="E18" s="548">
        <v>311</v>
      </c>
      <c r="F18" s="549">
        <v>331</v>
      </c>
      <c r="G18" s="7">
        <f t="shared" si="0"/>
        <v>249.8</v>
      </c>
      <c r="W18" s="509" t="s">
        <v>466</v>
      </c>
      <c r="X18" s="509" t="s">
        <v>219</v>
      </c>
      <c r="Y18" s="509" t="s">
        <v>60</v>
      </c>
      <c r="Z18" s="509" t="s">
        <v>240</v>
      </c>
      <c r="AA18" s="509" t="s">
        <v>135</v>
      </c>
      <c r="AB18" s="509" t="s">
        <v>119</v>
      </c>
      <c r="AC18" s="509" t="s">
        <v>467</v>
      </c>
      <c r="AI18" s="19"/>
      <c r="AJ18" s="19"/>
      <c r="AK18" s="19"/>
      <c r="AL18" s="19"/>
      <c r="AM18" s="19"/>
      <c r="AN18" s="19"/>
      <c r="AO18" s="19"/>
      <c r="AR18" s="532">
        <v>2408.5952380952376</v>
      </c>
      <c r="AS18" s="7">
        <v>1553.0952380952378</v>
      </c>
      <c r="AT18" s="7">
        <v>2092.2619047619046</v>
      </c>
      <c r="AU18" s="7">
        <v>3318.2857142857147</v>
      </c>
      <c r="AV18" s="533">
        <v>1225.6904761904761</v>
      </c>
      <c r="AX18" t="s">
        <v>969</v>
      </c>
      <c r="AY18" s="503">
        <f>SUMSQ(AR20:AV20)</f>
        <v>41195695.216235824</v>
      </c>
      <c r="BA18" t="s">
        <v>974</v>
      </c>
      <c r="BB18" s="503">
        <f>(BB15-1)*(BB14-1-(BB15-1)*BB16)</f>
        <v>13.842069330247501</v>
      </c>
      <c r="BD18" s="556">
        <v>241</v>
      </c>
      <c r="BE18" s="31">
        <v>314</v>
      </c>
      <c r="BF18" s="31">
        <v>423</v>
      </c>
      <c r="BG18" s="31">
        <v>415</v>
      </c>
      <c r="BH18" s="557">
        <v>468</v>
      </c>
      <c r="BI18" s="556">
        <v>200</v>
      </c>
      <c r="BJ18" s="31">
        <v>157</v>
      </c>
      <c r="BK18" s="31">
        <v>283</v>
      </c>
      <c r="BL18" s="31">
        <v>259</v>
      </c>
      <c r="BM18" s="557">
        <v>273</v>
      </c>
      <c r="BN18" s="556">
        <v>71</v>
      </c>
      <c r="BO18" s="31">
        <v>211</v>
      </c>
      <c r="BP18" s="31">
        <v>356</v>
      </c>
      <c r="BQ18" s="31">
        <v>380</v>
      </c>
      <c r="BR18" s="557">
        <v>305</v>
      </c>
      <c r="CC18" s="19"/>
      <c r="CD18" s="19"/>
      <c r="CE18" s="19"/>
      <c r="CF18" s="19"/>
      <c r="CG18" s="19"/>
      <c r="CH18" s="19"/>
      <c r="CI18" s="19"/>
      <c r="CK18" s="30" t="s">
        <v>527</v>
      </c>
      <c r="CL18" s="414" t="str">
        <f>IF(CL15&lt;CL16,"yes","no")</f>
        <v>no</v>
      </c>
      <c r="CN18" t="s">
        <v>67</v>
      </c>
      <c r="CO18" s="503">
        <f>FDIST(CO17,CL14,CO12)</f>
        <v>0.91347717728266986</v>
      </c>
    </row>
    <row r="19" spans="1:93" ht="15.75" thickBot="1" x14ac:dyDescent="0.3">
      <c r="A19" s="503"/>
      <c r="B19" s="547">
        <v>83</v>
      </c>
      <c r="C19" s="548">
        <v>266</v>
      </c>
      <c r="D19" s="548">
        <v>382</v>
      </c>
      <c r="E19" s="548">
        <v>369</v>
      </c>
      <c r="F19" s="549">
        <v>295</v>
      </c>
      <c r="G19" s="7">
        <f t="shared" si="0"/>
        <v>279</v>
      </c>
      <c r="W19" s="19" t="s">
        <v>1091</v>
      </c>
      <c r="X19" s="19">
        <f>X10</f>
        <v>1025800.38095238</v>
      </c>
      <c r="Y19" s="19">
        <f>Y10*$AY$48</f>
        <v>3.2121215388253943</v>
      </c>
      <c r="Z19" s="19">
        <f>X19/Y19</f>
        <v>319352.91630574281</v>
      </c>
      <c r="AA19" s="19">
        <f>Z19/Z21</f>
        <v>114.63225504334282</v>
      </c>
      <c r="AB19">
        <f>FDIST(AA19,Y19,Y21)</f>
        <v>4.0685945657813114E-24</v>
      </c>
      <c r="AC19">
        <f>FINV(0.05,Y19,Y21)</f>
        <v>2.7664379256680744</v>
      </c>
      <c r="AI19" s="20" t="s">
        <v>1</v>
      </c>
      <c r="AJ19" s="20">
        <v>549316.74285714282</v>
      </c>
      <c r="AK19" s="20">
        <v>34</v>
      </c>
      <c r="AL19" s="20"/>
      <c r="AM19" s="20"/>
      <c r="AN19" s="20"/>
      <c r="AO19" s="20"/>
      <c r="AR19" s="409">
        <v>3615.4523809523807</v>
      </c>
      <c r="AS19" s="410">
        <v>2755.9523809523803</v>
      </c>
      <c r="AT19" s="410">
        <v>3222.4523809523807</v>
      </c>
      <c r="AU19" s="410">
        <v>1225.6904761904761</v>
      </c>
      <c r="AV19" s="417">
        <v>4318.9047619047615</v>
      </c>
      <c r="AX19" t="s">
        <v>970</v>
      </c>
      <c r="AY19" s="503">
        <f>(AY14*(AY15-AY16))^2</f>
        <v>43374392.424852528</v>
      </c>
      <c r="BA19" t="s">
        <v>975</v>
      </c>
      <c r="BB19" s="420">
        <f>MIN(BB17/BB18,1)</f>
        <v>1</v>
      </c>
      <c r="BD19" s="556">
        <v>154</v>
      </c>
      <c r="BE19" s="31">
        <v>167</v>
      </c>
      <c r="BF19" s="31">
        <v>257</v>
      </c>
      <c r="BG19" s="31">
        <v>275</v>
      </c>
      <c r="BH19" s="557">
        <v>332</v>
      </c>
      <c r="BI19" s="556">
        <v>34</v>
      </c>
      <c r="BJ19" s="31">
        <v>86</v>
      </c>
      <c r="BK19" s="31">
        <v>351</v>
      </c>
      <c r="BL19" s="31">
        <v>280</v>
      </c>
      <c r="BM19" s="557">
        <v>320</v>
      </c>
      <c r="BN19" s="556">
        <v>123</v>
      </c>
      <c r="BO19" s="31">
        <v>331</v>
      </c>
      <c r="BP19" s="31">
        <v>407</v>
      </c>
      <c r="BQ19" s="31">
        <v>461</v>
      </c>
      <c r="BR19" s="557">
        <v>445</v>
      </c>
      <c r="CC19" s="20" t="s">
        <v>1</v>
      </c>
      <c r="CD19" s="20">
        <v>26557.873663751212</v>
      </c>
      <c r="CE19" s="20">
        <v>20</v>
      </c>
      <c r="CF19" s="20"/>
      <c r="CG19" s="20"/>
      <c r="CH19" s="20"/>
      <c r="CI19" s="20"/>
      <c r="CN19" t="s">
        <v>246</v>
      </c>
      <c r="CO19" s="503">
        <f>FINV(CL16,CL14,CO12)</f>
        <v>1.4703025266685064</v>
      </c>
    </row>
    <row r="20" spans="1:93" x14ac:dyDescent="0.25">
      <c r="A20" s="503"/>
      <c r="B20" s="547">
        <v>38</v>
      </c>
      <c r="C20" s="548">
        <v>207</v>
      </c>
      <c r="D20" s="548">
        <v>289</v>
      </c>
      <c r="E20" s="548">
        <v>385</v>
      </c>
      <c r="F20" s="549">
        <v>373</v>
      </c>
      <c r="G20" s="7">
        <f t="shared" si="0"/>
        <v>258.39999999999998</v>
      </c>
      <c r="W20" s="53" t="s">
        <v>1094</v>
      </c>
      <c r="X20">
        <f>X11</f>
        <v>38740.076190477121</v>
      </c>
      <c r="Y20" s="19">
        <f>Y11*$AY$48</f>
        <v>6.4242430776507886</v>
      </c>
      <c r="Z20" s="19">
        <f>X20/Y20</f>
        <v>6030.2942653663658</v>
      </c>
      <c r="AA20">
        <f>Z20/Z21</f>
        <v>2.1645840539376158</v>
      </c>
      <c r="AB20">
        <f>FDIST(AA20,Y20,Y21)</f>
        <v>5.9796252906053803E-2</v>
      </c>
      <c r="AC20">
        <f>FINV(0.05,Y20,Y21)</f>
        <v>2.262531824274177</v>
      </c>
      <c r="AQ20" t="s">
        <v>7</v>
      </c>
      <c r="AR20">
        <f>AVERAGE(AR15:AR19)</f>
        <v>3374.2619047619046</v>
      </c>
      <c r="AS20">
        <f>AVERAGE(AS15:AS19)</f>
        <v>2555.8285714285712</v>
      </c>
      <c r="AT20">
        <f>AVERAGE(AT15:AT19)</f>
        <v>3101.3285714285712</v>
      </c>
      <c r="AU20">
        <f>AVERAGE(AU15:AU19)</f>
        <v>2119.5857142857144</v>
      </c>
      <c r="AV20">
        <f>AVERAGE(AV15:AV19)</f>
        <v>3027.6904761904761</v>
      </c>
      <c r="AX20" t="s">
        <v>971</v>
      </c>
      <c r="AY20" s="503">
        <f>(AY14-1)*(AY17-2*AY14*AY18+AY14^2*AY16^2)</f>
        <v>68320044.835918307</v>
      </c>
      <c r="BD20" s="556">
        <v>103</v>
      </c>
      <c r="BE20" s="31">
        <v>286</v>
      </c>
      <c r="BF20" s="31">
        <v>401</v>
      </c>
      <c r="BG20" s="31">
        <v>291</v>
      </c>
      <c r="BH20" s="557">
        <v>367</v>
      </c>
      <c r="BI20" s="556">
        <v>29</v>
      </c>
      <c r="BJ20" s="31">
        <v>81</v>
      </c>
      <c r="BK20" s="31">
        <v>193</v>
      </c>
      <c r="BL20" s="31">
        <v>240</v>
      </c>
      <c r="BM20" s="557">
        <v>233</v>
      </c>
      <c r="BN20" s="556">
        <v>71</v>
      </c>
      <c r="BO20" s="31">
        <v>285</v>
      </c>
      <c r="BP20" s="31">
        <v>471</v>
      </c>
      <c r="BQ20" s="31">
        <v>407</v>
      </c>
      <c r="BR20" s="557">
        <v>433</v>
      </c>
      <c r="CN20" t="s">
        <v>527</v>
      </c>
      <c r="CO20" s="414" t="str">
        <f>IF(CO18&lt;CL16,"yes","no")</f>
        <v>no</v>
      </c>
    </row>
    <row r="21" spans="1:93" ht="15.75" thickBot="1" x14ac:dyDescent="0.3">
      <c r="A21" s="503"/>
      <c r="B21" s="547">
        <v>71</v>
      </c>
      <c r="C21" s="548">
        <v>211</v>
      </c>
      <c r="D21" s="548">
        <v>356</v>
      </c>
      <c r="E21" s="548">
        <v>380</v>
      </c>
      <c r="F21" s="549">
        <v>305</v>
      </c>
      <c r="G21" s="7">
        <f t="shared" si="0"/>
        <v>264.60000000000002</v>
      </c>
      <c r="W21" s="19" t="s">
        <v>588</v>
      </c>
      <c r="X21">
        <f>X12</f>
        <v>161075.14285714249</v>
      </c>
      <c r="Y21" s="19">
        <f>Y12*$AY$48</f>
        <v>57.818187698857095</v>
      </c>
      <c r="Z21" s="19">
        <f>X21/Y21</f>
        <v>2785.8905522271584</v>
      </c>
      <c r="AI21" t="s">
        <v>1105</v>
      </c>
      <c r="AQ21" t="s">
        <v>8</v>
      </c>
      <c r="AR21">
        <f>INDEX(AR15:AR19,AR14)</f>
        <v>5971.1428571428569</v>
      </c>
      <c r="AS21">
        <f>INDEX(AS15:AS19,AS14)</f>
        <v>2915.1428571428573</v>
      </c>
      <c r="AT21">
        <f>INDEX(AT15:AT19,AT14)</f>
        <v>4241.1428571428569</v>
      </c>
      <c r="AU21">
        <f>INDEX(AU15:AU19,AU14)</f>
        <v>3318.2857142857147</v>
      </c>
      <c r="AV21">
        <f>INDEX(AV15:AV19,AV14)</f>
        <v>4318.9047619047615</v>
      </c>
      <c r="AX21" t="s">
        <v>972</v>
      </c>
      <c r="AY21" s="168">
        <f>AY19/AY20</f>
        <v>0.6348706668595312</v>
      </c>
      <c r="BA21" t="s">
        <v>1020</v>
      </c>
      <c r="BB21" s="531">
        <f>1/(BB15-1)</f>
        <v>0.25</v>
      </c>
      <c r="BD21" s="558">
        <v>230</v>
      </c>
      <c r="BE21" s="559">
        <v>306</v>
      </c>
      <c r="BF21" s="559">
        <v>432</v>
      </c>
      <c r="BG21" s="559">
        <v>386</v>
      </c>
      <c r="BH21" s="560">
        <v>423</v>
      </c>
      <c r="BI21" s="558">
        <v>3</v>
      </c>
      <c r="BJ21" s="559">
        <v>54</v>
      </c>
      <c r="BK21" s="559">
        <v>285</v>
      </c>
      <c r="BL21" s="559">
        <v>216</v>
      </c>
      <c r="BM21" s="560">
        <v>245</v>
      </c>
      <c r="BN21" s="558">
        <v>108</v>
      </c>
      <c r="BO21" s="559">
        <v>247</v>
      </c>
      <c r="BP21" s="559">
        <v>317</v>
      </c>
      <c r="BQ21" s="559">
        <v>307</v>
      </c>
      <c r="BR21" s="560">
        <v>324</v>
      </c>
    </row>
    <row r="22" spans="1:93" x14ac:dyDescent="0.25">
      <c r="A22" s="503"/>
      <c r="B22" s="547">
        <v>123</v>
      </c>
      <c r="C22" s="548">
        <v>331</v>
      </c>
      <c r="D22" s="548">
        <v>407</v>
      </c>
      <c r="E22" s="548">
        <v>461</v>
      </c>
      <c r="F22" s="549">
        <v>445</v>
      </c>
      <c r="G22" s="7">
        <f t="shared" si="0"/>
        <v>353.4</v>
      </c>
      <c r="AI22" s="512" t="s">
        <v>466</v>
      </c>
      <c r="AJ22" s="512" t="s">
        <v>219</v>
      </c>
      <c r="AK22" s="512" t="s">
        <v>60</v>
      </c>
      <c r="AL22" s="512" t="s">
        <v>240</v>
      </c>
      <c r="AM22" s="512" t="s">
        <v>135</v>
      </c>
      <c r="AN22" s="512" t="s">
        <v>119</v>
      </c>
      <c r="AO22" s="512" t="s">
        <v>467</v>
      </c>
      <c r="BU22" t="s">
        <v>1087</v>
      </c>
      <c r="CC22" t="s">
        <v>464</v>
      </c>
    </row>
    <row r="23" spans="1:93" ht="15.75" thickBot="1" x14ac:dyDescent="0.3">
      <c r="A23" s="503"/>
      <c r="B23" s="547">
        <v>71</v>
      </c>
      <c r="C23" s="548">
        <v>285</v>
      </c>
      <c r="D23" s="548">
        <v>471</v>
      </c>
      <c r="E23" s="548">
        <v>407</v>
      </c>
      <c r="F23" s="549">
        <v>433</v>
      </c>
      <c r="G23" s="7">
        <f t="shared" si="0"/>
        <v>333.4</v>
      </c>
      <c r="W23" t="s">
        <v>1080</v>
      </c>
      <c r="AI23" s="19" t="s">
        <v>136</v>
      </c>
      <c r="AJ23" s="19">
        <v>50063.599999999977</v>
      </c>
      <c r="AK23" s="19">
        <v>6</v>
      </c>
      <c r="AL23" s="19">
        <v>8343.9333333333288</v>
      </c>
      <c r="AM23" s="19">
        <v>4.6952211118360836</v>
      </c>
      <c r="AN23" s="19">
        <v>2.7144649208904891E-3</v>
      </c>
      <c r="AO23" s="19">
        <v>2.5081888234232559</v>
      </c>
      <c r="AR23">
        <v>1</v>
      </c>
      <c r="AS23">
        <f>AR23+1</f>
        <v>2</v>
      </c>
      <c r="AT23">
        <f>AS23+1</f>
        <v>3</v>
      </c>
      <c r="AU23">
        <f>AT23+1</f>
        <v>4</v>
      </c>
      <c r="AV23">
        <f>AU23+1</f>
        <v>5</v>
      </c>
      <c r="AX23" t="s">
        <v>965</v>
      </c>
      <c r="AY23" s="520">
        <f>$K$5</f>
        <v>5</v>
      </c>
      <c r="BA23" t="s">
        <v>964</v>
      </c>
      <c r="BB23" s="530">
        <f>$L$5</f>
        <v>7</v>
      </c>
      <c r="BE23" s="511" t="s">
        <v>1113</v>
      </c>
      <c r="BF23" s="511" t="s">
        <v>1114</v>
      </c>
      <c r="BG23" s="511" t="s">
        <v>1117</v>
      </c>
      <c r="BH23" s="511" t="s">
        <v>1115</v>
      </c>
      <c r="BI23" s="511" t="s">
        <v>1116</v>
      </c>
      <c r="BJ23" s="511" t="s">
        <v>1122</v>
      </c>
      <c r="BK23" s="511" t="s">
        <v>1118</v>
      </c>
      <c r="BL23" s="511" t="s">
        <v>1119</v>
      </c>
      <c r="BM23" s="511" t="s">
        <v>1120</v>
      </c>
      <c r="BN23" s="511" t="s">
        <v>1121</v>
      </c>
      <c r="BO23" s="511" t="s">
        <v>1123</v>
      </c>
      <c r="BP23" s="511" t="s">
        <v>1124</v>
      </c>
      <c r="BQ23" s="511" t="s">
        <v>1125</v>
      </c>
      <c r="BR23" s="511" t="s">
        <v>1126</v>
      </c>
      <c r="BS23" s="511" t="s">
        <v>1127</v>
      </c>
    </row>
    <row r="24" spans="1:93" ht="15.75" thickBot="1" x14ac:dyDescent="0.3">
      <c r="A24" s="420"/>
      <c r="B24" s="550">
        <v>108</v>
      </c>
      <c r="C24" s="551">
        <v>247</v>
      </c>
      <c r="D24" s="551">
        <v>317</v>
      </c>
      <c r="E24" s="551">
        <v>307</v>
      </c>
      <c r="F24" s="552">
        <v>324</v>
      </c>
      <c r="G24" s="7">
        <f t="shared" si="0"/>
        <v>260.60000000000002</v>
      </c>
      <c r="W24" s="509" t="s">
        <v>466</v>
      </c>
      <c r="X24" s="509" t="s">
        <v>219</v>
      </c>
      <c r="Y24" s="509" t="s">
        <v>60</v>
      </c>
      <c r="Z24" s="509" t="s">
        <v>240</v>
      </c>
      <c r="AA24" s="509" t="s">
        <v>135</v>
      </c>
      <c r="AB24" s="509" t="s">
        <v>119</v>
      </c>
      <c r="AC24" s="509" t="s">
        <v>467</v>
      </c>
      <c r="AI24" s="19" t="s">
        <v>589</v>
      </c>
      <c r="AJ24" s="19">
        <v>431398.11428571434</v>
      </c>
      <c r="AK24" s="19">
        <v>4</v>
      </c>
      <c r="AL24" s="19">
        <v>107849.52857142859</v>
      </c>
      <c r="AM24" s="19">
        <v>60.688090762566894</v>
      </c>
      <c r="AN24" s="19">
        <v>3.3537021761768956E-12</v>
      </c>
      <c r="AO24" s="19">
        <v>2.7762892892514786</v>
      </c>
      <c r="AQ24" t="str">
        <f>A11</f>
        <v>Middle</v>
      </c>
      <c r="AR24" s="527">
        <f t="array" ref="AR24:AV28">[1]!COV(B11:F17)</f>
        <v>4377.6190476190468</v>
      </c>
      <c r="AS24" s="528">
        <v>1656.2619047619046</v>
      </c>
      <c r="AT24" s="528">
        <v>-896.38095238095229</v>
      </c>
      <c r="AU24" s="528">
        <v>-549.95238095238096</v>
      </c>
      <c r="AV24" s="529">
        <v>-168.92857142857133</v>
      </c>
      <c r="AX24" t="s">
        <v>966</v>
      </c>
      <c r="AY24" s="503">
        <f>AVERAGE(AR30:AV30)</f>
        <v>4571.4285714285706</v>
      </c>
      <c r="BA24" t="s">
        <v>965</v>
      </c>
      <c r="BB24" s="503">
        <f>AY23</f>
        <v>5</v>
      </c>
      <c r="BD24" t="s">
        <v>50</v>
      </c>
      <c r="BE24">
        <f>MIN(BD15:BD21)</f>
        <v>65</v>
      </c>
      <c r="BF24">
        <f t="shared" ref="BF24:BS24" si="14">MIN(BE15:BE21)</f>
        <v>167</v>
      </c>
      <c r="BG24">
        <f t="shared" si="14"/>
        <v>257</v>
      </c>
      <c r="BH24">
        <f t="shared" si="14"/>
        <v>275</v>
      </c>
      <c r="BI24">
        <f t="shared" si="14"/>
        <v>298</v>
      </c>
      <c r="BJ24">
        <f t="shared" si="14"/>
        <v>3</v>
      </c>
      <c r="BK24">
        <f t="shared" si="14"/>
        <v>54</v>
      </c>
      <c r="BL24">
        <f t="shared" si="14"/>
        <v>193</v>
      </c>
      <c r="BM24">
        <f t="shared" si="14"/>
        <v>216</v>
      </c>
      <c r="BN24">
        <f t="shared" si="14"/>
        <v>233</v>
      </c>
      <c r="BO24">
        <f t="shared" si="14"/>
        <v>38</v>
      </c>
      <c r="BP24">
        <f t="shared" si="14"/>
        <v>124</v>
      </c>
      <c r="BQ24">
        <f t="shared" si="14"/>
        <v>289</v>
      </c>
      <c r="BR24">
        <f t="shared" si="14"/>
        <v>307</v>
      </c>
      <c r="BS24">
        <f t="shared" si="14"/>
        <v>295</v>
      </c>
      <c r="BU24" s="511" t="s">
        <v>1084</v>
      </c>
      <c r="BV24" s="511" t="s">
        <v>1085</v>
      </c>
      <c r="BW24" s="511" t="s">
        <v>76</v>
      </c>
      <c r="BX24" s="245"/>
      <c r="BY24" s="511" t="s">
        <v>1084</v>
      </c>
      <c r="BZ24" s="511" t="s">
        <v>1085</v>
      </c>
      <c r="CA24" s="511" t="s">
        <v>76</v>
      </c>
      <c r="CC24" t="s">
        <v>62</v>
      </c>
    </row>
    <row r="25" spans="1:93" x14ac:dyDescent="0.25">
      <c r="W25" s="19" t="s">
        <v>1091</v>
      </c>
      <c r="X25" s="19">
        <f>X10</f>
        <v>1025800.38095238</v>
      </c>
      <c r="Y25" s="19">
        <f>Y10*$BB$47</f>
        <v>3.9918037866395677</v>
      </c>
      <c r="Z25" s="19">
        <f>X25/Y25</f>
        <v>256976.65410952794</v>
      </c>
      <c r="AA25" s="19">
        <f>Z25/Z27</f>
        <v>114.63225504334284</v>
      </c>
      <c r="AB25">
        <f>FDIST(AA25,Y25,Y27)</f>
        <v>3.7616733838121214E-27</v>
      </c>
      <c r="AC25">
        <f>FINV(0.05,Y25,Y27)</f>
        <v>2.7336471599545784</v>
      </c>
      <c r="AI25" s="19" t="s">
        <v>588</v>
      </c>
      <c r="AJ25" s="19">
        <v>42650.685714285704</v>
      </c>
      <c r="AK25" s="19">
        <v>24</v>
      </c>
      <c r="AL25" s="19">
        <v>1777.1119047619043</v>
      </c>
      <c r="AM25" s="19"/>
      <c r="AN25" s="19"/>
      <c r="AO25" s="19"/>
      <c r="AR25" s="532">
        <v>1656.2619047619046</v>
      </c>
      <c r="AS25" s="7">
        <v>2236.8095238095239</v>
      </c>
      <c r="AT25" s="7">
        <v>1085.4285714285711</v>
      </c>
      <c r="AU25" s="7">
        <v>888.73809523809507</v>
      </c>
      <c r="AV25" s="533">
        <v>2671.8571428571427</v>
      </c>
      <c r="AX25" t="s">
        <v>967</v>
      </c>
      <c r="AY25" s="503">
        <f>AVERAGE(AR24:AV28)</f>
        <v>1941.1314285714286</v>
      </c>
      <c r="BA25" t="s">
        <v>972</v>
      </c>
      <c r="BB25" s="503">
        <f>AY30</f>
        <v>0.55394202137655646</v>
      </c>
      <c r="BD25" t="s">
        <v>51</v>
      </c>
      <c r="BE25">
        <f>QUARTILE(BD15:BD21,1)-BE24</f>
        <v>63.5</v>
      </c>
      <c r="BF25">
        <f t="shared" ref="BF25:BS25" si="15">QUARTILE(BE15:BE21,1)-BF24</f>
        <v>67</v>
      </c>
      <c r="BG25">
        <f t="shared" si="15"/>
        <v>105.5</v>
      </c>
      <c r="BH25">
        <f t="shared" si="15"/>
        <v>54.5</v>
      </c>
      <c r="BI25">
        <f t="shared" si="15"/>
        <v>39</v>
      </c>
      <c r="BJ25">
        <f t="shared" si="15"/>
        <v>21.5</v>
      </c>
      <c r="BK25">
        <f t="shared" si="15"/>
        <v>29.5</v>
      </c>
      <c r="BL25">
        <f t="shared" si="15"/>
        <v>91</v>
      </c>
      <c r="BM25">
        <f t="shared" si="15"/>
        <v>33.5</v>
      </c>
      <c r="BN25">
        <f t="shared" si="15"/>
        <v>23.5</v>
      </c>
      <c r="BO25">
        <f t="shared" si="15"/>
        <v>33</v>
      </c>
      <c r="BP25">
        <f t="shared" si="15"/>
        <v>85</v>
      </c>
      <c r="BQ25">
        <f t="shared" si="15"/>
        <v>47.5</v>
      </c>
      <c r="BR25">
        <f t="shared" si="15"/>
        <v>33</v>
      </c>
      <c r="BS25">
        <f t="shared" si="15"/>
        <v>19.5</v>
      </c>
      <c r="BU25" s="429">
        <f t="shared" ref="BU25:BU31" si="16">C4</f>
        <v>278</v>
      </c>
      <c r="BV25" s="542">
        <f t="shared" ref="BV25:BV31" si="17">C11</f>
        <v>172</v>
      </c>
      <c r="BW25" s="543">
        <f t="shared" ref="BW25:BW31" si="18">C18</f>
        <v>124</v>
      </c>
      <c r="BX25" s="293"/>
      <c r="BY25" s="429">
        <f>ABS(BU25-BU$32)</f>
        <v>18.142857142857167</v>
      </c>
      <c r="BZ25" s="542">
        <f>ABS(BV25-BV$32)</f>
        <v>52.857142857142861</v>
      </c>
      <c r="CA25" s="543">
        <f>ABS(BW25-BW$32)</f>
        <v>114.71428571428572</v>
      </c>
      <c r="CC25" s="512" t="s">
        <v>79</v>
      </c>
      <c r="CD25" s="512" t="s">
        <v>22</v>
      </c>
      <c r="CE25" s="512" t="s">
        <v>21</v>
      </c>
      <c r="CF25" s="512" t="s">
        <v>465</v>
      </c>
      <c r="CG25" s="512" t="s">
        <v>80</v>
      </c>
    </row>
    <row r="26" spans="1:93" x14ac:dyDescent="0.25">
      <c r="W26" s="53" t="s">
        <v>1094</v>
      </c>
      <c r="X26">
        <f>X11</f>
        <v>38740.076190477121</v>
      </c>
      <c r="Y26" s="19">
        <f>Y11*$BB$47</f>
        <v>7.9836075732791354</v>
      </c>
      <c r="Z26" s="19">
        <f>X26/Y26</f>
        <v>4852.4524577258589</v>
      </c>
      <c r="AA26">
        <f>Z26/Z27</f>
        <v>2.1645840539376158</v>
      </c>
      <c r="AB26">
        <f>FDIST(AA26,Y26,Y27)</f>
        <v>4.7658132296076648E-2</v>
      </c>
      <c r="AC26">
        <f>FINV(0.05,Y26,Y27)</f>
        <v>2.1415390994570367</v>
      </c>
      <c r="AI26" s="19"/>
      <c r="AJ26" s="19"/>
      <c r="AK26" s="19"/>
      <c r="AL26" s="19"/>
      <c r="AM26" s="19"/>
      <c r="AN26" s="19"/>
      <c r="AO26" s="19"/>
      <c r="AR26" s="532">
        <v>-896.38095238095229</v>
      </c>
      <c r="AS26" s="7">
        <v>1085.4285714285711</v>
      </c>
      <c r="AT26" s="7">
        <v>5699.2857142857138</v>
      </c>
      <c r="AU26" s="7">
        <v>3818.0476190476193</v>
      </c>
      <c r="AV26" s="533">
        <v>2991.7380952380954</v>
      </c>
      <c r="AX26" t="s">
        <v>968</v>
      </c>
      <c r="AY26" s="503">
        <f>SUMSQ(AR24:AV28)</f>
        <v>194237571.11564624</v>
      </c>
      <c r="BA26" t="s">
        <v>973</v>
      </c>
      <c r="BB26" s="503">
        <f>BB23*(BB24-1)*BB25-2</f>
        <v>13.51037659854358</v>
      </c>
      <c r="BD26" t="s">
        <v>52</v>
      </c>
      <c r="BE26">
        <f>MEDIAN(BD15:BD21)-QUARTILE(BD15:BD21,1)</f>
        <v>101.5</v>
      </c>
      <c r="BF26">
        <f t="shared" ref="BF26:BS26" si="19">MEDIAN(BE15:BE21)-QUARTILE(BE15:BE21,1)</f>
        <v>44</v>
      </c>
      <c r="BG26">
        <f t="shared" si="19"/>
        <v>38.5</v>
      </c>
      <c r="BH26">
        <f t="shared" si="19"/>
        <v>52.5</v>
      </c>
      <c r="BI26">
        <f t="shared" si="19"/>
        <v>30</v>
      </c>
      <c r="BJ26">
        <f t="shared" si="19"/>
        <v>9.5</v>
      </c>
      <c r="BK26">
        <f t="shared" si="19"/>
        <v>32.5</v>
      </c>
      <c r="BL26">
        <f t="shared" si="19"/>
        <v>23</v>
      </c>
      <c r="BM26">
        <f t="shared" si="19"/>
        <v>11.5</v>
      </c>
      <c r="BN26">
        <f t="shared" si="19"/>
        <v>16.5</v>
      </c>
      <c r="BO26">
        <f t="shared" si="19"/>
        <v>12</v>
      </c>
      <c r="BP26">
        <f t="shared" si="19"/>
        <v>38</v>
      </c>
      <c r="BQ26">
        <f t="shared" si="19"/>
        <v>28.5</v>
      </c>
      <c r="BR26">
        <f t="shared" si="19"/>
        <v>40</v>
      </c>
      <c r="BS26">
        <f t="shared" si="19"/>
        <v>16.5</v>
      </c>
      <c r="BU26" s="532">
        <f t="shared" si="16"/>
        <v>207</v>
      </c>
      <c r="BV26" s="7">
        <f t="shared" si="17"/>
        <v>116</v>
      </c>
      <c r="BW26" s="533">
        <f t="shared" si="18"/>
        <v>266</v>
      </c>
      <c r="BX26" s="293"/>
      <c r="BY26" s="532">
        <f t="shared" ref="BY26:BY31" si="20">ABS(BU26-BU$32)</f>
        <v>52.857142857142833</v>
      </c>
      <c r="BZ26" s="7">
        <f t="shared" ref="BZ26:BZ31" si="21">ABS(BV26-BV$32)</f>
        <v>3.1428571428571388</v>
      </c>
      <c r="CA26" s="533">
        <f t="shared" ref="CA26:CA31" si="22">ABS(BW26-BW$32)</f>
        <v>27.285714285714278</v>
      </c>
      <c r="CC26" s="19" t="s">
        <v>1084</v>
      </c>
      <c r="CD26" s="19">
        <v>7</v>
      </c>
      <c r="CE26" s="19">
        <v>291.4285714285715</v>
      </c>
      <c r="CF26" s="19">
        <v>41.632653061224502</v>
      </c>
      <c r="CG26" s="19">
        <v>892.98542274052397</v>
      </c>
    </row>
    <row r="27" spans="1:93" ht="15.75" thickBot="1" x14ac:dyDescent="0.3">
      <c r="W27" s="19" t="s">
        <v>588</v>
      </c>
      <c r="X27">
        <f>X12</f>
        <v>161075.14285714249</v>
      </c>
      <c r="Y27" s="19">
        <f>Y12*$BB$47</f>
        <v>71.852468159512213</v>
      </c>
      <c r="Z27" s="19">
        <f>X27/Y27</f>
        <v>2241.7482235899852</v>
      </c>
      <c r="AI27" s="20" t="s">
        <v>1</v>
      </c>
      <c r="AJ27" s="20">
        <v>524112.4</v>
      </c>
      <c r="AK27" s="20">
        <v>34</v>
      </c>
      <c r="AL27" s="20"/>
      <c r="AM27" s="20"/>
      <c r="AN27" s="20"/>
      <c r="AO27" s="20"/>
      <c r="AR27" s="532">
        <v>-549.95238095238096</v>
      </c>
      <c r="AS27" s="7">
        <v>888.73809523809507</v>
      </c>
      <c r="AT27" s="7">
        <v>3818.0476190476193</v>
      </c>
      <c r="AU27" s="7">
        <v>3628.9523809523803</v>
      </c>
      <c r="AV27" s="533">
        <v>1338.7619047619048</v>
      </c>
      <c r="AX27" t="s">
        <v>969</v>
      </c>
      <c r="AY27" s="503">
        <f>SUMSQ(AR29:AV29)</f>
        <v>21037792.94861678</v>
      </c>
      <c r="BA27" t="s">
        <v>974</v>
      </c>
      <c r="BB27" s="503">
        <f>(BB24-1)*(BB23-1-(BB24-1)*BB25)</f>
        <v>15.136927657975097</v>
      </c>
      <c r="BD27" t="s">
        <v>53</v>
      </c>
      <c r="BE27">
        <f>QUARTILE(BD15:BD21,3)-MEDIAN(BD15:BD21)</f>
        <v>15.5</v>
      </c>
      <c r="BF27">
        <f t="shared" ref="BF27:BS27" si="23">QUARTILE(BE15:BE21,3)-MEDIAN(BE15:BE21)</f>
        <v>18</v>
      </c>
      <c r="BG27">
        <f t="shared" si="23"/>
        <v>26.5</v>
      </c>
      <c r="BH27">
        <f t="shared" si="23"/>
        <v>18.5</v>
      </c>
      <c r="BI27">
        <f t="shared" si="23"/>
        <v>72.5</v>
      </c>
      <c r="BJ27">
        <f t="shared" si="23"/>
        <v>13.5</v>
      </c>
      <c r="BK27">
        <f t="shared" si="23"/>
        <v>46.5</v>
      </c>
      <c r="BL27">
        <f t="shared" si="23"/>
        <v>57.5</v>
      </c>
      <c r="BM27">
        <f t="shared" si="23"/>
        <v>37.5</v>
      </c>
      <c r="BN27">
        <f t="shared" si="23"/>
        <v>67</v>
      </c>
      <c r="BO27">
        <f t="shared" si="23"/>
        <v>30</v>
      </c>
      <c r="BP27">
        <f t="shared" si="23"/>
        <v>28.5</v>
      </c>
      <c r="BQ27">
        <f t="shared" si="23"/>
        <v>29.5</v>
      </c>
      <c r="BR27">
        <f t="shared" si="23"/>
        <v>16</v>
      </c>
      <c r="BS27">
        <f t="shared" si="23"/>
        <v>72</v>
      </c>
      <c r="BU27" s="532">
        <f t="shared" si="16"/>
        <v>261</v>
      </c>
      <c r="BV27" s="7">
        <f t="shared" si="17"/>
        <v>168</v>
      </c>
      <c r="BW27" s="533">
        <f t="shared" si="18"/>
        <v>207</v>
      </c>
      <c r="BX27" s="293"/>
      <c r="BY27" s="532">
        <f t="shared" si="20"/>
        <v>1.1428571428571672</v>
      </c>
      <c r="BZ27" s="7">
        <f t="shared" si="21"/>
        <v>48.857142857142861</v>
      </c>
      <c r="CA27" s="533">
        <f t="shared" si="22"/>
        <v>31.714285714285722</v>
      </c>
      <c r="CC27" s="19" t="s">
        <v>1085</v>
      </c>
      <c r="CD27" s="19">
        <v>7</v>
      </c>
      <c r="CE27" s="19">
        <v>279.14285714285711</v>
      </c>
      <c r="CF27" s="19">
        <v>39.877551020408156</v>
      </c>
      <c r="CG27" s="19">
        <v>381.55393586005874</v>
      </c>
    </row>
    <row r="28" spans="1:93" ht="15.75" thickBot="1" x14ac:dyDescent="0.3">
      <c r="AR28" s="409">
        <v>-168.92857142857133</v>
      </c>
      <c r="AS28" s="410">
        <v>2671.8571428571427</v>
      </c>
      <c r="AT28" s="410">
        <v>2991.7380952380954</v>
      </c>
      <c r="AU28" s="410">
        <v>1338.7619047619048</v>
      </c>
      <c r="AV28" s="417">
        <v>6914.4761904761908</v>
      </c>
      <c r="AX28" t="s">
        <v>970</v>
      </c>
      <c r="AY28" s="503">
        <f>(AY23*(AY24-AY25))^2</f>
        <v>172961576.4930611</v>
      </c>
      <c r="BA28" t="s">
        <v>975</v>
      </c>
      <c r="BB28" s="420">
        <f>MIN(BB26/BB27,1)</f>
        <v>0.89254417434078537</v>
      </c>
      <c r="BD28" t="s">
        <v>54</v>
      </c>
      <c r="BE28">
        <f>MAX(BD15:BD21)-QUARTILE(BD15:BD21,3)</f>
        <v>5.5</v>
      </c>
      <c r="BF28">
        <f t="shared" ref="BF28:BS28" si="24">MAX(BE15:BE21)-QUARTILE(BE15:BE21,3)</f>
        <v>18</v>
      </c>
      <c r="BG28">
        <f t="shared" si="24"/>
        <v>14.5</v>
      </c>
      <c r="BH28">
        <f t="shared" si="24"/>
        <v>20.5</v>
      </c>
      <c r="BI28">
        <f t="shared" si="24"/>
        <v>28.5</v>
      </c>
      <c r="BJ28">
        <f t="shared" si="24"/>
        <v>152.5</v>
      </c>
      <c r="BK28">
        <f t="shared" si="24"/>
        <v>9.5</v>
      </c>
      <c r="BL28">
        <f t="shared" si="24"/>
        <v>60.5</v>
      </c>
      <c r="BM28">
        <f t="shared" si="24"/>
        <v>99.5</v>
      </c>
      <c r="BN28">
        <f t="shared" si="24"/>
        <v>130</v>
      </c>
      <c r="BO28">
        <f t="shared" si="24"/>
        <v>10</v>
      </c>
      <c r="BP28">
        <f t="shared" si="24"/>
        <v>55.5</v>
      </c>
      <c r="BQ28">
        <f t="shared" si="24"/>
        <v>76.5</v>
      </c>
      <c r="BR28">
        <f t="shared" si="24"/>
        <v>65</v>
      </c>
      <c r="BS28">
        <f t="shared" si="24"/>
        <v>42</v>
      </c>
      <c r="BU28" s="532">
        <f t="shared" si="16"/>
        <v>314</v>
      </c>
      <c r="BV28" s="7">
        <f t="shared" si="17"/>
        <v>157</v>
      </c>
      <c r="BW28" s="533">
        <f t="shared" si="18"/>
        <v>211</v>
      </c>
      <c r="BX28" s="293"/>
      <c r="BY28" s="532">
        <f t="shared" si="20"/>
        <v>54.142857142857167</v>
      </c>
      <c r="BZ28" s="7">
        <f t="shared" si="21"/>
        <v>37.857142857142861</v>
      </c>
      <c r="CA28" s="533">
        <f t="shared" si="22"/>
        <v>27.714285714285722</v>
      </c>
      <c r="CC28" s="20" t="s">
        <v>76</v>
      </c>
      <c r="CD28" s="20">
        <v>7</v>
      </c>
      <c r="CE28" s="20">
        <v>348.28571428571428</v>
      </c>
      <c r="CF28" s="20">
        <v>49.755102040816325</v>
      </c>
      <c r="CG28" s="20">
        <v>1512.7395529640442</v>
      </c>
    </row>
    <row r="29" spans="1:93" x14ac:dyDescent="0.25">
      <c r="AI29" t="s">
        <v>1082</v>
      </c>
      <c r="AL29">
        <f>(AL9+AL17+AL25)/3</f>
        <v>2237.1547619047633</v>
      </c>
      <c r="AQ29" t="s">
        <v>7</v>
      </c>
      <c r="AR29">
        <f>AVERAGE(AR24:AR28)</f>
        <v>883.72380952380934</v>
      </c>
      <c r="AS29">
        <f>AVERAGE(AS24:AS28)</f>
        <v>1707.8190476190478</v>
      </c>
      <c r="AT29">
        <f>AVERAGE(AT24:AT28)</f>
        <v>2539.6238095238091</v>
      </c>
      <c r="AU29">
        <f>AVERAGE(AU24:AU28)</f>
        <v>1824.9095238095238</v>
      </c>
      <c r="AV29">
        <f>AVERAGE(AV24:AV28)</f>
        <v>2749.5809523809526</v>
      </c>
      <c r="AX29" t="s">
        <v>971</v>
      </c>
      <c r="AY29" s="503">
        <f>(AY23-1)*(AY26-2*AY23*AY27+AY23^2*AY25^2)</f>
        <v>312237688.81668931</v>
      </c>
      <c r="BU29" s="532">
        <f t="shared" si="16"/>
        <v>167</v>
      </c>
      <c r="BV29" s="7">
        <f t="shared" si="17"/>
        <v>86</v>
      </c>
      <c r="BW29" s="533">
        <f t="shared" si="18"/>
        <v>331</v>
      </c>
      <c r="BX29" s="293"/>
      <c r="BY29" s="532">
        <f t="shared" si="20"/>
        <v>92.857142857142833</v>
      </c>
      <c r="BZ29" s="7">
        <f t="shared" si="21"/>
        <v>33.142857142857139</v>
      </c>
      <c r="CA29" s="533">
        <f t="shared" si="22"/>
        <v>92.285714285714278</v>
      </c>
    </row>
    <row r="30" spans="1:93" x14ac:dyDescent="0.25">
      <c r="AQ30" t="s">
        <v>8</v>
      </c>
      <c r="AR30">
        <f>INDEX(AR24:AR28,AR23)</f>
        <v>4377.6190476190468</v>
      </c>
      <c r="AS30">
        <f>INDEX(AS24:AS28,AS23)</f>
        <v>2236.8095238095239</v>
      </c>
      <c r="AT30">
        <f>INDEX(AT24:AT28,AT23)</f>
        <v>5699.2857142857138</v>
      </c>
      <c r="AU30">
        <f>INDEX(AU24:AU28,AU23)</f>
        <v>3628.9523809523803</v>
      </c>
      <c r="AV30">
        <f>INDEX(AV24:AV28,AV23)</f>
        <v>6914.4761904761908</v>
      </c>
      <c r="AX30" t="s">
        <v>972</v>
      </c>
      <c r="AY30" s="168">
        <f>AY28/AY29</f>
        <v>0.55394202137655646</v>
      </c>
      <c r="BA30" t="s">
        <v>1020</v>
      </c>
      <c r="BB30" s="531">
        <f>1/(BB24-1)</f>
        <v>0.25</v>
      </c>
      <c r="BU30" s="532">
        <f t="shared" si="16"/>
        <v>286</v>
      </c>
      <c r="BV30" s="7">
        <f t="shared" si="17"/>
        <v>81</v>
      </c>
      <c r="BW30" s="533">
        <f t="shared" si="18"/>
        <v>285</v>
      </c>
      <c r="BX30" s="293"/>
      <c r="BY30" s="532">
        <f t="shared" si="20"/>
        <v>26.142857142857167</v>
      </c>
      <c r="BZ30" s="7">
        <f t="shared" si="21"/>
        <v>38.142857142857139</v>
      </c>
      <c r="CA30" s="533">
        <f t="shared" si="22"/>
        <v>46.285714285714278</v>
      </c>
    </row>
    <row r="31" spans="1:93" ht="15.75" thickBot="1" x14ac:dyDescent="0.3">
      <c r="AI31" t="s">
        <v>1148</v>
      </c>
      <c r="BU31" s="409">
        <f t="shared" si="16"/>
        <v>306</v>
      </c>
      <c r="BV31" s="410">
        <f t="shared" si="17"/>
        <v>54</v>
      </c>
      <c r="BW31" s="417">
        <f t="shared" si="18"/>
        <v>247</v>
      </c>
      <c r="BX31" s="293"/>
      <c r="BY31" s="409">
        <f t="shared" si="20"/>
        <v>46.142857142857167</v>
      </c>
      <c r="BZ31" s="410">
        <f t="shared" si="21"/>
        <v>65.142857142857139</v>
      </c>
      <c r="CA31" s="417">
        <f t="shared" si="22"/>
        <v>8.2857142857142776</v>
      </c>
      <c r="CC31" t="s">
        <v>294</v>
      </c>
    </row>
    <row r="32" spans="1:93" x14ac:dyDescent="0.25">
      <c r="AR32">
        <v>1</v>
      </c>
      <c r="AS32">
        <f>AR32+1</f>
        <v>2</v>
      </c>
      <c r="AT32">
        <f>AS32+1</f>
        <v>3</v>
      </c>
      <c r="AU32">
        <f>AT32+1</f>
        <v>4</v>
      </c>
      <c r="AV32">
        <f>AU32+1</f>
        <v>5</v>
      </c>
      <c r="AX32" t="s">
        <v>965</v>
      </c>
      <c r="AY32" s="520">
        <f>$K$5</f>
        <v>5</v>
      </c>
      <c r="BA32" t="s">
        <v>964</v>
      </c>
      <c r="BB32" s="530">
        <f>$L$5</f>
        <v>7</v>
      </c>
      <c r="BT32" t="s">
        <v>7</v>
      </c>
      <c r="BU32" s="31">
        <f>AVERAGE(BU25:BU31)</f>
        <v>259.85714285714283</v>
      </c>
      <c r="BV32" s="31">
        <f>AVERAGE(BV25:BV31)</f>
        <v>119.14285714285714</v>
      </c>
      <c r="BW32" s="31">
        <f>AVERAGE(BW25:BW31)</f>
        <v>238.71428571428572</v>
      </c>
      <c r="BX32" s="561"/>
      <c r="BY32" s="561"/>
      <c r="BZ32" s="561"/>
      <c r="CA32" s="561"/>
      <c r="CC32" s="512" t="s">
        <v>466</v>
      </c>
      <c r="CD32" s="512" t="s">
        <v>219</v>
      </c>
      <c r="CE32" s="512" t="s">
        <v>60</v>
      </c>
      <c r="CF32" s="512" t="s">
        <v>240</v>
      </c>
      <c r="CG32" s="512" t="s">
        <v>135</v>
      </c>
      <c r="CH32" s="512" t="s">
        <v>119</v>
      </c>
      <c r="CI32" s="512" t="s">
        <v>467</v>
      </c>
    </row>
    <row r="33" spans="17:87" ht="15.75" thickBot="1" x14ac:dyDescent="0.3">
      <c r="Q33" t="s">
        <v>1165</v>
      </c>
      <c r="AI33" t="s">
        <v>1147</v>
      </c>
      <c r="AQ33" t="str">
        <f>A18</f>
        <v>Old</v>
      </c>
      <c r="AR33" s="527">
        <f t="array" ref="AR33:AV37">[1]!COV(B18:F24)</f>
        <v>937.61904761904748</v>
      </c>
      <c r="AS33" s="528">
        <v>181.30952380952377</v>
      </c>
      <c r="AT33" s="528">
        <v>432.38095238095235</v>
      </c>
      <c r="AU33" s="528">
        <v>-228.64285714285711</v>
      </c>
      <c r="AV33" s="529">
        <v>124.33333333333329</v>
      </c>
      <c r="AX33" t="s">
        <v>966</v>
      </c>
      <c r="AY33" s="503">
        <f>AVERAGE(AR39:AV39)</f>
        <v>3090.4761904761899</v>
      </c>
      <c r="BA33" t="s">
        <v>965</v>
      </c>
      <c r="BB33" s="503">
        <f>AY32</f>
        <v>5</v>
      </c>
      <c r="BT33" t="s">
        <v>8</v>
      </c>
      <c r="BU33" s="31">
        <f>VAR(BU25:BU32)</f>
        <v>2498.693877551023</v>
      </c>
      <c r="BV33" s="31">
        <f>VAR(BV25:BV31)</f>
        <v>2236.8095238095243</v>
      </c>
      <c r="BW33" s="31">
        <f>VAR(BW25:BW31)</f>
        <v>4400.9047619047633</v>
      </c>
      <c r="CC33" s="19" t="s">
        <v>462</v>
      </c>
      <c r="CD33" s="19">
        <v>388.78134110786777</v>
      </c>
      <c r="CE33" s="19">
        <v>2</v>
      </c>
      <c r="CF33" s="19">
        <v>194.39067055393389</v>
      </c>
      <c r="CG33" s="19">
        <v>0.20922628490538858</v>
      </c>
      <c r="CH33" s="19">
        <v>0.8131567763088754</v>
      </c>
      <c r="CI33" s="19">
        <v>3.5545571456617879</v>
      </c>
    </row>
    <row r="34" spans="17:87" x14ac:dyDescent="0.25">
      <c r="AI34" s="509" t="s">
        <v>466</v>
      </c>
      <c r="AJ34" s="509" t="s">
        <v>219</v>
      </c>
      <c r="AK34" s="509" t="s">
        <v>60</v>
      </c>
      <c r="AL34" s="509" t="s">
        <v>240</v>
      </c>
      <c r="AM34" s="509" t="s">
        <v>135</v>
      </c>
      <c r="AN34" s="509" t="s">
        <v>119</v>
      </c>
      <c r="AO34" s="509" t="s">
        <v>467</v>
      </c>
      <c r="AR34" s="532">
        <v>181.30952380952377</v>
      </c>
      <c r="AS34" s="7">
        <v>4400.9047619047624</v>
      </c>
      <c r="AT34" s="7">
        <v>1918.0238095238096</v>
      </c>
      <c r="AU34" s="7">
        <v>2596.0952380952376</v>
      </c>
      <c r="AV34" s="533">
        <v>2264.9999999999995</v>
      </c>
      <c r="AX34" t="s">
        <v>967</v>
      </c>
      <c r="AY34" s="503">
        <f>AVERAGE(AR33:AV37)</f>
        <v>1668.7866666666666</v>
      </c>
      <c r="BA34" t="s">
        <v>972</v>
      </c>
      <c r="BB34" s="503">
        <f>AY39</f>
        <v>0.83151681154538715</v>
      </c>
      <c r="CC34" s="19" t="s">
        <v>463</v>
      </c>
      <c r="CD34" s="19">
        <v>16723.673469387752</v>
      </c>
      <c r="CE34" s="19">
        <v>18</v>
      </c>
      <c r="CF34" s="19">
        <v>929.0929705215417</v>
      </c>
      <c r="CG34" s="19"/>
      <c r="CH34" s="19"/>
      <c r="CI34" s="19"/>
    </row>
    <row r="35" spans="17:87" x14ac:dyDescent="0.25">
      <c r="R35" s="13" t="s">
        <v>216</v>
      </c>
      <c r="S35" s="13" t="s">
        <v>219</v>
      </c>
      <c r="T35" s="13" t="s">
        <v>60</v>
      </c>
      <c r="U35" s="13" t="s">
        <v>240</v>
      </c>
      <c r="AI35" s="19" t="s">
        <v>589</v>
      </c>
      <c r="AJ35" s="19">
        <f>AJ8</f>
        <v>220968.45714285711</v>
      </c>
      <c r="AK35" s="19">
        <f>AK8*AY53</f>
        <v>2.5394826674381248</v>
      </c>
      <c r="AL35" s="19">
        <f>AJ35/AK35</f>
        <v>87013.177910670289</v>
      </c>
      <c r="AM35" s="19">
        <f>AL35/AL36</f>
        <v>33.551626701681158</v>
      </c>
      <c r="AN35" s="19">
        <f>FDIST(AM35,AK35,AK36)</f>
        <v>2.9039002399723578E-6</v>
      </c>
      <c r="AO35" s="19">
        <f>FINV(0.05,AK35,AK36)</f>
        <v>3.6823203436732408</v>
      </c>
      <c r="AR35" s="532">
        <v>432.38095238095235</v>
      </c>
      <c r="AS35" s="7">
        <v>1918.0238095238096</v>
      </c>
      <c r="AT35" s="7">
        <v>3550.6190476190468</v>
      </c>
      <c r="AU35" s="7">
        <v>1563.9761904761904</v>
      </c>
      <c r="AV35" s="533">
        <v>1917</v>
      </c>
      <c r="AX35" t="s">
        <v>968</v>
      </c>
      <c r="AY35" s="503">
        <f>SUMSQ(AR33:AV37)</f>
        <v>109802997.40702948</v>
      </c>
      <c r="BA35" t="s">
        <v>973</v>
      </c>
      <c r="BB35" s="503">
        <f>BB32*(BB33-1)*BB34-2</f>
        <v>21.282470723270841</v>
      </c>
      <c r="CC35" s="19"/>
      <c r="CD35" s="19"/>
      <c r="CE35" s="19"/>
      <c r="CF35" s="19"/>
      <c r="CG35" s="19"/>
      <c r="CH35" s="19"/>
      <c r="CI35" s="19"/>
    </row>
    <row r="36" spans="17:87" ht="15.75" thickBot="1" x14ac:dyDescent="0.3">
      <c r="Q36" s="53" t="s">
        <v>1099</v>
      </c>
      <c r="R36" s="527">
        <f>L5</f>
        <v>7</v>
      </c>
      <c r="S36" s="528">
        <f>DEVSQ(J9:J11)*R36</f>
        <v>64383.523809523816</v>
      </c>
      <c r="T36" s="528">
        <f>J5-1</f>
        <v>2</v>
      </c>
      <c r="U36" s="529">
        <f>S36/T36</f>
        <v>32191.761904761908</v>
      </c>
      <c r="AI36" s="562" t="s">
        <v>588</v>
      </c>
      <c r="AJ36" s="562">
        <f>AJ9</f>
        <v>39515.542857142922</v>
      </c>
      <c r="AK36" s="562">
        <f>AK9*AY53</f>
        <v>15.236896004628749</v>
      </c>
      <c r="AL36" s="562">
        <f>AJ36/AK36</f>
        <v>2593.4116007052007</v>
      </c>
      <c r="AM36" s="562"/>
      <c r="AN36" s="562"/>
      <c r="AO36" s="562"/>
      <c r="AR36" s="532">
        <v>-228.64285714285711</v>
      </c>
      <c r="AS36" s="7">
        <v>2596.0952380952376</v>
      </c>
      <c r="AT36" s="7">
        <v>1563.9761904761904</v>
      </c>
      <c r="AU36" s="7">
        <v>2882.9047619047619</v>
      </c>
      <c r="AV36" s="533">
        <v>2364.1666666666665</v>
      </c>
      <c r="AX36" t="s">
        <v>969</v>
      </c>
      <c r="AY36" s="503">
        <f>SUMSQ(AR38:AV38)</f>
        <v>16423209.642222222</v>
      </c>
      <c r="BA36" t="s">
        <v>974</v>
      </c>
      <c r="BB36" s="503">
        <f>(BB33-1)*(BB32-1-(BB33-1)*BB34)</f>
        <v>10.695731015273806</v>
      </c>
      <c r="CC36" s="20" t="s">
        <v>1</v>
      </c>
      <c r="CD36" s="20">
        <v>17112.454810495619</v>
      </c>
      <c r="CE36" s="20">
        <v>20</v>
      </c>
      <c r="CF36" s="20"/>
      <c r="CG36" s="20"/>
      <c r="CH36" s="20"/>
      <c r="CI36" s="20"/>
    </row>
    <row r="37" spans="17:87" x14ac:dyDescent="0.25">
      <c r="Q37" s="53" t="s">
        <v>1100</v>
      </c>
      <c r="R37" s="532">
        <f>L5</f>
        <v>7</v>
      </c>
      <c r="S37" s="7">
        <f>DEVSQ(N9:N11)*R37</f>
        <v>19678.952380952396</v>
      </c>
      <c r="T37" s="7">
        <f>J5-1</f>
        <v>2</v>
      </c>
      <c r="U37" s="533">
        <f>S37/T37</f>
        <v>9839.4761904761981</v>
      </c>
      <c r="AR37" s="409">
        <v>124.33333333333329</v>
      </c>
      <c r="AS37" s="410">
        <v>2264.9999999999995</v>
      </c>
      <c r="AT37" s="410">
        <v>1917</v>
      </c>
      <c r="AU37" s="410">
        <v>2364.1666666666665</v>
      </c>
      <c r="AV37" s="417">
        <v>3680.333333333333</v>
      </c>
      <c r="AX37" t="s">
        <v>970</v>
      </c>
      <c r="AY37" s="503">
        <f>(AY32*(AY33-AY34))^2</f>
        <v>50530027.552743725</v>
      </c>
      <c r="BA37" t="s">
        <v>975</v>
      </c>
      <c r="BB37" s="420">
        <f>MIN(BB35/BB36,1)</f>
        <v>1</v>
      </c>
    </row>
    <row r="38" spans="17:87" ht="15.75" thickBot="1" x14ac:dyDescent="0.3">
      <c r="Q38" s="31" t="s">
        <v>588</v>
      </c>
      <c r="R38" s="409"/>
      <c r="S38" s="410">
        <f>S5-S8</f>
        <v>354444.85714285681</v>
      </c>
      <c r="T38" s="410">
        <f>T5-T8</f>
        <v>90</v>
      </c>
      <c r="U38" s="417">
        <f>S38/T38</f>
        <v>3938.2761904761869</v>
      </c>
      <c r="AI38" t="s">
        <v>1150</v>
      </c>
      <c r="AQ38" t="s">
        <v>7</v>
      </c>
      <c r="AR38">
        <f>AVERAGE(AR33:AR37)</f>
        <v>289.39999999999998</v>
      </c>
      <c r="AS38">
        <f>AVERAGE(AS33:AS37)</f>
        <v>2272.2666666666664</v>
      </c>
      <c r="AT38">
        <f>AVERAGE(AT33:AT37)</f>
        <v>1876.4</v>
      </c>
      <c r="AU38">
        <f>AVERAGE(AU33:AU37)</f>
        <v>1835.7</v>
      </c>
      <c r="AV38">
        <f>AVERAGE(AV33:AV37)</f>
        <v>2070.1666666666665</v>
      </c>
      <c r="AX38" t="s">
        <v>971</v>
      </c>
      <c r="AY38" s="503">
        <f>(AY32-1)*(AY35-2*AY32*AY36+AY32^2*AY34^2)</f>
        <v>60768497.823673427</v>
      </c>
    </row>
    <row r="39" spans="17:87" x14ac:dyDescent="0.25">
      <c r="AI39" s="512" t="s">
        <v>466</v>
      </c>
      <c r="AJ39" s="512" t="s">
        <v>219</v>
      </c>
      <c r="AK39" s="512" t="s">
        <v>60</v>
      </c>
      <c r="AL39" s="512" t="s">
        <v>240</v>
      </c>
      <c r="AM39" s="512" t="s">
        <v>135</v>
      </c>
      <c r="AN39" s="512" t="s">
        <v>119</v>
      </c>
      <c r="AO39" s="512" t="s">
        <v>467</v>
      </c>
      <c r="AQ39" t="s">
        <v>8</v>
      </c>
      <c r="AR39">
        <f>INDEX(AR33:AR37,AR32)</f>
        <v>937.61904761904748</v>
      </c>
      <c r="AS39">
        <f>INDEX(AS33:AS37,AS32)</f>
        <v>4400.9047619047624</v>
      </c>
      <c r="AT39">
        <f>INDEX(AT33:AT37,AT32)</f>
        <v>3550.6190476190468</v>
      </c>
      <c r="AU39">
        <f>INDEX(AU33:AU37,AU32)</f>
        <v>2882.9047619047619</v>
      </c>
      <c r="AV39">
        <f>INDEX(AV33:AV37,AV32)</f>
        <v>3680.333333333333</v>
      </c>
      <c r="AX39" t="s">
        <v>972</v>
      </c>
      <c r="AY39" s="168">
        <f>AY37/AY38</f>
        <v>0.83151681154538715</v>
      </c>
      <c r="BA39" t="s">
        <v>1020</v>
      </c>
      <c r="BB39" s="531">
        <f>1/(BB33-1)</f>
        <v>0.25</v>
      </c>
      <c r="BU39" t="s">
        <v>1088</v>
      </c>
      <c r="CC39" t="s">
        <v>464</v>
      </c>
    </row>
    <row r="40" spans="17:87" ht="15.75" thickBot="1" x14ac:dyDescent="0.3">
      <c r="Q40" t="s">
        <v>294</v>
      </c>
      <c r="AI40" s="19" t="s">
        <v>589</v>
      </c>
      <c r="AJ40" s="19">
        <f>AJ16</f>
        <v>412173.88571428566</v>
      </c>
      <c r="AK40" s="19">
        <f>AK16*AY54</f>
        <v>2.2157680855062258</v>
      </c>
      <c r="AL40" s="19">
        <f>AJ40/AK40</f>
        <v>186018.51358470047</v>
      </c>
      <c r="AM40" s="19">
        <f>AL40/AL41</f>
        <v>31.340480814769411</v>
      </c>
      <c r="AN40" s="19">
        <f>FDIST(AM40,AK40,AK41)</f>
        <v>1.0646788301776761E-5</v>
      </c>
      <c r="AO40" s="19">
        <f>FINV(0.05,AK40,AK41)</f>
        <v>3.8055652529780568</v>
      </c>
    </row>
    <row r="41" spans="17:87" ht="15.75" thickBot="1" x14ac:dyDescent="0.3">
      <c r="Q41" s="509" t="s">
        <v>466</v>
      </c>
      <c r="R41" s="509" t="s">
        <v>219</v>
      </c>
      <c r="S41" s="509" t="s">
        <v>60</v>
      </c>
      <c r="T41" s="509" t="s">
        <v>240</v>
      </c>
      <c r="U41" s="509" t="s">
        <v>135</v>
      </c>
      <c r="V41" s="509" t="s">
        <v>119</v>
      </c>
      <c r="AI41" s="562" t="s">
        <v>588</v>
      </c>
      <c r="AJ41" s="562">
        <f>AJ17</f>
        <v>78908.914285714331</v>
      </c>
      <c r="AK41" s="562">
        <f>AK17*AY54</f>
        <v>13.294608513037355</v>
      </c>
      <c r="AL41" s="562">
        <f>AJ41/AK41</f>
        <v>5935.4071395432456</v>
      </c>
      <c r="AM41" s="562"/>
      <c r="AN41" s="562"/>
      <c r="AO41" s="562"/>
      <c r="AR41">
        <v>1</v>
      </c>
      <c r="AS41">
        <f>AR41+1</f>
        <v>2</v>
      </c>
      <c r="AT41">
        <f>AS41+1</f>
        <v>3</v>
      </c>
      <c r="AU41">
        <f>AT41+1</f>
        <v>4</v>
      </c>
      <c r="AV41">
        <f>AU41+1</f>
        <v>5</v>
      </c>
      <c r="AX41" t="s">
        <v>965</v>
      </c>
      <c r="AY41" s="520">
        <f>$K$5</f>
        <v>5</v>
      </c>
      <c r="BA41" t="s">
        <v>964</v>
      </c>
      <c r="BB41" s="530">
        <f>$L$5</f>
        <v>7</v>
      </c>
      <c r="BU41" s="511" t="s">
        <v>1084</v>
      </c>
      <c r="BV41" s="511" t="s">
        <v>1085</v>
      </c>
      <c r="BW41" s="511" t="s">
        <v>76</v>
      </c>
      <c r="BX41" s="245"/>
      <c r="BY41" s="511" t="s">
        <v>1084</v>
      </c>
      <c r="BZ41" s="511" t="s">
        <v>1085</v>
      </c>
      <c r="CA41" s="511" t="s">
        <v>76</v>
      </c>
      <c r="CC41" t="s">
        <v>62</v>
      </c>
    </row>
    <row r="42" spans="17:87" x14ac:dyDescent="0.25">
      <c r="Q42" s="53" t="s">
        <v>1099</v>
      </c>
      <c r="R42">
        <f t="shared" ref="R42:S44" si="25">S36</f>
        <v>64383.523809523816</v>
      </c>
      <c r="S42">
        <f t="shared" si="25"/>
        <v>2</v>
      </c>
      <c r="T42">
        <f>R42/S42</f>
        <v>32191.761904761908</v>
      </c>
      <c r="U42">
        <f>T42/T44</f>
        <v>8.1740742263354367</v>
      </c>
      <c r="V42">
        <f>FDIST(U42,S42,S44)</f>
        <v>5.4709901625173965E-4</v>
      </c>
      <c r="AQ42" t="s">
        <v>465</v>
      </c>
      <c r="AR42" s="527">
        <f t="shared" ref="AR42:AV46" si="26">(AR15+AR24+AR33)/$J$5</f>
        <v>3762.1269841269841</v>
      </c>
      <c r="AS42" s="528">
        <f t="shared" si="26"/>
        <v>1359.2380952380952</v>
      </c>
      <c r="AT42" s="528">
        <f t="shared" si="26"/>
        <v>723.99206349206327</v>
      </c>
      <c r="AU42" s="528">
        <f t="shared" si="26"/>
        <v>543.33333333333314</v>
      </c>
      <c r="AV42" s="529">
        <f t="shared" si="26"/>
        <v>1190.2857142857142</v>
      </c>
      <c r="AX42" t="s">
        <v>966</v>
      </c>
      <c r="AY42" s="503">
        <f>AVERAGE(AR48:AV48)</f>
        <v>3938.276190476191</v>
      </c>
      <c r="BA42" t="s">
        <v>1101</v>
      </c>
      <c r="BB42" s="503">
        <f>AY41</f>
        <v>5</v>
      </c>
      <c r="BU42" s="429">
        <f t="shared" ref="BU42:BU48" si="27">D4</f>
        <v>442</v>
      </c>
      <c r="BV42" s="542">
        <f t="shared" ref="BV42:BV48" si="28">D12</f>
        <v>425</v>
      </c>
      <c r="BW42" s="543">
        <f t="shared" ref="BW42:BW48" si="29">D18</f>
        <v>365</v>
      </c>
      <c r="BX42" s="293"/>
      <c r="BY42" s="429">
        <f>ABS(BU42-BU$49)</f>
        <v>59.142857142857167</v>
      </c>
      <c r="BZ42" s="542">
        <f t="shared" ref="BZ42:CA48" si="30">ABS(BV42-BV$49)</f>
        <v>99.285714285714278</v>
      </c>
      <c r="CA42" s="543">
        <f t="shared" si="30"/>
        <v>4.5714285714285552</v>
      </c>
      <c r="CC42" s="512" t="s">
        <v>79</v>
      </c>
      <c r="CD42" s="512" t="s">
        <v>22</v>
      </c>
      <c r="CE42" s="512" t="s">
        <v>21</v>
      </c>
      <c r="CF42" s="512" t="s">
        <v>465</v>
      </c>
      <c r="CG42" s="512" t="s">
        <v>80</v>
      </c>
    </row>
    <row r="43" spans="17:87" ht="15.75" thickBot="1" x14ac:dyDescent="0.3">
      <c r="Q43" s="53" t="s">
        <v>1100</v>
      </c>
      <c r="R43">
        <f t="shared" si="25"/>
        <v>19678.952380952396</v>
      </c>
      <c r="S43">
        <f t="shared" si="25"/>
        <v>2</v>
      </c>
      <c r="T43">
        <f>R43/S43</f>
        <v>9839.4761904761981</v>
      </c>
      <c r="U43" s="19">
        <f>T43/T44</f>
        <v>2.4984220797593379</v>
      </c>
      <c r="V43">
        <f>FDIST(U43,S43,S44)</f>
        <v>8.7902233898368043E-2</v>
      </c>
      <c r="AI43" t="s">
        <v>1163</v>
      </c>
      <c r="AR43" s="532">
        <f t="shared" si="26"/>
        <v>1359.2380952380952</v>
      </c>
      <c r="AS43" s="7">
        <f t="shared" si="26"/>
        <v>3184.2857142857151</v>
      </c>
      <c r="AT43" s="7">
        <f t="shared" si="26"/>
        <v>2106.0873015873017</v>
      </c>
      <c r="AU43" s="7">
        <f t="shared" si="26"/>
        <v>1679.3095238095236</v>
      </c>
      <c r="AV43" s="533">
        <f t="shared" si="26"/>
        <v>2564.269841269841</v>
      </c>
      <c r="AX43" t="s">
        <v>967</v>
      </c>
      <c r="AY43" s="503">
        <f>AVERAGE(AR42:AV46)</f>
        <v>2148.5523809523816</v>
      </c>
      <c r="BA43" t="s">
        <v>1102</v>
      </c>
      <c r="BB43" s="503">
        <f>J5</f>
        <v>3</v>
      </c>
      <c r="BU43" s="532">
        <f t="shared" si="27"/>
        <v>341</v>
      </c>
      <c r="BV43" s="7">
        <f t="shared" si="28"/>
        <v>378</v>
      </c>
      <c r="BW43" s="533">
        <f t="shared" si="29"/>
        <v>382</v>
      </c>
      <c r="BX43" s="293"/>
      <c r="BY43" s="532">
        <f t="shared" ref="BY43:BY48" si="31">ABS(BU43-BU$49)</f>
        <v>41.857142857142833</v>
      </c>
      <c r="BZ43" s="7">
        <f t="shared" si="30"/>
        <v>52.285714285714278</v>
      </c>
      <c r="CA43" s="533">
        <f t="shared" si="30"/>
        <v>12.428571428571445</v>
      </c>
      <c r="CC43" s="19" t="s">
        <v>1084</v>
      </c>
      <c r="CD43" s="19">
        <v>7</v>
      </c>
      <c r="CE43" s="19">
        <v>335.4285714285715</v>
      </c>
      <c r="CF43" s="19">
        <v>47.918367346938787</v>
      </c>
      <c r="CG43" s="19">
        <v>1562.2779397473269</v>
      </c>
    </row>
    <row r="44" spans="17:87" x14ac:dyDescent="0.25">
      <c r="Q44" s="410" t="s">
        <v>588</v>
      </c>
      <c r="R44" s="410">
        <f t="shared" si="25"/>
        <v>354444.85714285681</v>
      </c>
      <c r="S44" s="410">
        <f t="shared" si="25"/>
        <v>90</v>
      </c>
      <c r="T44" s="410">
        <f>R44/S44</f>
        <v>3938.2761904761869</v>
      </c>
      <c r="U44" s="410"/>
      <c r="V44" s="410"/>
      <c r="AI44" s="512" t="s">
        <v>466</v>
      </c>
      <c r="AJ44" s="512" t="s">
        <v>219</v>
      </c>
      <c r="AK44" s="512" t="s">
        <v>60</v>
      </c>
      <c r="AL44" s="512" t="s">
        <v>240</v>
      </c>
      <c r="AM44" s="512" t="s">
        <v>135</v>
      </c>
      <c r="AN44" s="512" t="s">
        <v>119</v>
      </c>
      <c r="AO44" s="512" t="s">
        <v>467</v>
      </c>
      <c r="AR44" s="532">
        <f t="shared" si="26"/>
        <v>723.99206349206327</v>
      </c>
      <c r="AS44" s="7">
        <f t="shared" si="26"/>
        <v>2106.0873015873017</v>
      </c>
      <c r="AT44" s="7">
        <f t="shared" si="26"/>
        <v>4497.0158730158728</v>
      </c>
      <c r="AU44" s="7">
        <f t="shared" si="26"/>
        <v>2491.4285714285711</v>
      </c>
      <c r="AV44" s="533">
        <f t="shared" si="26"/>
        <v>2710.3968253968255</v>
      </c>
      <c r="AX44" t="s">
        <v>968</v>
      </c>
      <c r="AY44" s="503">
        <f>SUMSQ(AR42:AV46)</f>
        <v>148301185.31027967</v>
      </c>
      <c r="BA44" t="s">
        <v>972</v>
      </c>
      <c r="BB44" s="503">
        <f>AY48</f>
        <v>0.80303038470634858</v>
      </c>
      <c r="BU44" s="532">
        <f t="shared" si="27"/>
        <v>384</v>
      </c>
      <c r="BV44" s="7">
        <f t="shared" si="28"/>
        <v>283</v>
      </c>
      <c r="BW44" s="533">
        <f t="shared" si="29"/>
        <v>289</v>
      </c>
      <c r="BX44" s="293"/>
      <c r="BY44" s="532">
        <f t="shared" si="31"/>
        <v>1.1428571428571672</v>
      </c>
      <c r="BZ44" s="7">
        <f t="shared" si="30"/>
        <v>42.714285714285722</v>
      </c>
      <c r="CA44" s="533">
        <f t="shared" si="30"/>
        <v>80.571428571428555</v>
      </c>
      <c r="CC44" s="19" t="s">
        <v>1085</v>
      </c>
      <c r="CD44" s="19">
        <v>7</v>
      </c>
      <c r="CE44" s="19">
        <v>432.28571428571428</v>
      </c>
      <c r="CF44" s="19">
        <v>61.755102040816325</v>
      </c>
      <c r="CG44" s="19">
        <v>1528.930029154518</v>
      </c>
    </row>
    <row r="45" spans="17:87" ht="15.75" thickBot="1" x14ac:dyDescent="0.3">
      <c r="AI45" s="19" t="s">
        <v>589</v>
      </c>
      <c r="AJ45" s="19">
        <f>AJ24</f>
        <v>431398.11428571434</v>
      </c>
      <c r="AK45" s="19">
        <f>AK23*AZ55</f>
        <v>6</v>
      </c>
      <c r="AL45" s="19">
        <f>AJ45/AK45</f>
        <v>71899.685714285719</v>
      </c>
      <c r="AM45" s="19">
        <f>AL45/AL46</f>
        <v>6.7431211958407653</v>
      </c>
      <c r="AN45" s="19">
        <f>FDIST(AM45,AK45,AK46)</f>
        <v>4.2938974835739087E-2</v>
      </c>
      <c r="AO45" s="19">
        <f>FINV(0.05,AK45,AK46)</f>
        <v>6.1631322826886326</v>
      </c>
      <c r="AR45" s="532">
        <f t="shared" si="26"/>
        <v>543.33333333333314</v>
      </c>
      <c r="AS45" s="7">
        <f t="shared" si="26"/>
        <v>1679.3095238095236</v>
      </c>
      <c r="AT45" s="7">
        <f t="shared" si="26"/>
        <v>2491.4285714285711</v>
      </c>
      <c r="AU45" s="7">
        <f t="shared" si="26"/>
        <v>3276.7142857142858</v>
      </c>
      <c r="AV45" s="533">
        <f t="shared" si="26"/>
        <v>1642.8730158730159</v>
      </c>
      <c r="AX45" t="s">
        <v>969</v>
      </c>
      <c r="AY45" s="503">
        <f>SUMSQ(AR47:AV47)</f>
        <v>23877824.539244138</v>
      </c>
      <c r="BA45" t="s">
        <v>973</v>
      </c>
      <c r="BB45" s="503">
        <f>(BB43*BB41-BB43+1)*(BB42-1)*BB44-2</f>
        <v>59.030309237682495</v>
      </c>
      <c r="BU45" s="532">
        <f t="shared" si="27"/>
        <v>423</v>
      </c>
      <c r="BV45" s="7">
        <f t="shared" si="28"/>
        <v>351</v>
      </c>
      <c r="BW45" s="533">
        <f t="shared" si="29"/>
        <v>356</v>
      </c>
      <c r="BX45" s="293"/>
      <c r="BY45" s="532">
        <f t="shared" si="31"/>
        <v>40.142857142857167</v>
      </c>
      <c r="BZ45" s="7">
        <f t="shared" si="30"/>
        <v>25.285714285714278</v>
      </c>
      <c r="CA45" s="533">
        <f t="shared" si="30"/>
        <v>13.571428571428555</v>
      </c>
      <c r="CC45" s="20" t="s">
        <v>76</v>
      </c>
      <c r="CD45" s="20">
        <v>7</v>
      </c>
      <c r="CE45" s="20">
        <v>302.57142857142856</v>
      </c>
      <c r="CF45" s="20">
        <v>43.224489795918366</v>
      </c>
      <c r="CG45" s="20">
        <v>1370.8697764820211</v>
      </c>
    </row>
    <row r="46" spans="17:87" x14ac:dyDescent="0.25">
      <c r="Q46" t="s">
        <v>1164</v>
      </c>
      <c r="AI46" s="562" t="s">
        <v>588</v>
      </c>
      <c r="AJ46" s="562">
        <f>AJ25</f>
        <v>42650.685714285704</v>
      </c>
      <c r="AK46" s="562">
        <f>AK24*AZ55</f>
        <v>4</v>
      </c>
      <c r="AL46" s="562">
        <f>AJ46/AK46</f>
        <v>10662.671428571426</v>
      </c>
      <c r="AM46" s="562"/>
      <c r="AN46" s="562"/>
      <c r="AO46" s="562"/>
      <c r="AR46" s="409">
        <f t="shared" si="26"/>
        <v>1190.2857142857142</v>
      </c>
      <c r="AS46" s="410">
        <f t="shared" si="26"/>
        <v>2564.269841269841</v>
      </c>
      <c r="AT46" s="410">
        <f t="shared" si="26"/>
        <v>2710.3968253968255</v>
      </c>
      <c r="AU46" s="410">
        <f t="shared" si="26"/>
        <v>1642.8730158730159</v>
      </c>
      <c r="AV46" s="417">
        <f t="shared" si="26"/>
        <v>4971.2380952380954</v>
      </c>
      <c r="AX46" t="s">
        <v>970</v>
      </c>
      <c r="AY46" s="503">
        <f>(AY41*(AY42-AY43))^2</f>
        <v>80077782.859410435</v>
      </c>
      <c r="BA46" t="s">
        <v>974</v>
      </c>
      <c r="BB46" s="503">
        <f>(BB42-1)*(BB41*BB43-BB43-(BB42-1)*BB44)</f>
        <v>59.151513844698421</v>
      </c>
      <c r="BU46" s="532">
        <f t="shared" si="27"/>
        <v>257</v>
      </c>
      <c r="BV46" s="7">
        <f t="shared" si="28"/>
        <v>193</v>
      </c>
      <c r="BW46" s="533">
        <f t="shared" si="29"/>
        <v>407</v>
      </c>
      <c r="BX46" s="293"/>
      <c r="BY46" s="532">
        <f t="shared" si="31"/>
        <v>125.85714285714283</v>
      </c>
      <c r="BZ46" s="7">
        <f t="shared" si="30"/>
        <v>132.71428571428572</v>
      </c>
      <c r="CA46" s="533">
        <f t="shared" si="30"/>
        <v>37.428571428571445</v>
      </c>
    </row>
    <row r="47" spans="17:87" x14ac:dyDescent="0.25">
      <c r="AQ47" t="s">
        <v>7</v>
      </c>
      <c r="AR47">
        <f>AVERAGE(AR42:AR46)</f>
        <v>1515.7952380952381</v>
      </c>
      <c r="AS47">
        <f>AVERAGE(AS42:AS46)</f>
        <v>2178.638095238095</v>
      </c>
      <c r="AT47">
        <f>AVERAGE(AT42:AT46)</f>
        <v>2505.7841269841269</v>
      </c>
      <c r="AU47">
        <f>AVERAGE(AU42:AU46)</f>
        <v>1926.7317460317458</v>
      </c>
      <c r="AV47">
        <f>AVERAGE(AV42:AV46)</f>
        <v>2615.8126984126984</v>
      </c>
      <c r="AX47" t="s">
        <v>971</v>
      </c>
      <c r="AY47" s="503">
        <f>(AY41-1)*(AY44-2*AY41*AY45+AY41^2*AY43^2)</f>
        <v>99719493.040967822</v>
      </c>
      <c r="BA47" t="s">
        <v>975</v>
      </c>
      <c r="BB47" s="420">
        <f>MIN(BB45/BB46,1)</f>
        <v>0.99795094665989192</v>
      </c>
      <c r="BU47" s="532">
        <f t="shared" si="27"/>
        <v>401</v>
      </c>
      <c r="BV47" s="7">
        <f t="shared" si="28"/>
        <v>285</v>
      </c>
      <c r="BW47" s="533">
        <f t="shared" si="29"/>
        <v>471</v>
      </c>
      <c r="BX47" s="293"/>
      <c r="BY47" s="532">
        <f t="shared" si="31"/>
        <v>18.142857142857167</v>
      </c>
      <c r="BZ47" s="7">
        <f t="shared" si="30"/>
        <v>40.714285714285722</v>
      </c>
      <c r="CA47" s="533">
        <f t="shared" si="30"/>
        <v>101.42857142857144</v>
      </c>
    </row>
    <row r="48" spans="17:87" ht="15.75" thickBot="1" x14ac:dyDescent="0.3">
      <c r="R48" s="598" t="s">
        <v>219</v>
      </c>
      <c r="S48" s="598" t="s">
        <v>60</v>
      </c>
      <c r="AQ48" t="s">
        <v>8</v>
      </c>
      <c r="AR48">
        <f>INDEX(AR42:AR46,AR41)</f>
        <v>3762.1269841269841</v>
      </c>
      <c r="AS48">
        <f>INDEX(AS42:AS46,AS41)</f>
        <v>3184.2857142857151</v>
      </c>
      <c r="AT48">
        <f>INDEX(AT42:AT46,AT41)</f>
        <v>4497.0158730158728</v>
      </c>
      <c r="AU48">
        <f>INDEX(AU42:AU46,AU41)</f>
        <v>3276.7142857142858</v>
      </c>
      <c r="AV48">
        <f>INDEX(AV42:AV46,AV41)</f>
        <v>4971.2380952380954</v>
      </c>
      <c r="AX48" t="s">
        <v>972</v>
      </c>
      <c r="AY48" s="168">
        <f>AY46/AY47</f>
        <v>0.80303038470634858</v>
      </c>
      <c r="BU48" s="409">
        <f t="shared" si="27"/>
        <v>432</v>
      </c>
      <c r="BV48" s="410">
        <f t="shared" si="28"/>
        <v>365</v>
      </c>
      <c r="BW48" s="417">
        <f t="shared" si="29"/>
        <v>317</v>
      </c>
      <c r="BX48" s="293"/>
      <c r="BY48" s="409">
        <f t="shared" si="31"/>
        <v>49.142857142857167</v>
      </c>
      <c r="BZ48" s="410">
        <f t="shared" si="30"/>
        <v>39.285714285714278</v>
      </c>
      <c r="CA48" s="417">
        <f t="shared" si="30"/>
        <v>52.571428571428555</v>
      </c>
      <c r="CC48" t="s">
        <v>294</v>
      </c>
    </row>
    <row r="49" spans="17:87" x14ac:dyDescent="0.25">
      <c r="R49" s="609">
        <f>S12+S13</f>
        <v>354444.85714285669</v>
      </c>
      <c r="S49" s="610">
        <f>T12+T13</f>
        <v>90</v>
      </c>
      <c r="BA49" t="s">
        <v>1020</v>
      </c>
      <c r="BB49" s="531">
        <f>1/(BB42-1)</f>
        <v>0.25</v>
      </c>
      <c r="BT49" t="s">
        <v>7</v>
      </c>
      <c r="BU49" s="31">
        <f>AVERAGE(BU42:BU48)</f>
        <v>382.85714285714283</v>
      </c>
      <c r="BV49" s="31">
        <f>AVERAGE(BV42:BV48)</f>
        <v>325.71428571428572</v>
      </c>
      <c r="BW49" s="31">
        <f>AVERAGE(BW42:BW48)</f>
        <v>369.57142857142856</v>
      </c>
      <c r="BX49" s="561"/>
      <c r="BY49" s="561"/>
      <c r="BZ49" s="561"/>
      <c r="CA49" s="561"/>
      <c r="CC49" s="512" t="s">
        <v>466</v>
      </c>
      <c r="CD49" s="512" t="s">
        <v>219</v>
      </c>
      <c r="CE49" s="512" t="s">
        <v>60</v>
      </c>
      <c r="CF49" s="512" t="s">
        <v>240</v>
      </c>
      <c r="CG49" s="512" t="s">
        <v>135</v>
      </c>
      <c r="CH49" s="512" t="s">
        <v>119</v>
      </c>
      <c r="CI49" s="512" t="s">
        <v>467</v>
      </c>
    </row>
    <row r="50" spans="17:87" x14ac:dyDescent="0.25">
      <c r="BT50" t="s">
        <v>8</v>
      </c>
      <c r="BU50" s="31">
        <f>VAR(BU42:BU49)</f>
        <v>3635.2653061224678</v>
      </c>
      <c r="BV50" s="31">
        <f>VAR(BV42:BV48)</f>
        <v>5978.2380952380872</v>
      </c>
      <c r="BW50" s="31">
        <f>VAR(BW42:BW48)</f>
        <v>3550.6190476190532</v>
      </c>
      <c r="CC50" s="19" t="s">
        <v>462</v>
      </c>
      <c r="CD50" s="19">
        <v>1299.3663751214772</v>
      </c>
      <c r="CE50" s="19">
        <v>2</v>
      </c>
      <c r="CF50" s="19">
        <v>649.68318756073859</v>
      </c>
      <c r="CG50" s="19">
        <v>0.43680313833584755</v>
      </c>
      <c r="CH50" s="19">
        <v>0.65276750542828776</v>
      </c>
      <c r="CI50" s="19">
        <v>3.5545571456617879</v>
      </c>
    </row>
    <row r="51" spans="17:87" x14ac:dyDescent="0.25">
      <c r="AQ51" t="s">
        <v>82</v>
      </c>
      <c r="AR51" s="527">
        <f t="array" ref="AR51:AV55">(AR15:AV19+AR24:AV28+AR33:AV37)*(CL7-1)/(CL8-CL5)</f>
        <v>3762.1269841269841</v>
      </c>
      <c r="AS51" s="528">
        <v>1359.2380952380952</v>
      </c>
      <c r="AT51" s="528">
        <v>723.99206349206327</v>
      </c>
      <c r="AU51" s="528">
        <v>543.33333333333314</v>
      </c>
      <c r="AV51" s="529">
        <v>1190.2857142857142</v>
      </c>
      <c r="AX51" t="s">
        <v>1083</v>
      </c>
      <c r="CC51" s="19" t="s">
        <v>463</v>
      </c>
      <c r="CD51" s="19">
        <v>26772.4664723032</v>
      </c>
      <c r="CE51" s="19">
        <v>18</v>
      </c>
      <c r="CF51" s="19">
        <v>1487.3592484612889</v>
      </c>
      <c r="CG51" s="19"/>
      <c r="CH51" s="19"/>
      <c r="CI51" s="19"/>
    </row>
    <row r="52" spans="17:87" x14ac:dyDescent="0.25">
      <c r="Q52" t="s">
        <v>1296</v>
      </c>
      <c r="AR52" s="532">
        <v>1359.2380952380952</v>
      </c>
      <c r="AS52" s="7">
        <v>3184.2857142857151</v>
      </c>
      <c r="AT52" s="7">
        <v>2106.0873015873017</v>
      </c>
      <c r="AU52" s="7">
        <v>1679.3095238095236</v>
      </c>
      <c r="AV52" s="533">
        <v>2564.269841269841</v>
      </c>
      <c r="AY52" s="13" t="s">
        <v>1059</v>
      </c>
      <c r="AZ52" s="13" t="s">
        <v>1061</v>
      </c>
      <c r="CC52" s="19"/>
      <c r="CD52" s="19"/>
      <c r="CE52" s="19"/>
      <c r="CF52" s="19"/>
      <c r="CG52" s="19"/>
      <c r="CH52" s="19"/>
      <c r="CI52" s="19"/>
    </row>
    <row r="53" spans="17:87" ht="15.75" thickBot="1" x14ac:dyDescent="0.3">
      <c r="AR53" s="532">
        <v>723.99206349206327</v>
      </c>
      <c r="AS53" s="7">
        <v>2106.0873015873017</v>
      </c>
      <c r="AT53" s="7">
        <v>4497.0158730158728</v>
      </c>
      <c r="AU53" s="7">
        <v>2491.4285714285711</v>
      </c>
      <c r="AV53" s="533">
        <v>2710.3968253968251</v>
      </c>
      <c r="AX53" t="s">
        <v>1084</v>
      </c>
      <c r="AY53" s="527">
        <f>AY21</f>
        <v>0.6348706668595312</v>
      </c>
      <c r="AZ53" s="529">
        <f>BB19</f>
        <v>1</v>
      </c>
      <c r="CC53" s="20" t="s">
        <v>1</v>
      </c>
      <c r="CD53" s="20">
        <v>28071.832847424677</v>
      </c>
      <c r="CE53" s="20">
        <v>20</v>
      </c>
      <c r="CF53" s="20"/>
      <c r="CG53" s="20"/>
      <c r="CH53" s="20"/>
      <c r="CI53" s="20"/>
    </row>
    <row r="54" spans="17:87" ht="15.75" thickBot="1" x14ac:dyDescent="0.3">
      <c r="Q54" t="s">
        <v>294</v>
      </c>
      <c r="AR54" s="532">
        <v>543.33333333333314</v>
      </c>
      <c r="AS54" s="7">
        <v>1679.3095238095236</v>
      </c>
      <c r="AT54" s="7">
        <v>2491.4285714285711</v>
      </c>
      <c r="AU54" s="7">
        <v>3276.7142857142858</v>
      </c>
      <c r="AV54" s="533">
        <v>1642.8730158730159</v>
      </c>
      <c r="AX54" t="s">
        <v>1085</v>
      </c>
      <c r="AY54" s="532">
        <f>AY30</f>
        <v>0.55394202137655646</v>
      </c>
      <c r="AZ54" s="533">
        <f>BB28</f>
        <v>0.89254417434078537</v>
      </c>
    </row>
    <row r="55" spans="17:87" x14ac:dyDescent="0.25">
      <c r="Q55" s="509" t="s">
        <v>466</v>
      </c>
      <c r="R55" s="509" t="s">
        <v>219</v>
      </c>
      <c r="S55" s="509" t="s">
        <v>60</v>
      </c>
      <c r="T55" s="509" t="s">
        <v>240</v>
      </c>
      <c r="U55" s="509" t="s">
        <v>135</v>
      </c>
      <c r="V55" s="509" t="s">
        <v>119</v>
      </c>
      <c r="AR55" s="409">
        <v>1190.2857142857142</v>
      </c>
      <c r="AS55" s="410">
        <v>2564.269841269841</v>
      </c>
      <c r="AT55" s="410">
        <v>2710.3968253968251</v>
      </c>
      <c r="AU55" s="410">
        <v>1642.8730158730159</v>
      </c>
      <c r="AV55" s="417">
        <v>4971.2380952380954</v>
      </c>
      <c r="AX55" t="s">
        <v>76</v>
      </c>
      <c r="AY55" s="409">
        <f>AY39</f>
        <v>0.83151681154538715</v>
      </c>
      <c r="AZ55" s="417">
        <f>BB37</f>
        <v>1</v>
      </c>
    </row>
    <row r="56" spans="17:87" x14ac:dyDescent="0.25">
      <c r="Q56" s="53" t="s">
        <v>1099</v>
      </c>
      <c r="R56">
        <f t="shared" ref="R56:T57" si="32">R42</f>
        <v>64383.523809523816</v>
      </c>
      <c r="S56">
        <f t="shared" si="32"/>
        <v>2</v>
      </c>
      <c r="T56">
        <f t="shared" si="32"/>
        <v>32191.761904761908</v>
      </c>
      <c r="U56">
        <f>T56/T58</f>
        <v>4.6807738020301644</v>
      </c>
      <c r="V56">
        <f>FDIST(U56,S56,S58)</f>
        <v>1.3603484164813702E-2</v>
      </c>
      <c r="BU56" t="s">
        <v>1089</v>
      </c>
      <c r="CC56" t="s">
        <v>464</v>
      </c>
    </row>
    <row r="57" spans="17:87" x14ac:dyDescent="0.25">
      <c r="Q57" s="53" t="s">
        <v>1100</v>
      </c>
      <c r="R57">
        <f t="shared" si="32"/>
        <v>19678.952380952396</v>
      </c>
      <c r="S57">
        <f t="shared" si="32"/>
        <v>2</v>
      </c>
      <c r="T57">
        <f t="shared" si="32"/>
        <v>9839.4761904761981</v>
      </c>
      <c r="U57" s="19">
        <f>T57/T58</f>
        <v>1.4306878422602816</v>
      </c>
      <c r="V57">
        <f>FDIST(U57,S57,S58)</f>
        <v>0.24857916745048914</v>
      </c>
    </row>
    <row r="58" spans="17:87" ht="15.75" thickBot="1" x14ac:dyDescent="0.3">
      <c r="Q58" s="410" t="str">
        <f>Q44</f>
        <v>Error</v>
      </c>
      <c r="R58" s="410">
        <f>S12+S13</f>
        <v>354444.85714285669</v>
      </c>
      <c r="S58" s="410">
        <f>R58^2/(S12^2/T12+S13^2/T13)</f>
        <v>51.537291015226842</v>
      </c>
      <c r="T58" s="410">
        <f>R58/S58</f>
        <v>6877.4444709974168</v>
      </c>
      <c r="U58" s="410"/>
      <c r="V58" s="410"/>
      <c r="BU58" s="511" t="s">
        <v>1084</v>
      </c>
      <c r="BV58" s="511" t="s">
        <v>1085</v>
      </c>
      <c r="BW58" s="511" t="s">
        <v>76</v>
      </c>
      <c r="BX58" s="245"/>
      <c r="BY58" s="511" t="s">
        <v>1084</v>
      </c>
      <c r="BZ58" s="511" t="s">
        <v>1085</v>
      </c>
      <c r="CA58" s="511" t="s">
        <v>76</v>
      </c>
      <c r="CC58" t="s">
        <v>62</v>
      </c>
    </row>
    <row r="59" spans="17:87" x14ac:dyDescent="0.25">
      <c r="BU59" s="429">
        <f t="shared" ref="BU59:BU65" si="33">E4</f>
        <v>368</v>
      </c>
      <c r="BV59" s="542">
        <f t="shared" ref="BV59:BV65" si="34">E12</f>
        <v>398</v>
      </c>
      <c r="BW59" s="543">
        <f t="shared" ref="BW59:BW65" si="35">E18</f>
        <v>311</v>
      </c>
      <c r="BX59" s="293"/>
      <c r="BY59" s="429">
        <f>ABS(BU59-BU$66)</f>
        <v>5.4285714285714448</v>
      </c>
      <c r="BZ59" s="542">
        <f>ABS(BV59-BV$66)</f>
        <v>109.28571428571428</v>
      </c>
      <c r="CA59" s="543">
        <f>ABS(BW59-BW$66)</f>
        <v>63.285714285714278</v>
      </c>
      <c r="CC59" s="512" t="s">
        <v>79</v>
      </c>
      <c r="CD59" s="512" t="s">
        <v>22</v>
      </c>
      <c r="CE59" s="512" t="s">
        <v>21</v>
      </c>
      <c r="CF59" s="512" t="s">
        <v>465</v>
      </c>
      <c r="CG59" s="512" t="s">
        <v>80</v>
      </c>
    </row>
    <row r="60" spans="17:87" x14ac:dyDescent="0.25">
      <c r="BU60" s="532">
        <f t="shared" si="33"/>
        <v>382</v>
      </c>
      <c r="BV60" s="7">
        <f t="shared" si="34"/>
        <v>317</v>
      </c>
      <c r="BW60" s="533">
        <f t="shared" si="35"/>
        <v>369</v>
      </c>
      <c r="BX60" s="293"/>
      <c r="BY60" s="532">
        <f t="shared" ref="BY60:BY65" si="36">ABS(BU60-BU$66)</f>
        <v>19.428571428571445</v>
      </c>
      <c r="BZ60" s="7">
        <f t="shared" ref="BZ60:BZ65" si="37">ABS(BV60-BV$66)</f>
        <v>28.285714285714278</v>
      </c>
      <c r="CA60" s="533">
        <f t="shared" ref="CA60:CA65" si="38">ABS(BW60-BW$66)</f>
        <v>5.2857142857142776</v>
      </c>
      <c r="CC60" s="19" t="s">
        <v>1084</v>
      </c>
      <c r="CD60" s="19">
        <v>7</v>
      </c>
      <c r="CE60" s="19">
        <v>318.28571428571433</v>
      </c>
      <c r="CF60" s="19">
        <v>45.469387755102048</v>
      </c>
      <c r="CG60" s="19">
        <v>906.24295432458678</v>
      </c>
    </row>
    <row r="61" spans="17:87" x14ac:dyDescent="0.25">
      <c r="BU61" s="532">
        <f t="shared" si="33"/>
        <v>421</v>
      </c>
      <c r="BV61" s="7">
        <f t="shared" si="34"/>
        <v>259</v>
      </c>
      <c r="BW61" s="533">
        <f t="shared" si="35"/>
        <v>385</v>
      </c>
      <c r="BX61" s="293"/>
      <c r="BY61" s="532">
        <f t="shared" si="36"/>
        <v>58.428571428571445</v>
      </c>
      <c r="BZ61" s="7">
        <f t="shared" si="37"/>
        <v>29.714285714285722</v>
      </c>
      <c r="CA61" s="533">
        <f t="shared" si="38"/>
        <v>10.714285714285722</v>
      </c>
      <c r="CC61" s="19" t="s">
        <v>1085</v>
      </c>
      <c r="CD61" s="19">
        <v>7</v>
      </c>
      <c r="CE61" s="19">
        <v>319.71428571428572</v>
      </c>
      <c r="CF61" s="19">
        <v>45.673469387755105</v>
      </c>
      <c r="CG61" s="19">
        <v>1209.4946550048592</v>
      </c>
    </row>
    <row r="62" spans="17:87" ht="15.75" thickBot="1" x14ac:dyDescent="0.3">
      <c r="BU62" s="532">
        <f t="shared" si="33"/>
        <v>415</v>
      </c>
      <c r="BV62" s="7">
        <f t="shared" si="34"/>
        <v>280</v>
      </c>
      <c r="BW62" s="533">
        <f t="shared" si="35"/>
        <v>380</v>
      </c>
      <c r="BX62" s="293"/>
      <c r="BY62" s="532">
        <f t="shared" si="36"/>
        <v>52.428571428571445</v>
      </c>
      <c r="BZ62" s="7">
        <f t="shared" si="37"/>
        <v>8.7142857142857224</v>
      </c>
      <c r="CA62" s="533">
        <f t="shared" si="38"/>
        <v>5.7142857142857224</v>
      </c>
      <c r="CC62" s="20" t="s">
        <v>76</v>
      </c>
      <c r="CD62" s="20">
        <v>7</v>
      </c>
      <c r="CE62" s="20">
        <v>271.71428571428572</v>
      </c>
      <c r="CF62" s="20">
        <v>38.816326530612244</v>
      </c>
      <c r="CG62" s="20">
        <v>1125.0796890184645</v>
      </c>
    </row>
    <row r="63" spans="17:87" x14ac:dyDescent="0.25">
      <c r="BU63" s="532">
        <f t="shared" si="33"/>
        <v>275</v>
      </c>
      <c r="BV63" s="7">
        <f t="shared" si="34"/>
        <v>240</v>
      </c>
      <c r="BW63" s="533">
        <f t="shared" si="35"/>
        <v>461</v>
      </c>
      <c r="BX63" s="293"/>
      <c r="BY63" s="532">
        <f t="shared" si="36"/>
        <v>87.571428571428555</v>
      </c>
      <c r="BZ63" s="7">
        <f t="shared" si="37"/>
        <v>48.714285714285722</v>
      </c>
      <c r="CA63" s="533">
        <f t="shared" si="38"/>
        <v>86.714285714285722</v>
      </c>
    </row>
    <row r="64" spans="17:87" x14ac:dyDescent="0.25">
      <c r="BU64" s="532">
        <f t="shared" si="33"/>
        <v>291</v>
      </c>
      <c r="BV64" s="7">
        <f t="shared" si="34"/>
        <v>216</v>
      </c>
      <c r="BW64" s="533">
        <f t="shared" si="35"/>
        <v>407</v>
      </c>
      <c r="BX64" s="293"/>
      <c r="BY64" s="532">
        <f t="shared" si="36"/>
        <v>71.571428571428555</v>
      </c>
      <c r="BZ64" s="7">
        <f t="shared" si="37"/>
        <v>72.714285714285722</v>
      </c>
      <c r="CA64" s="533">
        <f t="shared" si="38"/>
        <v>32.714285714285722</v>
      </c>
    </row>
    <row r="65" spans="72:87" ht="15.75" thickBot="1" x14ac:dyDescent="0.3">
      <c r="BU65" s="409">
        <f t="shared" si="33"/>
        <v>386</v>
      </c>
      <c r="BV65" s="410">
        <f t="shared" si="34"/>
        <v>311</v>
      </c>
      <c r="BW65" s="417">
        <f t="shared" si="35"/>
        <v>307</v>
      </c>
      <c r="BX65" s="293"/>
      <c r="BY65" s="409">
        <f t="shared" si="36"/>
        <v>23.428571428571445</v>
      </c>
      <c r="BZ65" s="410">
        <f t="shared" si="37"/>
        <v>22.285714285714278</v>
      </c>
      <c r="CA65" s="417">
        <f t="shared" si="38"/>
        <v>67.285714285714278</v>
      </c>
      <c r="CC65" t="s">
        <v>294</v>
      </c>
    </row>
    <row r="66" spans="72:87" x14ac:dyDescent="0.25">
      <c r="BT66" t="s">
        <v>7</v>
      </c>
      <c r="BU66" s="31">
        <f>AVERAGE(BU59:BU65)</f>
        <v>362.57142857142856</v>
      </c>
      <c r="BV66" s="31">
        <f>AVERAGE(BV59:BV65)</f>
        <v>288.71428571428572</v>
      </c>
      <c r="BW66" s="31">
        <f>AVERAGE(BW59:BW65)</f>
        <v>374.28571428571428</v>
      </c>
      <c r="BX66" s="561"/>
      <c r="BY66" s="561"/>
      <c r="BZ66" s="561"/>
      <c r="CA66" s="561"/>
      <c r="CC66" s="512" t="s">
        <v>466</v>
      </c>
      <c r="CD66" s="512" t="s">
        <v>219</v>
      </c>
      <c r="CE66" s="512" t="s">
        <v>60</v>
      </c>
      <c r="CF66" s="512" t="s">
        <v>240</v>
      </c>
      <c r="CG66" s="512" t="s">
        <v>135</v>
      </c>
      <c r="CH66" s="512" t="s">
        <v>119</v>
      </c>
      <c r="CI66" s="512" t="s">
        <v>467</v>
      </c>
    </row>
    <row r="67" spans="72:87" x14ac:dyDescent="0.25">
      <c r="BT67" t="s">
        <v>8</v>
      </c>
      <c r="BU67" s="31">
        <f>VAR(BU59:BU66)</f>
        <v>2844.2448979592218</v>
      </c>
      <c r="BV67" s="31">
        <f>VAR(BV59:BV65)</f>
        <v>3643.2380952380868</v>
      </c>
      <c r="BW67" s="31">
        <f>VAR(BW59:BW65)</f>
        <v>2882.9047619047537</v>
      </c>
      <c r="CC67" s="19" t="s">
        <v>462</v>
      </c>
      <c r="CD67" s="19">
        <v>213.09232264334059</v>
      </c>
      <c r="CE67" s="19">
        <v>2</v>
      </c>
      <c r="CF67" s="19">
        <v>106.5461613216703</v>
      </c>
      <c r="CG67" s="19">
        <v>9.8628973662895122E-2</v>
      </c>
      <c r="CH67" s="19">
        <v>0.90656507578072709</v>
      </c>
      <c r="CI67" s="19">
        <v>3.5545571456617879</v>
      </c>
    </row>
    <row r="68" spans="72:87" x14ac:dyDescent="0.25">
      <c r="CC68" s="19" t="s">
        <v>463</v>
      </c>
      <c r="CD68" s="19">
        <v>19444.903790087457</v>
      </c>
      <c r="CE68" s="19">
        <v>18</v>
      </c>
      <c r="CF68" s="19">
        <v>1080.2724327826365</v>
      </c>
      <c r="CG68" s="19"/>
      <c r="CH68" s="19"/>
      <c r="CI68" s="19"/>
    </row>
    <row r="69" spans="72:87" x14ac:dyDescent="0.25">
      <c r="CC69" s="19"/>
      <c r="CD69" s="19"/>
      <c r="CE69" s="19"/>
      <c r="CF69" s="19"/>
      <c r="CG69" s="19"/>
      <c r="CH69" s="19"/>
      <c r="CI69" s="19"/>
    </row>
    <row r="70" spans="72:87" ht="15.75" thickBot="1" x14ac:dyDescent="0.3">
      <c r="CC70" s="20" t="s">
        <v>1</v>
      </c>
      <c r="CD70" s="20">
        <v>19657.996112730798</v>
      </c>
      <c r="CE70" s="20">
        <v>20</v>
      </c>
      <c r="CF70" s="20"/>
      <c r="CG70" s="20"/>
      <c r="CH70" s="20"/>
      <c r="CI70" s="20"/>
    </row>
    <row r="73" spans="72:87" x14ac:dyDescent="0.25">
      <c r="BU73" t="s">
        <v>1090</v>
      </c>
      <c r="CC73" t="s">
        <v>464</v>
      </c>
    </row>
    <row r="75" spans="72:87" ht="15.75" thickBot="1" x14ac:dyDescent="0.3">
      <c r="BU75" s="511" t="s">
        <v>1084</v>
      </c>
      <c r="BV75" s="511" t="s">
        <v>1085</v>
      </c>
      <c r="BW75" s="511" t="s">
        <v>76</v>
      </c>
      <c r="BX75" s="245"/>
      <c r="BY75" s="511" t="s">
        <v>1084</v>
      </c>
      <c r="BZ75" s="511" t="s">
        <v>1085</v>
      </c>
      <c r="CA75" s="511" t="s">
        <v>76</v>
      </c>
      <c r="CC75" t="s">
        <v>62</v>
      </c>
    </row>
    <row r="76" spans="72:87" x14ac:dyDescent="0.25">
      <c r="BU76" s="429">
        <f t="shared" ref="BU76:BU82" si="39">F4</f>
        <v>456</v>
      </c>
      <c r="BV76" s="542">
        <f t="shared" ref="BV76:BV82" si="40">F12</f>
        <v>268</v>
      </c>
      <c r="BW76" s="543">
        <f t="shared" ref="BW76:BW82" si="41">F18</f>
        <v>331</v>
      </c>
      <c r="BX76" s="293"/>
      <c r="BY76" s="429">
        <f>ABS(BU76-BU$83)</f>
        <v>72.285714285714278</v>
      </c>
      <c r="BZ76" s="542">
        <f>ABS(BV76-BV$83)</f>
        <v>37.714285714285722</v>
      </c>
      <c r="CA76" s="543">
        <f>ABS(BW76-BW$83)</f>
        <v>27</v>
      </c>
      <c r="CC76" s="512" t="s">
        <v>79</v>
      </c>
      <c r="CD76" s="512" t="s">
        <v>22</v>
      </c>
      <c r="CE76" s="512" t="s">
        <v>21</v>
      </c>
      <c r="CF76" s="512" t="s">
        <v>465</v>
      </c>
      <c r="CG76" s="512" t="s">
        <v>80</v>
      </c>
    </row>
    <row r="77" spans="72:87" x14ac:dyDescent="0.25">
      <c r="BU77" s="532">
        <f t="shared" si="39"/>
        <v>298</v>
      </c>
      <c r="BV77" s="7">
        <f t="shared" si="40"/>
        <v>470</v>
      </c>
      <c r="BW77" s="533">
        <f t="shared" si="41"/>
        <v>295</v>
      </c>
      <c r="BX77" s="293"/>
      <c r="BY77" s="532">
        <f t="shared" ref="BY77:BY82" si="42">ABS(BU77-BU$83)</f>
        <v>85.714285714285722</v>
      </c>
      <c r="BZ77" s="7">
        <f t="shared" ref="BZ77:BZ82" si="43">ABS(BV77-BV$83)</f>
        <v>164.28571428571428</v>
      </c>
      <c r="CA77" s="533">
        <f t="shared" ref="CA77:CA82" si="44">ABS(BW77-BW$83)</f>
        <v>63</v>
      </c>
      <c r="CC77" s="19" t="s">
        <v>1084</v>
      </c>
      <c r="CD77" s="19">
        <v>7</v>
      </c>
      <c r="CE77" s="19">
        <v>391.71428571428572</v>
      </c>
      <c r="CF77" s="19">
        <v>55.95918367346939</v>
      </c>
      <c r="CG77" s="19">
        <v>665.56948493683194</v>
      </c>
    </row>
    <row r="78" spans="72:87" x14ac:dyDescent="0.25">
      <c r="BU78" s="532">
        <f t="shared" si="39"/>
        <v>342</v>
      </c>
      <c r="BV78" s="7">
        <f t="shared" si="40"/>
        <v>273</v>
      </c>
      <c r="BW78" s="533">
        <f t="shared" si="41"/>
        <v>373</v>
      </c>
      <c r="BX78" s="293"/>
      <c r="BY78" s="532">
        <f t="shared" si="42"/>
        <v>41.714285714285722</v>
      </c>
      <c r="BZ78" s="7">
        <f t="shared" si="43"/>
        <v>32.714285714285722</v>
      </c>
      <c r="CA78" s="533">
        <f t="shared" si="44"/>
        <v>15</v>
      </c>
      <c r="CC78" s="19" t="s">
        <v>1085</v>
      </c>
      <c r="CD78" s="19">
        <v>7</v>
      </c>
      <c r="CE78" s="19">
        <v>407.71428571428572</v>
      </c>
      <c r="CF78" s="19">
        <v>58.244897959183675</v>
      </c>
      <c r="CG78" s="19">
        <v>2592.0252672497572</v>
      </c>
    </row>
    <row r="79" spans="72:87" ht="15.75" thickBot="1" x14ac:dyDescent="0.3">
      <c r="BU79" s="532">
        <f t="shared" si="39"/>
        <v>468</v>
      </c>
      <c r="BV79" s="7">
        <f t="shared" si="40"/>
        <v>320</v>
      </c>
      <c r="BW79" s="533">
        <f t="shared" si="41"/>
        <v>305</v>
      </c>
      <c r="BX79" s="293"/>
      <c r="BY79" s="532">
        <f t="shared" si="42"/>
        <v>84.285714285714278</v>
      </c>
      <c r="BZ79" s="7">
        <f t="shared" si="43"/>
        <v>14.285714285714278</v>
      </c>
      <c r="CA79" s="533">
        <f t="shared" si="44"/>
        <v>53</v>
      </c>
      <c r="CC79" s="20" t="s">
        <v>76</v>
      </c>
      <c r="CD79" s="20">
        <v>7</v>
      </c>
      <c r="CE79" s="20">
        <v>354</v>
      </c>
      <c r="CF79" s="20">
        <v>50.571428571428569</v>
      </c>
      <c r="CG79" s="20">
        <v>696.61904761904771</v>
      </c>
    </row>
    <row r="80" spans="72:87" x14ac:dyDescent="0.25">
      <c r="BU80" s="532">
        <f t="shared" si="39"/>
        <v>332</v>
      </c>
      <c r="BV80" s="7">
        <f t="shared" si="40"/>
        <v>233</v>
      </c>
      <c r="BW80" s="533">
        <f t="shared" si="41"/>
        <v>445</v>
      </c>
      <c r="BX80" s="293"/>
      <c r="BY80" s="532">
        <f t="shared" si="42"/>
        <v>51.714285714285722</v>
      </c>
      <c r="BZ80" s="7">
        <f t="shared" si="43"/>
        <v>72.714285714285722</v>
      </c>
      <c r="CA80" s="533">
        <f t="shared" si="44"/>
        <v>87</v>
      </c>
    </row>
    <row r="81" spans="72:87" x14ac:dyDescent="0.25">
      <c r="BU81" s="532">
        <f t="shared" si="39"/>
        <v>367</v>
      </c>
      <c r="BV81" s="7">
        <f t="shared" si="40"/>
        <v>245</v>
      </c>
      <c r="BW81" s="533">
        <f t="shared" si="41"/>
        <v>433</v>
      </c>
      <c r="BX81" s="293"/>
      <c r="BY81" s="532">
        <f t="shared" si="42"/>
        <v>16.714285714285722</v>
      </c>
      <c r="BZ81" s="7">
        <f t="shared" si="43"/>
        <v>60.714285714285722</v>
      </c>
      <c r="CA81" s="533">
        <f t="shared" si="44"/>
        <v>75</v>
      </c>
    </row>
    <row r="82" spans="72:87" ht="15.75" thickBot="1" x14ac:dyDescent="0.3">
      <c r="BU82" s="409">
        <f t="shared" si="39"/>
        <v>423</v>
      </c>
      <c r="BV82" s="410">
        <f t="shared" si="40"/>
        <v>331</v>
      </c>
      <c r="BW82" s="417">
        <f t="shared" si="41"/>
        <v>324</v>
      </c>
      <c r="BX82" s="293"/>
      <c r="BY82" s="409">
        <f t="shared" si="42"/>
        <v>39.285714285714278</v>
      </c>
      <c r="BZ82" s="410">
        <f t="shared" si="43"/>
        <v>25.285714285714278</v>
      </c>
      <c r="CA82" s="417">
        <f t="shared" si="44"/>
        <v>34</v>
      </c>
      <c r="CC82" t="s">
        <v>294</v>
      </c>
    </row>
    <row r="83" spans="72:87" x14ac:dyDescent="0.25">
      <c r="BT83" t="s">
        <v>7</v>
      </c>
      <c r="BU83" s="31">
        <f>AVERAGE(BU76:BU82)</f>
        <v>383.71428571428572</v>
      </c>
      <c r="BV83" s="31">
        <f>AVERAGE(BV76:BV82)</f>
        <v>305.71428571428572</v>
      </c>
      <c r="BW83" s="31">
        <f>AVERAGE(BW76:BW82)</f>
        <v>358</v>
      </c>
      <c r="BX83" s="561"/>
      <c r="BY83" s="561"/>
      <c r="BZ83" s="561"/>
      <c r="CA83" s="561"/>
      <c r="CC83" s="512" t="s">
        <v>466</v>
      </c>
      <c r="CD83" s="512" t="s">
        <v>219</v>
      </c>
      <c r="CE83" s="512" t="s">
        <v>60</v>
      </c>
      <c r="CF83" s="512" t="s">
        <v>240</v>
      </c>
      <c r="CG83" s="512" t="s">
        <v>135</v>
      </c>
      <c r="CH83" s="512" t="s">
        <v>119</v>
      </c>
      <c r="CI83" s="512" t="s">
        <v>467</v>
      </c>
    </row>
    <row r="84" spans="72:87" x14ac:dyDescent="0.25">
      <c r="BT84" t="s">
        <v>8</v>
      </c>
      <c r="BU84" s="31">
        <f>VAR(BU76:BU83)</f>
        <v>3701.9183673469483</v>
      </c>
      <c r="BV84" s="31">
        <f>VAR(BV76:BV82)</f>
        <v>6549.9047619047533</v>
      </c>
      <c r="BW84" s="31">
        <f>VAR(BW76:BW82)</f>
        <v>3680.3333333333335</v>
      </c>
      <c r="CC84" s="19" t="s">
        <v>462</v>
      </c>
      <c r="CD84" s="19">
        <v>217.3138969873653</v>
      </c>
      <c r="CE84" s="19">
        <v>2</v>
      </c>
      <c r="CF84" s="19">
        <v>108.65694849368265</v>
      </c>
      <c r="CG84" s="19">
        <v>8.243632286576677E-2</v>
      </c>
      <c r="CH84" s="19">
        <v>0.92121569737530185</v>
      </c>
      <c r="CI84" s="19">
        <v>3.5545571456617879</v>
      </c>
    </row>
    <row r="85" spans="72:87" x14ac:dyDescent="0.25">
      <c r="CC85" s="19" t="s">
        <v>463</v>
      </c>
      <c r="CD85" s="19">
        <v>23725.282798833821</v>
      </c>
      <c r="CE85" s="19">
        <v>18</v>
      </c>
      <c r="CF85" s="19">
        <v>1318.071266601879</v>
      </c>
      <c r="CG85" s="19"/>
      <c r="CH85" s="19"/>
      <c r="CI85" s="19"/>
    </row>
    <row r="86" spans="72:87" x14ac:dyDescent="0.25">
      <c r="CC86" s="19"/>
      <c r="CD86" s="19"/>
      <c r="CE86" s="19"/>
      <c r="CF86" s="19"/>
      <c r="CG86" s="19"/>
      <c r="CH86" s="19"/>
      <c r="CI86" s="19"/>
    </row>
    <row r="87" spans="72:87" ht="15.75" thickBot="1" x14ac:dyDescent="0.3">
      <c r="CC87" s="20" t="s">
        <v>1</v>
      </c>
      <c r="CD87" s="20">
        <v>23942.596695821187</v>
      </c>
      <c r="CE87" s="20">
        <v>20</v>
      </c>
      <c r="CF87" s="20"/>
      <c r="CG87" s="20"/>
      <c r="CH87" s="20"/>
      <c r="CI87" s="20"/>
    </row>
    <row r="90" spans="72:87" x14ac:dyDescent="0.25">
      <c r="BU90" t="s">
        <v>1129</v>
      </c>
      <c r="CC90" t="s">
        <v>464</v>
      </c>
    </row>
    <row r="92" spans="72:87" ht="15.75" thickBot="1" x14ac:dyDescent="0.3">
      <c r="BU92" s="511" t="s">
        <v>1084</v>
      </c>
      <c r="BV92" s="511" t="s">
        <v>1085</v>
      </c>
      <c r="BW92" s="511" t="s">
        <v>76</v>
      </c>
      <c r="BX92" s="245"/>
      <c r="BY92" s="511" t="s">
        <v>1084</v>
      </c>
      <c r="BZ92" s="511" t="s">
        <v>1085</v>
      </c>
      <c r="CA92" s="511" t="s">
        <v>76</v>
      </c>
      <c r="CC92" t="s">
        <v>62</v>
      </c>
    </row>
    <row r="93" spans="72:87" x14ac:dyDescent="0.25">
      <c r="BU93" s="429">
        <f t="shared" ref="BU93:BW99" si="45">BD6</f>
        <v>358.8</v>
      </c>
      <c r="BV93" s="542">
        <f t="shared" si="45"/>
        <v>230.8</v>
      </c>
      <c r="BW93" s="543">
        <f t="shared" si="45"/>
        <v>249.8</v>
      </c>
      <c r="BX93" s="293"/>
      <c r="BY93" s="429">
        <f>ABS(BU93-BU$100)</f>
        <v>44.028571428571411</v>
      </c>
      <c r="BZ93" s="542">
        <f>ABS(BV93-BV$100)</f>
        <v>14.314285714285745</v>
      </c>
      <c r="CA93" s="543">
        <f>ABS(BW93-BW$100)</f>
        <v>35.799999999999955</v>
      </c>
      <c r="CC93" s="512" t="s">
        <v>79</v>
      </c>
      <c r="CD93" s="512" t="s">
        <v>22</v>
      </c>
      <c r="CE93" s="512" t="s">
        <v>21</v>
      </c>
      <c r="CF93" s="512" t="s">
        <v>465</v>
      </c>
      <c r="CG93" s="512" t="s">
        <v>80</v>
      </c>
    </row>
    <row r="94" spans="72:87" x14ac:dyDescent="0.25">
      <c r="BU94" s="532">
        <f t="shared" si="45"/>
        <v>258.60000000000002</v>
      </c>
      <c r="BV94" s="7">
        <f t="shared" si="45"/>
        <v>245.4</v>
      </c>
      <c r="BW94" s="533">
        <f t="shared" si="45"/>
        <v>279</v>
      </c>
      <c r="BX94" s="293"/>
      <c r="BY94" s="532">
        <f t="shared" ref="BY94:BY99" si="46">ABS(BU94-BU$100)</f>
        <v>56.171428571428578</v>
      </c>
      <c r="BZ94" s="7">
        <f t="shared" ref="BZ94:BZ99" si="47">ABS(BV94-BV$100)</f>
        <v>28.914285714285739</v>
      </c>
      <c r="CA94" s="533">
        <f t="shared" ref="CA94:CA99" si="48">ABS(BW94-BW$100)</f>
        <v>6.5999999999999659</v>
      </c>
      <c r="CC94" s="19" t="s">
        <v>1084</v>
      </c>
      <c r="CD94" s="19">
        <v>7</v>
      </c>
      <c r="CE94" s="19">
        <v>318.22857142857134</v>
      </c>
      <c r="CF94" s="19">
        <v>45.461224489795903</v>
      </c>
      <c r="CG94" s="19">
        <v>424.56229348882454</v>
      </c>
    </row>
    <row r="95" spans="72:87" x14ac:dyDescent="0.25">
      <c r="BU95" s="532">
        <f t="shared" si="45"/>
        <v>331.8</v>
      </c>
      <c r="BV95" s="7">
        <f t="shared" si="45"/>
        <v>274.8</v>
      </c>
      <c r="BW95" s="533">
        <f t="shared" si="45"/>
        <v>258.39999999999998</v>
      </c>
      <c r="BX95" s="293"/>
      <c r="BY95" s="532">
        <f t="shared" si="46"/>
        <v>17.028571428571411</v>
      </c>
      <c r="BZ95" s="7">
        <f t="shared" si="47"/>
        <v>58.314285714285745</v>
      </c>
      <c r="CA95" s="533">
        <f t="shared" si="48"/>
        <v>27.199999999999989</v>
      </c>
      <c r="CC95" s="19" t="s">
        <v>1085</v>
      </c>
      <c r="CD95" s="19">
        <v>7</v>
      </c>
      <c r="CE95" s="19">
        <v>238.9142857142858</v>
      </c>
      <c r="CF95" s="19">
        <v>34.130612244897968</v>
      </c>
      <c r="CG95" s="19">
        <v>582.08295432458692</v>
      </c>
    </row>
    <row r="96" spans="72:87" ht="15.75" thickBot="1" x14ac:dyDescent="0.3">
      <c r="BU96" s="532">
        <f t="shared" si="45"/>
        <v>372.2</v>
      </c>
      <c r="BV96" s="7">
        <f t="shared" si="45"/>
        <v>234.4</v>
      </c>
      <c r="BW96" s="533">
        <f t="shared" si="45"/>
        <v>264.60000000000002</v>
      </c>
      <c r="BX96" s="293"/>
      <c r="BY96" s="532">
        <f t="shared" si="46"/>
        <v>57.428571428571388</v>
      </c>
      <c r="BZ96" s="7">
        <f t="shared" si="47"/>
        <v>17.914285714285739</v>
      </c>
      <c r="CA96" s="533">
        <f t="shared" si="48"/>
        <v>20.999999999999943</v>
      </c>
      <c r="CC96" s="20" t="s">
        <v>76</v>
      </c>
      <c r="CD96" s="20">
        <v>7</v>
      </c>
      <c r="CE96" s="20">
        <v>231.19999999999982</v>
      </c>
      <c r="CF96" s="20">
        <v>33.028571428571404</v>
      </c>
      <c r="CG96" s="20">
        <v>396.08571428571531</v>
      </c>
    </row>
    <row r="97" spans="72:87" x14ac:dyDescent="0.25">
      <c r="BU97" s="532">
        <f t="shared" si="45"/>
        <v>237</v>
      </c>
      <c r="BV97" s="7">
        <f t="shared" si="45"/>
        <v>214.2</v>
      </c>
      <c r="BW97" s="533">
        <f t="shared" si="45"/>
        <v>353.4</v>
      </c>
      <c r="BX97" s="293"/>
      <c r="BY97" s="532">
        <f t="shared" si="46"/>
        <v>77.771428571428601</v>
      </c>
      <c r="BZ97" s="7">
        <f t="shared" si="47"/>
        <v>2.2857142857142776</v>
      </c>
      <c r="CA97" s="533">
        <f t="shared" si="48"/>
        <v>67.800000000000011</v>
      </c>
    </row>
    <row r="98" spans="72:87" x14ac:dyDescent="0.25">
      <c r="BU98" s="532">
        <f t="shared" si="45"/>
        <v>289.60000000000002</v>
      </c>
      <c r="BV98" s="7">
        <f t="shared" si="45"/>
        <v>155.19999999999999</v>
      </c>
      <c r="BW98" s="533">
        <f t="shared" si="45"/>
        <v>333.4</v>
      </c>
      <c r="BX98" s="293"/>
      <c r="BY98" s="532">
        <f t="shared" si="46"/>
        <v>25.171428571428578</v>
      </c>
      <c r="BZ98" s="7">
        <f t="shared" si="47"/>
        <v>61.285714285714278</v>
      </c>
      <c r="CA98" s="533">
        <f t="shared" si="48"/>
        <v>47.800000000000011</v>
      </c>
    </row>
    <row r="99" spans="72:87" ht="15.75" thickBot="1" x14ac:dyDescent="0.3">
      <c r="BU99" s="409">
        <f t="shared" si="45"/>
        <v>355.4</v>
      </c>
      <c r="BV99" s="410">
        <f t="shared" si="45"/>
        <v>160.6</v>
      </c>
      <c r="BW99" s="417">
        <f t="shared" si="45"/>
        <v>260.60000000000002</v>
      </c>
      <c r="BX99" s="293"/>
      <c r="BY99" s="409">
        <f t="shared" si="46"/>
        <v>40.628571428571377</v>
      </c>
      <c r="BZ99" s="410">
        <f t="shared" si="47"/>
        <v>55.885714285714272</v>
      </c>
      <c r="CA99" s="417">
        <f t="shared" si="48"/>
        <v>24.999999999999943</v>
      </c>
      <c r="CC99" t="s">
        <v>294</v>
      </c>
    </row>
    <row r="100" spans="72:87" x14ac:dyDescent="0.25">
      <c r="BT100" t="s">
        <v>7</v>
      </c>
      <c r="BU100" s="31">
        <f>AVERAGE(BU93:BU99)</f>
        <v>314.7714285714286</v>
      </c>
      <c r="BV100" s="31">
        <f>AVERAGE(BV93:BV99)</f>
        <v>216.48571428571427</v>
      </c>
      <c r="BW100" s="31">
        <f>AVERAGE(BW93:BW99)</f>
        <v>285.59999999999997</v>
      </c>
      <c r="BX100" s="561"/>
      <c r="BY100" s="561"/>
      <c r="BZ100" s="561"/>
      <c r="CA100" s="561"/>
      <c r="CC100" s="512" t="s">
        <v>466</v>
      </c>
      <c r="CD100" s="512" t="s">
        <v>219</v>
      </c>
      <c r="CE100" s="512" t="s">
        <v>60</v>
      </c>
      <c r="CF100" s="512" t="s">
        <v>240</v>
      </c>
      <c r="CG100" s="512" t="s">
        <v>135</v>
      </c>
      <c r="CH100" s="512" t="s">
        <v>119</v>
      </c>
      <c r="CI100" s="512" t="s">
        <v>467</v>
      </c>
    </row>
    <row r="101" spans="72:87" x14ac:dyDescent="0.25">
      <c r="BT101" t="s">
        <v>8</v>
      </c>
      <c r="BU101" s="31">
        <f>VAR(BU93:BU100)</f>
        <v>2430.6334693877393</v>
      </c>
      <c r="BV101" s="31">
        <f>VAR(BV93:BV99)</f>
        <v>1941.1314285714373</v>
      </c>
      <c r="BW101" s="31">
        <f>VAR(BW93:BW99)</f>
        <v>1668.7866666666814</v>
      </c>
      <c r="CC101" s="19" t="s">
        <v>462</v>
      </c>
      <c r="CD101" s="19">
        <v>663.05896987366395</v>
      </c>
      <c r="CE101" s="19">
        <v>2</v>
      </c>
      <c r="CF101" s="19">
        <v>331.52948493683198</v>
      </c>
      <c r="CG101" s="19">
        <v>0.70903721503526029</v>
      </c>
      <c r="CH101" s="19">
        <v>0.50535561227403336</v>
      </c>
      <c r="CI101" s="19">
        <v>3.5545571456617879</v>
      </c>
    </row>
    <row r="102" spans="72:87" x14ac:dyDescent="0.25">
      <c r="CC102" s="19" t="s">
        <v>463</v>
      </c>
      <c r="CD102" s="19">
        <v>8416.3857725947582</v>
      </c>
      <c r="CE102" s="19">
        <v>18</v>
      </c>
      <c r="CF102" s="19">
        <v>467.57698736637548</v>
      </c>
      <c r="CG102" s="19"/>
      <c r="CH102" s="19"/>
      <c r="CI102" s="19"/>
    </row>
    <row r="103" spans="72:87" x14ac:dyDescent="0.25">
      <c r="CC103" s="19"/>
      <c r="CD103" s="19"/>
      <c r="CE103" s="19"/>
      <c r="CF103" s="19"/>
      <c r="CG103" s="19"/>
      <c r="CH103" s="19"/>
      <c r="CI103" s="19"/>
    </row>
    <row r="104" spans="72:87" ht="15.75" thickBot="1" x14ac:dyDescent="0.3">
      <c r="CC104" s="20" t="s">
        <v>1</v>
      </c>
      <c r="CD104" s="20">
        <v>9079.4447424684222</v>
      </c>
      <c r="CE104" s="20">
        <v>20</v>
      </c>
      <c r="CF104" s="20"/>
      <c r="CG104" s="20"/>
      <c r="CH104" s="20"/>
      <c r="CI104" s="20"/>
    </row>
  </sheetData>
  <pageMargins left="0.7" right="0.7" top="0.75" bottom="0.75" header="0.3" footer="0.3"/>
  <ignoredErrors>
    <ignoredError sqref="L5 J9:N11" formulaRange="1"/>
  </ignoredErrors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W25"/>
  <sheetViews>
    <sheetView workbookViewId="0"/>
  </sheetViews>
  <sheetFormatPr defaultRowHeight="15" x14ac:dyDescent="0.25"/>
  <cols>
    <col min="1" max="1" width="18.140625" customWidth="1"/>
    <col min="9" max="9" width="17.5703125" customWidth="1"/>
    <col min="17" max="17" width="18.28515625" customWidth="1"/>
    <col min="18" max="23" width="9.42578125" customWidth="1"/>
  </cols>
  <sheetData>
    <row r="1" spans="1:21" x14ac:dyDescent="0.25">
      <c r="A1" t="s">
        <v>1300</v>
      </c>
      <c r="I1" t="s">
        <v>1301</v>
      </c>
      <c r="Q1" t="s">
        <v>1302</v>
      </c>
    </row>
    <row r="2" spans="1:21" ht="15.75" thickBot="1" x14ac:dyDescent="0.3"/>
    <row r="3" spans="1:21" x14ac:dyDescent="0.25">
      <c r="A3" s="512" t="s">
        <v>62</v>
      </c>
      <c r="B3" s="512" t="s">
        <v>22</v>
      </c>
      <c r="C3" s="512" t="s">
        <v>21</v>
      </c>
      <c r="D3" s="512" t="s">
        <v>465</v>
      </c>
      <c r="E3" s="512" t="s">
        <v>80</v>
      </c>
      <c r="I3" s="646" t="s">
        <v>62</v>
      </c>
      <c r="J3" s="646" t="s">
        <v>22</v>
      </c>
      <c r="K3" s="646" t="s">
        <v>21</v>
      </c>
      <c r="L3" s="646" t="s">
        <v>465</v>
      </c>
      <c r="M3" s="646" t="s">
        <v>80</v>
      </c>
      <c r="Q3" s="646" t="s">
        <v>62</v>
      </c>
      <c r="R3" s="646" t="s">
        <v>22</v>
      </c>
      <c r="S3" s="646" t="s">
        <v>21</v>
      </c>
      <c r="T3" s="646" t="s">
        <v>465</v>
      </c>
      <c r="U3" s="646" t="s">
        <v>80</v>
      </c>
    </row>
    <row r="4" spans="1:21" x14ac:dyDescent="0.25">
      <c r="A4" s="19" t="s">
        <v>1151</v>
      </c>
      <c r="B4" s="19">
        <v>5</v>
      </c>
      <c r="C4" s="19">
        <v>1794</v>
      </c>
      <c r="D4" s="19">
        <v>358.8</v>
      </c>
      <c r="E4" s="19">
        <v>8705.2000000000116</v>
      </c>
      <c r="I4" s="19" t="s">
        <v>1151</v>
      </c>
      <c r="J4" s="19">
        <v>5</v>
      </c>
      <c r="K4" s="19">
        <v>1154</v>
      </c>
      <c r="L4" s="19">
        <v>230.8</v>
      </c>
      <c r="M4" s="19">
        <v>14531.699999999997</v>
      </c>
      <c r="Q4" s="19" t="s">
        <v>1151</v>
      </c>
      <c r="R4" s="19">
        <v>5</v>
      </c>
      <c r="S4" s="19">
        <v>1249</v>
      </c>
      <c r="T4" s="19">
        <v>249.8</v>
      </c>
      <c r="U4" s="19">
        <v>14201.699999999997</v>
      </c>
    </row>
    <row r="5" spans="1:21" x14ac:dyDescent="0.25">
      <c r="A5" s="19" t="s">
        <v>1152</v>
      </c>
      <c r="B5" s="19">
        <v>5</v>
      </c>
      <c r="C5" s="19">
        <v>1293</v>
      </c>
      <c r="D5" s="19">
        <v>258.60000000000002</v>
      </c>
      <c r="E5" s="19">
        <v>15928.300000000003</v>
      </c>
      <c r="I5" s="19" t="s">
        <v>1152</v>
      </c>
      <c r="J5" s="19">
        <v>5</v>
      </c>
      <c r="K5" s="19">
        <v>1227</v>
      </c>
      <c r="L5" s="19">
        <v>245.4</v>
      </c>
      <c r="M5" s="19">
        <v>30900.800000000003</v>
      </c>
      <c r="Q5" s="19" t="s">
        <v>1152</v>
      </c>
      <c r="R5" s="19">
        <v>5</v>
      </c>
      <c r="S5" s="19">
        <v>1395</v>
      </c>
      <c r="T5" s="19">
        <v>279</v>
      </c>
      <c r="U5" s="19">
        <v>14387.5</v>
      </c>
    </row>
    <row r="6" spans="1:21" x14ac:dyDescent="0.25">
      <c r="A6" s="19" t="s">
        <v>1153</v>
      </c>
      <c r="B6" s="19">
        <v>5</v>
      </c>
      <c r="C6" s="19">
        <v>1659</v>
      </c>
      <c r="D6" s="19">
        <v>331.8</v>
      </c>
      <c r="E6" s="19">
        <v>5581.7000000000116</v>
      </c>
      <c r="I6" s="19" t="s">
        <v>1153</v>
      </c>
      <c r="J6" s="19">
        <v>5</v>
      </c>
      <c r="K6" s="19">
        <v>1374</v>
      </c>
      <c r="L6" s="19">
        <v>274.8</v>
      </c>
      <c r="M6" s="19">
        <v>29150.699999999997</v>
      </c>
      <c r="Q6" s="19" t="s">
        <v>1153</v>
      </c>
      <c r="R6" s="19">
        <v>5</v>
      </c>
      <c r="S6" s="19">
        <v>1292</v>
      </c>
      <c r="T6" s="19">
        <v>258.39999999999998</v>
      </c>
      <c r="U6" s="19">
        <v>20328.800000000003</v>
      </c>
    </row>
    <row r="7" spans="1:21" x14ac:dyDescent="0.25">
      <c r="A7" s="19" t="s">
        <v>1154</v>
      </c>
      <c r="B7" s="19">
        <v>5</v>
      </c>
      <c r="C7" s="19">
        <v>1861</v>
      </c>
      <c r="D7" s="19">
        <v>372.2</v>
      </c>
      <c r="E7" s="19">
        <v>8547.7000000000116</v>
      </c>
      <c r="I7" s="19" t="s">
        <v>1154</v>
      </c>
      <c r="J7" s="19">
        <v>5</v>
      </c>
      <c r="K7" s="19">
        <v>1172</v>
      </c>
      <c r="L7" s="19">
        <v>234.4</v>
      </c>
      <c r="M7" s="19">
        <v>2907.8000000000029</v>
      </c>
      <c r="Q7" s="19" t="s">
        <v>1154</v>
      </c>
      <c r="R7" s="19">
        <v>5</v>
      </c>
      <c r="S7" s="19">
        <v>1323</v>
      </c>
      <c r="T7" s="19">
        <v>264.60000000000002</v>
      </c>
      <c r="U7" s="19">
        <v>15914.300000000003</v>
      </c>
    </row>
    <row r="8" spans="1:21" x14ac:dyDescent="0.25">
      <c r="A8" s="19" t="s">
        <v>1155</v>
      </c>
      <c r="B8" s="19">
        <v>5</v>
      </c>
      <c r="C8" s="19">
        <v>1185</v>
      </c>
      <c r="D8" s="19">
        <v>237</v>
      </c>
      <c r="E8" s="19">
        <v>5664.5</v>
      </c>
      <c r="I8" s="19" t="s">
        <v>1155</v>
      </c>
      <c r="J8" s="19">
        <v>5</v>
      </c>
      <c r="K8" s="19">
        <v>1071</v>
      </c>
      <c r="L8" s="19">
        <v>214.2</v>
      </c>
      <c r="M8" s="19">
        <v>20786.199999999997</v>
      </c>
      <c r="Q8" s="19" t="s">
        <v>1155</v>
      </c>
      <c r="R8" s="19">
        <v>5</v>
      </c>
      <c r="S8" s="19">
        <v>1767</v>
      </c>
      <c r="T8" s="19">
        <v>353.4</v>
      </c>
      <c r="U8" s="19">
        <v>19106.799999999988</v>
      </c>
    </row>
    <row r="9" spans="1:21" x14ac:dyDescent="0.25">
      <c r="A9" s="19" t="s">
        <v>1156</v>
      </c>
      <c r="B9" s="19">
        <v>5</v>
      </c>
      <c r="C9" s="19">
        <v>1448</v>
      </c>
      <c r="D9" s="19">
        <v>289.60000000000002</v>
      </c>
      <c r="E9" s="19">
        <v>13308.800000000003</v>
      </c>
      <c r="I9" s="19" t="s">
        <v>1156</v>
      </c>
      <c r="J9" s="19">
        <v>5</v>
      </c>
      <c r="K9" s="19">
        <v>776</v>
      </c>
      <c r="L9" s="19">
        <v>155.19999999999999</v>
      </c>
      <c r="M9" s="19">
        <v>9026.2000000000007</v>
      </c>
      <c r="Q9" s="19" t="s">
        <v>1156</v>
      </c>
      <c r="R9" s="19">
        <v>5</v>
      </c>
      <c r="S9" s="19">
        <v>1667</v>
      </c>
      <c r="T9" s="19">
        <v>333.4</v>
      </c>
      <c r="U9" s="19">
        <v>26366.799999999988</v>
      </c>
    </row>
    <row r="10" spans="1:21" x14ac:dyDescent="0.25">
      <c r="A10" s="19" t="s">
        <v>1157</v>
      </c>
      <c r="B10" s="19">
        <v>5</v>
      </c>
      <c r="C10" s="19">
        <v>1777</v>
      </c>
      <c r="D10" s="19">
        <v>355.4</v>
      </c>
      <c r="E10" s="19">
        <v>7384.7999999999884</v>
      </c>
      <c r="I10" s="19" t="s">
        <v>1157</v>
      </c>
      <c r="J10" s="19">
        <v>5</v>
      </c>
      <c r="K10" s="19">
        <v>803</v>
      </c>
      <c r="L10" s="19">
        <v>160.6</v>
      </c>
      <c r="M10" s="19">
        <v>15467.3</v>
      </c>
      <c r="Q10" s="19" t="s">
        <v>1157</v>
      </c>
      <c r="R10" s="19">
        <v>5</v>
      </c>
      <c r="S10" s="19">
        <v>1303</v>
      </c>
      <c r="T10" s="19">
        <v>260.60000000000002</v>
      </c>
      <c r="U10" s="19">
        <v>8206.3000000000029</v>
      </c>
    </row>
    <row r="11" spans="1:21" x14ac:dyDescent="0.25">
      <c r="A11" s="19"/>
      <c r="B11" s="19"/>
      <c r="C11" s="19"/>
      <c r="D11" s="19"/>
      <c r="E11" s="19"/>
      <c r="I11" s="19"/>
      <c r="J11" s="19"/>
      <c r="K11" s="19"/>
      <c r="L11" s="19"/>
      <c r="M11" s="19"/>
      <c r="Q11" s="19"/>
      <c r="R11" s="19"/>
      <c r="S11" s="19"/>
      <c r="T11" s="19"/>
      <c r="U11" s="19"/>
    </row>
    <row r="12" spans="1:21" x14ac:dyDescent="0.25">
      <c r="A12" s="19" t="s">
        <v>1158</v>
      </c>
      <c r="B12" s="19">
        <v>7</v>
      </c>
      <c r="C12" s="19">
        <v>1294</v>
      </c>
      <c r="D12" s="19">
        <v>184.85714285714286</v>
      </c>
      <c r="E12" s="19">
        <v>5971.1428571428551</v>
      </c>
      <c r="I12" s="19" t="s">
        <v>1158</v>
      </c>
      <c r="J12" s="19">
        <v>7</v>
      </c>
      <c r="K12" s="19">
        <v>381</v>
      </c>
      <c r="L12" s="19">
        <v>54.428571428571431</v>
      </c>
      <c r="M12" s="19">
        <v>4377.6190476190477</v>
      </c>
      <c r="Q12" s="19" t="s">
        <v>1158</v>
      </c>
      <c r="R12" s="19">
        <v>7</v>
      </c>
      <c r="S12" s="19">
        <v>612</v>
      </c>
      <c r="T12" s="19">
        <v>87.428571428571431</v>
      </c>
      <c r="U12" s="19">
        <v>937.61904761904714</v>
      </c>
    </row>
    <row r="13" spans="1:21" x14ac:dyDescent="0.25">
      <c r="A13" s="19" t="s">
        <v>1159</v>
      </c>
      <c r="B13" s="19">
        <v>7</v>
      </c>
      <c r="C13" s="19">
        <v>1819</v>
      </c>
      <c r="D13" s="19">
        <v>259.85714285714283</v>
      </c>
      <c r="E13" s="19">
        <v>2915.1428571428601</v>
      </c>
      <c r="I13" s="19" t="s">
        <v>1159</v>
      </c>
      <c r="J13" s="19">
        <v>7</v>
      </c>
      <c r="K13" s="19">
        <v>834</v>
      </c>
      <c r="L13" s="19">
        <v>119.14285714285714</v>
      </c>
      <c r="M13" s="19">
        <v>2236.8095238095243</v>
      </c>
      <c r="Q13" s="19" t="s">
        <v>1159</v>
      </c>
      <c r="R13" s="19">
        <v>7</v>
      </c>
      <c r="S13" s="19">
        <v>1671</v>
      </c>
      <c r="T13" s="19">
        <v>238.71428571428572</v>
      </c>
      <c r="U13" s="19">
        <v>4400.9047619047633</v>
      </c>
    </row>
    <row r="14" spans="1:21" x14ac:dyDescent="0.25">
      <c r="A14" s="19" t="s">
        <v>1160</v>
      </c>
      <c r="B14" s="19">
        <v>7</v>
      </c>
      <c r="C14" s="19">
        <v>2680</v>
      </c>
      <c r="D14" s="19">
        <v>382.85714285714283</v>
      </c>
      <c r="E14" s="19">
        <v>4241.1428571428596</v>
      </c>
      <c r="I14" s="19" t="s">
        <v>1160</v>
      </c>
      <c r="J14" s="19">
        <v>7</v>
      </c>
      <c r="K14" s="19">
        <v>2222</v>
      </c>
      <c r="L14" s="19">
        <v>317.42857142857144</v>
      </c>
      <c r="M14" s="19">
        <v>5699.2857142857201</v>
      </c>
      <c r="Q14" s="19" t="s">
        <v>1160</v>
      </c>
      <c r="R14" s="19">
        <v>7</v>
      </c>
      <c r="S14" s="19">
        <v>2587</v>
      </c>
      <c r="T14" s="19">
        <v>369.57142857142856</v>
      </c>
      <c r="U14" s="19">
        <v>3550.6190476190532</v>
      </c>
    </row>
    <row r="15" spans="1:21" x14ac:dyDescent="0.25">
      <c r="A15" s="19" t="s">
        <v>1161</v>
      </c>
      <c r="B15" s="19">
        <v>7</v>
      </c>
      <c r="C15" s="19">
        <v>2538</v>
      </c>
      <c r="D15" s="19">
        <v>362.57142857142856</v>
      </c>
      <c r="E15" s="19">
        <v>3318.2857142857197</v>
      </c>
      <c r="I15" s="19" t="s">
        <v>1161</v>
      </c>
      <c r="J15" s="19">
        <v>7</v>
      </c>
      <c r="K15" s="19">
        <v>1971</v>
      </c>
      <c r="L15" s="19">
        <v>281.57142857142856</v>
      </c>
      <c r="M15" s="19">
        <v>3628.9523809523866</v>
      </c>
      <c r="Q15" s="19" t="s">
        <v>1161</v>
      </c>
      <c r="R15" s="19">
        <v>7</v>
      </c>
      <c r="S15" s="19">
        <v>2620</v>
      </c>
      <c r="T15" s="19">
        <v>374.28571428571428</v>
      </c>
      <c r="U15" s="19">
        <v>2882.9047619047537</v>
      </c>
    </row>
    <row r="16" spans="1:21" ht="15.75" thickBot="1" x14ac:dyDescent="0.3">
      <c r="A16" s="20" t="s">
        <v>1162</v>
      </c>
      <c r="B16" s="20">
        <v>7</v>
      </c>
      <c r="C16" s="20">
        <v>2686</v>
      </c>
      <c r="D16" s="20">
        <v>383.71428571428572</v>
      </c>
      <c r="E16" s="20">
        <v>4318.9047619047533</v>
      </c>
      <c r="I16" s="20" t="s">
        <v>1162</v>
      </c>
      <c r="J16" s="20">
        <v>7</v>
      </c>
      <c r="K16" s="20">
        <v>2169</v>
      </c>
      <c r="L16" s="20">
        <v>309.85714285714283</v>
      </c>
      <c r="M16" s="20">
        <v>6914.4761904761936</v>
      </c>
      <c r="Q16" s="20" t="s">
        <v>1162</v>
      </c>
      <c r="R16" s="20">
        <v>7</v>
      </c>
      <c r="S16" s="20">
        <v>2506</v>
      </c>
      <c r="T16" s="20">
        <v>358</v>
      </c>
      <c r="U16" s="20">
        <v>3680.3333333333335</v>
      </c>
    </row>
    <row r="19" spans="1:23" ht="15.75" thickBot="1" x14ac:dyDescent="0.3">
      <c r="A19" t="s">
        <v>294</v>
      </c>
      <c r="I19" t="s">
        <v>294</v>
      </c>
      <c r="Q19" t="s">
        <v>294</v>
      </c>
    </row>
    <row r="20" spans="1:23" x14ac:dyDescent="0.25">
      <c r="A20" s="512" t="s">
        <v>466</v>
      </c>
      <c r="B20" s="512" t="s">
        <v>219</v>
      </c>
      <c r="C20" s="512" t="s">
        <v>60</v>
      </c>
      <c r="D20" s="512" t="s">
        <v>240</v>
      </c>
      <c r="E20" s="512" t="s">
        <v>135</v>
      </c>
      <c r="F20" s="512" t="s">
        <v>119</v>
      </c>
      <c r="G20" s="512" t="s">
        <v>467</v>
      </c>
      <c r="I20" s="646" t="s">
        <v>466</v>
      </c>
      <c r="J20" s="646" t="s">
        <v>219</v>
      </c>
      <c r="K20" s="646" t="s">
        <v>60</v>
      </c>
      <c r="L20" s="646" t="s">
        <v>240</v>
      </c>
      <c r="M20" s="646" t="s">
        <v>135</v>
      </c>
      <c r="N20" s="646" t="s">
        <v>119</v>
      </c>
      <c r="O20" s="646" t="s">
        <v>467</v>
      </c>
      <c r="Q20" s="646" t="s">
        <v>466</v>
      </c>
      <c r="R20" s="646" t="s">
        <v>219</v>
      </c>
      <c r="S20" s="646" t="s">
        <v>60</v>
      </c>
      <c r="T20" s="646" t="s">
        <v>240</v>
      </c>
      <c r="U20" s="646" t="s">
        <v>135</v>
      </c>
      <c r="V20" s="646" t="s">
        <v>119</v>
      </c>
      <c r="W20" s="646" t="s">
        <v>467</v>
      </c>
    </row>
    <row r="21" spans="1:23" x14ac:dyDescent="0.25">
      <c r="A21" s="19" t="s">
        <v>136</v>
      </c>
      <c r="B21" s="19">
        <v>85072.171428571397</v>
      </c>
      <c r="C21" s="19">
        <v>6</v>
      </c>
      <c r="D21" s="19">
        <v>14178.695238095233</v>
      </c>
      <c r="E21" s="19">
        <v>8.6115148903433116</v>
      </c>
      <c r="F21" s="19">
        <v>4.7218804282676579E-5</v>
      </c>
      <c r="G21" s="19">
        <v>2.5081888234232559</v>
      </c>
      <c r="I21" s="19" t="s">
        <v>136</v>
      </c>
      <c r="J21" s="19">
        <v>58233.942857142829</v>
      </c>
      <c r="K21" s="19">
        <v>6</v>
      </c>
      <c r="L21" s="19">
        <v>9705.6571428571388</v>
      </c>
      <c r="M21" s="19">
        <v>2.9519576278182553</v>
      </c>
      <c r="N21" s="19">
        <v>2.6540423840703348E-2</v>
      </c>
      <c r="O21" s="19">
        <v>2.5081888234232559</v>
      </c>
      <c r="Q21" s="19" t="s">
        <v>136</v>
      </c>
      <c r="R21" s="19">
        <v>50063.599999999977</v>
      </c>
      <c r="S21" s="19">
        <v>6</v>
      </c>
      <c r="T21" s="19">
        <v>8343.9333333333288</v>
      </c>
      <c r="U21" s="19">
        <v>4.6952211118360836</v>
      </c>
      <c r="V21" s="19">
        <v>2.7144649208904891E-3</v>
      </c>
      <c r="W21" s="19">
        <v>2.5081888234232559</v>
      </c>
    </row>
    <row r="22" spans="1:23" x14ac:dyDescent="0.25">
      <c r="A22" s="19" t="s">
        <v>589</v>
      </c>
      <c r="B22" s="19">
        <v>220968.45714285711</v>
      </c>
      <c r="C22" s="19">
        <v>4</v>
      </c>
      <c r="D22" s="19">
        <v>55242.114285714277</v>
      </c>
      <c r="E22" s="19">
        <v>33.551626701681158</v>
      </c>
      <c r="F22" s="19">
        <v>1.6606146059093755E-9</v>
      </c>
      <c r="G22" s="19">
        <v>2.7762892892514786</v>
      </c>
      <c r="I22" s="19" t="s">
        <v>589</v>
      </c>
      <c r="J22" s="19">
        <v>412173.88571428566</v>
      </c>
      <c r="K22" s="19">
        <v>4</v>
      </c>
      <c r="L22" s="19">
        <v>103043.47142857141</v>
      </c>
      <c r="M22" s="19">
        <v>31.340480814769411</v>
      </c>
      <c r="N22" s="19">
        <v>3.2800032757234696E-9</v>
      </c>
      <c r="O22" s="19">
        <v>2.7762892892514786</v>
      </c>
      <c r="Q22" s="19" t="s">
        <v>589</v>
      </c>
      <c r="R22" s="19">
        <v>431398.11428571434</v>
      </c>
      <c r="S22" s="19">
        <v>4</v>
      </c>
      <c r="T22" s="19">
        <v>107849.52857142859</v>
      </c>
      <c r="U22" s="19">
        <v>60.688090762566894</v>
      </c>
      <c r="V22" s="19">
        <v>3.3537021761768956E-12</v>
      </c>
      <c r="W22" s="19">
        <v>2.7762892892514786</v>
      </c>
    </row>
    <row r="23" spans="1:23" x14ac:dyDescent="0.25">
      <c r="A23" s="19" t="s">
        <v>588</v>
      </c>
      <c r="B23" s="19">
        <v>39515.542857142922</v>
      </c>
      <c r="C23" s="19">
        <v>24</v>
      </c>
      <c r="D23" s="19">
        <v>1646.4809523809552</v>
      </c>
      <c r="E23" s="19"/>
      <c r="F23" s="19"/>
      <c r="G23" s="19"/>
      <c r="I23" s="19" t="s">
        <v>588</v>
      </c>
      <c r="J23" s="19">
        <v>78908.914285714331</v>
      </c>
      <c r="K23" s="19">
        <v>24</v>
      </c>
      <c r="L23" s="19">
        <v>3287.8714285714304</v>
      </c>
      <c r="M23" s="19"/>
      <c r="N23" s="19"/>
      <c r="O23" s="19"/>
      <c r="Q23" s="19" t="s">
        <v>588</v>
      </c>
      <c r="R23" s="19">
        <v>42650.685714285704</v>
      </c>
      <c r="S23" s="19">
        <v>24</v>
      </c>
      <c r="T23" s="19">
        <v>1777.1119047619043</v>
      </c>
      <c r="U23" s="19"/>
      <c r="V23" s="19"/>
      <c r="W23" s="19"/>
    </row>
    <row r="24" spans="1:23" x14ac:dyDescent="0.25">
      <c r="A24" s="19"/>
      <c r="B24" s="19"/>
      <c r="C24" s="19"/>
      <c r="D24" s="19"/>
      <c r="E24" s="19"/>
      <c r="F24" s="19"/>
      <c r="G24" s="19"/>
      <c r="I24" s="19"/>
      <c r="J24" s="19"/>
      <c r="K24" s="19"/>
      <c r="L24" s="19"/>
      <c r="M24" s="19"/>
      <c r="N24" s="19"/>
      <c r="O24" s="19"/>
      <c r="Q24" s="19"/>
      <c r="R24" s="19"/>
      <c r="S24" s="19"/>
      <c r="T24" s="19"/>
      <c r="U24" s="19"/>
      <c r="V24" s="19"/>
      <c r="W24" s="19"/>
    </row>
    <row r="25" spans="1:23" ht="15.75" thickBot="1" x14ac:dyDescent="0.3">
      <c r="A25" s="20" t="s">
        <v>1</v>
      </c>
      <c r="B25" s="20">
        <v>345556.1714285714</v>
      </c>
      <c r="C25" s="20">
        <v>34</v>
      </c>
      <c r="D25" s="20"/>
      <c r="E25" s="20"/>
      <c r="F25" s="20"/>
      <c r="G25" s="20"/>
      <c r="I25" s="20" t="s">
        <v>1</v>
      </c>
      <c r="J25" s="20">
        <v>549316.74285714282</v>
      </c>
      <c r="K25" s="20">
        <v>34</v>
      </c>
      <c r="L25" s="20"/>
      <c r="M25" s="20"/>
      <c r="N25" s="20"/>
      <c r="O25" s="20"/>
      <c r="Q25" s="20" t="s">
        <v>1</v>
      </c>
      <c r="R25" s="20">
        <v>524112.4</v>
      </c>
      <c r="S25" s="20">
        <v>34</v>
      </c>
      <c r="T25" s="20"/>
      <c r="U25" s="20"/>
      <c r="V25" s="20"/>
      <c r="W25" s="20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/>
  <dimension ref="A1:AK28"/>
  <sheetViews>
    <sheetView zoomScaleNormal="100" workbookViewId="0"/>
  </sheetViews>
  <sheetFormatPr defaultRowHeight="15" x14ac:dyDescent="0.25"/>
  <cols>
    <col min="2" max="6" width="6.5703125" customWidth="1"/>
    <col min="8" max="8" width="11.140625" customWidth="1"/>
    <col min="16" max="16" width="17" customWidth="1"/>
  </cols>
  <sheetData>
    <row r="1" spans="1:37" x14ac:dyDescent="0.25">
      <c r="A1" s="1" t="s">
        <v>1110</v>
      </c>
      <c r="Y1" t="s">
        <v>2184</v>
      </c>
      <c r="AF1" t="s">
        <v>2185</v>
      </c>
    </row>
    <row r="3" spans="1:37" x14ac:dyDescent="0.25">
      <c r="A3" s="998" t="s">
        <v>2</v>
      </c>
      <c r="B3" s="13" t="s">
        <v>1086</v>
      </c>
      <c r="C3" s="13" t="s">
        <v>1087</v>
      </c>
      <c r="D3" s="13" t="s">
        <v>1088</v>
      </c>
      <c r="E3" s="13" t="s">
        <v>1089</v>
      </c>
      <c r="F3" s="13" t="s">
        <v>1090</v>
      </c>
      <c r="H3" t="s">
        <v>27</v>
      </c>
      <c r="P3" t="s">
        <v>2179</v>
      </c>
      <c r="Y3" s="998" t="s">
        <v>2</v>
      </c>
      <c r="Z3" s="13" t="s">
        <v>1086</v>
      </c>
      <c r="AA3" s="13" t="s">
        <v>1087</v>
      </c>
      <c r="AB3" s="13" t="s">
        <v>1088</v>
      </c>
      <c r="AC3" s="13" t="s">
        <v>1089</v>
      </c>
      <c r="AD3" s="13" t="s">
        <v>1090</v>
      </c>
      <c r="AF3" t="str">
        <f t="array" ref="AF3:AK24">[1]!QSORTRows(Y3:AD24,1,TRUE)</f>
        <v>Age</v>
      </c>
      <c r="AG3" t="str">
        <v>Day 1</v>
      </c>
      <c r="AH3" t="str">
        <v>Day 2</v>
      </c>
      <c r="AI3" t="str">
        <v>Day 3</v>
      </c>
      <c r="AJ3" t="str">
        <v>Day 4</v>
      </c>
      <c r="AK3" t="str">
        <v>Day 5</v>
      </c>
    </row>
    <row r="4" spans="1:37" x14ac:dyDescent="0.25">
      <c r="A4" s="527" t="s">
        <v>1084</v>
      </c>
      <c r="B4" s="544">
        <v>250</v>
      </c>
      <c r="C4" s="545">
        <v>278</v>
      </c>
      <c r="D4" s="545">
        <v>442</v>
      </c>
      <c r="E4" s="545">
        <v>368</v>
      </c>
      <c r="F4" s="546">
        <v>456</v>
      </c>
      <c r="Y4" s="868" t="s">
        <v>1084</v>
      </c>
      <c r="Z4" s="1000">
        <v>230</v>
      </c>
      <c r="AA4" s="1000">
        <v>306</v>
      </c>
      <c r="AB4" s="1000">
        <v>432</v>
      </c>
      <c r="AC4" s="1000">
        <v>386</v>
      </c>
      <c r="AD4" s="1001">
        <v>423</v>
      </c>
      <c r="AF4" t="str">
        <v>Middle</v>
      </c>
      <c r="AG4" s="869">
        <v>29</v>
      </c>
      <c r="AH4" s="867">
        <v>81</v>
      </c>
      <c r="AI4" s="867">
        <v>193</v>
      </c>
      <c r="AJ4" s="867">
        <v>240</v>
      </c>
      <c r="AK4" s="870">
        <v>233</v>
      </c>
    </row>
    <row r="5" spans="1:37" ht="15.75" thickBot="1" x14ac:dyDescent="0.3">
      <c r="A5" s="532"/>
      <c r="B5" s="547">
        <v>65</v>
      </c>
      <c r="C5" s="548">
        <v>207</v>
      </c>
      <c r="D5" s="548">
        <v>341</v>
      </c>
      <c r="E5" s="548">
        <v>382</v>
      </c>
      <c r="F5" s="549">
        <v>298</v>
      </c>
      <c r="H5" t="s">
        <v>1666</v>
      </c>
      <c r="I5" t="str">
        <f>IF(COUNTIF(I7:M9,I7)=COUNT(I7:M9),"balanced","unbalanced")</f>
        <v>balanced</v>
      </c>
      <c r="P5" t="s">
        <v>294</v>
      </c>
      <c r="T5" s="996" t="s">
        <v>34</v>
      </c>
      <c r="U5" s="996">
        <v>0.05</v>
      </c>
      <c r="Y5" s="503" t="s">
        <v>1085</v>
      </c>
      <c r="Z5" s="548">
        <v>54</v>
      </c>
      <c r="AA5" s="548">
        <v>172</v>
      </c>
      <c r="AB5" s="548">
        <v>307</v>
      </c>
      <c r="AC5" s="548">
        <v>261</v>
      </c>
      <c r="AD5" s="549">
        <v>360</v>
      </c>
      <c r="AF5" t="str">
        <v>Middle</v>
      </c>
      <c r="AG5" s="532">
        <v>20</v>
      </c>
      <c r="AH5" s="7">
        <v>116</v>
      </c>
      <c r="AI5" s="7">
        <v>425</v>
      </c>
      <c r="AJ5" s="7">
        <v>398</v>
      </c>
      <c r="AK5" s="533">
        <v>268</v>
      </c>
    </row>
    <row r="6" spans="1:37" ht="15.75" thickTop="1" x14ac:dyDescent="0.25">
      <c r="A6" s="532"/>
      <c r="B6" s="547">
        <v>251</v>
      </c>
      <c r="C6" s="548">
        <v>261</v>
      </c>
      <c r="D6" s="548">
        <v>384</v>
      </c>
      <c r="E6" s="548">
        <v>421</v>
      </c>
      <c r="F6" s="549">
        <v>342</v>
      </c>
      <c r="I6" s="996" t="str">
        <f>B3</f>
        <v>Day 1</v>
      </c>
      <c r="J6" s="996" t="str">
        <f>C3</f>
        <v>Day 2</v>
      </c>
      <c r="K6" s="996" t="str">
        <f>D3</f>
        <v>Day 3</v>
      </c>
      <c r="L6" s="996" t="str">
        <f>E3</f>
        <v>Day 4</v>
      </c>
      <c r="M6" s="996" t="str">
        <f>F3</f>
        <v>Day 5</v>
      </c>
      <c r="P6" s="826"/>
      <c r="Q6" s="826" t="s">
        <v>219</v>
      </c>
      <c r="R6" s="826" t="s">
        <v>60</v>
      </c>
      <c r="S6" s="826" t="s">
        <v>240</v>
      </c>
      <c r="T6" s="826" t="s">
        <v>135</v>
      </c>
      <c r="U6" s="826" t="s">
        <v>460</v>
      </c>
      <c r="V6" s="826" t="s">
        <v>467</v>
      </c>
      <c r="Y6" s="503" t="s">
        <v>76</v>
      </c>
      <c r="Z6" s="548">
        <v>118</v>
      </c>
      <c r="AA6" s="548">
        <v>124</v>
      </c>
      <c r="AB6" s="548">
        <v>365</v>
      </c>
      <c r="AC6" s="548">
        <v>311</v>
      </c>
      <c r="AD6" s="549">
        <v>331</v>
      </c>
      <c r="AF6" t="str">
        <v>Middle</v>
      </c>
      <c r="AG6" s="532">
        <v>54</v>
      </c>
      <c r="AH6" s="7">
        <v>172</v>
      </c>
      <c r="AI6" s="7">
        <v>307</v>
      </c>
      <c r="AJ6" s="7">
        <v>261</v>
      </c>
      <c r="AK6" s="533">
        <v>360</v>
      </c>
    </row>
    <row r="7" spans="1:37" x14ac:dyDescent="0.25">
      <c r="A7" s="532"/>
      <c r="B7" s="547">
        <v>241</v>
      </c>
      <c r="C7" s="548">
        <v>314</v>
      </c>
      <c r="D7" s="548">
        <v>423</v>
      </c>
      <c r="E7" s="548">
        <v>415</v>
      </c>
      <c r="F7" s="549">
        <v>468</v>
      </c>
      <c r="H7" t="str">
        <f>A4</f>
        <v>Young</v>
      </c>
      <c r="I7" s="865">
        <f>COUNT(B4:B10)</f>
        <v>7</v>
      </c>
      <c r="J7" s="798">
        <f>COUNT(C4:C10)</f>
        <v>7</v>
      </c>
      <c r="K7" s="798">
        <f>COUNT(D4:D10)</f>
        <v>7</v>
      </c>
      <c r="L7" s="798">
        <f>COUNT(E4:E10)</f>
        <v>7</v>
      </c>
      <c r="M7" s="866">
        <f>COUNT(F4:F10)</f>
        <v>7</v>
      </c>
      <c r="N7">
        <f>COUNT(B4:F10)</f>
        <v>35</v>
      </c>
      <c r="P7" t="s">
        <v>1076</v>
      </c>
      <c r="Q7">
        <f>DEVSQ([1]!MEANROW(B4:F24))*(R11+1)</f>
        <v>371727.82857142854</v>
      </c>
      <c r="R7">
        <f>I10-1</f>
        <v>20</v>
      </c>
      <c r="Y7" s="503" t="s">
        <v>1085</v>
      </c>
      <c r="Z7" s="548">
        <v>41</v>
      </c>
      <c r="AA7" s="548">
        <v>168</v>
      </c>
      <c r="AB7" s="548">
        <v>378</v>
      </c>
      <c r="AC7" s="548">
        <v>317</v>
      </c>
      <c r="AD7" s="549">
        <v>470</v>
      </c>
      <c r="AF7" t="str">
        <v>Middle</v>
      </c>
      <c r="AG7" s="532">
        <v>41</v>
      </c>
      <c r="AH7" s="7">
        <v>168</v>
      </c>
      <c r="AI7" s="7">
        <v>378</v>
      </c>
      <c r="AJ7" s="7">
        <v>317</v>
      </c>
      <c r="AK7" s="533">
        <v>470</v>
      </c>
    </row>
    <row r="8" spans="1:37" x14ac:dyDescent="0.25">
      <c r="A8" s="532"/>
      <c r="B8" s="547">
        <v>154</v>
      </c>
      <c r="C8" s="548">
        <v>167</v>
      </c>
      <c r="D8" s="548">
        <v>257</v>
      </c>
      <c r="E8" s="548">
        <v>275</v>
      </c>
      <c r="F8" s="549">
        <v>332</v>
      </c>
      <c r="H8" t="str">
        <f>A11</f>
        <v>Middle</v>
      </c>
      <c r="I8" s="501">
        <f>COUNT(B11:B17)</f>
        <v>7</v>
      </c>
      <c r="J8" s="7">
        <f>COUNT(C11:C17)</f>
        <v>7</v>
      </c>
      <c r="K8" s="7">
        <f>COUNT(D11:D17)</f>
        <v>7</v>
      </c>
      <c r="L8" s="7">
        <f>COUNT(E11:E17)</f>
        <v>7</v>
      </c>
      <c r="M8" s="57">
        <f>COUNT(F11:F17)</f>
        <v>7</v>
      </c>
      <c r="N8">
        <f>COUNT(B11:F17)</f>
        <v>35</v>
      </c>
      <c r="P8" t="s">
        <v>2180</v>
      </c>
      <c r="Q8">
        <f>DEVSQ(N14:N16)*N7</f>
        <v>178358.1142857142</v>
      </c>
      <c r="R8">
        <f>COUNT(N14:N16)-1</f>
        <v>2</v>
      </c>
      <c r="S8">
        <f>Q8/R8</f>
        <v>89179.057142857098</v>
      </c>
      <c r="T8">
        <f>S8/S9</f>
        <v>8.3013156145001226</v>
      </c>
      <c r="U8">
        <f>FDIST(T8,R8,R9)</f>
        <v>2.7891407228899708E-3</v>
      </c>
      <c r="V8">
        <f>FINV(U5,R8,R9)</f>
        <v>3.5545571456617879</v>
      </c>
      <c r="Y8" s="503" t="s">
        <v>76</v>
      </c>
      <c r="Z8" s="548">
        <v>83</v>
      </c>
      <c r="AA8" s="548">
        <v>266</v>
      </c>
      <c r="AB8" s="548">
        <v>382</v>
      </c>
      <c r="AC8" s="548">
        <v>369</v>
      </c>
      <c r="AD8" s="549">
        <v>295</v>
      </c>
      <c r="AF8" t="str">
        <v>Middle</v>
      </c>
      <c r="AG8" s="532">
        <v>34</v>
      </c>
      <c r="AH8" s="7">
        <v>86</v>
      </c>
      <c r="AI8" s="7">
        <v>351</v>
      </c>
      <c r="AJ8" s="7">
        <v>280</v>
      </c>
      <c r="AK8" s="533">
        <v>320</v>
      </c>
    </row>
    <row r="9" spans="1:37" x14ac:dyDescent="0.25">
      <c r="A9" s="532"/>
      <c r="B9" s="547">
        <v>103</v>
      </c>
      <c r="C9" s="548">
        <v>286</v>
      </c>
      <c r="D9" s="548">
        <v>401</v>
      </c>
      <c r="E9" s="548">
        <v>291</v>
      </c>
      <c r="F9" s="549">
        <v>367</v>
      </c>
      <c r="H9" t="str">
        <f>A18</f>
        <v>Old</v>
      </c>
      <c r="I9" s="759">
        <f>COUNT(B18:B24)</f>
        <v>7</v>
      </c>
      <c r="J9" s="760">
        <f>COUNT(C18:C24)</f>
        <v>7</v>
      </c>
      <c r="K9" s="760">
        <f>COUNT(D18:D24)</f>
        <v>7</v>
      </c>
      <c r="L9" s="760">
        <f>COUNT(E18:E24)</f>
        <v>7</v>
      </c>
      <c r="M9" s="761">
        <f>COUNT(F18:F24)</f>
        <v>7</v>
      </c>
      <c r="N9">
        <f>COUNT(B18:F24)</f>
        <v>35</v>
      </c>
      <c r="P9" t="s">
        <v>2181</v>
      </c>
      <c r="Q9">
        <f>Q7-Q8</f>
        <v>193369.71428571435</v>
      </c>
      <c r="R9">
        <f>R7-R8</f>
        <v>18</v>
      </c>
      <c r="S9">
        <f>Q9/R9</f>
        <v>10742.761904761908</v>
      </c>
      <c r="Y9" s="503" t="s">
        <v>1084</v>
      </c>
      <c r="Z9" s="548">
        <v>103</v>
      </c>
      <c r="AA9" s="548">
        <v>286</v>
      </c>
      <c r="AB9" s="548">
        <v>401</v>
      </c>
      <c r="AC9" s="548">
        <v>291</v>
      </c>
      <c r="AD9" s="549">
        <v>367</v>
      </c>
      <c r="AF9" t="str">
        <v>Middle</v>
      </c>
      <c r="AG9" s="532">
        <v>200</v>
      </c>
      <c r="AH9" s="7">
        <v>157</v>
      </c>
      <c r="AI9" s="7">
        <v>283</v>
      </c>
      <c r="AJ9" s="7">
        <v>259</v>
      </c>
      <c r="AK9" s="533">
        <v>273</v>
      </c>
    </row>
    <row r="10" spans="1:37" x14ac:dyDescent="0.25">
      <c r="A10" s="409"/>
      <c r="B10" s="550">
        <v>230</v>
      </c>
      <c r="C10" s="548">
        <v>306</v>
      </c>
      <c r="D10" s="551">
        <v>432</v>
      </c>
      <c r="E10" s="551">
        <v>386</v>
      </c>
      <c r="F10" s="552">
        <v>423</v>
      </c>
      <c r="I10">
        <f>COUNT(B4:B24)</f>
        <v>21</v>
      </c>
      <c r="J10">
        <f>COUNT(C4:C24)</f>
        <v>21</v>
      </c>
      <c r="K10">
        <f>COUNT(D4:D24)</f>
        <v>21</v>
      </c>
      <c r="L10">
        <f>COUNT(E4:E24)</f>
        <v>21</v>
      </c>
      <c r="M10">
        <f>COUNT(F4:F24)</f>
        <v>21</v>
      </c>
      <c r="N10">
        <f>COUNT(B4:F24)</f>
        <v>105</v>
      </c>
      <c r="P10" t="s">
        <v>1078</v>
      </c>
      <c r="Q10">
        <f>Q14-Q7</f>
        <v>1225615.5999999996</v>
      </c>
      <c r="R10">
        <f>R14-R7</f>
        <v>84</v>
      </c>
      <c r="Y10" s="503" t="s">
        <v>76</v>
      </c>
      <c r="Z10" s="548">
        <v>123</v>
      </c>
      <c r="AA10" s="548">
        <v>331</v>
      </c>
      <c r="AB10" s="548">
        <v>407</v>
      </c>
      <c r="AC10" s="548">
        <v>461</v>
      </c>
      <c r="AD10" s="549">
        <v>445</v>
      </c>
      <c r="AF10" t="str">
        <v>Middle</v>
      </c>
      <c r="AG10" s="532">
        <v>3</v>
      </c>
      <c r="AH10" s="7">
        <v>54</v>
      </c>
      <c r="AI10" s="7">
        <v>285</v>
      </c>
      <c r="AJ10" s="7">
        <v>216</v>
      </c>
      <c r="AK10" s="533">
        <v>245</v>
      </c>
    </row>
    <row r="11" spans="1:37" x14ac:dyDescent="0.25">
      <c r="A11" s="530" t="s">
        <v>1085</v>
      </c>
      <c r="B11" s="544">
        <v>54</v>
      </c>
      <c r="C11" s="545">
        <v>172</v>
      </c>
      <c r="D11" s="545">
        <v>307</v>
      </c>
      <c r="E11" s="545">
        <v>261</v>
      </c>
      <c r="F11" s="546">
        <v>360</v>
      </c>
      <c r="P11" t="s">
        <v>2182</v>
      </c>
      <c r="Q11">
        <f>DEVSQ(I17:M17)*I10</f>
        <v>1025800.3809523809</v>
      </c>
      <c r="R11">
        <f>COUNT(I17:M17)-1</f>
        <v>4</v>
      </c>
      <c r="S11">
        <f>Q11/R11</f>
        <v>256450.09523809524</v>
      </c>
      <c r="T11">
        <f>S11/S13</f>
        <v>114.63225504334264</v>
      </c>
      <c r="U11">
        <f>FDIST(T11,R11,R13)</f>
        <v>1.9104657472458528E-30</v>
      </c>
      <c r="V11">
        <f>FINV(U5,R11,R13)</f>
        <v>2.4989185828063061</v>
      </c>
      <c r="Y11" s="503" t="s">
        <v>1085</v>
      </c>
      <c r="Z11" s="548">
        <v>200</v>
      </c>
      <c r="AA11" s="548">
        <v>157</v>
      </c>
      <c r="AB11" s="548">
        <v>283</v>
      </c>
      <c r="AC11" s="548">
        <v>259</v>
      </c>
      <c r="AD11" s="549">
        <v>273</v>
      </c>
      <c r="AF11" t="str">
        <v>Old</v>
      </c>
      <c r="AG11" s="532">
        <v>118</v>
      </c>
      <c r="AH11" s="7">
        <v>124</v>
      </c>
      <c r="AI11" s="7">
        <v>365</v>
      </c>
      <c r="AJ11" s="7">
        <v>311</v>
      </c>
      <c r="AK11" s="533">
        <v>331</v>
      </c>
    </row>
    <row r="12" spans="1:37" x14ac:dyDescent="0.25">
      <c r="A12" s="503"/>
      <c r="B12" s="547">
        <v>20</v>
      </c>
      <c r="C12" s="548">
        <v>116</v>
      </c>
      <c r="D12" s="548">
        <v>425</v>
      </c>
      <c r="E12" s="548">
        <v>398</v>
      </c>
      <c r="F12" s="549">
        <v>268</v>
      </c>
      <c r="H12" t="s">
        <v>610</v>
      </c>
      <c r="P12" t="s">
        <v>2183</v>
      </c>
      <c r="Q12">
        <f>Q10-Q11-Q13</f>
        <v>38740.076190475753</v>
      </c>
      <c r="R12">
        <f>R8*R11</f>
        <v>8</v>
      </c>
      <c r="S12">
        <f>Q12/R12</f>
        <v>4842.5095238094691</v>
      </c>
      <c r="T12">
        <f>S12/S13</f>
        <v>2.1645840539375336</v>
      </c>
      <c r="U12">
        <f>FDIST(T12,R12,R13)</f>
        <v>4.0346173311165558E-2</v>
      </c>
      <c r="V12">
        <f>FINV(U5,R12,R13)</f>
        <v>2.0698316419588703</v>
      </c>
      <c r="Y12" s="503" t="s">
        <v>1084</v>
      </c>
      <c r="Z12" s="548">
        <v>251</v>
      </c>
      <c r="AA12" s="548">
        <v>261</v>
      </c>
      <c r="AB12" s="548">
        <v>384</v>
      </c>
      <c r="AC12" s="548">
        <v>421</v>
      </c>
      <c r="AD12" s="549">
        <v>342</v>
      </c>
      <c r="AF12" t="str">
        <v>Old</v>
      </c>
      <c r="AG12" s="532">
        <v>123</v>
      </c>
      <c r="AH12" s="7">
        <v>331</v>
      </c>
      <c r="AI12" s="7">
        <v>407</v>
      </c>
      <c r="AJ12" s="7">
        <v>461</v>
      </c>
      <c r="AK12" s="533">
        <v>445</v>
      </c>
    </row>
    <row r="13" spans="1:37" x14ac:dyDescent="0.25">
      <c r="A13" s="503"/>
      <c r="B13" s="547">
        <v>41</v>
      </c>
      <c r="C13" s="548">
        <v>168</v>
      </c>
      <c r="D13" s="548">
        <v>378</v>
      </c>
      <c r="E13" s="548">
        <v>317</v>
      </c>
      <c r="F13" s="549">
        <v>470</v>
      </c>
      <c r="I13" s="996" t="str">
        <f>B3</f>
        <v>Day 1</v>
      </c>
      <c r="J13" s="996" t="str">
        <f>C3</f>
        <v>Day 2</v>
      </c>
      <c r="K13" s="996" t="str">
        <f>D3</f>
        <v>Day 3</v>
      </c>
      <c r="L13" s="996" t="str">
        <f>E3</f>
        <v>Day 4</v>
      </c>
      <c r="M13" s="996" t="str">
        <f>F3</f>
        <v>Day 5</v>
      </c>
      <c r="P13" t="s">
        <v>2181</v>
      </c>
      <c r="Q13">
        <f>SUM(I21:M23)*(I7-1)-Q9</f>
        <v>161075.14285714293</v>
      </c>
      <c r="R13">
        <f>R10-R11-R12</f>
        <v>72</v>
      </c>
      <c r="S13">
        <f>Q13/R13</f>
        <v>2237.1547619047628</v>
      </c>
      <c r="Y13" s="503" t="s">
        <v>76</v>
      </c>
      <c r="Z13" s="548">
        <v>71</v>
      </c>
      <c r="AA13" s="548">
        <v>285</v>
      </c>
      <c r="AB13" s="548">
        <v>471</v>
      </c>
      <c r="AC13" s="548">
        <v>407</v>
      </c>
      <c r="AD13" s="549">
        <v>433</v>
      </c>
      <c r="AF13" t="str">
        <v>Old</v>
      </c>
      <c r="AG13" s="532">
        <v>108</v>
      </c>
      <c r="AH13" s="7">
        <v>247</v>
      </c>
      <c r="AI13" s="7">
        <v>317</v>
      </c>
      <c r="AJ13" s="7">
        <v>307</v>
      </c>
      <c r="AK13" s="533">
        <v>324</v>
      </c>
    </row>
    <row r="14" spans="1:37" x14ac:dyDescent="0.25">
      <c r="A14" s="503"/>
      <c r="B14" s="547">
        <v>200</v>
      </c>
      <c r="C14" s="548">
        <v>157</v>
      </c>
      <c r="D14" s="548">
        <v>283</v>
      </c>
      <c r="E14" s="548">
        <v>259</v>
      </c>
      <c r="F14" s="549">
        <v>273</v>
      </c>
      <c r="H14" t="str">
        <f>A4</f>
        <v>Young</v>
      </c>
      <c r="I14" s="865">
        <f>AVERAGE(B4:B10)</f>
        <v>184.85714285714286</v>
      </c>
      <c r="J14" s="798">
        <f>AVERAGE(C4:C10)</f>
        <v>259.85714285714283</v>
      </c>
      <c r="K14" s="798">
        <f>AVERAGE(D4:D10)</f>
        <v>382.85714285714283</v>
      </c>
      <c r="L14" s="798">
        <f>AVERAGE(E4:E10)</f>
        <v>362.57142857142856</v>
      </c>
      <c r="M14" s="866">
        <f>AVERAGE(F4:F10)</f>
        <v>383.71428571428572</v>
      </c>
      <c r="N14">
        <f>AVERAGE(B4:F10)</f>
        <v>314.77142857142854</v>
      </c>
      <c r="P14" s="762" t="s">
        <v>1</v>
      </c>
      <c r="Q14" s="762">
        <f>S14*R14</f>
        <v>1597343.4285714282</v>
      </c>
      <c r="R14" s="762">
        <f>N10-1</f>
        <v>104</v>
      </c>
      <c r="S14" s="762">
        <f>N24</f>
        <v>15359.071428571424</v>
      </c>
      <c r="T14" s="762"/>
      <c r="U14" s="762"/>
      <c r="V14" s="762"/>
      <c r="Y14" s="503" t="s">
        <v>1085</v>
      </c>
      <c r="Z14" s="548">
        <v>3</v>
      </c>
      <c r="AA14" s="548">
        <v>54</v>
      </c>
      <c r="AB14" s="548">
        <v>285</v>
      </c>
      <c r="AC14" s="548">
        <v>216</v>
      </c>
      <c r="AD14" s="549">
        <v>245</v>
      </c>
      <c r="AF14" t="str">
        <v>Old</v>
      </c>
      <c r="AG14" s="532">
        <v>71</v>
      </c>
      <c r="AH14" s="7">
        <v>285</v>
      </c>
      <c r="AI14" s="7">
        <v>471</v>
      </c>
      <c r="AJ14" s="7">
        <v>407</v>
      </c>
      <c r="AK14" s="533">
        <v>433</v>
      </c>
    </row>
    <row r="15" spans="1:37" x14ac:dyDescent="0.25">
      <c r="A15" s="503"/>
      <c r="B15" s="547">
        <v>34</v>
      </c>
      <c r="C15" s="548">
        <v>86</v>
      </c>
      <c r="D15" s="548">
        <v>351</v>
      </c>
      <c r="E15" s="548">
        <v>280</v>
      </c>
      <c r="F15" s="549">
        <v>320</v>
      </c>
      <c r="H15" t="str">
        <f>A11</f>
        <v>Middle</v>
      </c>
      <c r="I15" s="501">
        <f>AVERAGE(B11:B17)</f>
        <v>54.428571428571431</v>
      </c>
      <c r="J15" s="7">
        <f>AVERAGE(C11:C17)</f>
        <v>119.14285714285714</v>
      </c>
      <c r="K15" s="7">
        <f>AVERAGE(D11:D17)</f>
        <v>317.42857142857144</v>
      </c>
      <c r="L15" s="7">
        <f>AVERAGE(E11:E17)</f>
        <v>281.57142857142856</v>
      </c>
      <c r="M15" s="57">
        <f>AVERAGE(F11:F17)</f>
        <v>309.85714285714283</v>
      </c>
      <c r="N15">
        <f>AVERAGE(B11:F17)</f>
        <v>216.48571428571429</v>
      </c>
      <c r="Y15" s="503" t="s">
        <v>1084</v>
      </c>
      <c r="Z15" s="548">
        <v>241</v>
      </c>
      <c r="AA15" s="548">
        <v>314</v>
      </c>
      <c r="AB15" s="548">
        <v>423</v>
      </c>
      <c r="AC15" s="548">
        <v>415</v>
      </c>
      <c r="AD15" s="549">
        <v>468</v>
      </c>
      <c r="AF15" t="str">
        <v>Old</v>
      </c>
      <c r="AG15" s="532">
        <v>71</v>
      </c>
      <c r="AH15" s="7">
        <v>211</v>
      </c>
      <c r="AI15" s="7">
        <v>356</v>
      </c>
      <c r="AJ15" s="7">
        <v>380</v>
      </c>
      <c r="AK15" s="533">
        <v>305</v>
      </c>
    </row>
    <row r="16" spans="1:37" x14ac:dyDescent="0.25">
      <c r="A16" s="503"/>
      <c r="B16" s="547">
        <v>29</v>
      </c>
      <c r="C16" s="548">
        <v>81</v>
      </c>
      <c r="D16" s="548">
        <v>193</v>
      </c>
      <c r="E16" s="548">
        <v>240</v>
      </c>
      <c r="F16" s="549">
        <v>233</v>
      </c>
      <c r="H16" t="str">
        <f>A18</f>
        <v>Old</v>
      </c>
      <c r="I16" s="759">
        <f>AVERAGE(B18:B24)</f>
        <v>87.428571428571431</v>
      </c>
      <c r="J16" s="760">
        <f>AVERAGE(C18:C24)</f>
        <v>238.71428571428572</v>
      </c>
      <c r="K16" s="760">
        <f>AVERAGE(D18:D24)</f>
        <v>369.57142857142856</v>
      </c>
      <c r="L16" s="760">
        <f>AVERAGE(E18:E24)</f>
        <v>374.28571428571428</v>
      </c>
      <c r="M16" s="761">
        <f>AVERAGE(F18:F24)</f>
        <v>358</v>
      </c>
      <c r="N16">
        <f>AVERAGE(B18:F24)</f>
        <v>285.60000000000002</v>
      </c>
      <c r="Y16" s="503" t="s">
        <v>1085</v>
      </c>
      <c r="Z16" s="548">
        <v>29</v>
      </c>
      <c r="AA16" s="548">
        <v>81</v>
      </c>
      <c r="AB16" s="548">
        <v>193</v>
      </c>
      <c r="AC16" s="548">
        <v>240</v>
      </c>
      <c r="AD16" s="549">
        <v>233</v>
      </c>
      <c r="AF16" t="str">
        <v>Old</v>
      </c>
      <c r="AG16" s="532">
        <v>38</v>
      </c>
      <c r="AH16" s="7">
        <v>207</v>
      </c>
      <c r="AI16" s="7">
        <v>289</v>
      </c>
      <c r="AJ16" s="7">
        <v>385</v>
      </c>
      <c r="AK16" s="533">
        <v>373</v>
      </c>
    </row>
    <row r="17" spans="1:37" ht="15.75" thickBot="1" x14ac:dyDescent="0.3">
      <c r="A17" s="420"/>
      <c r="B17" s="550">
        <v>3</v>
      </c>
      <c r="C17" s="551">
        <v>54</v>
      </c>
      <c r="D17" s="551">
        <v>285</v>
      </c>
      <c r="E17" s="551">
        <v>216</v>
      </c>
      <c r="F17" s="552">
        <v>245</v>
      </c>
      <c r="I17">
        <f>AVERAGE(B4:B24)</f>
        <v>108.9047619047619</v>
      </c>
      <c r="J17">
        <f>AVERAGE(C4:C24)</f>
        <v>205.9047619047619</v>
      </c>
      <c r="K17">
        <f>AVERAGE(D4:D24)</f>
        <v>356.61904761904759</v>
      </c>
      <c r="L17">
        <f>AVERAGE(E4:E24)</f>
        <v>339.47619047619048</v>
      </c>
      <c r="M17">
        <f>AVERAGE(F4:F24)</f>
        <v>350.52380952380952</v>
      </c>
      <c r="N17">
        <f>AVERAGE(B4:F24)</f>
        <v>272.28571428571428</v>
      </c>
      <c r="P17" t="s">
        <v>976</v>
      </c>
      <c r="T17" t="s">
        <v>34</v>
      </c>
      <c r="U17">
        <v>0.05</v>
      </c>
      <c r="Y17" s="503" t="s">
        <v>76</v>
      </c>
      <c r="Z17" s="548">
        <v>38</v>
      </c>
      <c r="AA17" s="548">
        <v>207</v>
      </c>
      <c r="AB17" s="548">
        <v>289</v>
      </c>
      <c r="AC17" s="548">
        <v>385</v>
      </c>
      <c r="AD17" s="549">
        <v>373</v>
      </c>
      <c r="AF17" t="str">
        <v>Old</v>
      </c>
      <c r="AG17" s="532">
        <v>83</v>
      </c>
      <c r="AH17" s="7">
        <v>266</v>
      </c>
      <c r="AI17" s="7">
        <v>382</v>
      </c>
      <c r="AJ17" s="7">
        <v>369</v>
      </c>
      <c r="AK17" s="533">
        <v>295</v>
      </c>
    </row>
    <row r="18" spans="1:37" ht="15.75" thickTop="1" x14ac:dyDescent="0.25">
      <c r="A18" s="530" t="s">
        <v>76</v>
      </c>
      <c r="B18" s="547">
        <v>118</v>
      </c>
      <c r="C18" s="548">
        <v>124</v>
      </c>
      <c r="D18" s="548">
        <v>365</v>
      </c>
      <c r="E18" s="548">
        <v>311</v>
      </c>
      <c r="F18" s="549">
        <v>331</v>
      </c>
      <c r="P18" s="826" t="s">
        <v>459</v>
      </c>
      <c r="Q18" s="826" t="s">
        <v>219</v>
      </c>
      <c r="R18" s="826" t="s">
        <v>60</v>
      </c>
      <c r="S18" s="826" t="s">
        <v>240</v>
      </c>
      <c r="T18" s="826" t="s">
        <v>135</v>
      </c>
      <c r="U18" s="826" t="s">
        <v>460</v>
      </c>
      <c r="V18" s="826" t="s">
        <v>461</v>
      </c>
      <c r="Y18" s="503" t="s">
        <v>1085</v>
      </c>
      <c r="Z18" s="548">
        <v>20</v>
      </c>
      <c r="AA18" s="548">
        <v>116</v>
      </c>
      <c r="AB18" s="548">
        <v>425</v>
      </c>
      <c r="AC18" s="548">
        <v>398</v>
      </c>
      <c r="AD18" s="549">
        <v>268</v>
      </c>
      <c r="AF18" t="str">
        <v>Young</v>
      </c>
      <c r="AG18" s="532">
        <v>251</v>
      </c>
      <c r="AH18" s="7">
        <v>261</v>
      </c>
      <c r="AI18" s="7">
        <v>384</v>
      </c>
      <c r="AJ18" s="7">
        <v>421</v>
      </c>
      <c r="AK18" s="533">
        <v>342</v>
      </c>
    </row>
    <row r="19" spans="1:37" x14ac:dyDescent="0.25">
      <c r="A19" s="503"/>
      <c r="B19" s="547">
        <v>83</v>
      </c>
      <c r="C19" s="548">
        <v>266</v>
      </c>
      <c r="D19" s="548">
        <v>382</v>
      </c>
      <c r="E19" s="548">
        <v>369</v>
      </c>
      <c r="F19" s="549">
        <v>295</v>
      </c>
      <c r="H19" t="s">
        <v>1667</v>
      </c>
      <c r="P19" t="s">
        <v>589</v>
      </c>
      <c r="Q19">
        <f>Q11</f>
        <v>1025800.3809523809</v>
      </c>
      <c r="R19">
        <f>R11*I$26</f>
        <v>3.2121215388253979</v>
      </c>
      <c r="S19">
        <f>Q19/R19</f>
        <v>319352.91630574275</v>
      </c>
      <c r="T19">
        <f>S19/S21</f>
        <v>114.63225504334261</v>
      </c>
      <c r="U19">
        <f>FDIST(T19,R19,R21)</f>
        <v>4.0685945657815127E-24</v>
      </c>
      <c r="V19">
        <f>FINV(U17,R19,R21)</f>
        <v>2.7664379256680744</v>
      </c>
      <c r="Y19" s="503" t="s">
        <v>1084</v>
      </c>
      <c r="Z19" s="548">
        <v>154</v>
      </c>
      <c r="AA19" s="548">
        <v>167</v>
      </c>
      <c r="AB19" s="548">
        <v>257</v>
      </c>
      <c r="AC19" s="548">
        <v>275</v>
      </c>
      <c r="AD19" s="549">
        <v>332</v>
      </c>
      <c r="AF19" t="str">
        <v>Young</v>
      </c>
      <c r="AG19" s="532">
        <v>241</v>
      </c>
      <c r="AH19" s="7">
        <v>314</v>
      </c>
      <c r="AI19" s="7">
        <v>423</v>
      </c>
      <c r="AJ19" s="7">
        <v>415</v>
      </c>
      <c r="AK19" s="533">
        <v>468</v>
      </c>
    </row>
    <row r="20" spans="1:37" x14ac:dyDescent="0.25">
      <c r="A20" s="503"/>
      <c r="B20" s="547">
        <v>38</v>
      </c>
      <c r="C20" s="548">
        <v>207</v>
      </c>
      <c r="D20" s="548">
        <v>289</v>
      </c>
      <c r="E20" s="548">
        <v>385</v>
      </c>
      <c r="F20" s="549">
        <v>373</v>
      </c>
      <c r="I20" s="996" t="str">
        <f>B3</f>
        <v>Day 1</v>
      </c>
      <c r="J20" s="996" t="str">
        <f>C3</f>
        <v>Day 2</v>
      </c>
      <c r="K20" s="996" t="str">
        <f>D3</f>
        <v>Day 3</v>
      </c>
      <c r="L20" s="996" t="str">
        <f>E3</f>
        <v>Day 4</v>
      </c>
      <c r="M20" s="996" t="str">
        <f>F3</f>
        <v>Day 5</v>
      </c>
      <c r="P20" t="s">
        <v>437</v>
      </c>
      <c r="Q20">
        <f>Q12</f>
        <v>38740.076190475753</v>
      </c>
      <c r="R20">
        <f>R12*I$26</f>
        <v>6.4242430776507957</v>
      </c>
      <c r="S20">
        <f>Q20/R20</f>
        <v>6030.2942653661457</v>
      </c>
      <c r="T20">
        <f>S20/S21</f>
        <v>2.1645840539375332</v>
      </c>
      <c r="U20">
        <f>FDIST(T20,R20,R21)</f>
        <v>5.9796252906062809E-2</v>
      </c>
      <c r="V20">
        <f>FINV(U17,R20,R21)</f>
        <v>2.262531824274177</v>
      </c>
      <c r="Y20" s="503" t="s">
        <v>1085</v>
      </c>
      <c r="Z20" s="548">
        <v>34</v>
      </c>
      <c r="AA20" s="548">
        <v>86</v>
      </c>
      <c r="AB20" s="548">
        <v>351</v>
      </c>
      <c r="AC20" s="548">
        <v>280</v>
      </c>
      <c r="AD20" s="549">
        <v>320</v>
      </c>
      <c r="AF20" t="str">
        <v>Young</v>
      </c>
      <c r="AG20" s="532">
        <v>154</v>
      </c>
      <c r="AH20" s="7">
        <v>167</v>
      </c>
      <c r="AI20" s="7">
        <v>257</v>
      </c>
      <c r="AJ20" s="7">
        <v>275</v>
      </c>
      <c r="AK20" s="533">
        <v>332</v>
      </c>
    </row>
    <row r="21" spans="1:37" x14ac:dyDescent="0.25">
      <c r="A21" s="503"/>
      <c r="B21" s="547">
        <v>71</v>
      </c>
      <c r="C21" s="548">
        <v>211</v>
      </c>
      <c r="D21" s="548">
        <v>356</v>
      </c>
      <c r="E21" s="548">
        <v>380</v>
      </c>
      <c r="F21" s="549">
        <v>305</v>
      </c>
      <c r="H21" t="str">
        <f>A4</f>
        <v>Young</v>
      </c>
      <c r="I21" s="865">
        <f>VAR(B4:B10)</f>
        <v>5971.1428571428551</v>
      </c>
      <c r="J21" s="798">
        <f>VAR(C4:C10)</f>
        <v>2915.1428571428601</v>
      </c>
      <c r="K21" s="798">
        <f>VAR(D4:D10)</f>
        <v>4241.1428571428596</v>
      </c>
      <c r="L21" s="798">
        <f>VAR(E4:E10)</f>
        <v>3318.2857142857197</v>
      </c>
      <c r="M21" s="866">
        <f>VAR(F4:F10)</f>
        <v>4318.9047619047533</v>
      </c>
      <c r="N21">
        <f>VAR(B4:F10)</f>
        <v>10163.416806722689</v>
      </c>
      <c r="P21" t="s">
        <v>588</v>
      </c>
      <c r="Q21">
        <f>Q13</f>
        <v>161075.14285714293</v>
      </c>
      <c r="R21">
        <f>R13*I$26</f>
        <v>57.818187698857159</v>
      </c>
      <c r="S21">
        <f>Q21/R21</f>
        <v>2785.890552227163</v>
      </c>
      <c r="Y21" s="503" t="s">
        <v>76</v>
      </c>
      <c r="Z21" s="548">
        <v>108</v>
      </c>
      <c r="AA21" s="548">
        <v>247</v>
      </c>
      <c r="AB21" s="548">
        <v>317</v>
      </c>
      <c r="AC21" s="548">
        <v>307</v>
      </c>
      <c r="AD21" s="549">
        <v>324</v>
      </c>
      <c r="AF21" t="str">
        <v>Young</v>
      </c>
      <c r="AG21" s="532">
        <v>250</v>
      </c>
      <c r="AH21" s="7">
        <v>278</v>
      </c>
      <c r="AI21" s="7">
        <v>442</v>
      </c>
      <c r="AJ21" s="7">
        <v>368</v>
      </c>
      <c r="AK21" s="533">
        <v>456</v>
      </c>
    </row>
    <row r="22" spans="1:37" x14ac:dyDescent="0.25">
      <c r="A22" s="503"/>
      <c r="B22" s="547">
        <v>123</v>
      </c>
      <c r="C22" s="548">
        <v>331</v>
      </c>
      <c r="D22" s="548">
        <v>407</v>
      </c>
      <c r="E22" s="548">
        <v>461</v>
      </c>
      <c r="F22" s="549">
        <v>445</v>
      </c>
      <c r="H22" t="str">
        <f>A11</f>
        <v>Middle</v>
      </c>
      <c r="I22" s="501">
        <f>VAR(B11:B17)</f>
        <v>4377.6190476190477</v>
      </c>
      <c r="J22" s="7">
        <f>VAR(C11:C17)</f>
        <v>2236.8095238095243</v>
      </c>
      <c r="K22" s="7">
        <f>VAR(D11:D17)</f>
        <v>5699.2857142857201</v>
      </c>
      <c r="L22" s="7">
        <f>VAR(E11:E17)</f>
        <v>3628.9523809523866</v>
      </c>
      <c r="M22" s="57">
        <f>VAR(F11:F17)</f>
        <v>6914.4761904761936</v>
      </c>
      <c r="N22">
        <f>VAR(B11:F17)</f>
        <v>16156.374789915964</v>
      </c>
      <c r="P22" s="867"/>
      <c r="Q22" s="867"/>
      <c r="R22" s="867"/>
      <c r="S22" s="867"/>
      <c r="T22" s="867"/>
      <c r="U22" s="867"/>
      <c r="V22" s="867"/>
      <c r="Y22" s="503" t="s">
        <v>1084</v>
      </c>
      <c r="Z22" s="548">
        <v>250</v>
      </c>
      <c r="AA22" s="548">
        <v>278</v>
      </c>
      <c r="AB22" s="548">
        <v>442</v>
      </c>
      <c r="AC22" s="548">
        <v>368</v>
      </c>
      <c r="AD22" s="549">
        <v>456</v>
      </c>
      <c r="AF22" t="str">
        <v>Young</v>
      </c>
      <c r="AG22" s="532">
        <v>65</v>
      </c>
      <c r="AH22" s="7">
        <v>207</v>
      </c>
      <c r="AI22" s="7">
        <v>341</v>
      </c>
      <c r="AJ22" s="7">
        <v>382</v>
      </c>
      <c r="AK22" s="533">
        <v>298</v>
      </c>
    </row>
    <row r="23" spans="1:37" ht="15.75" thickBot="1" x14ac:dyDescent="0.3">
      <c r="A23" s="503"/>
      <c r="B23" s="547">
        <v>71</v>
      </c>
      <c r="C23" s="548">
        <v>285</v>
      </c>
      <c r="D23" s="548">
        <v>471</v>
      </c>
      <c r="E23" s="548">
        <v>407</v>
      </c>
      <c r="F23" s="549">
        <v>433</v>
      </c>
      <c r="H23" t="str">
        <f>A18</f>
        <v>Old</v>
      </c>
      <c r="I23" s="759">
        <f>VAR(B18:B24)</f>
        <v>937.61904761904714</v>
      </c>
      <c r="J23" s="760">
        <f>VAR(C18:C24)</f>
        <v>4400.9047619047633</v>
      </c>
      <c r="K23" s="760">
        <f>VAR(D18:D24)</f>
        <v>3550.6190476190532</v>
      </c>
      <c r="L23" s="760">
        <f>VAR(E18:E24)</f>
        <v>2882.9047619047537</v>
      </c>
      <c r="M23" s="761">
        <f>VAR(F18:F24)</f>
        <v>3680.3333333333335</v>
      </c>
      <c r="N23">
        <f>VAR(B18:F24)</f>
        <v>15415.070588235292</v>
      </c>
      <c r="P23" t="s">
        <v>977</v>
      </c>
      <c r="T23" t="s">
        <v>34</v>
      </c>
      <c r="U23">
        <v>0.05</v>
      </c>
      <c r="Y23" s="503" t="s">
        <v>1084</v>
      </c>
      <c r="Z23" s="548">
        <v>65</v>
      </c>
      <c r="AA23" s="548">
        <v>207</v>
      </c>
      <c r="AB23" s="548">
        <v>341</v>
      </c>
      <c r="AC23" s="548">
        <v>382</v>
      </c>
      <c r="AD23" s="549">
        <v>298</v>
      </c>
      <c r="AF23" t="str">
        <v>Young</v>
      </c>
      <c r="AG23" s="532">
        <v>103</v>
      </c>
      <c r="AH23" s="7">
        <v>286</v>
      </c>
      <c r="AI23" s="7">
        <v>401</v>
      </c>
      <c r="AJ23" s="7">
        <v>291</v>
      </c>
      <c r="AK23" s="533">
        <v>367</v>
      </c>
    </row>
    <row r="24" spans="1:37" ht="15.75" thickTop="1" x14ac:dyDescent="0.25">
      <c r="A24" s="420"/>
      <c r="B24" s="550">
        <v>108</v>
      </c>
      <c r="C24" s="551">
        <v>247</v>
      </c>
      <c r="D24" s="551">
        <v>317</v>
      </c>
      <c r="E24" s="551">
        <v>307</v>
      </c>
      <c r="F24" s="552">
        <v>324</v>
      </c>
      <c r="I24">
        <f>VAR(B4:B24)</f>
        <v>6605.0904761904767</v>
      </c>
      <c r="J24">
        <f>VAR(C4:C24)</f>
        <v>6896.0904761904731</v>
      </c>
      <c r="K24">
        <f>VAR(D4:D24)</f>
        <v>4884.5476190476211</v>
      </c>
      <c r="L24">
        <f>VAR(E4:E24)</f>
        <v>4733.361904761894</v>
      </c>
      <c r="M24">
        <f>VAR(F4:F24)</f>
        <v>5458.0619047618939</v>
      </c>
      <c r="N24">
        <f>VAR(B4:F24)</f>
        <v>15359.071428571424</v>
      </c>
      <c r="P24" s="826" t="s">
        <v>459</v>
      </c>
      <c r="Q24" s="826" t="s">
        <v>219</v>
      </c>
      <c r="R24" s="826" t="s">
        <v>60</v>
      </c>
      <c r="S24" s="826" t="s">
        <v>240</v>
      </c>
      <c r="T24" s="826" t="s">
        <v>135</v>
      </c>
      <c r="U24" s="826" t="s">
        <v>460</v>
      </c>
      <c r="V24" s="826" t="s">
        <v>461</v>
      </c>
      <c r="Y24" s="420" t="s">
        <v>76</v>
      </c>
      <c r="Z24" s="1002">
        <v>71</v>
      </c>
      <c r="AA24" s="1002">
        <v>211</v>
      </c>
      <c r="AB24" s="1002">
        <v>356</v>
      </c>
      <c r="AC24" s="1002">
        <v>380</v>
      </c>
      <c r="AD24" s="552">
        <v>305</v>
      </c>
      <c r="AF24" t="str">
        <v>Young</v>
      </c>
      <c r="AG24" s="409">
        <v>230</v>
      </c>
      <c r="AH24" s="762">
        <v>306</v>
      </c>
      <c r="AI24" s="762">
        <v>432</v>
      </c>
      <c r="AJ24" s="762">
        <v>386</v>
      </c>
      <c r="AK24" s="417">
        <v>423</v>
      </c>
    </row>
    <row r="25" spans="1:37" x14ac:dyDescent="0.25">
      <c r="P25" t="s">
        <v>589</v>
      </c>
      <c r="Q25">
        <f>Q11</f>
        <v>1025800.3809523809</v>
      </c>
      <c r="R25">
        <f>R11*I$27</f>
        <v>3.991803786639573</v>
      </c>
      <c r="S25">
        <f>Q25/R25</f>
        <v>256976.65410952782</v>
      </c>
      <c r="T25">
        <f>S25/S27</f>
        <v>114.63225504334262</v>
      </c>
      <c r="U25">
        <f>FDIST(T25,R25,R27)</f>
        <v>3.7616733838123086E-27</v>
      </c>
      <c r="V25">
        <f>FINV(U23,R25,R27)</f>
        <v>2.7336471599545784</v>
      </c>
    </row>
    <row r="26" spans="1:37" x14ac:dyDescent="0.25">
      <c r="H26" t="s">
        <v>2177</v>
      </c>
      <c r="I26" s="970">
        <f>[1]!GGEpsilon(B4:F24,R8+1)</f>
        <v>0.80303038470634946</v>
      </c>
      <c r="P26" t="s">
        <v>437</v>
      </c>
      <c r="Q26">
        <f>Q12</f>
        <v>38740.076190475753</v>
      </c>
      <c r="R26">
        <f>R12*I$27</f>
        <v>7.9836075732791461</v>
      </c>
      <c r="S26">
        <f>Q26/R26</f>
        <v>4852.4524577256807</v>
      </c>
      <c r="T26">
        <f>S26/S27</f>
        <v>2.1645840539375332</v>
      </c>
      <c r="U26">
        <f>FDIST(T26,R26,R27)</f>
        <v>4.7658132296084808E-2</v>
      </c>
      <c r="V26">
        <f>FINV(U23,R26,R27)</f>
        <v>2.1415390994570367</v>
      </c>
    </row>
    <row r="27" spans="1:37" x14ac:dyDescent="0.25">
      <c r="H27" t="s">
        <v>2178</v>
      </c>
      <c r="I27" s="757">
        <f>[1]!HFEpsilon(B4:F24,R8+1)</f>
        <v>0.99795094665989326</v>
      </c>
      <c r="P27" t="s">
        <v>588</v>
      </c>
      <c r="Q27">
        <f>Q13</f>
        <v>161075.14285714293</v>
      </c>
      <c r="R27">
        <f>R13*I$27</f>
        <v>71.852468159512313</v>
      </c>
      <c r="S27">
        <f>Q27/R27</f>
        <v>2241.7482235899884</v>
      </c>
    </row>
    <row r="28" spans="1:37" x14ac:dyDescent="0.25">
      <c r="P28" s="867"/>
      <c r="Q28" s="867"/>
      <c r="R28" s="867"/>
      <c r="S28" s="867"/>
      <c r="T28" s="867"/>
      <c r="U28" s="867"/>
      <c r="V28" s="867"/>
    </row>
  </sheetData>
  <pageMargins left="0.7" right="0.7" top="0.75" bottom="0.75" header="0.3" footer="0.3"/>
  <ignoredErrors>
    <ignoredError sqref="I7:M9 I14:M16 I21:M23" formulaRange="1"/>
  </ignoredError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V33"/>
  <sheetViews>
    <sheetView zoomScaleNormal="100" workbookViewId="0"/>
  </sheetViews>
  <sheetFormatPr defaultRowHeight="15" x14ac:dyDescent="0.25"/>
  <cols>
    <col min="6" max="6" width="6.28515625" customWidth="1"/>
    <col min="12" max="12" width="6.28515625" customWidth="1"/>
    <col min="13" max="14" width="10.85546875" customWidth="1"/>
    <col min="15" max="15" width="6.42578125" customWidth="1"/>
    <col min="16" max="21" width="10.85546875" customWidth="1"/>
    <col min="22" max="22" width="10.42578125" customWidth="1"/>
  </cols>
  <sheetData>
    <row r="1" spans="1:22" x14ac:dyDescent="0.25">
      <c r="A1" s="1" t="s">
        <v>1130</v>
      </c>
    </row>
    <row r="3" spans="1:22" x14ac:dyDescent="0.25">
      <c r="A3" t="s">
        <v>1084</v>
      </c>
      <c r="G3" t="s">
        <v>76</v>
      </c>
      <c r="M3" t="s">
        <v>1130</v>
      </c>
      <c r="Q3" s="724" t="s">
        <v>1576</v>
      </c>
      <c r="R3" s="724" t="s">
        <v>1573</v>
      </c>
      <c r="S3" s="724" t="s">
        <v>1574</v>
      </c>
      <c r="T3" s="724" t="s">
        <v>1134</v>
      </c>
      <c r="U3" s="724" t="s">
        <v>1135</v>
      </c>
      <c r="V3" s="724" t="s">
        <v>1575</v>
      </c>
    </row>
    <row r="4" spans="1:22" x14ac:dyDescent="0.25">
      <c r="P4" t="s">
        <v>1084</v>
      </c>
      <c r="Q4" s="48">
        <f>'ANOVA Match 2.3'!L5-1</f>
        <v>6</v>
      </c>
      <c r="R4" s="4">
        <f>1/Q4</f>
        <v>0.16666666666666666</v>
      </c>
      <c r="S4" s="4">
        <f>R4^2</f>
        <v>2.7777777777777776E-2</v>
      </c>
      <c r="T4" s="4">
        <f>MDETERM(A5:E9)</f>
        <v>1.0473579666471442E+16</v>
      </c>
      <c r="U4" s="4">
        <f>LN(T4)</f>
        <v>36.887632258825739</v>
      </c>
      <c r="V4" s="4">
        <f>U4*Q4</f>
        <v>221.32579355295445</v>
      </c>
    </row>
    <row r="5" spans="1:22" x14ac:dyDescent="0.25">
      <c r="A5" s="429">
        <f t="array" ref="A5:E9">[1]!COV('ANOVA Match 2.3'!B4:F10)</f>
        <v>5971.1428571428569</v>
      </c>
      <c r="B5" s="542">
        <v>2240.1428571428573</v>
      </c>
      <c r="C5" s="542">
        <v>2635.9761904761899</v>
      </c>
      <c r="D5" s="542">
        <v>2408.5952380952376</v>
      </c>
      <c r="E5" s="543">
        <v>3615.4523809523807</v>
      </c>
      <c r="F5" s="7"/>
      <c r="G5" s="429">
        <f t="array" ref="G5:K9">[1]!COV('ANOVA Match 2.3'!B18:F24)</f>
        <v>937.61904761904748</v>
      </c>
      <c r="H5" s="542">
        <v>181.30952380952377</v>
      </c>
      <c r="I5" s="542">
        <v>432.38095238095235</v>
      </c>
      <c r="J5" s="542">
        <v>-228.64285714285711</v>
      </c>
      <c r="K5" s="543">
        <v>124.33333333333329</v>
      </c>
      <c r="M5" t="s">
        <v>56</v>
      </c>
      <c r="N5" s="664">
        <f>'ANOVA Match 2.3'!K5</f>
        <v>5</v>
      </c>
      <c r="P5" t="s">
        <v>1085</v>
      </c>
      <c r="Q5" s="726">
        <f>Q4</f>
        <v>6</v>
      </c>
      <c r="R5" s="7">
        <f>1/Q5</f>
        <v>0.16666666666666666</v>
      </c>
      <c r="S5" s="7">
        <f>R5^2</f>
        <v>2.7777777777777776E-2</v>
      </c>
      <c r="T5" s="7">
        <f>MDETERM(A13:E17)</f>
        <v>4.5544512692109672E+16</v>
      </c>
      <c r="U5" s="7">
        <f>LN(T5)</f>
        <v>38.357466543568599</v>
      </c>
      <c r="V5" s="7">
        <f>U5*Q5</f>
        <v>230.14479926141161</v>
      </c>
    </row>
    <row r="6" spans="1:22" x14ac:dyDescent="0.25">
      <c r="A6" s="532">
        <v>2240.1428571428573</v>
      </c>
      <c r="B6" s="7">
        <v>2915.1428571428573</v>
      </c>
      <c r="C6" s="7">
        <v>3314.8095238095239</v>
      </c>
      <c r="D6" s="7">
        <v>1553.0952380952378</v>
      </c>
      <c r="E6" s="533">
        <v>2755.9523809523803</v>
      </c>
      <c r="F6" s="7"/>
      <c r="G6" s="532">
        <v>181.30952380952377</v>
      </c>
      <c r="H6" s="7">
        <v>4400.9047619047624</v>
      </c>
      <c r="I6" s="7">
        <v>1918.0238095238096</v>
      </c>
      <c r="J6" s="7">
        <v>2596.0952380952376</v>
      </c>
      <c r="K6" s="533">
        <v>2264.9999999999995</v>
      </c>
      <c r="M6" t="s">
        <v>573</v>
      </c>
      <c r="N6" s="420">
        <f>'ANOVA Match 2.3'!J5</f>
        <v>3</v>
      </c>
      <c r="P6" t="s">
        <v>76</v>
      </c>
      <c r="Q6" s="726">
        <f>Q4</f>
        <v>6</v>
      </c>
      <c r="R6" s="7">
        <f>1/Q6</f>
        <v>0.16666666666666666</v>
      </c>
      <c r="S6" s="7">
        <f>R6^2</f>
        <v>2.7777777777777776E-2</v>
      </c>
      <c r="T6" s="7">
        <f>MDETERM(G5:K9)</f>
        <v>1.8162198398096784E+16</v>
      </c>
      <c r="U6" s="7">
        <f>LN(T6)</f>
        <v>37.438118817920923</v>
      </c>
      <c r="V6" s="7">
        <f>U6*Q6</f>
        <v>224.62871290752554</v>
      </c>
    </row>
    <row r="7" spans="1:22" x14ac:dyDescent="0.25">
      <c r="A7" s="532">
        <v>2635.9761904761899</v>
      </c>
      <c r="B7" s="7">
        <v>3314.8095238095239</v>
      </c>
      <c r="C7" s="7">
        <v>4241.1428571428569</v>
      </c>
      <c r="D7" s="7">
        <v>2092.2619047619046</v>
      </c>
      <c r="E7" s="533">
        <v>3222.4523809523807</v>
      </c>
      <c r="F7" s="7"/>
      <c r="G7" s="532">
        <v>432.38095238095235</v>
      </c>
      <c r="H7" s="7">
        <v>1918.0238095238096</v>
      </c>
      <c r="I7" s="7">
        <v>3550.6190476190468</v>
      </c>
      <c r="J7" s="7">
        <v>1563.9761904761904</v>
      </c>
      <c r="K7" s="533">
        <v>1917</v>
      </c>
      <c r="P7" t="s">
        <v>82</v>
      </c>
      <c r="Q7" s="725">
        <f>SUM(Q4:Q6)</f>
        <v>18</v>
      </c>
      <c r="R7" s="410">
        <f>1/Q7</f>
        <v>5.5555555555555552E-2</v>
      </c>
      <c r="S7" s="410">
        <f>R7^2</f>
        <v>3.0864197530864196E-3</v>
      </c>
      <c r="T7" s="410">
        <f>MDETERM(G13:K17)</f>
        <v>1.4203888611701739E+17</v>
      </c>
      <c r="U7" s="410">
        <f>LN(T7)</f>
        <v>39.494877260917491</v>
      </c>
      <c r="V7" s="410">
        <f>U7*Q7</f>
        <v>710.90779069651489</v>
      </c>
    </row>
    <row r="8" spans="1:22" x14ac:dyDescent="0.25">
      <c r="A8" s="532">
        <v>2408.5952380952376</v>
      </c>
      <c r="B8" s="7">
        <v>1553.0952380952378</v>
      </c>
      <c r="C8" s="7">
        <v>2092.2619047619046</v>
      </c>
      <c r="D8" s="7">
        <v>3318.2857142857147</v>
      </c>
      <c r="E8" s="533">
        <v>1225.6904761904761</v>
      </c>
      <c r="F8" s="7"/>
      <c r="G8" s="532">
        <v>-228.64285714285711</v>
      </c>
      <c r="H8" s="7">
        <v>2596.0952380952376</v>
      </c>
      <c r="I8" s="7">
        <v>1563.9761904761904</v>
      </c>
      <c r="J8" s="7">
        <v>2882.9047619047619</v>
      </c>
      <c r="K8" s="533">
        <v>2364.1666666666665</v>
      </c>
      <c r="P8" t="s">
        <v>999</v>
      </c>
      <c r="R8">
        <f>SUM(R4:R6)-R7</f>
        <v>0.44444444444444442</v>
      </c>
      <c r="S8">
        <f>SUM(S4:S6)-S7</f>
        <v>8.0246913580246909E-2</v>
      </c>
      <c r="V8" s="7">
        <f>V7-SUM(V4:V6)</f>
        <v>34.808484974623298</v>
      </c>
    </row>
    <row r="9" spans="1:22" x14ac:dyDescent="0.25">
      <c r="A9" s="409">
        <v>3615.4523809523807</v>
      </c>
      <c r="B9" s="410">
        <v>2755.9523809523803</v>
      </c>
      <c r="C9" s="410">
        <v>3222.4523809523807</v>
      </c>
      <c r="D9" s="410">
        <v>1225.6904761904761</v>
      </c>
      <c r="E9" s="417">
        <v>4318.9047619047615</v>
      </c>
      <c r="F9" s="7"/>
      <c r="G9" s="409">
        <v>124.33333333333329</v>
      </c>
      <c r="H9" s="410">
        <v>2264.9999999999995</v>
      </c>
      <c r="I9" s="410">
        <v>1917</v>
      </c>
      <c r="J9" s="410">
        <v>2364.1666666666665</v>
      </c>
      <c r="K9" s="417">
        <v>3680.333333333333</v>
      </c>
    </row>
    <row r="11" spans="1:22" x14ac:dyDescent="0.25">
      <c r="A11" t="s">
        <v>1085</v>
      </c>
      <c r="G11" t="s">
        <v>82</v>
      </c>
      <c r="M11" t="s">
        <v>1136</v>
      </c>
      <c r="N11" s="418">
        <f>V8</f>
        <v>34.808484974623298</v>
      </c>
      <c r="P11" t="s">
        <v>1572</v>
      </c>
      <c r="Q11" s="418">
        <f>(N5-1)*(N5+2)/(6*(N6-1))*S8</f>
        <v>0.18724279835390947</v>
      </c>
    </row>
    <row r="12" spans="1:22" x14ac:dyDescent="0.25">
      <c r="M12" t="s">
        <v>43</v>
      </c>
      <c r="N12" s="503">
        <f>(2*N5^2+3*N5-1)/(6*(N5+1)*(N6-1))*R8</f>
        <v>0.39506172839506171</v>
      </c>
      <c r="P12" t="s">
        <v>422</v>
      </c>
      <c r="Q12" s="503">
        <f>(N14+2)/ABS(Q11-N12^2)</f>
        <v>1026.6601466992654</v>
      </c>
    </row>
    <row r="13" spans="1:22" x14ac:dyDescent="0.25">
      <c r="A13" s="429">
        <f t="array" ref="A13:E17">[1]!COV('ANOVA Match 2.3'!B11:F17)</f>
        <v>4377.6190476190468</v>
      </c>
      <c r="B13" s="542">
        <v>1656.2619047619046</v>
      </c>
      <c r="C13" s="542">
        <v>-896.38095238095229</v>
      </c>
      <c r="D13" s="542">
        <v>-549.95238095238096</v>
      </c>
      <c r="E13" s="543">
        <v>-168.92857142857133</v>
      </c>
      <c r="F13" s="7"/>
      <c r="G13" s="429">
        <f t="array" ref="G13:K17">(A5:E9+A13:E17+G5:K9)/3</f>
        <v>3762.1269841269841</v>
      </c>
      <c r="H13" s="542">
        <v>1359.2380952380952</v>
      </c>
      <c r="I13" s="542">
        <v>723.99206349206327</v>
      </c>
      <c r="J13" s="542">
        <v>543.33333333333314</v>
      </c>
      <c r="K13" s="543">
        <v>1190.2857142857142</v>
      </c>
      <c r="M13" s="30" t="s">
        <v>109</v>
      </c>
      <c r="N13" s="503">
        <f>N11*(1-N12)</f>
        <v>21.056984737735082</v>
      </c>
      <c r="P13" t="s">
        <v>1140</v>
      </c>
      <c r="Q13" s="503">
        <f>N14/(1-N12-N14/Q12)</f>
        <v>52.108907696507906</v>
      </c>
    </row>
    <row r="14" spans="1:22" x14ac:dyDescent="0.25">
      <c r="A14" s="532">
        <v>1656.2619047619046</v>
      </c>
      <c r="B14" s="7">
        <v>2236.8095238095239</v>
      </c>
      <c r="C14" s="7">
        <v>1085.4285714285711</v>
      </c>
      <c r="D14" s="7">
        <v>888.73809523809507</v>
      </c>
      <c r="E14" s="533">
        <v>2671.8571428571427</v>
      </c>
      <c r="F14" s="7"/>
      <c r="G14" s="532">
        <v>1359.2380952380952</v>
      </c>
      <c r="H14" s="7">
        <v>3184.2857142857151</v>
      </c>
      <c r="I14" s="7">
        <v>2106.0873015873017</v>
      </c>
      <c r="J14" s="7">
        <v>1679.3095238095236</v>
      </c>
      <c r="K14" s="533">
        <v>2564.269841269841</v>
      </c>
      <c r="M14" s="30" t="s">
        <v>60</v>
      </c>
      <c r="N14" s="503">
        <f>N5*(N5+1)*(N6-1)/2</f>
        <v>30</v>
      </c>
      <c r="P14" t="s">
        <v>1141</v>
      </c>
      <c r="Q14" s="503">
        <f>Q12/(1-N12+2/Q12)</f>
        <v>1691.6843994114142</v>
      </c>
    </row>
    <row r="15" spans="1:22" x14ac:dyDescent="0.25">
      <c r="A15" s="532">
        <v>-896.38095238095229</v>
      </c>
      <c r="B15" s="7">
        <v>1085.4285714285711</v>
      </c>
      <c r="C15" s="7">
        <v>5699.2857142857138</v>
      </c>
      <c r="D15" s="7">
        <v>3818.0476190476193</v>
      </c>
      <c r="E15" s="533">
        <v>2991.7380952380954</v>
      </c>
      <c r="F15" s="7"/>
      <c r="G15" s="532">
        <v>723.99206349206327</v>
      </c>
      <c r="H15" s="7">
        <v>2106.0873015873017</v>
      </c>
      <c r="I15" s="7">
        <v>4497.0158730158728</v>
      </c>
      <c r="J15" s="7">
        <v>2491.4285714285711</v>
      </c>
      <c r="K15" s="533">
        <v>2710.3968253968255</v>
      </c>
      <c r="M15" s="30" t="s">
        <v>67</v>
      </c>
      <c r="N15" s="503">
        <f>CHIDIST(N13,N14)</f>
        <v>0.88609754039959765</v>
      </c>
      <c r="P15" t="s">
        <v>1139</v>
      </c>
      <c r="Q15" s="503">
        <f>N11/Q13</f>
        <v>0.66799490746101364</v>
      </c>
    </row>
    <row r="16" spans="1:22" x14ac:dyDescent="0.25">
      <c r="A16" s="532">
        <v>-549.95238095238096</v>
      </c>
      <c r="B16" s="7">
        <v>888.73809523809507</v>
      </c>
      <c r="C16" s="7">
        <v>3818.0476190476193</v>
      </c>
      <c r="D16" s="7">
        <v>3628.9523809523803</v>
      </c>
      <c r="E16" s="533">
        <v>1338.7619047619048</v>
      </c>
      <c r="F16" s="7"/>
      <c r="G16" s="532">
        <v>543.33333333333314</v>
      </c>
      <c r="H16" s="7">
        <v>1679.3095238095236</v>
      </c>
      <c r="I16" s="7">
        <v>2491.4285714285711</v>
      </c>
      <c r="J16" s="7">
        <v>3276.7142857142858</v>
      </c>
      <c r="K16" s="533">
        <v>1642.8730158730159</v>
      </c>
      <c r="M16" s="30" t="s">
        <v>48</v>
      </c>
      <c r="N16" s="503">
        <v>1E-3</v>
      </c>
      <c r="P16" t="s">
        <v>1142</v>
      </c>
      <c r="Q16" s="503">
        <f>Q12*N11/(N14*(Q14-Q12))</f>
        <v>1.7912371438426429</v>
      </c>
    </row>
    <row r="17" spans="1:17" x14ac:dyDescent="0.25">
      <c r="A17" s="409">
        <v>-168.92857142857133</v>
      </c>
      <c r="B17" s="410">
        <v>2671.8571428571427</v>
      </c>
      <c r="C17" s="410">
        <v>2991.7380952380954</v>
      </c>
      <c r="D17" s="410">
        <v>1338.7619047619048</v>
      </c>
      <c r="E17" s="417">
        <v>6914.4761904761908</v>
      </c>
      <c r="F17" s="7"/>
      <c r="G17" s="409">
        <v>1190.2857142857142</v>
      </c>
      <c r="H17" s="410">
        <v>2564.269841269841</v>
      </c>
      <c r="I17" s="410">
        <v>2710.3968253968255</v>
      </c>
      <c r="J17" s="410">
        <v>1642.8730158730159</v>
      </c>
      <c r="K17" s="417">
        <v>4971.2380952380954</v>
      </c>
      <c r="M17" s="30" t="s">
        <v>110</v>
      </c>
      <c r="N17" s="503">
        <f>CHIINV(N16,N14)</f>
        <v>59.70306430442993</v>
      </c>
      <c r="P17" t="s">
        <v>135</v>
      </c>
      <c r="Q17" s="503">
        <f>IF(Q11&gt;N12^2,Q15,Q16)</f>
        <v>0.66799490746101364</v>
      </c>
    </row>
    <row r="18" spans="1:17" x14ac:dyDescent="0.25">
      <c r="M18" s="30" t="s">
        <v>527</v>
      </c>
      <c r="N18" s="414" t="str">
        <f>IF(N15&lt;N16,"yes","no")</f>
        <v>no</v>
      </c>
      <c r="P18" t="s">
        <v>67</v>
      </c>
      <c r="Q18" s="503">
        <f>FDIST(Q17,N14,Q12)</f>
        <v>0.91347717728266986</v>
      </c>
    </row>
    <row r="19" spans="1:17" x14ac:dyDescent="0.25">
      <c r="P19" t="s">
        <v>246</v>
      </c>
      <c r="Q19" s="503">
        <f>FINV(N16,N14,Q12)</f>
        <v>2.020965765571419</v>
      </c>
    </row>
    <row r="20" spans="1:17" x14ac:dyDescent="0.25">
      <c r="P20" t="s">
        <v>527</v>
      </c>
      <c r="Q20" s="414" t="str">
        <f>IF(Q18&lt;N16,"yes","no")</f>
        <v>no</v>
      </c>
    </row>
    <row r="21" spans="1:17" x14ac:dyDescent="0.25">
      <c r="F21" s="7"/>
      <c r="G21" s="7"/>
      <c r="J21" s="7"/>
      <c r="K21" s="7"/>
    </row>
    <row r="22" spans="1:17" x14ac:dyDescent="0.25">
      <c r="F22" s="7"/>
      <c r="G22" s="7"/>
      <c r="J22" s="7"/>
      <c r="K22" s="7"/>
    </row>
    <row r="23" spans="1:17" x14ac:dyDescent="0.25">
      <c r="F23" s="7"/>
      <c r="G23" s="7"/>
      <c r="J23" s="7"/>
      <c r="K23" s="7"/>
    </row>
    <row r="24" spans="1:17" x14ac:dyDescent="0.25">
      <c r="F24" s="7"/>
      <c r="G24" s="7"/>
      <c r="J24" s="7"/>
      <c r="K24" s="7"/>
    </row>
    <row r="25" spans="1:17" x14ac:dyDescent="0.25">
      <c r="F25" s="7"/>
      <c r="G25" s="7"/>
      <c r="J25" s="7"/>
      <c r="K25" s="7"/>
    </row>
    <row r="29" spans="1:17" x14ac:dyDescent="0.25">
      <c r="F29" s="7"/>
      <c r="G29" s="7"/>
      <c r="H29" s="7"/>
      <c r="I29" s="7"/>
      <c r="J29" s="7"/>
      <c r="K29" s="7"/>
    </row>
    <row r="30" spans="1:17" x14ac:dyDescent="0.25">
      <c r="F30" s="7"/>
      <c r="G30" s="7"/>
      <c r="H30" s="7"/>
      <c r="I30" s="7"/>
      <c r="J30" s="7"/>
      <c r="K30" s="7"/>
    </row>
    <row r="31" spans="1:17" x14ac:dyDescent="0.25">
      <c r="F31" s="7"/>
      <c r="G31" s="7"/>
      <c r="H31" s="7"/>
      <c r="I31" s="7"/>
      <c r="J31" s="7"/>
      <c r="K31" s="7"/>
    </row>
    <row r="32" spans="1:17" x14ac:dyDescent="0.25">
      <c r="F32" s="7"/>
      <c r="G32" s="7"/>
      <c r="H32" s="7"/>
      <c r="I32" s="7"/>
      <c r="J32" s="7"/>
      <c r="K32" s="7"/>
    </row>
    <row r="33" spans="6:11" x14ac:dyDescent="0.25">
      <c r="F33" s="7"/>
      <c r="G33" s="7"/>
      <c r="H33" s="7"/>
      <c r="I33" s="7"/>
      <c r="J33" s="7"/>
      <c r="K33" s="7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X34"/>
  <sheetViews>
    <sheetView workbookViewId="0"/>
  </sheetViews>
  <sheetFormatPr defaultRowHeight="15" x14ac:dyDescent="0.25"/>
  <cols>
    <col min="1" max="1" width="8.42578125" customWidth="1"/>
    <col min="2" max="4" width="6.85546875" customWidth="1"/>
    <col min="6" max="6" width="8.7109375" customWidth="1"/>
    <col min="7" max="9" width="8" customWidth="1"/>
    <col min="14" max="14" width="17.7109375" customWidth="1"/>
  </cols>
  <sheetData>
    <row r="1" spans="1:24" x14ac:dyDescent="0.25">
      <c r="A1" s="1" t="s">
        <v>1288</v>
      </c>
      <c r="W1" t="s">
        <v>1933</v>
      </c>
    </row>
    <row r="3" spans="1:24" ht="15" customHeight="1" x14ac:dyDescent="0.25">
      <c r="A3" s="604" t="s">
        <v>961</v>
      </c>
      <c r="B3" s="604" t="s">
        <v>145</v>
      </c>
      <c r="C3" s="604" t="s">
        <v>1289</v>
      </c>
      <c r="D3" s="604" t="s">
        <v>1290</v>
      </c>
      <c r="F3" s="604" t="s">
        <v>961</v>
      </c>
      <c r="G3" s="13" t="s">
        <v>145</v>
      </c>
      <c r="H3" s="13" t="s">
        <v>1289</v>
      </c>
      <c r="I3" s="13" t="s">
        <v>1290</v>
      </c>
      <c r="K3" s="53" t="s">
        <v>1254</v>
      </c>
      <c r="L3" s="614">
        <f>J17</f>
        <v>1749.5</v>
      </c>
      <c r="N3" t="s">
        <v>587</v>
      </c>
      <c r="W3" t="s">
        <v>2286</v>
      </c>
    </row>
    <row r="4" spans="1:24" ht="15.75" thickBot="1" x14ac:dyDescent="0.3">
      <c r="A4" s="604">
        <v>1</v>
      </c>
      <c r="B4" s="623">
        <v>10</v>
      </c>
      <c r="C4" s="624">
        <v>7</v>
      </c>
      <c r="D4" s="625">
        <v>8</v>
      </c>
      <c r="F4" s="604">
        <v>1</v>
      </c>
      <c r="G4" s="620">
        <f>[1]!RANK_AVG(B4,$B4:$D4,1)</f>
        <v>3</v>
      </c>
      <c r="H4" s="621">
        <f>[1]!RANK_AVG(C4,$B4:$D4,1)</f>
        <v>1</v>
      </c>
      <c r="I4" s="622">
        <f>[1]!RANK_AVG(D4,$B4:$D4,1)</f>
        <v>2</v>
      </c>
      <c r="K4" t="s">
        <v>56</v>
      </c>
      <c r="L4" s="503">
        <f>COUNTA(B3:D3)</f>
        <v>3</v>
      </c>
    </row>
    <row r="5" spans="1:24" x14ac:dyDescent="0.25">
      <c r="A5" s="604">
        <f>A4+1</f>
        <v>2</v>
      </c>
      <c r="B5" s="540">
        <v>8</v>
      </c>
      <c r="C5" s="605">
        <v>5</v>
      </c>
      <c r="D5" s="494">
        <v>5</v>
      </c>
      <c r="F5" s="604">
        <f>F4+1</f>
        <v>2</v>
      </c>
      <c r="G5" s="532">
        <f>[1]!RANK_AVG(B5,$B5:$D5,1)</f>
        <v>3</v>
      </c>
      <c r="H5" s="7">
        <f>[1]!RANK_AVG(C5,$B5:$D5,1)</f>
        <v>1.5</v>
      </c>
      <c r="I5" s="533">
        <f>[1]!RANK_AVG(D5,$B5:$D5,1)</f>
        <v>1.5</v>
      </c>
      <c r="K5" t="s">
        <v>573</v>
      </c>
      <c r="L5" s="503">
        <f>COUNT(B4:B15)</f>
        <v>12</v>
      </c>
      <c r="N5" s="607" t="s">
        <v>62</v>
      </c>
      <c r="O5" s="607" t="s">
        <v>22</v>
      </c>
      <c r="P5" s="607" t="s">
        <v>21</v>
      </c>
      <c r="Q5" s="607" t="s">
        <v>465</v>
      </c>
      <c r="R5" s="607" t="s">
        <v>80</v>
      </c>
      <c r="W5" t="s">
        <v>34</v>
      </c>
      <c r="X5" s="1036">
        <v>0.05</v>
      </c>
    </row>
    <row r="6" spans="1:24" x14ac:dyDescent="0.25">
      <c r="A6" s="604">
        <f t="shared" ref="A6:A15" si="0">A5+1</f>
        <v>3</v>
      </c>
      <c r="B6" s="540">
        <v>7</v>
      </c>
      <c r="C6" s="605">
        <v>8</v>
      </c>
      <c r="D6" s="494">
        <v>6</v>
      </c>
      <c r="F6" s="604">
        <f t="shared" ref="F6:F15" si="1">F5+1</f>
        <v>3</v>
      </c>
      <c r="G6" s="532">
        <f>[1]!RANK_AVG(B6,$B6:$D6,1)</f>
        <v>2</v>
      </c>
      <c r="H6" s="7">
        <f>[1]!RANK_AVG(C6,$B6:$D6,1)</f>
        <v>3</v>
      </c>
      <c r="I6" s="533">
        <f>[1]!RANK_AVG(D6,$B6:$D6,1)</f>
        <v>1</v>
      </c>
      <c r="K6" s="372" t="s">
        <v>1278</v>
      </c>
      <c r="L6" s="503">
        <f>12/(L5*L4*(L4+1))*J17-3*L5*(L4+1)</f>
        <v>1.7916666666666572</v>
      </c>
      <c r="N6" s="19">
        <v>1</v>
      </c>
      <c r="O6" s="19">
        <v>3</v>
      </c>
      <c r="P6" s="19">
        <v>6</v>
      </c>
      <c r="Q6" s="19">
        <v>2</v>
      </c>
      <c r="R6" s="19">
        <v>1</v>
      </c>
    </row>
    <row r="7" spans="1:24" x14ac:dyDescent="0.25">
      <c r="A7" s="604">
        <f t="shared" si="0"/>
        <v>4</v>
      </c>
      <c r="B7" s="540">
        <v>9</v>
      </c>
      <c r="C7" s="605">
        <v>6</v>
      </c>
      <c r="D7" s="494">
        <v>4</v>
      </c>
      <c r="F7" s="604">
        <f t="shared" si="1"/>
        <v>4</v>
      </c>
      <c r="G7" s="532">
        <f>[1]!RANK_AVG(B7,$B7:$D7,1)</f>
        <v>3</v>
      </c>
      <c r="H7" s="7">
        <f>[1]!RANK_AVG(C7,$B7:$D7,1)</f>
        <v>2</v>
      </c>
      <c r="I7" s="533">
        <f>[1]!RANK_AVG(D7,$B7:$D7,1)</f>
        <v>1</v>
      </c>
      <c r="K7" s="372" t="s">
        <v>60</v>
      </c>
      <c r="L7" s="503">
        <f>COUNTA(G5:I5)-1</f>
        <v>2</v>
      </c>
      <c r="N7" s="19">
        <v>2</v>
      </c>
      <c r="O7" s="19">
        <v>3</v>
      </c>
      <c r="P7" s="19">
        <v>6</v>
      </c>
      <c r="Q7" s="19">
        <v>2</v>
      </c>
      <c r="R7" s="19">
        <v>0.75</v>
      </c>
      <c r="W7" t="s">
        <v>2287</v>
      </c>
      <c r="X7" s="1037">
        <f>[1]!FRIEDMAN(B4:D15)</f>
        <v>1.7916666666666667</v>
      </c>
    </row>
    <row r="8" spans="1:24" x14ac:dyDescent="0.25">
      <c r="A8" s="604">
        <f t="shared" si="0"/>
        <v>5</v>
      </c>
      <c r="B8" s="540">
        <v>7</v>
      </c>
      <c r="C8" s="605">
        <v>5</v>
      </c>
      <c r="D8" s="494">
        <v>7</v>
      </c>
      <c r="F8" s="604">
        <f t="shared" si="1"/>
        <v>5</v>
      </c>
      <c r="G8" s="532">
        <f>[1]!RANK_AVG(B8,$B8:$D8,1)</f>
        <v>2.5</v>
      </c>
      <c r="H8" s="7">
        <f>[1]!RANK_AVG(C8,$B8:$D8,1)</f>
        <v>1</v>
      </c>
      <c r="I8" s="533">
        <f>[1]!RANK_AVG(D8,$B8:$D8,1)</f>
        <v>2.5</v>
      </c>
      <c r="K8" s="372" t="s">
        <v>103</v>
      </c>
      <c r="L8" s="503">
        <f>CHIDIST(L6,L7)</f>
        <v>0.40826723414688587</v>
      </c>
      <c r="N8" s="19">
        <v>3</v>
      </c>
      <c r="O8" s="19">
        <v>3</v>
      </c>
      <c r="P8" s="19">
        <v>6</v>
      </c>
      <c r="Q8" s="19">
        <v>2</v>
      </c>
      <c r="R8" s="19">
        <v>1</v>
      </c>
      <c r="W8" t="s">
        <v>60</v>
      </c>
      <c r="X8" s="680">
        <f>COUNT(B4:D4)-1</f>
        <v>2</v>
      </c>
    </row>
    <row r="9" spans="1:24" x14ac:dyDescent="0.25">
      <c r="A9" s="604">
        <f t="shared" si="0"/>
        <v>6</v>
      </c>
      <c r="B9" s="540">
        <v>4</v>
      </c>
      <c r="C9" s="605">
        <v>7</v>
      </c>
      <c r="D9" s="494">
        <v>5</v>
      </c>
      <c r="F9" s="604">
        <f t="shared" si="1"/>
        <v>6</v>
      </c>
      <c r="G9" s="532">
        <f>[1]!RANK_AVG(B9,$B9:$D9,1)</f>
        <v>1</v>
      </c>
      <c r="H9" s="7">
        <f>[1]!RANK_AVG(C9,$B9:$D9,1)</f>
        <v>3</v>
      </c>
      <c r="I9" s="533">
        <f>[1]!RANK_AVG(D9,$B9:$D9,1)</f>
        <v>2</v>
      </c>
      <c r="K9" s="372" t="s">
        <v>48</v>
      </c>
      <c r="L9" s="503">
        <v>0.05</v>
      </c>
      <c r="N9" s="19">
        <v>4</v>
      </c>
      <c r="O9" s="19">
        <v>3</v>
      </c>
      <c r="P9" s="19">
        <v>6</v>
      </c>
      <c r="Q9" s="19">
        <v>2</v>
      </c>
      <c r="R9" s="19">
        <v>1</v>
      </c>
      <c r="W9" t="s">
        <v>67</v>
      </c>
      <c r="X9" s="680">
        <f>CHIDIST(X7,X8)</f>
        <v>0.40826723414688393</v>
      </c>
    </row>
    <row r="10" spans="1:24" x14ac:dyDescent="0.25">
      <c r="A10" s="604">
        <f t="shared" si="0"/>
        <v>7</v>
      </c>
      <c r="B10" s="540">
        <v>5</v>
      </c>
      <c r="C10" s="605">
        <v>9</v>
      </c>
      <c r="D10" s="494">
        <v>3</v>
      </c>
      <c r="F10" s="604">
        <f t="shared" si="1"/>
        <v>7</v>
      </c>
      <c r="G10" s="532">
        <f>[1]!RANK_AVG(B10,$B10:$D10,1)</f>
        <v>2</v>
      </c>
      <c r="H10" s="7">
        <f>[1]!RANK_AVG(C10,$B10:$D10,1)</f>
        <v>3</v>
      </c>
      <c r="I10" s="533">
        <f>[1]!RANK_AVG(D10,$B10:$D10,1)</f>
        <v>1</v>
      </c>
      <c r="K10" s="372" t="s">
        <v>527</v>
      </c>
      <c r="L10" s="414" t="str">
        <f>IF(L8&lt;L9,"yes","no")</f>
        <v>no</v>
      </c>
      <c r="N10" s="19">
        <v>5</v>
      </c>
      <c r="O10" s="19">
        <v>3</v>
      </c>
      <c r="P10" s="19">
        <v>6</v>
      </c>
      <c r="Q10" s="19">
        <v>2</v>
      </c>
      <c r="R10" s="19">
        <v>0.75</v>
      </c>
      <c r="W10" t="s">
        <v>527</v>
      </c>
      <c r="X10" s="758" t="str">
        <f>IF(X9&lt;X5,"yes","no")</f>
        <v>no</v>
      </c>
    </row>
    <row r="11" spans="1:24" x14ac:dyDescent="0.25">
      <c r="A11" s="604">
        <f t="shared" si="0"/>
        <v>8</v>
      </c>
      <c r="B11" s="540">
        <v>6</v>
      </c>
      <c r="C11" s="605">
        <v>6</v>
      </c>
      <c r="D11" s="494">
        <v>7</v>
      </c>
      <c r="F11" s="604">
        <f t="shared" si="1"/>
        <v>8</v>
      </c>
      <c r="G11" s="532">
        <f>[1]!RANK_AVG(B11,$B11:$D11,1)</f>
        <v>1.5</v>
      </c>
      <c r="H11" s="7">
        <f>[1]!RANK_AVG(C11,$B11:$D11,1)</f>
        <v>1.5</v>
      </c>
      <c r="I11" s="533">
        <f>[1]!RANK_AVG(D11,$B11:$D11,1)</f>
        <v>3</v>
      </c>
      <c r="N11" s="19">
        <v>6</v>
      </c>
      <c r="O11" s="19">
        <v>3</v>
      </c>
      <c r="P11" s="19">
        <v>6</v>
      </c>
      <c r="Q11" s="19">
        <v>2</v>
      </c>
      <c r="R11" s="19">
        <v>1</v>
      </c>
    </row>
    <row r="12" spans="1:24" x14ac:dyDescent="0.25">
      <c r="A12" s="604">
        <f t="shared" si="0"/>
        <v>9</v>
      </c>
      <c r="B12" s="540">
        <v>5</v>
      </c>
      <c r="C12" s="605">
        <v>4</v>
      </c>
      <c r="D12" s="494">
        <v>6</v>
      </c>
      <c r="F12" s="604">
        <f t="shared" si="1"/>
        <v>9</v>
      </c>
      <c r="G12" s="532">
        <f>[1]!RANK_AVG(B12,$B12:$D12,1)</f>
        <v>2</v>
      </c>
      <c r="H12" s="7">
        <f>[1]!RANK_AVG(C12,$B12:$D12,1)</f>
        <v>1</v>
      </c>
      <c r="I12" s="533">
        <f>[1]!RANK_AVG(D12,$B12:$D12,1)</f>
        <v>3</v>
      </c>
      <c r="N12" s="19">
        <v>7</v>
      </c>
      <c r="O12" s="19">
        <v>3</v>
      </c>
      <c r="P12" s="19">
        <v>6</v>
      </c>
      <c r="Q12" s="19">
        <v>2</v>
      </c>
      <c r="R12" s="19">
        <v>1</v>
      </c>
    </row>
    <row r="13" spans="1:24" x14ac:dyDescent="0.25">
      <c r="A13" s="604">
        <f t="shared" si="0"/>
        <v>10</v>
      </c>
      <c r="B13" s="540">
        <v>10</v>
      </c>
      <c r="C13" s="605">
        <v>6</v>
      </c>
      <c r="D13" s="494">
        <v>4</v>
      </c>
      <c r="F13" s="604">
        <f t="shared" si="1"/>
        <v>10</v>
      </c>
      <c r="G13" s="532">
        <f>[1]!RANK_AVG(B13,$B13:$D13,1)</f>
        <v>3</v>
      </c>
      <c r="H13" s="7">
        <f>[1]!RANK_AVG(C13,$B13:$D13,1)</f>
        <v>2</v>
      </c>
      <c r="I13" s="533">
        <f>[1]!RANK_AVG(D13,$B13:$D13,1)</f>
        <v>1</v>
      </c>
      <c r="N13" s="19">
        <v>8</v>
      </c>
      <c r="O13" s="19">
        <v>3</v>
      </c>
      <c r="P13" s="19">
        <v>6</v>
      </c>
      <c r="Q13" s="19">
        <v>2</v>
      </c>
      <c r="R13" s="19">
        <v>0.75</v>
      </c>
    </row>
    <row r="14" spans="1:24" x14ac:dyDescent="0.25">
      <c r="A14" s="604">
        <f t="shared" si="0"/>
        <v>11</v>
      </c>
      <c r="B14" s="540">
        <v>4</v>
      </c>
      <c r="C14" s="605">
        <v>7</v>
      </c>
      <c r="D14" s="494">
        <v>4</v>
      </c>
      <c r="F14" s="604">
        <f t="shared" si="1"/>
        <v>11</v>
      </c>
      <c r="G14" s="532">
        <f>[1]!RANK_AVG(B14,$B14:$D14,1)</f>
        <v>1.5</v>
      </c>
      <c r="H14" s="7">
        <f>[1]!RANK_AVG(C14,$B14:$D14,1)</f>
        <v>3</v>
      </c>
      <c r="I14" s="533">
        <f>[1]!RANK_AVG(D14,$B14:$D14,1)</f>
        <v>1.5</v>
      </c>
      <c r="N14" s="19">
        <v>9</v>
      </c>
      <c r="O14" s="19">
        <v>3</v>
      </c>
      <c r="P14" s="19">
        <v>6</v>
      </c>
      <c r="Q14" s="19">
        <v>2</v>
      </c>
      <c r="R14" s="19">
        <v>1</v>
      </c>
    </row>
    <row r="15" spans="1:24" x14ac:dyDescent="0.25">
      <c r="A15" s="604">
        <f t="shared" si="0"/>
        <v>12</v>
      </c>
      <c r="B15" s="37">
        <v>7</v>
      </c>
      <c r="C15" s="608">
        <v>3</v>
      </c>
      <c r="D15" s="38">
        <v>3</v>
      </c>
      <c r="F15" s="604">
        <f t="shared" si="1"/>
        <v>12</v>
      </c>
      <c r="G15" s="9">
        <f>[1]!RANK_AVG(B15,$B15:$D15,1)</f>
        <v>3</v>
      </c>
      <c r="H15" s="10">
        <f>[1]!RANK_AVG(C15,$B15:$D15,1)</f>
        <v>1.5</v>
      </c>
      <c r="I15" s="11">
        <f>[1]!RANK_AVG(D15,$B15:$D15,1)</f>
        <v>1.5</v>
      </c>
      <c r="N15" s="19">
        <v>10</v>
      </c>
      <c r="O15" s="19">
        <v>3</v>
      </c>
      <c r="P15" s="19">
        <v>6</v>
      </c>
      <c r="Q15" s="19">
        <v>2</v>
      </c>
      <c r="R15" s="19">
        <v>1</v>
      </c>
    </row>
    <row r="16" spans="1:24" x14ac:dyDescent="0.25">
      <c r="F16" s="604" t="s">
        <v>690</v>
      </c>
      <c r="G16" s="620">
        <f>SUM(G4:G15)</f>
        <v>27.5</v>
      </c>
      <c r="H16" s="621">
        <f>SUM(H4:H15)</f>
        <v>23.5</v>
      </c>
      <c r="I16" s="622">
        <f>SUM(I4:I15)</f>
        <v>21</v>
      </c>
      <c r="N16" s="19">
        <v>11</v>
      </c>
      <c r="O16" s="19">
        <v>3</v>
      </c>
      <c r="P16" s="19">
        <v>6</v>
      </c>
      <c r="Q16" s="19">
        <v>2</v>
      </c>
      <c r="R16" s="19">
        <v>0.75</v>
      </c>
    </row>
    <row r="17" spans="6:20" ht="17.25" x14ac:dyDescent="0.25">
      <c r="F17" s="604" t="s">
        <v>1254</v>
      </c>
      <c r="G17" s="9">
        <f>G16^2</f>
        <v>756.25</v>
      </c>
      <c r="H17" s="10">
        <f>H16^2</f>
        <v>552.25</v>
      </c>
      <c r="I17" s="11">
        <f>I16^2</f>
        <v>441</v>
      </c>
      <c r="J17" s="580">
        <f>SUM(G17:I17)</f>
        <v>1749.5</v>
      </c>
      <c r="N17" s="19">
        <v>12</v>
      </c>
      <c r="O17" s="19">
        <v>3</v>
      </c>
      <c r="P17" s="19">
        <v>6</v>
      </c>
      <c r="Q17" s="19">
        <v>2</v>
      </c>
      <c r="R17" s="19">
        <v>0.75</v>
      </c>
    </row>
    <row r="18" spans="6:20" x14ac:dyDescent="0.25">
      <c r="N18" s="19"/>
      <c r="O18" s="19"/>
      <c r="P18" s="19"/>
      <c r="Q18" s="19"/>
      <c r="R18" s="19"/>
    </row>
    <row r="19" spans="6:20" x14ac:dyDescent="0.25">
      <c r="N19" s="19" t="s">
        <v>145</v>
      </c>
      <c r="O19" s="19">
        <v>12</v>
      </c>
      <c r="P19" s="19">
        <v>27.5</v>
      </c>
      <c r="Q19" s="19">
        <v>2.2916666666666665</v>
      </c>
      <c r="R19" s="19">
        <v>0.52083333333333315</v>
      </c>
    </row>
    <row r="20" spans="6:20" x14ac:dyDescent="0.25">
      <c r="F20" t="s">
        <v>2316</v>
      </c>
      <c r="N20" s="19" t="s">
        <v>1289</v>
      </c>
      <c r="O20" s="19">
        <v>12</v>
      </c>
      <c r="P20" s="19">
        <v>23.5</v>
      </c>
      <c r="Q20" s="19">
        <v>1.9583333333333333</v>
      </c>
      <c r="R20" s="19">
        <v>0.70265151515151492</v>
      </c>
    </row>
    <row r="21" spans="6:20" ht="15.75" thickBot="1" x14ac:dyDescent="0.3">
      <c r="N21" s="20" t="s">
        <v>1290</v>
      </c>
      <c r="O21" s="20">
        <v>12</v>
      </c>
      <c r="P21" s="20">
        <v>21</v>
      </c>
      <c r="Q21" s="20">
        <v>1.75</v>
      </c>
      <c r="R21" s="20">
        <v>0.56818181818181823</v>
      </c>
    </row>
    <row r="22" spans="6:20" x14ac:dyDescent="0.25">
      <c r="F22" t="s">
        <v>1278</v>
      </c>
      <c r="G22" s="614">
        <f>[1]!FRIEDMAN(B4:D15)</f>
        <v>1.7916666666666667</v>
      </c>
    </row>
    <row r="23" spans="6:20" x14ac:dyDescent="0.25">
      <c r="F23" t="s">
        <v>67</v>
      </c>
      <c r="G23" s="420">
        <f>[1]!FrTEST(B4:D15)</f>
        <v>0.40826723414688393</v>
      </c>
    </row>
    <row r="24" spans="6:20" ht="15.75" thickBot="1" x14ac:dyDescent="0.3">
      <c r="N24" t="s">
        <v>294</v>
      </c>
    </row>
    <row r="25" spans="6:20" x14ac:dyDescent="0.25">
      <c r="N25" s="607" t="s">
        <v>466</v>
      </c>
      <c r="O25" s="607" t="s">
        <v>219</v>
      </c>
      <c r="P25" s="607" t="s">
        <v>60</v>
      </c>
      <c r="Q25" s="607" t="s">
        <v>240</v>
      </c>
      <c r="R25" s="607" t="s">
        <v>135</v>
      </c>
      <c r="S25" s="607" t="s">
        <v>119</v>
      </c>
      <c r="T25" s="607" t="s">
        <v>467</v>
      </c>
    </row>
    <row r="26" spans="6:20" x14ac:dyDescent="0.25">
      <c r="N26" s="19" t="s">
        <v>136</v>
      </c>
      <c r="O26" s="19">
        <v>0</v>
      </c>
      <c r="P26" s="19">
        <v>11</v>
      </c>
      <c r="Q26" s="19">
        <v>0</v>
      </c>
      <c r="R26" s="19">
        <v>0</v>
      </c>
      <c r="S26" s="19">
        <v>1</v>
      </c>
      <c r="T26" s="19">
        <v>2.2585183566229916</v>
      </c>
    </row>
    <row r="27" spans="6:20" x14ac:dyDescent="0.25">
      <c r="N27" s="19" t="s">
        <v>589</v>
      </c>
      <c r="O27" s="19">
        <v>1.7916666666666643</v>
      </c>
      <c r="P27" s="19">
        <v>2</v>
      </c>
      <c r="Q27" s="19">
        <v>0.89583333333333215</v>
      </c>
      <c r="R27" s="19">
        <v>0.99999999999999856</v>
      </c>
      <c r="S27" s="19">
        <v>0.38399523056087737</v>
      </c>
      <c r="T27" s="19">
        <v>3.4433567793667246</v>
      </c>
    </row>
    <row r="28" spans="6:20" x14ac:dyDescent="0.25">
      <c r="N28" s="19" t="s">
        <v>588</v>
      </c>
      <c r="O28" s="19">
        <v>19.708333333333336</v>
      </c>
      <c r="P28" s="19">
        <v>22</v>
      </c>
      <c r="Q28" s="19">
        <v>0.89583333333333348</v>
      </c>
      <c r="R28" s="19"/>
      <c r="S28" s="19"/>
      <c r="T28" s="19"/>
    </row>
    <row r="29" spans="6:20" x14ac:dyDescent="0.25">
      <c r="N29" s="19"/>
      <c r="O29" s="19"/>
      <c r="P29" s="19"/>
      <c r="Q29" s="19"/>
      <c r="R29" s="19"/>
      <c r="S29" s="19"/>
      <c r="T29" s="19"/>
    </row>
    <row r="30" spans="6:20" ht="15.75" thickBot="1" x14ac:dyDescent="0.3">
      <c r="N30" s="20" t="s">
        <v>1</v>
      </c>
      <c r="O30" s="20">
        <v>21.5</v>
      </c>
      <c r="P30" s="20">
        <v>35</v>
      </c>
      <c r="Q30" s="20"/>
      <c r="R30" s="20"/>
      <c r="S30" s="20"/>
      <c r="T30" s="20"/>
    </row>
    <row r="32" spans="6:20" ht="18" x14ac:dyDescent="0.35">
      <c r="N32" t="s">
        <v>1291</v>
      </c>
      <c r="O32" s="614">
        <f>O27</f>
        <v>1.7916666666666643</v>
      </c>
    </row>
    <row r="33" spans="14:15" x14ac:dyDescent="0.25">
      <c r="N33" t="s">
        <v>1292</v>
      </c>
      <c r="O33" s="503">
        <f>L4*(L4+1)/12</f>
        <v>1</v>
      </c>
    </row>
    <row r="34" spans="14:15" x14ac:dyDescent="0.25">
      <c r="N34" t="s">
        <v>1278</v>
      </c>
      <c r="O34" s="420">
        <f>O32/O33</f>
        <v>1.7916666666666643</v>
      </c>
    </row>
  </sheetData>
  <pageMargins left="0.7" right="0.7" top="0.75" bottom="0.75" header="0.3" footer="0.3"/>
  <ignoredErrors>
    <ignoredError sqref="X8" formulaRange="1"/>
  </ignoredError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/>
  <dimension ref="A1:S94"/>
  <sheetViews>
    <sheetView workbookViewId="0"/>
  </sheetViews>
  <sheetFormatPr defaultRowHeight="15" x14ac:dyDescent="0.25"/>
  <cols>
    <col min="9" max="9" width="3.5703125" customWidth="1"/>
    <col min="10" max="10" width="57.42578125" customWidth="1"/>
  </cols>
  <sheetData>
    <row r="1" spans="1:19" x14ac:dyDescent="0.25">
      <c r="A1" s="1" t="s">
        <v>2277</v>
      </c>
      <c r="L1" t="s">
        <v>2282</v>
      </c>
      <c r="Q1" t="s">
        <v>1933</v>
      </c>
    </row>
    <row r="3" spans="1:19" x14ac:dyDescent="0.25">
      <c r="A3" s="1029" t="s">
        <v>57</v>
      </c>
      <c r="B3" s="1029" t="s">
        <v>2279</v>
      </c>
      <c r="C3" s="1029" t="s">
        <v>2278</v>
      </c>
      <c r="D3" s="1029" t="s">
        <v>2280</v>
      </c>
      <c r="L3" s="1029" t="s">
        <v>2279</v>
      </c>
      <c r="M3" s="1029" t="s">
        <v>2278</v>
      </c>
      <c r="N3" s="1029" t="s">
        <v>2280</v>
      </c>
      <c r="O3" s="1029"/>
      <c r="Q3" t="s">
        <v>2277</v>
      </c>
    </row>
    <row r="4" spans="1:19" x14ac:dyDescent="0.25">
      <c r="A4" s="1029">
        <v>1</v>
      </c>
      <c r="B4" s="1023">
        <v>1</v>
      </c>
      <c r="C4" s="864">
        <v>1</v>
      </c>
      <c r="D4" s="1018">
        <v>1</v>
      </c>
      <c r="E4" s="1029">
        <f>SUM(B4:D4)</f>
        <v>3</v>
      </c>
      <c r="G4" t="s">
        <v>56</v>
      </c>
      <c r="H4" s="868">
        <f>COUNTA(B3:D3)</f>
        <v>3</v>
      </c>
      <c r="J4" t="str">
        <f>[1]!FTEXT(H4)</f>
        <v>=COUNTA(B3:D3)</v>
      </c>
      <c r="L4" s="1032">
        <f>B24/$H5</f>
        <v>0.3</v>
      </c>
      <c r="M4" s="1033">
        <f>C24/$H5</f>
        <v>0.65</v>
      </c>
      <c r="N4" s="1034">
        <f>D24/$H5</f>
        <v>0.7</v>
      </c>
      <c r="O4" s="1035"/>
    </row>
    <row r="5" spans="1:19" x14ac:dyDescent="0.25">
      <c r="A5" s="1029">
        <f>A4+1</f>
        <v>2</v>
      </c>
      <c r="B5" s="540">
        <v>0</v>
      </c>
      <c r="C5" s="1030">
        <v>1</v>
      </c>
      <c r="D5" s="494">
        <v>1</v>
      </c>
      <c r="E5" s="1029">
        <f t="shared" ref="E5:E23" si="0">SUM(B5:D5)</f>
        <v>2</v>
      </c>
      <c r="G5" t="s">
        <v>31</v>
      </c>
      <c r="H5" s="503">
        <f>COUNT(B4:B23)</f>
        <v>20</v>
      </c>
      <c r="J5" t="str">
        <f>[1]!FTEXT(H5)</f>
        <v>=COUNT(B4:B23)</v>
      </c>
      <c r="Q5" t="s">
        <v>34</v>
      </c>
      <c r="R5" s="1036">
        <v>0.05</v>
      </c>
    </row>
    <row r="6" spans="1:19" x14ac:dyDescent="0.25">
      <c r="A6" s="1029">
        <f t="shared" ref="A6:A23" si="1">A5+1</f>
        <v>3</v>
      </c>
      <c r="B6" s="540">
        <v>0</v>
      </c>
      <c r="C6" s="1030">
        <v>0</v>
      </c>
      <c r="D6" s="494">
        <v>1</v>
      </c>
      <c r="E6" s="1029">
        <f t="shared" si="0"/>
        <v>1</v>
      </c>
      <c r="G6" t="s">
        <v>60</v>
      </c>
      <c r="H6" s="503">
        <f>H4-1</f>
        <v>2</v>
      </c>
      <c r="J6" t="str">
        <f>[1]!FTEXT(H6)</f>
        <v>=H4-1</v>
      </c>
    </row>
    <row r="7" spans="1:19" x14ac:dyDescent="0.25">
      <c r="A7" s="1029">
        <f t="shared" si="1"/>
        <v>4</v>
      </c>
      <c r="B7" s="540">
        <v>0</v>
      </c>
      <c r="C7" s="1030">
        <v>1</v>
      </c>
      <c r="D7" s="494">
        <v>0</v>
      </c>
      <c r="E7" s="1029">
        <f t="shared" si="0"/>
        <v>1</v>
      </c>
      <c r="G7" t="s">
        <v>1293</v>
      </c>
      <c r="H7" s="503">
        <f>H6*(H4*SUMSQ(B24:D24)-E24^2)/(H4*E24-SUMSQ(E4:E23))</f>
        <v>6.7058823529411766</v>
      </c>
      <c r="J7" t="str">
        <f>[1]!FTEXT(H7)</f>
        <v>=H6*(H4*SUMSQ(B24:D24)-E24^2)/(H4*E24-SUMSQ(E4:E23))</v>
      </c>
      <c r="Q7" t="s">
        <v>2283</v>
      </c>
      <c r="R7" s="1037">
        <f>[1]!COCHRAN(B4:D23,TRUE)</f>
        <v>6.7058823529411766</v>
      </c>
    </row>
    <row r="8" spans="1:19" x14ac:dyDescent="0.25">
      <c r="A8" s="1029">
        <f t="shared" si="1"/>
        <v>5</v>
      </c>
      <c r="B8" s="540">
        <v>1</v>
      </c>
      <c r="C8" s="1030">
        <v>0</v>
      </c>
      <c r="D8" s="494">
        <v>0</v>
      </c>
      <c r="E8" s="1029">
        <f t="shared" si="0"/>
        <v>1</v>
      </c>
      <c r="G8" t="s">
        <v>106</v>
      </c>
      <c r="H8" s="503">
        <v>0.05</v>
      </c>
      <c r="Q8" t="s">
        <v>60</v>
      </c>
      <c r="R8" s="680">
        <f>COUNT(B4:D4)-1</f>
        <v>2</v>
      </c>
    </row>
    <row r="9" spans="1:19" x14ac:dyDescent="0.25">
      <c r="A9" s="1029">
        <f t="shared" si="1"/>
        <v>6</v>
      </c>
      <c r="B9" s="540">
        <v>0</v>
      </c>
      <c r="C9" s="1030">
        <v>1</v>
      </c>
      <c r="D9" s="494">
        <v>1</v>
      </c>
      <c r="E9" s="1029">
        <f t="shared" si="0"/>
        <v>2</v>
      </c>
      <c r="G9" t="s">
        <v>67</v>
      </c>
      <c r="H9" s="503">
        <f>CHIDIST(H7,H6)</f>
        <v>3.4981316424350116E-2</v>
      </c>
      <c r="J9" t="str">
        <f>[1]!FTEXT(H9)</f>
        <v>=CHIDIST(H7,H6)</v>
      </c>
      <c r="Q9" t="s">
        <v>67</v>
      </c>
      <c r="R9" s="680">
        <f>CHIDIST(R7,R8)</f>
        <v>3.4981316424350116E-2</v>
      </c>
    </row>
    <row r="10" spans="1:19" x14ac:dyDescent="0.25">
      <c r="A10" s="1029">
        <f t="shared" si="1"/>
        <v>7</v>
      </c>
      <c r="B10" s="540">
        <v>0</v>
      </c>
      <c r="C10" s="1030">
        <v>1</v>
      </c>
      <c r="D10" s="494">
        <v>1</v>
      </c>
      <c r="E10" s="1029">
        <f t="shared" si="0"/>
        <v>2</v>
      </c>
      <c r="G10" t="s">
        <v>2281</v>
      </c>
      <c r="H10" s="503">
        <f>CHIINV(H8,H6)</f>
        <v>5.9914645471079817</v>
      </c>
      <c r="J10" t="str">
        <f>[1]!FTEXT(H10)</f>
        <v>=CHIINV(H8,H6)</v>
      </c>
      <c r="Q10" t="s">
        <v>527</v>
      </c>
      <c r="R10" s="758" t="str">
        <f>IF(R9&lt;R5,"yes","no")</f>
        <v>yes</v>
      </c>
    </row>
    <row r="11" spans="1:19" x14ac:dyDescent="0.25">
      <c r="A11" s="1029">
        <f t="shared" si="1"/>
        <v>8</v>
      </c>
      <c r="B11" s="540">
        <v>0</v>
      </c>
      <c r="C11" s="1030">
        <v>0</v>
      </c>
      <c r="D11" s="494">
        <v>1</v>
      </c>
      <c r="E11" s="1029">
        <f t="shared" si="0"/>
        <v>1</v>
      </c>
      <c r="G11" t="s">
        <v>527</v>
      </c>
      <c r="H11" s="414" t="str">
        <f>IF(H9&lt;H8,"yes","no")</f>
        <v>yes</v>
      </c>
      <c r="J11" t="str">
        <f>[1]!FTEXT(H11)</f>
        <v>=IF(H9&lt;H8,"yes","no")</v>
      </c>
    </row>
    <row r="12" spans="1:19" x14ac:dyDescent="0.25">
      <c r="A12" s="1029">
        <f t="shared" si="1"/>
        <v>9</v>
      </c>
      <c r="B12" s="540">
        <v>0</v>
      </c>
      <c r="C12" s="1030">
        <v>1</v>
      </c>
      <c r="D12" s="494">
        <v>1</v>
      </c>
      <c r="E12" s="1029">
        <f t="shared" si="0"/>
        <v>2</v>
      </c>
      <c r="Q12" t="s">
        <v>2284</v>
      </c>
    </row>
    <row r="13" spans="1:19" x14ac:dyDescent="0.25">
      <c r="A13" s="1029">
        <f t="shared" si="1"/>
        <v>10</v>
      </c>
      <c r="B13" s="540">
        <v>0</v>
      </c>
      <c r="C13" s="1030">
        <v>1</v>
      </c>
      <c r="D13" s="494">
        <v>0</v>
      </c>
      <c r="E13" s="1029">
        <f t="shared" si="0"/>
        <v>1</v>
      </c>
    </row>
    <row r="14" spans="1:19" x14ac:dyDescent="0.25">
      <c r="A14" s="1029">
        <f t="shared" si="1"/>
        <v>11</v>
      </c>
      <c r="B14" s="540">
        <v>1</v>
      </c>
      <c r="C14" s="1030">
        <v>1</v>
      </c>
      <c r="D14" s="494">
        <v>0</v>
      </c>
      <c r="E14" s="1029">
        <f t="shared" si="0"/>
        <v>2</v>
      </c>
      <c r="G14" t="s">
        <v>2151</v>
      </c>
      <c r="L14" t="s">
        <v>2151</v>
      </c>
      <c r="Q14" t="str">
        <f>B3</f>
        <v>Mon</v>
      </c>
      <c r="R14" t="str">
        <f>C3</f>
        <v>Wed</v>
      </c>
      <c r="S14" t="str">
        <f>D3</f>
        <v>Fri</v>
      </c>
    </row>
    <row r="15" spans="1:19" x14ac:dyDescent="0.25">
      <c r="A15" s="1029">
        <f t="shared" si="1"/>
        <v>12</v>
      </c>
      <c r="B15" s="540">
        <v>1</v>
      </c>
      <c r="C15" s="1030">
        <v>1</v>
      </c>
      <c r="D15" s="494">
        <v>1</v>
      </c>
      <c r="E15" s="1029">
        <f t="shared" si="0"/>
        <v>3</v>
      </c>
      <c r="Q15" s="1038">
        <f t="array" ref="Q15:S15">[1]!QRATIO(B4:D23,TRUE)</f>
        <v>0.3</v>
      </c>
      <c r="R15" s="1039">
        <v>0.65</v>
      </c>
      <c r="S15" s="1040">
        <v>0.7</v>
      </c>
    </row>
    <row r="16" spans="1:19" x14ac:dyDescent="0.25">
      <c r="A16" s="1029">
        <f t="shared" si="1"/>
        <v>13</v>
      </c>
      <c r="B16" s="540">
        <v>0</v>
      </c>
      <c r="C16" s="1030">
        <v>0</v>
      </c>
      <c r="D16" s="494">
        <v>0</v>
      </c>
      <c r="E16" s="1029">
        <f t="shared" si="0"/>
        <v>0</v>
      </c>
      <c r="G16" t="s">
        <v>1293</v>
      </c>
      <c r="H16" s="868">
        <f>[1]!COCHRAN(B4:D23,TRUE)</f>
        <v>6.7058823529411766</v>
      </c>
      <c r="L16" s="609">
        <f t="array" ref="L16:N16">[1]!QRATIO(B4:D23,TRUE)</f>
        <v>0.3</v>
      </c>
      <c r="M16" s="590">
        <v>0.65</v>
      </c>
      <c r="N16" s="610">
        <v>0.7</v>
      </c>
      <c r="O16" s="7"/>
    </row>
    <row r="17" spans="1:10" x14ac:dyDescent="0.25">
      <c r="A17" s="1029">
        <f t="shared" si="1"/>
        <v>14</v>
      </c>
      <c r="B17" s="540">
        <v>1</v>
      </c>
      <c r="C17" s="1030">
        <v>0</v>
      </c>
      <c r="D17" s="494">
        <v>1</v>
      </c>
      <c r="E17" s="1029">
        <f t="shared" si="0"/>
        <v>2</v>
      </c>
      <c r="G17" t="s">
        <v>67</v>
      </c>
      <c r="H17" s="420">
        <f>[1]!QTEST(B4:D23,TRUE)</f>
        <v>3.4981316424350116E-2</v>
      </c>
    </row>
    <row r="18" spans="1:10" x14ac:dyDescent="0.25">
      <c r="A18" s="1029">
        <f t="shared" si="1"/>
        <v>15</v>
      </c>
      <c r="B18" s="540">
        <v>0</v>
      </c>
      <c r="C18" s="1030">
        <v>1</v>
      </c>
      <c r="D18" s="494">
        <v>1</v>
      </c>
      <c r="E18" s="1029">
        <f t="shared" si="0"/>
        <v>2</v>
      </c>
    </row>
    <row r="19" spans="1:10" x14ac:dyDescent="0.25">
      <c r="A19" s="1029">
        <f t="shared" si="1"/>
        <v>16</v>
      </c>
      <c r="B19" s="540">
        <v>0</v>
      </c>
      <c r="C19" s="1030">
        <v>1</v>
      </c>
      <c r="D19" s="494">
        <v>0</v>
      </c>
      <c r="E19" s="1029">
        <f t="shared" si="0"/>
        <v>1</v>
      </c>
    </row>
    <row r="20" spans="1:10" x14ac:dyDescent="0.25">
      <c r="A20" s="1029">
        <f t="shared" si="1"/>
        <v>17</v>
      </c>
      <c r="B20" s="540">
        <v>0</v>
      </c>
      <c r="C20" s="1030">
        <v>0</v>
      </c>
      <c r="D20" s="494">
        <v>1</v>
      </c>
      <c r="E20" s="1029">
        <f t="shared" si="0"/>
        <v>1</v>
      </c>
    </row>
    <row r="21" spans="1:10" x14ac:dyDescent="0.25">
      <c r="A21" s="1029">
        <f t="shared" si="1"/>
        <v>18</v>
      </c>
      <c r="B21" s="540">
        <v>0</v>
      </c>
      <c r="C21" s="1030">
        <v>1</v>
      </c>
      <c r="D21" s="494">
        <v>1</v>
      </c>
      <c r="E21" s="1029">
        <f t="shared" si="0"/>
        <v>2</v>
      </c>
    </row>
    <row r="22" spans="1:10" x14ac:dyDescent="0.25">
      <c r="A22" s="1029">
        <f t="shared" si="1"/>
        <v>19</v>
      </c>
      <c r="B22" s="540">
        <v>1</v>
      </c>
      <c r="C22" s="1030">
        <v>0</v>
      </c>
      <c r="D22" s="494">
        <v>1</v>
      </c>
      <c r="E22" s="1029">
        <f t="shared" si="0"/>
        <v>2</v>
      </c>
    </row>
    <row r="23" spans="1:10" x14ac:dyDescent="0.25">
      <c r="A23" s="1029">
        <f t="shared" si="1"/>
        <v>20</v>
      </c>
      <c r="B23" s="436">
        <v>0</v>
      </c>
      <c r="C23" s="860">
        <v>1</v>
      </c>
      <c r="D23" s="412">
        <v>1</v>
      </c>
      <c r="E23" s="1029">
        <f t="shared" si="0"/>
        <v>2</v>
      </c>
    </row>
    <row r="24" spans="1:10" x14ac:dyDescent="0.25">
      <c r="B24" s="1029">
        <f>SUM(B4:B23)</f>
        <v>6</v>
      </c>
      <c r="C24" s="1029">
        <f>SUM(C4:C23)</f>
        <v>13</v>
      </c>
      <c r="D24" s="1029">
        <f>SUM(D4:D23)</f>
        <v>14</v>
      </c>
      <c r="E24" s="1029">
        <f>SUM(B24:D24)</f>
        <v>33</v>
      </c>
    </row>
    <row r="27" spans="1:10" x14ac:dyDescent="0.25">
      <c r="A27" s="1029" t="s">
        <v>57</v>
      </c>
      <c r="B27" s="1029" t="s">
        <v>2279</v>
      </c>
      <c r="C27" s="1029" t="s">
        <v>2278</v>
      </c>
    </row>
    <row r="28" spans="1:10" x14ac:dyDescent="0.25">
      <c r="A28" s="1029">
        <v>1</v>
      </c>
      <c r="B28" s="1023">
        <v>1</v>
      </c>
      <c r="C28" s="1018">
        <v>1</v>
      </c>
      <c r="E28" s="1029">
        <f>SUM(B28:D28)</f>
        <v>2</v>
      </c>
      <c r="G28" t="s">
        <v>56</v>
      </c>
      <c r="H28" s="868">
        <f>COUNTA(B27:D27)</f>
        <v>2</v>
      </c>
      <c r="J28" t="str">
        <f>[1]!FTEXT(H28)</f>
        <v>=COUNTA(B27:D27)</v>
      </c>
    </row>
    <row r="29" spans="1:10" x14ac:dyDescent="0.25">
      <c r="A29" s="1029">
        <f>A28+1</f>
        <v>2</v>
      </c>
      <c r="B29" s="540">
        <v>0</v>
      </c>
      <c r="C29" s="494">
        <v>1</v>
      </c>
      <c r="E29" s="1029">
        <f t="shared" ref="E29:E47" si="2">SUM(B29:D29)</f>
        <v>1</v>
      </c>
      <c r="G29" t="s">
        <v>31</v>
      </c>
      <c r="H29" s="503">
        <f>COUNT(B28:B47)</f>
        <v>20</v>
      </c>
      <c r="J29" t="str">
        <f>[1]!FTEXT(H29)</f>
        <v>=COUNT(B28:B47)</v>
      </c>
    </row>
    <row r="30" spans="1:10" x14ac:dyDescent="0.25">
      <c r="A30" s="1029">
        <f t="shared" ref="A30:A47" si="3">A29+1</f>
        <v>3</v>
      </c>
      <c r="B30" s="540">
        <v>0</v>
      </c>
      <c r="C30" s="494">
        <v>0</v>
      </c>
      <c r="E30" s="1029">
        <f t="shared" si="2"/>
        <v>0</v>
      </c>
      <c r="G30" t="s">
        <v>60</v>
      </c>
      <c r="H30" s="503">
        <f>H28-1</f>
        <v>1</v>
      </c>
      <c r="J30" t="str">
        <f>[1]!FTEXT(H30)</f>
        <v>=H28-1</v>
      </c>
    </row>
    <row r="31" spans="1:10" x14ac:dyDescent="0.25">
      <c r="A31" s="1029">
        <f t="shared" si="3"/>
        <v>4</v>
      </c>
      <c r="B31" s="540">
        <v>0</v>
      </c>
      <c r="C31" s="494">
        <v>1</v>
      </c>
      <c r="E31" s="1029">
        <f t="shared" si="2"/>
        <v>1</v>
      </c>
      <c r="G31" t="s">
        <v>1293</v>
      </c>
      <c r="H31" s="503">
        <f>H30*(H28*SUMSQ(B48:D48)-E48^2)/(H28*E48-SUMSQ(E28:E47))</f>
        <v>3.7692307692307692</v>
      </c>
      <c r="J31" t="str">
        <f>[1]!FTEXT(H31)</f>
        <v>=H30*(H28*SUMSQ(B48:D48)-E48^2)/(H28*E48-SUMSQ(E28:E47))</v>
      </c>
    </row>
    <row r="32" spans="1:10" x14ac:dyDescent="0.25">
      <c r="A32" s="1029">
        <f t="shared" si="3"/>
        <v>5</v>
      </c>
      <c r="B32" s="540">
        <v>1</v>
      </c>
      <c r="C32" s="494">
        <v>0</v>
      </c>
      <c r="E32" s="1029">
        <f t="shared" si="2"/>
        <v>1</v>
      </c>
      <c r="G32" t="s">
        <v>106</v>
      </c>
      <c r="H32" s="503">
        <v>0.05</v>
      </c>
    </row>
    <row r="33" spans="1:10" x14ac:dyDescent="0.25">
      <c r="A33" s="1029">
        <f t="shared" si="3"/>
        <v>6</v>
      </c>
      <c r="B33" s="540">
        <v>0</v>
      </c>
      <c r="C33" s="494">
        <v>1</v>
      </c>
      <c r="E33" s="1029">
        <f t="shared" si="2"/>
        <v>1</v>
      </c>
      <c r="G33" t="s">
        <v>67</v>
      </c>
      <c r="H33" s="503">
        <f>CHIDIST(H31,H30)</f>
        <v>5.2203635341314676E-2</v>
      </c>
      <c r="J33" t="str">
        <f>[1]!FTEXT(H33)</f>
        <v>=CHIDIST(H31,H30)</v>
      </c>
    </row>
    <row r="34" spans="1:10" x14ac:dyDescent="0.25">
      <c r="A34" s="1029">
        <f t="shared" si="3"/>
        <v>7</v>
      </c>
      <c r="B34" s="540">
        <v>0</v>
      </c>
      <c r="C34" s="494">
        <v>1</v>
      </c>
      <c r="E34" s="1029">
        <f t="shared" si="2"/>
        <v>1</v>
      </c>
      <c r="G34" t="s">
        <v>2281</v>
      </c>
      <c r="H34" s="503">
        <f>CHIINV(H32,H30)</f>
        <v>3.8414588206941236</v>
      </c>
      <c r="J34" t="str">
        <f>[1]!FTEXT(H34)</f>
        <v>=CHIINV(H32,H30)</v>
      </c>
    </row>
    <row r="35" spans="1:10" x14ac:dyDescent="0.25">
      <c r="A35" s="1029">
        <f t="shared" si="3"/>
        <v>8</v>
      </c>
      <c r="B35" s="540">
        <v>0</v>
      </c>
      <c r="C35" s="494">
        <v>0</v>
      </c>
      <c r="E35" s="1029">
        <f t="shared" si="2"/>
        <v>0</v>
      </c>
      <c r="G35" t="s">
        <v>527</v>
      </c>
      <c r="H35" s="414" t="str">
        <f>IF(H33&lt;H32,"yes","no")</f>
        <v>no</v>
      </c>
      <c r="J35" t="str">
        <f>[1]!FTEXT(H35)</f>
        <v>=IF(H33&lt;H32,"yes","no")</v>
      </c>
    </row>
    <row r="36" spans="1:10" x14ac:dyDescent="0.25">
      <c r="A36" s="1029">
        <f t="shared" si="3"/>
        <v>9</v>
      </c>
      <c r="B36" s="540">
        <v>0</v>
      </c>
      <c r="C36" s="494">
        <v>1</v>
      </c>
      <c r="E36" s="1029">
        <f t="shared" si="2"/>
        <v>1</v>
      </c>
    </row>
    <row r="37" spans="1:10" x14ac:dyDescent="0.25">
      <c r="A37" s="1029">
        <f t="shared" si="3"/>
        <v>10</v>
      </c>
      <c r="B37" s="540">
        <v>0</v>
      </c>
      <c r="C37" s="494">
        <v>1</v>
      </c>
      <c r="E37" s="1029">
        <f t="shared" si="2"/>
        <v>1</v>
      </c>
    </row>
    <row r="38" spans="1:10" x14ac:dyDescent="0.25">
      <c r="A38" s="1029">
        <f t="shared" si="3"/>
        <v>11</v>
      </c>
      <c r="B38" s="540">
        <v>1</v>
      </c>
      <c r="C38" s="494">
        <v>1</v>
      </c>
      <c r="E38" s="1029">
        <f t="shared" si="2"/>
        <v>2</v>
      </c>
    </row>
    <row r="39" spans="1:10" x14ac:dyDescent="0.25">
      <c r="A39" s="1029">
        <f t="shared" si="3"/>
        <v>12</v>
      </c>
      <c r="B39" s="540">
        <v>1</v>
      </c>
      <c r="C39" s="494">
        <v>1</v>
      </c>
      <c r="E39" s="1029">
        <f t="shared" si="2"/>
        <v>2</v>
      </c>
    </row>
    <row r="40" spans="1:10" x14ac:dyDescent="0.25">
      <c r="A40" s="1029">
        <f t="shared" si="3"/>
        <v>13</v>
      </c>
      <c r="B40" s="540">
        <v>0</v>
      </c>
      <c r="C40" s="494">
        <v>0</v>
      </c>
      <c r="E40" s="1029">
        <f t="shared" si="2"/>
        <v>0</v>
      </c>
    </row>
    <row r="41" spans="1:10" x14ac:dyDescent="0.25">
      <c r="A41" s="1029">
        <f t="shared" si="3"/>
        <v>14</v>
      </c>
      <c r="B41" s="540">
        <v>1</v>
      </c>
      <c r="C41" s="494">
        <v>0</v>
      </c>
      <c r="E41" s="1029">
        <f t="shared" si="2"/>
        <v>1</v>
      </c>
    </row>
    <row r="42" spans="1:10" x14ac:dyDescent="0.25">
      <c r="A42" s="1029">
        <f t="shared" si="3"/>
        <v>15</v>
      </c>
      <c r="B42" s="540">
        <v>0</v>
      </c>
      <c r="C42" s="494">
        <v>1</v>
      </c>
      <c r="E42" s="1029">
        <f t="shared" si="2"/>
        <v>1</v>
      </c>
    </row>
    <row r="43" spans="1:10" x14ac:dyDescent="0.25">
      <c r="A43" s="1029">
        <f t="shared" si="3"/>
        <v>16</v>
      </c>
      <c r="B43" s="540">
        <v>0</v>
      </c>
      <c r="C43" s="494">
        <v>1</v>
      </c>
      <c r="E43" s="1029">
        <f t="shared" si="2"/>
        <v>1</v>
      </c>
    </row>
    <row r="44" spans="1:10" x14ac:dyDescent="0.25">
      <c r="A44" s="1029">
        <f t="shared" si="3"/>
        <v>17</v>
      </c>
      <c r="B44" s="540">
        <v>0</v>
      </c>
      <c r="C44" s="494">
        <v>0</v>
      </c>
      <c r="E44" s="1029">
        <f t="shared" si="2"/>
        <v>0</v>
      </c>
    </row>
    <row r="45" spans="1:10" x14ac:dyDescent="0.25">
      <c r="A45" s="1029">
        <f t="shared" si="3"/>
        <v>18</v>
      </c>
      <c r="B45" s="540">
        <v>0</v>
      </c>
      <c r="C45" s="494">
        <v>1</v>
      </c>
      <c r="E45" s="1029">
        <f t="shared" si="2"/>
        <v>1</v>
      </c>
    </row>
    <row r="46" spans="1:10" x14ac:dyDescent="0.25">
      <c r="A46" s="1029">
        <f t="shared" si="3"/>
        <v>19</v>
      </c>
      <c r="B46" s="540">
        <v>1</v>
      </c>
      <c r="C46" s="494">
        <v>0</v>
      </c>
      <c r="E46" s="1029">
        <f t="shared" si="2"/>
        <v>1</v>
      </c>
    </row>
    <row r="47" spans="1:10" x14ac:dyDescent="0.25">
      <c r="A47" s="1029">
        <f t="shared" si="3"/>
        <v>20</v>
      </c>
      <c r="B47" s="436">
        <v>0</v>
      </c>
      <c r="C47" s="412">
        <v>1</v>
      </c>
      <c r="E47" s="1029">
        <f t="shared" si="2"/>
        <v>1</v>
      </c>
    </row>
    <row r="48" spans="1:10" x14ac:dyDescent="0.25">
      <c r="B48" s="1029">
        <f>SUM(B28:B47)</f>
        <v>6</v>
      </c>
      <c r="C48" s="1029">
        <f>SUM(C28:C47)</f>
        <v>13</v>
      </c>
      <c r="E48" s="1029">
        <f>SUM(B48:D48)</f>
        <v>19</v>
      </c>
    </row>
    <row r="50" spans="1:10" x14ac:dyDescent="0.25">
      <c r="A50" s="1029" t="s">
        <v>57</v>
      </c>
      <c r="B50" s="1029" t="s">
        <v>2279</v>
      </c>
      <c r="D50" s="1029" t="s">
        <v>2280</v>
      </c>
    </row>
    <row r="51" spans="1:10" x14ac:dyDescent="0.25">
      <c r="A51" s="1029">
        <v>1</v>
      </c>
      <c r="B51" s="1023">
        <v>1</v>
      </c>
      <c r="C51" s="827"/>
      <c r="D51" s="1018">
        <v>1</v>
      </c>
      <c r="E51" s="1029">
        <f>SUM(B51:D51)</f>
        <v>2</v>
      </c>
      <c r="G51" t="s">
        <v>56</v>
      </c>
      <c r="H51" s="868">
        <f>COUNTA(B50:D50)</f>
        <v>2</v>
      </c>
      <c r="J51" t="str">
        <f>[1]!FTEXT(H51)</f>
        <v>=COUNTA(B50:D50)</v>
      </c>
    </row>
    <row r="52" spans="1:10" x14ac:dyDescent="0.25">
      <c r="A52" s="1029">
        <f>A51+1</f>
        <v>2</v>
      </c>
      <c r="B52" s="540">
        <v>0</v>
      </c>
      <c r="C52" s="7"/>
      <c r="D52" s="494">
        <v>1</v>
      </c>
      <c r="E52" s="1029">
        <f t="shared" ref="E52:E70" si="4">SUM(B52:D52)</f>
        <v>1</v>
      </c>
      <c r="G52" t="s">
        <v>31</v>
      </c>
      <c r="H52" s="503">
        <f>COUNT(B51:B70)</f>
        <v>20</v>
      </c>
      <c r="J52" t="str">
        <f>[1]!FTEXT(H52)</f>
        <v>=COUNT(B51:B70)</v>
      </c>
    </row>
    <row r="53" spans="1:10" x14ac:dyDescent="0.25">
      <c r="A53" s="1029">
        <f t="shared" ref="A53:A70" si="5">A52+1</f>
        <v>3</v>
      </c>
      <c r="B53" s="540">
        <v>0</v>
      </c>
      <c r="C53" s="7"/>
      <c r="D53" s="494">
        <v>1</v>
      </c>
      <c r="E53" s="1029">
        <f t="shared" si="4"/>
        <v>1</v>
      </c>
      <c r="G53" t="s">
        <v>60</v>
      </c>
      <c r="H53" s="503">
        <f>H51-1</f>
        <v>1</v>
      </c>
      <c r="J53" t="str">
        <f>[1]!FTEXT(H53)</f>
        <v>=H51-1</v>
      </c>
    </row>
    <row r="54" spans="1:10" x14ac:dyDescent="0.25">
      <c r="A54" s="1029">
        <f t="shared" si="5"/>
        <v>4</v>
      </c>
      <c r="B54" s="540">
        <v>0</v>
      </c>
      <c r="C54" s="7"/>
      <c r="D54" s="494">
        <v>0</v>
      </c>
      <c r="E54" s="1029">
        <f t="shared" si="4"/>
        <v>0</v>
      </c>
      <c r="G54" t="s">
        <v>1293</v>
      </c>
      <c r="H54" s="503">
        <f>H53*(H51*SUMSQ(B71:D71)-E71^2)/(H51*E71-SUMSQ(E51:E70))</f>
        <v>5.333333333333333</v>
      </c>
      <c r="J54" t="str">
        <f>[1]!FTEXT(H54)</f>
        <v>=H53*(H51*SUMSQ(B71:D71)-E71^2)/(H51*E71-SUMSQ(E51:E70))</v>
      </c>
    </row>
    <row r="55" spans="1:10" x14ac:dyDescent="0.25">
      <c r="A55" s="1029">
        <f t="shared" si="5"/>
        <v>5</v>
      </c>
      <c r="B55" s="540">
        <v>1</v>
      </c>
      <c r="C55" s="7"/>
      <c r="D55" s="494">
        <v>0</v>
      </c>
      <c r="E55" s="1029">
        <f t="shared" si="4"/>
        <v>1</v>
      </c>
      <c r="G55" t="s">
        <v>106</v>
      </c>
      <c r="H55" s="503">
        <v>0.05</v>
      </c>
    </row>
    <row r="56" spans="1:10" x14ac:dyDescent="0.25">
      <c r="A56" s="1029">
        <f t="shared" si="5"/>
        <v>6</v>
      </c>
      <c r="B56" s="540">
        <v>0</v>
      </c>
      <c r="C56" s="7"/>
      <c r="D56" s="494">
        <v>1</v>
      </c>
      <c r="E56" s="1029">
        <f t="shared" si="4"/>
        <v>1</v>
      </c>
      <c r="G56" t="s">
        <v>67</v>
      </c>
      <c r="H56" s="503">
        <f>CHIDIST(H54,H53)</f>
        <v>2.0921335337794028E-2</v>
      </c>
      <c r="J56" t="str">
        <f>[1]!FTEXT(H56)</f>
        <v>=CHIDIST(H54,H53)</v>
      </c>
    </row>
    <row r="57" spans="1:10" x14ac:dyDescent="0.25">
      <c r="A57" s="1029">
        <f t="shared" si="5"/>
        <v>7</v>
      </c>
      <c r="B57" s="540">
        <v>0</v>
      </c>
      <c r="C57" s="7"/>
      <c r="D57" s="494">
        <v>1</v>
      </c>
      <c r="E57" s="1029">
        <f t="shared" si="4"/>
        <v>1</v>
      </c>
      <c r="G57" t="s">
        <v>2281</v>
      </c>
      <c r="H57" s="503">
        <f>CHIINV(H55,H53)</f>
        <v>3.8414588206941236</v>
      </c>
      <c r="J57" t="str">
        <f>[1]!FTEXT(H57)</f>
        <v>=CHIINV(H55,H53)</v>
      </c>
    </row>
    <row r="58" spans="1:10" x14ac:dyDescent="0.25">
      <c r="A58" s="1029">
        <f t="shared" si="5"/>
        <v>8</v>
      </c>
      <c r="B58" s="540">
        <v>0</v>
      </c>
      <c r="C58" s="7"/>
      <c r="D58" s="494">
        <v>1</v>
      </c>
      <c r="E58" s="1029">
        <f t="shared" si="4"/>
        <v>1</v>
      </c>
      <c r="G58" t="s">
        <v>527</v>
      </c>
      <c r="H58" s="414" t="str">
        <f>IF(H56&lt;H55,"yes","no")</f>
        <v>yes</v>
      </c>
      <c r="J58" t="str">
        <f>[1]!FTEXT(H58)</f>
        <v>=IF(H56&lt;H55,"yes","no")</v>
      </c>
    </row>
    <row r="59" spans="1:10" x14ac:dyDescent="0.25">
      <c r="A59" s="1029">
        <f t="shared" si="5"/>
        <v>9</v>
      </c>
      <c r="B59" s="540">
        <v>0</v>
      </c>
      <c r="C59" s="7"/>
      <c r="D59" s="494">
        <v>1</v>
      </c>
      <c r="E59" s="1029">
        <f t="shared" si="4"/>
        <v>1</v>
      </c>
    </row>
    <row r="60" spans="1:10" x14ac:dyDescent="0.25">
      <c r="A60" s="1029">
        <f t="shared" si="5"/>
        <v>10</v>
      </c>
      <c r="B60" s="540">
        <v>0</v>
      </c>
      <c r="C60" s="7"/>
      <c r="D60" s="494">
        <v>0</v>
      </c>
      <c r="E60" s="1029">
        <f t="shared" si="4"/>
        <v>0</v>
      </c>
    </row>
    <row r="61" spans="1:10" x14ac:dyDescent="0.25">
      <c r="A61" s="1029">
        <f t="shared" si="5"/>
        <v>11</v>
      </c>
      <c r="B61" s="540">
        <v>1</v>
      </c>
      <c r="C61" s="7"/>
      <c r="D61" s="494">
        <v>0</v>
      </c>
      <c r="E61" s="1029">
        <f t="shared" si="4"/>
        <v>1</v>
      </c>
    </row>
    <row r="62" spans="1:10" x14ac:dyDescent="0.25">
      <c r="A62" s="1029">
        <f t="shared" si="5"/>
        <v>12</v>
      </c>
      <c r="B62" s="540">
        <v>1</v>
      </c>
      <c r="C62" s="7"/>
      <c r="D62" s="494">
        <v>1</v>
      </c>
      <c r="E62" s="1029">
        <f t="shared" si="4"/>
        <v>2</v>
      </c>
    </row>
    <row r="63" spans="1:10" x14ac:dyDescent="0.25">
      <c r="A63" s="1029">
        <f t="shared" si="5"/>
        <v>13</v>
      </c>
      <c r="B63" s="540">
        <v>0</v>
      </c>
      <c r="C63" s="7"/>
      <c r="D63" s="494">
        <v>0</v>
      </c>
      <c r="E63" s="1029">
        <f t="shared" si="4"/>
        <v>0</v>
      </c>
    </row>
    <row r="64" spans="1:10" x14ac:dyDescent="0.25">
      <c r="A64" s="1029">
        <f t="shared" si="5"/>
        <v>14</v>
      </c>
      <c r="B64" s="540">
        <v>1</v>
      </c>
      <c r="C64" s="7"/>
      <c r="D64" s="494">
        <v>1</v>
      </c>
      <c r="E64" s="1029">
        <f t="shared" si="4"/>
        <v>2</v>
      </c>
    </row>
    <row r="65" spans="1:10" x14ac:dyDescent="0.25">
      <c r="A65" s="1029">
        <f t="shared" si="5"/>
        <v>15</v>
      </c>
      <c r="B65" s="540">
        <v>0</v>
      </c>
      <c r="C65" s="7"/>
      <c r="D65" s="494">
        <v>1</v>
      </c>
      <c r="E65" s="1029">
        <f t="shared" si="4"/>
        <v>1</v>
      </c>
    </row>
    <row r="66" spans="1:10" x14ac:dyDescent="0.25">
      <c r="A66" s="1029">
        <f t="shared" si="5"/>
        <v>16</v>
      </c>
      <c r="B66" s="540">
        <v>0</v>
      </c>
      <c r="C66" s="7"/>
      <c r="D66" s="494">
        <v>0</v>
      </c>
      <c r="E66" s="1029">
        <f t="shared" si="4"/>
        <v>0</v>
      </c>
    </row>
    <row r="67" spans="1:10" x14ac:dyDescent="0.25">
      <c r="A67" s="1029">
        <f t="shared" si="5"/>
        <v>17</v>
      </c>
      <c r="B67" s="540">
        <v>0</v>
      </c>
      <c r="C67" s="7"/>
      <c r="D67" s="494">
        <v>1</v>
      </c>
      <c r="E67" s="1029">
        <f t="shared" si="4"/>
        <v>1</v>
      </c>
    </row>
    <row r="68" spans="1:10" x14ac:dyDescent="0.25">
      <c r="A68" s="1029">
        <f t="shared" si="5"/>
        <v>18</v>
      </c>
      <c r="B68" s="540">
        <v>0</v>
      </c>
      <c r="C68" s="7"/>
      <c r="D68" s="494">
        <v>1</v>
      </c>
      <c r="E68" s="1029">
        <f t="shared" si="4"/>
        <v>1</v>
      </c>
    </row>
    <row r="69" spans="1:10" x14ac:dyDescent="0.25">
      <c r="A69" s="1029">
        <f t="shared" si="5"/>
        <v>19</v>
      </c>
      <c r="B69" s="540">
        <v>1</v>
      </c>
      <c r="C69" s="7"/>
      <c r="D69" s="494">
        <v>1</v>
      </c>
      <c r="E69" s="1029">
        <f t="shared" si="4"/>
        <v>2</v>
      </c>
    </row>
    <row r="70" spans="1:10" x14ac:dyDescent="0.25">
      <c r="A70" s="1029">
        <f t="shared" si="5"/>
        <v>20</v>
      </c>
      <c r="B70" s="436">
        <v>0</v>
      </c>
      <c r="C70" s="762"/>
      <c r="D70" s="412">
        <v>1</v>
      </c>
      <c r="E70" s="1029">
        <f t="shared" si="4"/>
        <v>1</v>
      </c>
    </row>
    <row r="71" spans="1:10" x14ac:dyDescent="0.25">
      <c r="B71" s="1029">
        <f>SUM(B51:B70)</f>
        <v>6</v>
      </c>
      <c r="D71" s="1029">
        <f>SUM(D51:D70)</f>
        <v>14</v>
      </c>
      <c r="E71" s="1029">
        <f>SUM(B71:D71)</f>
        <v>20</v>
      </c>
    </row>
    <row r="73" spans="1:10" x14ac:dyDescent="0.25">
      <c r="A73" s="1029" t="s">
        <v>57</v>
      </c>
      <c r="C73" s="1029" t="s">
        <v>2278</v>
      </c>
      <c r="D73" s="1029" t="s">
        <v>2280</v>
      </c>
    </row>
    <row r="74" spans="1:10" x14ac:dyDescent="0.25">
      <c r="A74" s="1029">
        <v>1</v>
      </c>
      <c r="C74" s="1023">
        <v>1</v>
      </c>
      <c r="D74" s="1018">
        <v>1</v>
      </c>
      <c r="E74" s="1029">
        <f>SUM(B74:D74)</f>
        <v>2</v>
      </c>
      <c r="G74" t="s">
        <v>56</v>
      </c>
      <c r="H74" s="868">
        <f>COUNTA(B73:D73)</f>
        <v>2</v>
      </c>
      <c r="J74" t="str">
        <f>[1]!FTEXT(H74)</f>
        <v>=COUNTA(B73:D73)</v>
      </c>
    </row>
    <row r="75" spans="1:10" x14ac:dyDescent="0.25">
      <c r="A75" s="1029">
        <f>A74+1</f>
        <v>2</v>
      </c>
      <c r="C75" s="540">
        <v>1</v>
      </c>
      <c r="D75" s="494">
        <v>1</v>
      </c>
      <c r="E75" s="1029">
        <f t="shared" ref="E75:E93" si="6">SUM(B75:D75)</f>
        <v>2</v>
      </c>
      <c r="G75" t="s">
        <v>31</v>
      </c>
      <c r="H75" s="503">
        <f>COUNT(B74:B93)</f>
        <v>0</v>
      </c>
      <c r="J75" t="str">
        <f>[1]!FTEXT(H75)</f>
        <v>=COUNT(B74:B93)</v>
      </c>
    </row>
    <row r="76" spans="1:10" x14ac:dyDescent="0.25">
      <c r="A76" s="1029">
        <f t="shared" ref="A76:A93" si="7">A75+1</f>
        <v>3</v>
      </c>
      <c r="C76" s="540">
        <v>0</v>
      </c>
      <c r="D76" s="494">
        <v>1</v>
      </c>
      <c r="E76" s="1029">
        <f t="shared" si="6"/>
        <v>1</v>
      </c>
      <c r="G76" t="s">
        <v>60</v>
      </c>
      <c r="H76" s="503">
        <f>H74-1</f>
        <v>1</v>
      </c>
      <c r="J76" t="str">
        <f>[1]!FTEXT(H76)</f>
        <v>=H74-1</v>
      </c>
    </row>
    <row r="77" spans="1:10" x14ac:dyDescent="0.25">
      <c r="A77" s="1029">
        <f t="shared" si="7"/>
        <v>4</v>
      </c>
      <c r="C77" s="540">
        <v>1</v>
      </c>
      <c r="D77" s="494">
        <v>0</v>
      </c>
      <c r="E77" s="1029">
        <f t="shared" si="6"/>
        <v>1</v>
      </c>
      <c r="G77" t="s">
        <v>1293</v>
      </c>
      <c r="H77" s="503">
        <f>H76*(H74*SUMSQ(B94:D94)-E94^2)/(H74*E94-SUMSQ(E74:E93))</f>
        <v>0.1111111111111111</v>
      </c>
      <c r="J77" t="str">
        <f>[1]!FTEXT(H77)</f>
        <v>=H76*(H74*SUMSQ(B94:D94)-E94^2)/(H74*E94-SUMSQ(E74:E93))</v>
      </c>
    </row>
    <row r="78" spans="1:10" x14ac:dyDescent="0.25">
      <c r="A78" s="1029">
        <f t="shared" si="7"/>
        <v>5</v>
      </c>
      <c r="C78" s="540">
        <v>0</v>
      </c>
      <c r="D78" s="494">
        <v>0</v>
      </c>
      <c r="E78" s="1029">
        <f t="shared" si="6"/>
        <v>0</v>
      </c>
      <c r="G78" t="s">
        <v>106</v>
      </c>
      <c r="H78" s="503">
        <v>0.05</v>
      </c>
    </row>
    <row r="79" spans="1:10" x14ac:dyDescent="0.25">
      <c r="A79" s="1029">
        <f t="shared" si="7"/>
        <v>6</v>
      </c>
      <c r="C79" s="540">
        <v>1</v>
      </c>
      <c r="D79" s="494">
        <v>1</v>
      </c>
      <c r="E79" s="1029">
        <f t="shared" si="6"/>
        <v>2</v>
      </c>
      <c r="G79" t="s">
        <v>67</v>
      </c>
      <c r="H79" s="503">
        <f>CHIDIST(H77,H76)</f>
        <v>0.73888268036352722</v>
      </c>
      <c r="J79" t="str">
        <f>[1]!FTEXT(H79)</f>
        <v>=CHIDIST(H77,H76)</v>
      </c>
    </row>
    <row r="80" spans="1:10" x14ac:dyDescent="0.25">
      <c r="A80" s="1029">
        <f t="shared" si="7"/>
        <v>7</v>
      </c>
      <c r="C80" s="540">
        <v>1</v>
      </c>
      <c r="D80" s="494">
        <v>1</v>
      </c>
      <c r="E80" s="1029">
        <f t="shared" si="6"/>
        <v>2</v>
      </c>
      <c r="G80" t="s">
        <v>2281</v>
      </c>
      <c r="H80" s="503">
        <f>CHIINV(H78,H76)</f>
        <v>3.8414588206941236</v>
      </c>
      <c r="J80" t="str">
        <f>[1]!FTEXT(H80)</f>
        <v>=CHIINV(H78,H76)</v>
      </c>
    </row>
    <row r="81" spans="1:10" x14ac:dyDescent="0.25">
      <c r="A81" s="1029">
        <f t="shared" si="7"/>
        <v>8</v>
      </c>
      <c r="C81" s="540">
        <v>0</v>
      </c>
      <c r="D81" s="494">
        <v>1</v>
      </c>
      <c r="E81" s="1029">
        <f t="shared" si="6"/>
        <v>1</v>
      </c>
      <c r="G81" t="s">
        <v>527</v>
      </c>
      <c r="H81" s="414" t="str">
        <f>IF(H79&lt;H78,"yes","no")</f>
        <v>no</v>
      </c>
      <c r="J81" t="str">
        <f>[1]!FTEXT(H81)</f>
        <v>=IF(H79&lt;H78,"yes","no")</v>
      </c>
    </row>
    <row r="82" spans="1:10" x14ac:dyDescent="0.25">
      <c r="A82" s="1029">
        <f t="shared" si="7"/>
        <v>9</v>
      </c>
      <c r="C82" s="540">
        <v>1</v>
      </c>
      <c r="D82" s="494">
        <v>1</v>
      </c>
      <c r="E82" s="1029">
        <f t="shared" si="6"/>
        <v>2</v>
      </c>
    </row>
    <row r="83" spans="1:10" x14ac:dyDescent="0.25">
      <c r="A83" s="1029">
        <f t="shared" si="7"/>
        <v>10</v>
      </c>
      <c r="C83" s="540">
        <v>1</v>
      </c>
      <c r="D83" s="494">
        <v>0</v>
      </c>
      <c r="E83" s="1029">
        <f t="shared" si="6"/>
        <v>1</v>
      </c>
    </row>
    <row r="84" spans="1:10" x14ac:dyDescent="0.25">
      <c r="A84" s="1029">
        <f t="shared" si="7"/>
        <v>11</v>
      </c>
      <c r="C84" s="540">
        <v>1</v>
      </c>
      <c r="D84" s="494">
        <v>0</v>
      </c>
      <c r="E84" s="1029">
        <f t="shared" si="6"/>
        <v>1</v>
      </c>
    </row>
    <row r="85" spans="1:10" x14ac:dyDescent="0.25">
      <c r="A85" s="1029">
        <f t="shared" si="7"/>
        <v>12</v>
      </c>
      <c r="C85" s="540">
        <v>1</v>
      </c>
      <c r="D85" s="494">
        <v>1</v>
      </c>
      <c r="E85" s="1029">
        <f t="shared" si="6"/>
        <v>2</v>
      </c>
    </row>
    <row r="86" spans="1:10" x14ac:dyDescent="0.25">
      <c r="A86" s="1029">
        <f t="shared" si="7"/>
        <v>13</v>
      </c>
      <c r="C86" s="540">
        <v>0</v>
      </c>
      <c r="D86" s="494">
        <v>0</v>
      </c>
      <c r="E86" s="1029">
        <f t="shared" si="6"/>
        <v>0</v>
      </c>
    </row>
    <row r="87" spans="1:10" x14ac:dyDescent="0.25">
      <c r="A87" s="1029">
        <f t="shared" si="7"/>
        <v>14</v>
      </c>
      <c r="C87" s="540">
        <v>0</v>
      </c>
      <c r="D87" s="494">
        <v>1</v>
      </c>
      <c r="E87" s="1029">
        <f t="shared" si="6"/>
        <v>1</v>
      </c>
    </row>
    <row r="88" spans="1:10" x14ac:dyDescent="0.25">
      <c r="A88" s="1029">
        <f t="shared" si="7"/>
        <v>15</v>
      </c>
      <c r="C88" s="540">
        <v>1</v>
      </c>
      <c r="D88" s="494">
        <v>1</v>
      </c>
      <c r="E88" s="1029">
        <f t="shared" si="6"/>
        <v>2</v>
      </c>
    </row>
    <row r="89" spans="1:10" x14ac:dyDescent="0.25">
      <c r="A89" s="1029">
        <f t="shared" si="7"/>
        <v>16</v>
      </c>
      <c r="C89" s="540">
        <v>1</v>
      </c>
      <c r="D89" s="494">
        <v>0</v>
      </c>
      <c r="E89" s="1029">
        <f t="shared" si="6"/>
        <v>1</v>
      </c>
    </row>
    <row r="90" spans="1:10" x14ac:dyDescent="0.25">
      <c r="A90" s="1029">
        <f t="shared" si="7"/>
        <v>17</v>
      </c>
      <c r="C90" s="540">
        <v>0</v>
      </c>
      <c r="D90" s="494">
        <v>1</v>
      </c>
      <c r="E90" s="1029">
        <f t="shared" si="6"/>
        <v>1</v>
      </c>
    </row>
    <row r="91" spans="1:10" x14ac:dyDescent="0.25">
      <c r="A91" s="1029">
        <f t="shared" si="7"/>
        <v>18</v>
      </c>
      <c r="C91" s="540">
        <v>1</v>
      </c>
      <c r="D91" s="494">
        <v>1</v>
      </c>
      <c r="E91" s="1029">
        <f t="shared" si="6"/>
        <v>2</v>
      </c>
    </row>
    <row r="92" spans="1:10" x14ac:dyDescent="0.25">
      <c r="A92" s="1029">
        <f t="shared" si="7"/>
        <v>19</v>
      </c>
      <c r="C92" s="540">
        <v>0</v>
      </c>
      <c r="D92" s="494">
        <v>1</v>
      </c>
      <c r="E92" s="1029">
        <f t="shared" si="6"/>
        <v>1</v>
      </c>
    </row>
    <row r="93" spans="1:10" x14ac:dyDescent="0.25">
      <c r="A93" s="1029">
        <f t="shared" si="7"/>
        <v>20</v>
      </c>
      <c r="C93" s="436">
        <v>1</v>
      </c>
      <c r="D93" s="412">
        <v>1</v>
      </c>
      <c r="E93" s="1029">
        <f t="shared" si="6"/>
        <v>2</v>
      </c>
    </row>
    <row r="94" spans="1:10" x14ac:dyDescent="0.25">
      <c r="C94" s="1029">
        <f>SUM(C74:C93)</f>
        <v>13</v>
      </c>
      <c r="D94" s="1029">
        <f>SUM(D74:D93)</f>
        <v>14</v>
      </c>
      <c r="E94" s="1029">
        <f>SUM(B94:D94)</f>
        <v>27</v>
      </c>
    </row>
  </sheetData>
  <pageMargins left="0.7" right="0.7" top="0.75" bottom="0.75" header="0.3" footer="0.3"/>
  <ignoredErrors>
    <ignoredError sqref="E4 E51" formulaRange="1"/>
  </ignoredError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/>
  <dimension ref="A1:V21"/>
  <sheetViews>
    <sheetView workbookViewId="0"/>
  </sheetViews>
  <sheetFormatPr defaultRowHeight="15" x14ac:dyDescent="0.25"/>
  <cols>
    <col min="10" max="10" width="3.5703125" customWidth="1"/>
    <col min="11" max="11" width="41.42578125" customWidth="1"/>
  </cols>
  <sheetData>
    <row r="1" spans="1:22" x14ac:dyDescent="0.25">
      <c r="A1" s="1" t="s">
        <v>2277</v>
      </c>
      <c r="S1" t="s">
        <v>2285</v>
      </c>
    </row>
    <row r="3" spans="1:22" x14ac:dyDescent="0.25">
      <c r="A3" s="1029" t="s">
        <v>213</v>
      </c>
      <c r="B3" s="1029" t="s">
        <v>131</v>
      </c>
      <c r="C3" s="1029" t="s">
        <v>132</v>
      </c>
      <c r="D3" s="1029" t="s">
        <v>133</v>
      </c>
      <c r="E3" s="1029" t="s">
        <v>28</v>
      </c>
      <c r="M3" s="1029" t="s">
        <v>213</v>
      </c>
      <c r="N3" s="1029" t="s">
        <v>131</v>
      </c>
      <c r="O3" s="1029" t="s">
        <v>132</v>
      </c>
      <c r="P3" s="1029" t="s">
        <v>133</v>
      </c>
      <c r="Q3" s="1029"/>
      <c r="S3" t="s">
        <v>2277</v>
      </c>
    </row>
    <row r="4" spans="1:22" x14ac:dyDescent="0.25">
      <c r="A4" s="1023">
        <v>0</v>
      </c>
      <c r="B4" s="864">
        <v>0</v>
      </c>
      <c r="C4" s="864">
        <v>0</v>
      </c>
      <c r="D4" s="1018">
        <v>0</v>
      </c>
      <c r="E4" s="1017">
        <v>6</v>
      </c>
      <c r="F4" s="1029">
        <f>SUM(A4:D4)^2*E4</f>
        <v>0</v>
      </c>
      <c r="H4" t="s">
        <v>56</v>
      </c>
      <c r="I4" s="868">
        <f>COUNTA(A3:D3)</f>
        <v>4</v>
      </c>
      <c r="K4" t="str">
        <f>[1]!FTEXT(I4)</f>
        <v>=COUNTA(A3:D3)</v>
      </c>
      <c r="M4" s="1032">
        <f>A20/$I5</f>
        <v>0.56999999999999995</v>
      </c>
      <c r="N4" s="1033">
        <f>B20/$I5</f>
        <v>0.49</v>
      </c>
      <c r="O4" s="1033">
        <f>C20/$I5</f>
        <v>0.43</v>
      </c>
      <c r="P4" s="1034">
        <f>D20/$I5</f>
        <v>0.38</v>
      </c>
      <c r="Q4" s="1035"/>
    </row>
    <row r="5" spans="1:22" x14ac:dyDescent="0.25">
      <c r="A5" s="540">
        <v>0</v>
      </c>
      <c r="B5" s="1030">
        <v>0</v>
      </c>
      <c r="C5" s="1030">
        <v>0</v>
      </c>
      <c r="D5" s="494">
        <v>1</v>
      </c>
      <c r="E5" s="575">
        <v>3</v>
      </c>
      <c r="F5" s="1029">
        <f t="shared" ref="F5:F19" si="0">SUM(A5:D5)^2*E5</f>
        <v>3</v>
      </c>
      <c r="H5" t="s">
        <v>31</v>
      </c>
      <c r="I5" s="503">
        <f>SUM(E4:E19)</f>
        <v>100</v>
      </c>
      <c r="K5" t="str">
        <f>[1]!FTEXT(I5)</f>
        <v>=SUM(E4:E19)</v>
      </c>
      <c r="S5" t="s">
        <v>34</v>
      </c>
      <c r="T5" s="1036">
        <v>0.05</v>
      </c>
    </row>
    <row r="6" spans="1:22" x14ac:dyDescent="0.25">
      <c r="A6" s="540">
        <v>0</v>
      </c>
      <c r="B6" s="1030">
        <v>0</v>
      </c>
      <c r="C6" s="1030">
        <v>1</v>
      </c>
      <c r="D6" s="494">
        <v>0</v>
      </c>
      <c r="E6" s="575">
        <v>6</v>
      </c>
      <c r="F6" s="1029">
        <f t="shared" si="0"/>
        <v>6</v>
      </c>
      <c r="H6" t="s">
        <v>60</v>
      </c>
      <c r="I6" s="503">
        <f>I4-1</f>
        <v>3</v>
      </c>
      <c r="K6" t="str">
        <f>[1]!FTEXT(I6)</f>
        <v>=I4-1</v>
      </c>
    </row>
    <row r="7" spans="1:22" x14ac:dyDescent="0.25">
      <c r="A7" s="540">
        <v>0</v>
      </c>
      <c r="B7" s="1030">
        <v>0</v>
      </c>
      <c r="C7" s="1030">
        <v>1</v>
      </c>
      <c r="D7" s="494">
        <v>1</v>
      </c>
      <c r="E7" s="575">
        <v>7</v>
      </c>
      <c r="F7" s="1029">
        <f t="shared" si="0"/>
        <v>28</v>
      </c>
      <c r="H7" t="s">
        <v>1293</v>
      </c>
      <c r="I7" s="503">
        <f>I6*(I4*SUMSQ(A20:D20)-E20^2)/(I4*E20-F20)</f>
        <v>7.3669724770642198</v>
      </c>
      <c r="K7" t="str">
        <f>[1]!FTEXT(I7)</f>
        <v>=I6*(I4*SUMSQ(A20:D20)-E20^2)/(I4*E20-F20)</v>
      </c>
      <c r="S7" t="s">
        <v>2283</v>
      </c>
      <c r="T7" s="1037">
        <f>[1]!COCHRAN(A4:E19)</f>
        <v>7.3669724770642198</v>
      </c>
    </row>
    <row r="8" spans="1:22" x14ac:dyDescent="0.25">
      <c r="A8" s="540">
        <v>0</v>
      </c>
      <c r="B8" s="1030">
        <v>1</v>
      </c>
      <c r="C8" s="1030">
        <v>0</v>
      </c>
      <c r="D8" s="494">
        <v>0</v>
      </c>
      <c r="E8" s="575">
        <v>2</v>
      </c>
      <c r="F8" s="1029">
        <f t="shared" si="0"/>
        <v>2</v>
      </c>
      <c r="H8" t="s">
        <v>106</v>
      </c>
      <c r="I8" s="503">
        <v>0.05</v>
      </c>
      <c r="S8" t="s">
        <v>60</v>
      </c>
      <c r="T8" s="680">
        <f>COUNT(A4:E4)-2</f>
        <v>3</v>
      </c>
    </row>
    <row r="9" spans="1:22" x14ac:dyDescent="0.25">
      <c r="A9" s="540">
        <v>0</v>
      </c>
      <c r="B9" s="1030">
        <v>1</v>
      </c>
      <c r="C9" s="1030">
        <v>0</v>
      </c>
      <c r="D9" s="494">
        <v>1</v>
      </c>
      <c r="E9" s="575">
        <v>9</v>
      </c>
      <c r="F9" s="1029">
        <f t="shared" si="0"/>
        <v>36</v>
      </c>
      <c r="H9" t="s">
        <v>67</v>
      </c>
      <c r="I9" s="503">
        <f>CHIDIST(I7,I6)</f>
        <v>6.1076841177476054E-2</v>
      </c>
      <c r="K9" t="str">
        <f>[1]!FTEXT(I9)</f>
        <v>=CHIDIST(I7,I6)</v>
      </c>
      <c r="S9" t="s">
        <v>67</v>
      </c>
      <c r="T9" s="680">
        <f>CHIDIST(T7,T8)</f>
        <v>6.1076841177476054E-2</v>
      </c>
    </row>
    <row r="10" spans="1:22" x14ac:dyDescent="0.25">
      <c r="A10" s="540">
        <v>0</v>
      </c>
      <c r="B10" s="1030">
        <v>1</v>
      </c>
      <c r="C10" s="1030">
        <v>1</v>
      </c>
      <c r="D10" s="494">
        <v>0</v>
      </c>
      <c r="E10" s="575">
        <v>10</v>
      </c>
      <c r="F10" s="1029">
        <f t="shared" si="0"/>
        <v>40</v>
      </c>
      <c r="H10" t="s">
        <v>2281</v>
      </c>
      <c r="I10" s="503">
        <f>CHIINV(I8,I6)</f>
        <v>7.8147279032511792</v>
      </c>
      <c r="K10" t="str">
        <f>[1]!FTEXT(I10)</f>
        <v>=CHIINV(I8,I6)</v>
      </c>
      <c r="S10" t="s">
        <v>527</v>
      </c>
      <c r="T10" s="758" t="str">
        <f>IF(T9&lt;T5,"yes","no")</f>
        <v>no</v>
      </c>
    </row>
    <row r="11" spans="1:22" x14ac:dyDescent="0.25">
      <c r="A11" s="540">
        <v>0</v>
      </c>
      <c r="B11" s="1030">
        <v>1</v>
      </c>
      <c r="C11" s="1030">
        <v>1</v>
      </c>
      <c r="D11" s="494">
        <v>1</v>
      </c>
      <c r="E11" s="575">
        <v>0</v>
      </c>
      <c r="F11" s="1029">
        <f t="shared" si="0"/>
        <v>0</v>
      </c>
      <c r="H11" t="s">
        <v>527</v>
      </c>
      <c r="I11" s="414" t="str">
        <f>IF(I9&lt;I8,"yes","no")</f>
        <v>no</v>
      </c>
      <c r="K11" t="str">
        <f>[1]!FTEXT(I11)</f>
        <v>=IF(I9&lt;I8,"yes","no")</v>
      </c>
    </row>
    <row r="12" spans="1:22" x14ac:dyDescent="0.25">
      <c r="A12" s="540">
        <v>1</v>
      </c>
      <c r="B12" s="1030">
        <v>0</v>
      </c>
      <c r="C12" s="1030">
        <v>0</v>
      </c>
      <c r="D12" s="494">
        <v>0</v>
      </c>
      <c r="E12" s="575">
        <v>11</v>
      </c>
      <c r="F12" s="1029">
        <f t="shared" si="0"/>
        <v>11</v>
      </c>
      <c r="S12" t="s">
        <v>2284</v>
      </c>
    </row>
    <row r="13" spans="1:22" x14ac:dyDescent="0.25">
      <c r="A13" s="540">
        <v>1</v>
      </c>
      <c r="B13" s="1030">
        <v>0</v>
      </c>
      <c r="C13" s="1030">
        <v>0</v>
      </c>
      <c r="D13" s="494">
        <v>1</v>
      </c>
      <c r="E13" s="575">
        <v>6</v>
      </c>
      <c r="F13" s="1029">
        <f t="shared" si="0"/>
        <v>24</v>
      </c>
    </row>
    <row r="14" spans="1:22" x14ac:dyDescent="0.25">
      <c r="A14" s="540">
        <v>1</v>
      </c>
      <c r="B14" s="1030">
        <v>0</v>
      </c>
      <c r="C14" s="1030">
        <v>1</v>
      </c>
      <c r="D14" s="494">
        <v>0</v>
      </c>
      <c r="E14" s="575">
        <v>8</v>
      </c>
      <c r="F14" s="1029">
        <f t="shared" si="0"/>
        <v>32</v>
      </c>
      <c r="H14" t="s">
        <v>2151</v>
      </c>
      <c r="M14" t="s">
        <v>2151</v>
      </c>
      <c r="S14" t="str">
        <f>A3</f>
        <v>A</v>
      </c>
      <c r="T14" t="str">
        <f>B3</f>
        <v>B</v>
      </c>
      <c r="U14" t="str">
        <f>C3</f>
        <v>C</v>
      </c>
      <c r="V14" t="str">
        <f>D3</f>
        <v>D</v>
      </c>
    </row>
    <row r="15" spans="1:22" x14ac:dyDescent="0.25">
      <c r="A15" s="540">
        <v>1</v>
      </c>
      <c r="B15" s="1030">
        <v>0</v>
      </c>
      <c r="C15" s="1030">
        <v>1</v>
      </c>
      <c r="D15" s="494">
        <v>1</v>
      </c>
      <c r="E15" s="575">
        <v>4</v>
      </c>
      <c r="F15" s="1029">
        <f t="shared" si="0"/>
        <v>36</v>
      </c>
      <c r="S15" s="1038">
        <f t="array" ref="S15:V15">[1]!QRATIO(A4:E19)</f>
        <v>0.56999999999999995</v>
      </c>
      <c r="T15" s="1039">
        <v>0.49</v>
      </c>
      <c r="U15" s="1039">
        <v>0.43</v>
      </c>
      <c r="V15" s="1040">
        <v>0.38</v>
      </c>
    </row>
    <row r="16" spans="1:22" x14ac:dyDescent="0.25">
      <c r="A16" s="540">
        <v>1</v>
      </c>
      <c r="B16" s="1030">
        <v>1</v>
      </c>
      <c r="C16" s="1030">
        <v>0</v>
      </c>
      <c r="D16" s="494">
        <v>0</v>
      </c>
      <c r="E16" s="575">
        <v>14</v>
      </c>
      <c r="F16" s="1029">
        <f t="shared" si="0"/>
        <v>56</v>
      </c>
      <c r="H16" t="s">
        <v>1293</v>
      </c>
      <c r="I16" s="868">
        <f>[1]!COCHRAN(A4:E19)</f>
        <v>7.3669724770642198</v>
      </c>
      <c r="M16" s="609">
        <f t="array" ref="M16:P16">[1]!QRATIO(A4:E19)</f>
        <v>0.56999999999999995</v>
      </c>
      <c r="N16" s="590">
        <v>0.49</v>
      </c>
      <c r="O16" s="590">
        <v>0.43</v>
      </c>
      <c r="P16" s="610">
        <v>0.38</v>
      </c>
      <c r="Q16" s="7"/>
    </row>
    <row r="17" spans="1:9" x14ac:dyDescent="0.25">
      <c r="A17" s="540">
        <v>1</v>
      </c>
      <c r="B17" s="1030">
        <v>1</v>
      </c>
      <c r="C17" s="1030">
        <v>0</v>
      </c>
      <c r="D17" s="494">
        <v>1</v>
      </c>
      <c r="E17" s="575">
        <v>6</v>
      </c>
      <c r="F17" s="1029">
        <f t="shared" si="0"/>
        <v>54</v>
      </c>
      <c r="H17" t="s">
        <v>67</v>
      </c>
      <c r="I17" s="420">
        <f>[1]!QTEST(A4:E19)</f>
        <v>6.1076841177476054E-2</v>
      </c>
    </row>
    <row r="18" spans="1:9" x14ac:dyDescent="0.25">
      <c r="A18" s="540">
        <v>1</v>
      </c>
      <c r="B18" s="1030">
        <v>1</v>
      </c>
      <c r="C18" s="1030">
        <v>1</v>
      </c>
      <c r="D18" s="494">
        <v>0</v>
      </c>
      <c r="E18" s="575">
        <v>5</v>
      </c>
      <c r="F18" s="1029">
        <f t="shared" si="0"/>
        <v>45</v>
      </c>
    </row>
    <row r="19" spans="1:9" x14ac:dyDescent="0.25">
      <c r="A19" s="436">
        <v>1</v>
      </c>
      <c r="B19" s="860">
        <v>1</v>
      </c>
      <c r="C19" s="860">
        <v>1</v>
      </c>
      <c r="D19" s="412">
        <v>1</v>
      </c>
      <c r="E19" s="574">
        <v>3</v>
      </c>
      <c r="F19" s="1029">
        <f t="shared" si="0"/>
        <v>48</v>
      </c>
    </row>
    <row r="20" spans="1:9" x14ac:dyDescent="0.25">
      <c r="A20" s="1029">
        <f>SUMPRODUCT(A4:A19,$E4:$E19)</f>
        <v>57</v>
      </c>
      <c r="B20" s="1029">
        <f>SUMPRODUCT(B4:B19,$E4:$E19)</f>
        <v>49</v>
      </c>
      <c r="C20" s="1029">
        <f>SUMPRODUCT(C4:C19,$E4:$E19)</f>
        <v>43</v>
      </c>
      <c r="D20" s="1029">
        <f>SUMPRODUCT(D4:D19,$E4:$E19)</f>
        <v>38</v>
      </c>
      <c r="E20" s="1029">
        <f>SUM(A20:D20)</f>
        <v>187</v>
      </c>
      <c r="F20" s="1029">
        <f>SUM(F4:F19)</f>
        <v>421</v>
      </c>
    </row>
    <row r="21" spans="1:9" x14ac:dyDescent="0.25">
      <c r="E21" s="1031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AA17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10.7109375" customWidth="1"/>
    <col min="7" max="12" width="10.140625" customWidth="1"/>
  </cols>
  <sheetData>
    <row r="1" spans="1:27" x14ac:dyDescent="0.25">
      <c r="A1" s="1" t="s">
        <v>1170</v>
      </c>
    </row>
    <row r="3" spans="1:27" x14ac:dyDescent="0.25">
      <c r="B3" t="s">
        <v>36</v>
      </c>
      <c r="G3" t="s">
        <v>3</v>
      </c>
      <c r="M3" t="s">
        <v>721</v>
      </c>
      <c r="T3" t="s">
        <v>1193</v>
      </c>
    </row>
    <row r="5" spans="1:27" x14ac:dyDescent="0.25">
      <c r="B5" s="563" t="s">
        <v>39</v>
      </c>
      <c r="C5" s="563" t="s">
        <v>40</v>
      </c>
      <c r="D5" s="563" t="s">
        <v>46</v>
      </c>
      <c r="E5" s="565" t="s">
        <v>47</v>
      </c>
      <c r="G5" s="563" t="s">
        <v>39</v>
      </c>
      <c r="H5" s="563" t="s">
        <v>40</v>
      </c>
      <c r="I5" s="563" t="s">
        <v>46</v>
      </c>
      <c r="J5" s="565" t="s">
        <v>47</v>
      </c>
      <c r="K5" s="567"/>
      <c r="N5" s="563" t="s">
        <v>39</v>
      </c>
      <c r="O5" s="563" t="s">
        <v>40</v>
      </c>
      <c r="P5" s="563" t="s">
        <v>46</v>
      </c>
      <c r="Q5" s="565" t="s">
        <v>47</v>
      </c>
      <c r="T5" s="1332" t="s">
        <v>39</v>
      </c>
      <c r="U5" s="1333"/>
      <c r="V5" s="1332" t="s">
        <v>40</v>
      </c>
      <c r="W5" s="1333"/>
      <c r="X5" s="1332" t="s">
        <v>46</v>
      </c>
      <c r="Y5" s="1333"/>
      <c r="Z5" s="1334" t="s">
        <v>47</v>
      </c>
      <c r="AA5" s="1335"/>
    </row>
    <row r="6" spans="1:27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M6" t="s">
        <v>50</v>
      </c>
      <c r="N6">
        <f>MIN(B6:B15)</f>
        <v>8</v>
      </c>
      <c r="O6">
        <f>MIN(C6:C15)</f>
        <v>13</v>
      </c>
      <c r="P6">
        <f>MIN(D6:D15)</f>
        <v>9</v>
      </c>
      <c r="Q6">
        <f>MIN(E6:E15)</f>
        <v>7</v>
      </c>
      <c r="T6" s="532">
        <v>17.5</v>
      </c>
      <c r="U6" s="533">
        <v>12</v>
      </c>
      <c r="V6" s="532">
        <v>70.8</v>
      </c>
      <c r="W6" s="533">
        <v>45</v>
      </c>
      <c r="X6" s="532">
        <v>71.400000000000006</v>
      </c>
      <c r="Y6" s="533">
        <v>20</v>
      </c>
      <c r="Z6" s="532">
        <v>35</v>
      </c>
      <c r="AA6" s="533">
        <v>12</v>
      </c>
    </row>
    <row r="7" spans="1:27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M7" t="s">
        <v>51</v>
      </c>
      <c r="N7">
        <f>QUARTILE(B6:B15,1)-N6</f>
        <v>6.25</v>
      </c>
      <c r="O7">
        <f>QUARTILE(C6:C15,1)-O6</f>
        <v>16</v>
      </c>
      <c r="P7">
        <f>QUARTILE(D6:D15,1)-P6</f>
        <v>4.5</v>
      </c>
      <c r="Q7">
        <f>QUARTILE(E6:E15,1)-Q6</f>
        <v>3.5</v>
      </c>
      <c r="T7" s="532">
        <v>104.60000000000001</v>
      </c>
      <c r="U7" s="533">
        <v>39</v>
      </c>
      <c r="V7" s="532">
        <v>45.9</v>
      </c>
      <c r="W7" s="533">
        <v>37</v>
      </c>
      <c r="X7" s="532">
        <v>55</v>
      </c>
      <c r="Y7" s="533">
        <v>42</v>
      </c>
      <c r="Z7" s="532">
        <v>33</v>
      </c>
      <c r="AA7" s="533">
        <v>10</v>
      </c>
    </row>
    <row r="8" spans="1:27" x14ac:dyDescent="0.25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M8" t="s">
        <v>52</v>
      </c>
      <c r="N8">
        <f>MEDIAN(B6:B15)-QUARTILE(B6:B15,1)</f>
        <v>6.75</v>
      </c>
      <c r="O8">
        <f>MEDIAN(C6:C15)-QUARTILE(C6:C15,1)</f>
        <v>7</v>
      </c>
      <c r="P8">
        <f>MEDIAN(D6:D15)-QUARTILE(D6:D15,1)</f>
        <v>7</v>
      </c>
      <c r="Q8">
        <f>MEDIAN(E6:E15)-QUARTILE(E6:E15,1)</f>
        <v>5.5</v>
      </c>
      <c r="T8" s="532">
        <v>64.7</v>
      </c>
      <c r="U8" s="533">
        <v>36</v>
      </c>
      <c r="V8" s="532">
        <v>47.5</v>
      </c>
      <c r="W8" s="533">
        <v>13</v>
      </c>
      <c r="X8" s="532">
        <v>54</v>
      </c>
      <c r="Y8" s="533">
        <v>31</v>
      </c>
      <c r="Z8" s="532">
        <v>34.200000000000003</v>
      </c>
      <c r="AA8" s="533">
        <v>19</v>
      </c>
    </row>
    <row r="9" spans="1:27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M9" t="s">
        <v>53</v>
      </c>
      <c r="N9">
        <f>QUARTILE(B6:B15,3)-MEDIAN(B6:B15)</f>
        <v>11.25</v>
      </c>
      <c r="O9">
        <f>QUARTILE(C6:C15,3)-MEDIAN(C6:C15)</f>
        <v>5.25</v>
      </c>
      <c r="P9">
        <f>QUARTILE(D6:D15,3)-MEDIAN(D6:D15)</f>
        <v>8.75</v>
      </c>
      <c r="Q9">
        <f>QUARTILE(E6:E15,3)-MEDIAN(E6:E15)</f>
        <v>3</v>
      </c>
      <c r="T9" s="532">
        <v>47</v>
      </c>
      <c r="U9" s="533">
        <v>17</v>
      </c>
      <c r="V9" s="532">
        <v>77.8</v>
      </c>
      <c r="W9" s="533">
        <v>50</v>
      </c>
      <c r="X9" s="532">
        <v>27.9</v>
      </c>
      <c r="Y9" s="533">
        <v>24</v>
      </c>
      <c r="Z9" s="532">
        <v>43.2</v>
      </c>
      <c r="AA9" s="533">
        <v>18</v>
      </c>
    </row>
    <row r="10" spans="1:27" x14ac:dyDescent="0.25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M10" t="s">
        <v>54</v>
      </c>
      <c r="N10">
        <f>MAX(B6:B15)-QUARTILE(B6:B15,3)</f>
        <v>6.75</v>
      </c>
      <c r="O10">
        <f>MAX(C6:C15)-QUARTILE(C6:C15,3)</f>
        <v>8.75</v>
      </c>
      <c r="P10">
        <f>MAX(D6:D15)-QUARTILE(D6:D15,3)</f>
        <v>12.75</v>
      </c>
      <c r="Q10">
        <f>MAX(E6:E15)-QUARTILE(E6:E15,3)</f>
        <v>7</v>
      </c>
      <c r="T10" s="532">
        <v>22</v>
      </c>
      <c r="U10" s="533">
        <v>25</v>
      </c>
      <c r="V10" s="532">
        <v>70.900000000000006</v>
      </c>
      <c r="W10" s="533">
        <v>35</v>
      </c>
      <c r="X10" s="532">
        <v>40.599999999999994</v>
      </c>
      <c r="Y10" s="533">
        <v>15</v>
      </c>
      <c r="Z10" s="532">
        <v>20</v>
      </c>
      <c r="AA10" s="533">
        <v>14</v>
      </c>
    </row>
    <row r="11" spans="1:27" x14ac:dyDescent="0.25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T11" s="532">
        <v>12.4</v>
      </c>
      <c r="U11" s="533">
        <v>15</v>
      </c>
      <c r="V11" s="532">
        <v>84.8</v>
      </c>
      <c r="W11" s="533">
        <v>40</v>
      </c>
      <c r="X11" s="532">
        <v>33</v>
      </c>
      <c r="Y11" s="533">
        <v>13</v>
      </c>
      <c r="Z11" s="532">
        <v>37</v>
      </c>
      <c r="AA11" s="533">
        <v>8</v>
      </c>
    </row>
    <row r="12" spans="1:27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T12" s="532">
        <v>20</v>
      </c>
      <c r="U12" s="533">
        <v>8</v>
      </c>
      <c r="V12" s="532">
        <v>49.8</v>
      </c>
      <c r="W12" s="533">
        <v>33</v>
      </c>
      <c r="X12" s="532">
        <v>22.2</v>
      </c>
      <c r="Y12" s="533">
        <v>9</v>
      </c>
      <c r="Z12" s="532">
        <v>28.2</v>
      </c>
      <c r="AA12" s="533">
        <v>7</v>
      </c>
    </row>
    <row r="13" spans="1:27" x14ac:dyDescent="0.25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T13" s="532">
        <v>79.7</v>
      </c>
      <c r="U13" s="533">
        <v>31</v>
      </c>
      <c r="V13" s="532">
        <v>34.599999999999994</v>
      </c>
      <c r="W13" s="533">
        <v>17</v>
      </c>
      <c r="X13" s="532">
        <v>80.5</v>
      </c>
      <c r="Y13" s="533">
        <v>21</v>
      </c>
      <c r="Z13" s="532">
        <v>46.400000000000006</v>
      </c>
      <c r="AA13" s="533">
        <v>19</v>
      </c>
    </row>
    <row r="14" spans="1:27" x14ac:dyDescent="0.25">
      <c r="D14">
        <v>31</v>
      </c>
      <c r="E14">
        <v>25</v>
      </c>
      <c r="I14">
        <v>80</v>
      </c>
      <c r="J14">
        <v>64.900000000000006</v>
      </c>
      <c r="T14" s="532"/>
      <c r="U14" s="533"/>
      <c r="V14" s="532"/>
      <c r="W14" s="533"/>
      <c r="X14" s="532">
        <v>80</v>
      </c>
      <c r="Y14" s="533">
        <v>31</v>
      </c>
      <c r="Z14" s="532">
        <v>64.900000000000006</v>
      </c>
      <c r="AA14" s="533">
        <v>25</v>
      </c>
    </row>
    <row r="15" spans="1:27" x14ac:dyDescent="0.25">
      <c r="B15" s="410"/>
      <c r="C15" s="410"/>
      <c r="D15" s="410">
        <v>13</v>
      </c>
      <c r="E15" s="410">
        <v>26</v>
      </c>
      <c r="G15" s="410"/>
      <c r="H15" s="410"/>
      <c r="I15" s="410">
        <v>41</v>
      </c>
      <c r="J15" s="410">
        <v>59.4</v>
      </c>
      <c r="K15" s="7"/>
      <c r="T15" s="409"/>
      <c r="U15" s="417"/>
      <c r="V15" s="409"/>
      <c r="W15" s="417"/>
      <c r="X15" s="409">
        <v>41</v>
      </c>
      <c r="Y15" s="417">
        <v>13</v>
      </c>
      <c r="Z15" s="409">
        <v>59.4</v>
      </c>
      <c r="AA15" s="417">
        <v>26</v>
      </c>
    </row>
    <row r="16" spans="1:27" x14ac:dyDescent="0.25">
      <c r="A16" t="s">
        <v>7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</row>
    <row r="17" spans="1:11" x14ac:dyDescent="0.25">
      <c r="A17" t="s">
        <v>8</v>
      </c>
      <c r="B17" s="410">
        <f>VAR(B6:B15)</f>
        <v>134.125</v>
      </c>
      <c r="C17" s="410">
        <f>VAR(C6:C15)</f>
        <v>164.78571428571428</v>
      </c>
      <c r="D17" s="410">
        <f>VAR(D6:D15)</f>
        <v>105.65555555555551</v>
      </c>
      <c r="E17" s="410">
        <f>VAR(E6:E15)</f>
        <v>44.844444444444434</v>
      </c>
      <c r="G17" s="410">
        <f>VAR(G6:G15)</f>
        <v>1159.0783928571432</v>
      </c>
      <c r="H17" s="410">
        <f>VAR(H6:H15)</f>
        <v>324.43410714285659</v>
      </c>
      <c r="I17" s="410">
        <f>VAR(I6:I15)</f>
        <v>449.52044444444499</v>
      </c>
      <c r="J17" s="410">
        <f>VAR(J6:J15)</f>
        <v>189.25344444444514</v>
      </c>
      <c r="K17" s="7"/>
    </row>
  </sheetData>
  <mergeCells count="4">
    <mergeCell ref="T5:U5"/>
    <mergeCell ref="V5:W5"/>
    <mergeCell ref="X5:Y5"/>
    <mergeCell ref="Z5:AA5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AB87"/>
  <sheetViews>
    <sheetView zoomScaleNormal="100" workbookViewId="0">
      <selection activeCell="G16" sqref="G16"/>
    </sheetView>
  </sheetViews>
  <sheetFormatPr defaultRowHeight="15" x14ac:dyDescent="0.25"/>
  <cols>
    <col min="10" max="10" width="18.42578125" customWidth="1"/>
    <col min="15" max="15" width="13" customWidth="1"/>
    <col min="18" max="18" width="17.7109375" customWidth="1"/>
    <col min="19" max="19" width="11.7109375" customWidth="1"/>
    <col min="20" max="20" width="13.140625" customWidth="1"/>
    <col min="21" max="22" width="11.5703125" customWidth="1"/>
    <col min="23" max="23" width="12.7109375" customWidth="1"/>
    <col min="24" max="24" width="8.5703125" customWidth="1"/>
    <col min="28" max="28" width="10.28515625" customWidth="1"/>
  </cols>
  <sheetData>
    <row r="1" spans="1:28" x14ac:dyDescent="0.25">
      <c r="A1" s="1" t="s">
        <v>1220</v>
      </c>
    </row>
    <row r="3" spans="1:28" x14ac:dyDescent="0.25">
      <c r="A3" s="563" t="s">
        <v>142</v>
      </c>
      <c r="B3" s="563" t="s">
        <v>4</v>
      </c>
      <c r="C3" s="563" t="s">
        <v>568</v>
      </c>
      <c r="D3" s="563" t="s">
        <v>569</v>
      </c>
      <c r="E3" s="563" t="s">
        <v>663</v>
      </c>
      <c r="F3" s="563" t="s">
        <v>1166</v>
      </c>
      <c r="G3" s="563" t="s">
        <v>1167</v>
      </c>
      <c r="H3" s="563" t="s">
        <v>1168</v>
      </c>
      <c r="J3" s="566" t="s">
        <v>1188</v>
      </c>
      <c r="K3" s="19"/>
      <c r="L3" s="19"/>
      <c r="M3" s="19"/>
      <c r="N3" s="19"/>
      <c r="O3" s="19"/>
      <c r="R3" t="s">
        <v>1182</v>
      </c>
      <c r="Y3" s="1" t="s">
        <v>1194</v>
      </c>
    </row>
    <row r="4" spans="1:28" ht="15.75" thickBot="1" x14ac:dyDescent="0.3">
      <c r="A4">
        <v>12</v>
      </c>
      <c r="B4">
        <v>17.5</v>
      </c>
      <c r="C4">
        <v>1</v>
      </c>
      <c r="D4">
        <v>0</v>
      </c>
      <c r="E4">
        <v>0</v>
      </c>
      <c r="F4">
        <f t="shared" ref="F4:F39" si="0">$B4*C4</f>
        <v>17.5</v>
      </c>
      <c r="G4">
        <f t="shared" ref="G4:G39" si="1">$B4*D4</f>
        <v>0</v>
      </c>
      <c r="H4">
        <f t="shared" ref="H4:H39" si="2">$B4*E4</f>
        <v>0</v>
      </c>
    </row>
    <row r="5" spans="1:28" ht="15.75" thickBot="1" x14ac:dyDescent="0.3">
      <c r="A5">
        <v>39</v>
      </c>
      <c r="B5">
        <v>104.60000000000001</v>
      </c>
      <c r="C5">
        <v>1</v>
      </c>
      <c r="D5">
        <v>0</v>
      </c>
      <c r="E5">
        <v>0</v>
      </c>
      <c r="F5">
        <f t="shared" si="0"/>
        <v>104.60000000000001</v>
      </c>
      <c r="G5">
        <f t="shared" si="1"/>
        <v>0</v>
      </c>
      <c r="H5">
        <f t="shared" si="2"/>
        <v>0</v>
      </c>
      <c r="J5" t="s">
        <v>1189</v>
      </c>
      <c r="R5" s="21" t="s">
        <v>291</v>
      </c>
      <c r="S5" s="21"/>
      <c r="Z5" s="511" t="s">
        <v>756</v>
      </c>
      <c r="AA5" s="511" t="s">
        <v>757</v>
      </c>
      <c r="AB5" s="511" t="s">
        <v>758</v>
      </c>
    </row>
    <row r="6" spans="1:28" x14ac:dyDescent="0.25">
      <c r="A6">
        <v>36</v>
      </c>
      <c r="B6">
        <v>64.7</v>
      </c>
      <c r="C6">
        <v>1</v>
      </c>
      <c r="D6">
        <v>0</v>
      </c>
      <c r="E6">
        <v>0</v>
      </c>
      <c r="F6">
        <f t="shared" si="0"/>
        <v>64.7</v>
      </c>
      <c r="G6">
        <f t="shared" si="1"/>
        <v>0</v>
      </c>
      <c r="H6">
        <f t="shared" si="2"/>
        <v>0</v>
      </c>
      <c r="J6" s="512"/>
      <c r="K6" s="512" t="s">
        <v>60</v>
      </c>
      <c r="L6" s="512" t="s">
        <v>219</v>
      </c>
      <c r="M6" s="512" t="s">
        <v>240</v>
      </c>
      <c r="N6" s="512" t="s">
        <v>135</v>
      </c>
      <c r="O6" s="512" t="s">
        <v>297</v>
      </c>
      <c r="R6" s="19" t="s">
        <v>292</v>
      </c>
      <c r="S6" s="19">
        <v>0.81879231765840588</v>
      </c>
      <c r="Y6" s="371" t="s">
        <v>769</v>
      </c>
      <c r="Z6" s="429">
        <f>S7</f>
        <v>0.67042085945642382</v>
      </c>
      <c r="AA6" s="542">
        <f>S23</f>
        <v>0.63921615672529453</v>
      </c>
      <c r="AB6" s="418">
        <f>Z6-AA6</f>
        <v>3.1204702731129297E-2</v>
      </c>
    </row>
    <row r="7" spans="1:28" x14ac:dyDescent="0.25">
      <c r="A7">
        <v>17</v>
      </c>
      <c r="B7">
        <v>47</v>
      </c>
      <c r="C7">
        <v>1</v>
      </c>
      <c r="D7">
        <v>0</v>
      </c>
      <c r="E7">
        <v>0</v>
      </c>
      <c r="F7">
        <f t="shared" si="0"/>
        <v>47</v>
      </c>
      <c r="G7">
        <f t="shared" si="1"/>
        <v>0</v>
      </c>
      <c r="H7">
        <f t="shared" si="2"/>
        <v>0</v>
      </c>
      <c r="J7" s="19" t="s">
        <v>222</v>
      </c>
      <c r="K7" s="19">
        <v>4</v>
      </c>
      <c r="L7" s="19">
        <v>3133.3665762499804</v>
      </c>
      <c r="M7" s="19">
        <v>783.34164406249511</v>
      </c>
      <c r="N7" s="19">
        <v>13.731006271389626</v>
      </c>
      <c r="O7" s="19">
        <v>1.4964731310688181E-6</v>
      </c>
      <c r="R7" s="19" t="s">
        <v>285</v>
      </c>
      <c r="S7" s="19">
        <v>0.67042085945642382</v>
      </c>
      <c r="Y7" t="s">
        <v>753</v>
      </c>
      <c r="Z7" s="409">
        <f>S15</f>
        <v>28</v>
      </c>
      <c r="AA7" s="410">
        <f>S31</f>
        <v>31</v>
      </c>
      <c r="AB7" s="420">
        <f>AA7-Z7</f>
        <v>3</v>
      </c>
    </row>
    <row r="8" spans="1:28" x14ac:dyDescent="0.25">
      <c r="A8">
        <v>25</v>
      </c>
      <c r="B8">
        <v>22</v>
      </c>
      <c r="C8">
        <v>1</v>
      </c>
      <c r="D8">
        <v>0</v>
      </c>
      <c r="E8">
        <v>0</v>
      </c>
      <c r="F8">
        <f t="shared" si="0"/>
        <v>22</v>
      </c>
      <c r="G8">
        <f t="shared" si="1"/>
        <v>0</v>
      </c>
      <c r="H8">
        <f t="shared" si="2"/>
        <v>0</v>
      </c>
      <c r="J8" s="19" t="s">
        <v>295</v>
      </c>
      <c r="K8" s="19">
        <v>31</v>
      </c>
      <c r="L8" s="19">
        <v>1768.5223126389094</v>
      </c>
      <c r="M8" s="19">
        <v>57.049106859319657</v>
      </c>
      <c r="N8" s="19"/>
      <c r="O8" s="19"/>
      <c r="R8" s="19" t="s">
        <v>293</v>
      </c>
      <c r="S8" s="19">
        <v>0.58802607432052978</v>
      </c>
      <c r="Y8" t="s">
        <v>135</v>
      </c>
      <c r="AB8" s="503">
        <f>AB6*Z7/(AB7*(1-Z6))</f>
        <v>0.88368423947236796</v>
      </c>
    </row>
    <row r="9" spans="1:28" ht="15.75" thickBot="1" x14ac:dyDescent="0.3">
      <c r="A9">
        <v>15</v>
      </c>
      <c r="B9">
        <v>12.4</v>
      </c>
      <c r="C9">
        <v>1</v>
      </c>
      <c r="D9">
        <v>0</v>
      </c>
      <c r="E9">
        <v>0</v>
      </c>
      <c r="F9">
        <f t="shared" si="0"/>
        <v>12.4</v>
      </c>
      <c r="G9">
        <f t="shared" si="1"/>
        <v>0</v>
      </c>
      <c r="H9">
        <f t="shared" si="2"/>
        <v>0</v>
      </c>
      <c r="J9" s="20" t="s">
        <v>1</v>
      </c>
      <c r="K9" s="20">
        <v>35</v>
      </c>
      <c r="L9" s="20">
        <v>4901.8888888888896</v>
      </c>
      <c r="M9" s="20"/>
      <c r="N9" s="20"/>
      <c r="O9" s="20"/>
      <c r="R9" s="19" t="s">
        <v>11</v>
      </c>
      <c r="S9" s="19">
        <v>7.5959583403659607</v>
      </c>
      <c r="Y9" s="30" t="s">
        <v>48</v>
      </c>
      <c r="AB9" s="503">
        <v>0.05</v>
      </c>
    </row>
    <row r="10" spans="1:28" ht="15.75" thickBot="1" x14ac:dyDescent="0.3">
      <c r="A10">
        <v>8</v>
      </c>
      <c r="B10">
        <v>20</v>
      </c>
      <c r="C10">
        <v>1</v>
      </c>
      <c r="D10">
        <v>0</v>
      </c>
      <c r="E10">
        <v>0</v>
      </c>
      <c r="F10">
        <f t="shared" si="0"/>
        <v>20</v>
      </c>
      <c r="G10">
        <f t="shared" si="1"/>
        <v>0</v>
      </c>
      <c r="H10">
        <f t="shared" si="2"/>
        <v>0</v>
      </c>
      <c r="R10" s="20" t="s">
        <v>81</v>
      </c>
      <c r="S10" s="20">
        <v>36</v>
      </c>
      <c r="Y10" s="371" t="s">
        <v>67</v>
      </c>
      <c r="AB10" s="503">
        <f>FDIST(AB8,AB7,Z7)</f>
        <v>0.46150436492324942</v>
      </c>
    </row>
    <row r="11" spans="1:28" ht="15.75" thickBot="1" x14ac:dyDescent="0.3">
      <c r="A11">
        <v>31</v>
      </c>
      <c r="B11">
        <v>79.7</v>
      </c>
      <c r="C11">
        <v>1</v>
      </c>
      <c r="D11">
        <v>0</v>
      </c>
      <c r="E11">
        <v>0</v>
      </c>
      <c r="F11">
        <f t="shared" si="0"/>
        <v>79.7</v>
      </c>
      <c r="G11">
        <f t="shared" si="1"/>
        <v>0</v>
      </c>
      <c r="H11">
        <f t="shared" si="2"/>
        <v>0</v>
      </c>
      <c r="J11" t="s">
        <v>1185</v>
      </c>
      <c r="Y11" s="372" t="s">
        <v>527</v>
      </c>
      <c r="AB11" s="414" t="str">
        <f>IF(AB10&lt;AB9,"yes","no")</f>
        <v>no</v>
      </c>
    </row>
    <row r="12" spans="1:28" ht="15.75" thickBot="1" x14ac:dyDescent="0.3">
      <c r="A12">
        <v>45</v>
      </c>
      <c r="B12">
        <v>70.8</v>
      </c>
      <c r="C12">
        <v>0</v>
      </c>
      <c r="D12">
        <v>1</v>
      </c>
      <c r="E12">
        <v>0</v>
      </c>
      <c r="F12">
        <f t="shared" si="0"/>
        <v>0</v>
      </c>
      <c r="G12">
        <f t="shared" si="1"/>
        <v>70.8</v>
      </c>
      <c r="H12">
        <f t="shared" si="2"/>
        <v>0</v>
      </c>
      <c r="J12" s="512"/>
      <c r="K12" s="512" t="s">
        <v>60</v>
      </c>
      <c r="L12" s="512" t="s">
        <v>219</v>
      </c>
      <c r="M12" s="512" t="s">
        <v>240</v>
      </c>
      <c r="N12" s="512" t="s">
        <v>135</v>
      </c>
      <c r="O12" s="512" t="s">
        <v>297</v>
      </c>
      <c r="R12" t="s">
        <v>294</v>
      </c>
    </row>
    <row r="13" spans="1:28" x14ac:dyDescent="0.25">
      <c r="A13">
        <v>37</v>
      </c>
      <c r="B13">
        <v>45.9</v>
      </c>
      <c r="C13">
        <v>0</v>
      </c>
      <c r="D13">
        <v>1</v>
      </c>
      <c r="E13">
        <v>0</v>
      </c>
      <c r="F13">
        <f t="shared" si="0"/>
        <v>0</v>
      </c>
      <c r="G13">
        <f t="shared" si="1"/>
        <v>45.9</v>
      </c>
      <c r="H13">
        <f t="shared" si="2"/>
        <v>0</v>
      </c>
      <c r="J13" s="19" t="s">
        <v>222</v>
      </c>
      <c r="K13" s="19">
        <v>3</v>
      </c>
      <c r="L13" s="19">
        <v>1897.0572222222254</v>
      </c>
      <c r="M13" s="19">
        <v>632.35240740740846</v>
      </c>
      <c r="N13" s="19">
        <v>1.2542356704784683</v>
      </c>
      <c r="O13" s="19">
        <v>0.30655018520822414</v>
      </c>
      <c r="R13" s="512"/>
      <c r="S13" s="512" t="s">
        <v>60</v>
      </c>
      <c r="T13" s="512" t="s">
        <v>219</v>
      </c>
      <c r="U13" s="512" t="s">
        <v>240</v>
      </c>
      <c r="V13" s="512" t="s">
        <v>135</v>
      </c>
      <c r="W13" s="512" t="s">
        <v>297</v>
      </c>
      <c r="Y13" s="371" t="s">
        <v>1259</v>
      </c>
      <c r="AB13" s="580">
        <f>[1]!RSquareTest(B4:H39,B4:E39,A4:A39)</f>
        <v>0.46150436492324942</v>
      </c>
    </row>
    <row r="14" spans="1:28" x14ac:dyDescent="0.25">
      <c r="A14">
        <v>13</v>
      </c>
      <c r="B14">
        <v>47.5</v>
      </c>
      <c r="C14">
        <v>0</v>
      </c>
      <c r="D14">
        <v>1</v>
      </c>
      <c r="E14">
        <v>0</v>
      </c>
      <c r="F14">
        <f t="shared" si="0"/>
        <v>0</v>
      </c>
      <c r="G14">
        <f t="shared" si="1"/>
        <v>47.5</v>
      </c>
      <c r="H14">
        <f t="shared" si="2"/>
        <v>0</v>
      </c>
      <c r="J14" s="19" t="s">
        <v>295</v>
      </c>
      <c r="K14" s="19">
        <v>32</v>
      </c>
      <c r="L14" s="19">
        <v>16133.552500000002</v>
      </c>
      <c r="M14" s="19">
        <v>504.17351562500005</v>
      </c>
      <c r="N14" s="19"/>
      <c r="O14" s="19"/>
      <c r="R14" s="19" t="s">
        <v>222</v>
      </c>
      <c r="S14" s="19">
        <v>7</v>
      </c>
      <c r="T14" s="19">
        <v>3286.3285618487839</v>
      </c>
      <c r="U14" s="19">
        <v>469.47550883554055</v>
      </c>
      <c r="V14" s="19">
        <v>8.1366904270785607</v>
      </c>
      <c r="W14" s="19">
        <v>2.1072042596181117E-5</v>
      </c>
    </row>
    <row r="15" spans="1:28" ht="15.75" thickBot="1" x14ac:dyDescent="0.3">
      <c r="A15">
        <v>50</v>
      </c>
      <c r="B15">
        <v>77.8</v>
      </c>
      <c r="C15">
        <v>0</v>
      </c>
      <c r="D15">
        <v>1</v>
      </c>
      <c r="E15">
        <v>0</v>
      </c>
      <c r="F15">
        <f t="shared" si="0"/>
        <v>0</v>
      </c>
      <c r="G15">
        <f t="shared" si="1"/>
        <v>77.8</v>
      </c>
      <c r="H15">
        <f t="shared" si="2"/>
        <v>0</v>
      </c>
      <c r="J15" s="20" t="s">
        <v>1</v>
      </c>
      <c r="K15" s="20">
        <v>35</v>
      </c>
      <c r="L15" s="20">
        <v>18030.609722222227</v>
      </c>
      <c r="M15" s="20"/>
      <c r="N15" s="20"/>
      <c r="O15" s="20"/>
      <c r="R15" s="19" t="s">
        <v>295</v>
      </c>
      <c r="S15" s="19">
        <v>28</v>
      </c>
      <c r="T15" s="19">
        <v>1615.5603270401057</v>
      </c>
      <c r="U15" s="19">
        <v>57.6985831085752</v>
      </c>
      <c r="V15" s="19"/>
      <c r="W15" s="19"/>
    </row>
    <row r="16" spans="1:28" ht="15.75" thickBot="1" x14ac:dyDescent="0.3">
      <c r="A16">
        <v>35</v>
      </c>
      <c r="B16">
        <v>70.900000000000006</v>
      </c>
      <c r="C16">
        <v>0</v>
      </c>
      <c r="D16">
        <v>1</v>
      </c>
      <c r="E16">
        <v>0</v>
      </c>
      <c r="F16">
        <f t="shared" si="0"/>
        <v>0</v>
      </c>
      <c r="G16">
        <f t="shared" si="1"/>
        <v>70.900000000000006</v>
      </c>
      <c r="H16">
        <f t="shared" si="2"/>
        <v>0</v>
      </c>
      <c r="R16" s="20" t="s">
        <v>1</v>
      </c>
      <c r="S16" s="20">
        <v>35</v>
      </c>
      <c r="T16" s="20">
        <v>4901.8888888888896</v>
      </c>
      <c r="U16" s="20"/>
      <c r="V16" s="20"/>
      <c r="W16" s="20"/>
    </row>
    <row r="17" spans="1:23" ht="15.75" thickBot="1" x14ac:dyDescent="0.3">
      <c r="A17">
        <v>40</v>
      </c>
      <c r="B17">
        <v>84.8</v>
      </c>
      <c r="C17">
        <v>0</v>
      </c>
      <c r="D17">
        <v>1</v>
      </c>
      <c r="E17">
        <v>0</v>
      </c>
      <c r="F17">
        <f t="shared" si="0"/>
        <v>0</v>
      </c>
      <c r="G17">
        <f t="shared" si="1"/>
        <v>84.8</v>
      </c>
      <c r="H17">
        <f t="shared" si="2"/>
        <v>0</v>
      </c>
      <c r="J17" t="s">
        <v>1186</v>
      </c>
    </row>
    <row r="18" spans="1:23" x14ac:dyDescent="0.25">
      <c r="A18">
        <v>33</v>
      </c>
      <c r="B18">
        <v>49.8</v>
      </c>
      <c r="C18">
        <v>0</v>
      </c>
      <c r="D18">
        <v>1</v>
      </c>
      <c r="E18">
        <v>0</v>
      </c>
      <c r="F18">
        <f t="shared" si="0"/>
        <v>0</v>
      </c>
      <c r="G18">
        <f t="shared" si="1"/>
        <v>49.8</v>
      </c>
      <c r="H18">
        <f t="shared" si="2"/>
        <v>0</v>
      </c>
      <c r="J18" s="512"/>
      <c r="K18" s="512" t="s">
        <v>60</v>
      </c>
      <c r="L18" s="512" t="s">
        <v>219</v>
      </c>
      <c r="M18" s="512" t="s">
        <v>240</v>
      </c>
      <c r="N18" s="512" t="s">
        <v>135</v>
      </c>
      <c r="O18" s="512" t="s">
        <v>297</v>
      </c>
    </row>
    <row r="19" spans="1:23" x14ac:dyDescent="0.25">
      <c r="A19">
        <v>17</v>
      </c>
      <c r="B19">
        <v>34.599999999999994</v>
      </c>
      <c r="C19">
        <v>0</v>
      </c>
      <c r="D19">
        <v>1</v>
      </c>
      <c r="E19">
        <v>0</v>
      </c>
      <c r="F19">
        <f t="shared" si="0"/>
        <v>0</v>
      </c>
      <c r="G19">
        <f t="shared" si="1"/>
        <v>34.599999999999994</v>
      </c>
      <c r="H19">
        <f t="shared" si="2"/>
        <v>0</v>
      </c>
      <c r="J19" s="19" t="s">
        <v>222</v>
      </c>
      <c r="K19" s="19">
        <v>3</v>
      </c>
      <c r="L19" s="19">
        <v>1455.0138888888901</v>
      </c>
      <c r="M19" s="19">
        <v>485.00462962963002</v>
      </c>
      <c r="N19" s="19">
        <v>4.5026721735334654</v>
      </c>
      <c r="O19" s="19">
        <v>9.5805875705777723E-3</v>
      </c>
      <c r="R19" t="s">
        <v>1196</v>
      </c>
    </row>
    <row r="20" spans="1:23" ht="15.75" thickBot="1" x14ac:dyDescent="0.3">
      <c r="A20">
        <v>20</v>
      </c>
      <c r="B20">
        <v>71.400000000000006</v>
      </c>
      <c r="C20">
        <v>0</v>
      </c>
      <c r="D20">
        <v>0</v>
      </c>
      <c r="E20">
        <v>1</v>
      </c>
      <c r="F20">
        <f t="shared" si="0"/>
        <v>0</v>
      </c>
      <c r="G20">
        <f t="shared" si="1"/>
        <v>0</v>
      </c>
      <c r="H20">
        <f t="shared" si="2"/>
        <v>71.400000000000006</v>
      </c>
      <c r="J20" s="19" t="s">
        <v>295</v>
      </c>
      <c r="K20" s="19">
        <v>32</v>
      </c>
      <c r="L20" s="19">
        <v>3446.8749999999995</v>
      </c>
      <c r="M20" s="19">
        <v>107.71484374999999</v>
      </c>
      <c r="N20" s="19"/>
      <c r="O20" s="19"/>
    </row>
    <row r="21" spans="1:23" ht="15.75" thickBot="1" x14ac:dyDescent="0.3">
      <c r="A21">
        <v>42</v>
      </c>
      <c r="B21">
        <v>55</v>
      </c>
      <c r="C21">
        <v>0</v>
      </c>
      <c r="D21">
        <v>0</v>
      </c>
      <c r="E21">
        <v>1</v>
      </c>
      <c r="F21">
        <f t="shared" si="0"/>
        <v>0</v>
      </c>
      <c r="G21">
        <f t="shared" si="1"/>
        <v>0</v>
      </c>
      <c r="H21">
        <f t="shared" si="2"/>
        <v>55</v>
      </c>
      <c r="J21" s="20" t="s">
        <v>1</v>
      </c>
      <c r="K21" s="20">
        <v>35</v>
      </c>
      <c r="L21" s="20">
        <v>4901.8888888888896</v>
      </c>
      <c r="M21" s="20"/>
      <c r="N21" s="20"/>
      <c r="O21" s="20"/>
      <c r="R21" s="21" t="s">
        <v>291</v>
      </c>
      <c r="S21" s="21"/>
    </row>
    <row r="22" spans="1:23" x14ac:dyDescent="0.25">
      <c r="A22">
        <v>31</v>
      </c>
      <c r="B22">
        <v>54</v>
      </c>
      <c r="C22">
        <v>0</v>
      </c>
      <c r="D22">
        <v>0</v>
      </c>
      <c r="E22">
        <v>1</v>
      </c>
      <c r="F22">
        <f t="shared" si="0"/>
        <v>0</v>
      </c>
      <c r="G22">
        <f t="shared" si="1"/>
        <v>0</v>
      </c>
      <c r="H22">
        <f t="shared" si="2"/>
        <v>54</v>
      </c>
      <c r="R22" s="19" t="s">
        <v>292</v>
      </c>
      <c r="S22" s="19">
        <v>0.79950994785887097</v>
      </c>
    </row>
    <row r="23" spans="1:23" ht="15.75" thickBot="1" x14ac:dyDescent="0.3">
      <c r="A23">
        <v>24</v>
      </c>
      <c r="B23">
        <v>27.9</v>
      </c>
      <c r="C23">
        <v>0</v>
      </c>
      <c r="D23">
        <v>0</v>
      </c>
      <c r="E23">
        <v>1</v>
      </c>
      <c r="F23">
        <f t="shared" si="0"/>
        <v>0</v>
      </c>
      <c r="G23">
        <f t="shared" si="1"/>
        <v>0</v>
      </c>
      <c r="H23">
        <f t="shared" si="2"/>
        <v>27.9</v>
      </c>
      <c r="J23" t="s">
        <v>1187</v>
      </c>
      <c r="R23" s="19" t="s">
        <v>285</v>
      </c>
      <c r="S23" s="19">
        <v>0.63921615672529453</v>
      </c>
    </row>
    <row r="24" spans="1:23" x14ac:dyDescent="0.25">
      <c r="A24">
        <v>15</v>
      </c>
      <c r="B24">
        <v>40.599999999999994</v>
      </c>
      <c r="C24">
        <v>0</v>
      </c>
      <c r="D24">
        <v>0</v>
      </c>
      <c r="E24">
        <v>1</v>
      </c>
      <c r="F24">
        <f t="shared" si="0"/>
        <v>0</v>
      </c>
      <c r="G24">
        <f t="shared" si="1"/>
        <v>0</v>
      </c>
      <c r="H24">
        <f t="shared" si="2"/>
        <v>40.599999999999994</v>
      </c>
      <c r="J24" s="512"/>
      <c r="K24" s="512" t="s">
        <v>60</v>
      </c>
      <c r="L24" s="512" t="s">
        <v>219</v>
      </c>
      <c r="M24" s="512" t="s">
        <v>240</v>
      </c>
      <c r="N24" s="512" t="s">
        <v>135</v>
      </c>
      <c r="O24" s="512" t="s">
        <v>297</v>
      </c>
      <c r="R24" s="19" t="s">
        <v>293</v>
      </c>
      <c r="S24" s="19">
        <v>0.5926634027543648</v>
      </c>
    </row>
    <row r="25" spans="1:23" x14ac:dyDescent="0.25">
      <c r="A25">
        <v>13</v>
      </c>
      <c r="B25">
        <v>33</v>
      </c>
      <c r="C25">
        <v>0</v>
      </c>
      <c r="D25">
        <v>0</v>
      </c>
      <c r="E25">
        <v>1</v>
      </c>
      <c r="F25">
        <f t="shared" si="0"/>
        <v>0</v>
      </c>
      <c r="G25">
        <f t="shared" si="1"/>
        <v>0</v>
      </c>
      <c r="H25">
        <f t="shared" si="2"/>
        <v>33</v>
      </c>
      <c r="J25" s="19" t="s">
        <v>222</v>
      </c>
      <c r="K25" s="19">
        <v>1</v>
      </c>
      <c r="L25" s="19">
        <v>2562.3366929048839</v>
      </c>
      <c r="M25" s="19">
        <v>2562.3366929048839</v>
      </c>
      <c r="N25" s="19">
        <v>37.237659287239794</v>
      </c>
      <c r="O25" s="19">
        <v>6.3463662804716112E-7</v>
      </c>
      <c r="R25" s="19" t="s">
        <v>11</v>
      </c>
      <c r="S25" s="19">
        <v>7.5530859163205379</v>
      </c>
    </row>
    <row r="26" spans="1:23" ht="15.75" thickBot="1" x14ac:dyDescent="0.3">
      <c r="A26">
        <v>9</v>
      </c>
      <c r="B26">
        <v>22.2</v>
      </c>
      <c r="C26">
        <v>0</v>
      </c>
      <c r="D26">
        <v>0</v>
      </c>
      <c r="E26">
        <v>1</v>
      </c>
      <c r="F26">
        <f t="shared" si="0"/>
        <v>0</v>
      </c>
      <c r="G26">
        <f t="shared" si="1"/>
        <v>0</v>
      </c>
      <c r="H26">
        <f t="shared" si="2"/>
        <v>22.2</v>
      </c>
      <c r="J26" s="19" t="s">
        <v>295</v>
      </c>
      <c r="K26" s="19">
        <v>34</v>
      </c>
      <c r="L26" s="19">
        <v>2339.5521959840057</v>
      </c>
      <c r="M26" s="19">
        <v>68.810358705411929</v>
      </c>
      <c r="N26" s="19"/>
      <c r="O26" s="19"/>
      <c r="R26" s="20" t="s">
        <v>81</v>
      </c>
      <c r="S26" s="20">
        <v>36</v>
      </c>
    </row>
    <row r="27" spans="1:23" ht="15.75" thickBot="1" x14ac:dyDescent="0.3">
      <c r="A27">
        <v>21</v>
      </c>
      <c r="B27">
        <v>80.5</v>
      </c>
      <c r="C27">
        <v>0</v>
      </c>
      <c r="D27">
        <v>0</v>
      </c>
      <c r="E27">
        <v>1</v>
      </c>
      <c r="F27">
        <f t="shared" si="0"/>
        <v>0</v>
      </c>
      <c r="G27">
        <f t="shared" si="1"/>
        <v>0</v>
      </c>
      <c r="H27">
        <f t="shared" si="2"/>
        <v>80.5</v>
      </c>
      <c r="J27" s="20" t="s">
        <v>1</v>
      </c>
      <c r="K27" s="20">
        <v>35</v>
      </c>
      <c r="L27" s="20">
        <v>4901.8888888888896</v>
      </c>
      <c r="M27" s="20"/>
      <c r="N27" s="20"/>
      <c r="O27" s="20"/>
    </row>
    <row r="28" spans="1:23" ht="15.75" thickBot="1" x14ac:dyDescent="0.3">
      <c r="A28">
        <v>31</v>
      </c>
      <c r="B28">
        <v>80</v>
      </c>
      <c r="C28">
        <v>0</v>
      </c>
      <c r="D28">
        <v>0</v>
      </c>
      <c r="E28">
        <v>1</v>
      </c>
      <c r="F28">
        <f t="shared" si="0"/>
        <v>0</v>
      </c>
      <c r="G28">
        <f t="shared" si="1"/>
        <v>0</v>
      </c>
      <c r="H28">
        <f t="shared" si="2"/>
        <v>80</v>
      </c>
      <c r="R28" t="s">
        <v>294</v>
      </c>
    </row>
    <row r="29" spans="1:23" x14ac:dyDescent="0.25">
      <c r="A29">
        <v>13</v>
      </c>
      <c r="B29">
        <v>41</v>
      </c>
      <c r="C29">
        <v>0</v>
      </c>
      <c r="D29">
        <v>0</v>
      </c>
      <c r="E29">
        <v>1</v>
      </c>
      <c r="F29">
        <f t="shared" si="0"/>
        <v>0</v>
      </c>
      <c r="G29">
        <f t="shared" si="1"/>
        <v>0</v>
      </c>
      <c r="H29">
        <f t="shared" si="2"/>
        <v>41</v>
      </c>
      <c r="R29" s="512"/>
      <c r="S29" s="512" t="s">
        <v>60</v>
      </c>
      <c r="T29" s="512" t="s">
        <v>219</v>
      </c>
      <c r="U29" s="512" t="s">
        <v>240</v>
      </c>
      <c r="V29" s="512" t="s">
        <v>135</v>
      </c>
      <c r="W29" s="512" t="s">
        <v>297</v>
      </c>
    </row>
    <row r="30" spans="1:23" ht="15.75" thickBot="1" x14ac:dyDescent="0.3">
      <c r="A30">
        <v>12</v>
      </c>
      <c r="B30">
        <v>35</v>
      </c>
      <c r="C30">
        <v>0</v>
      </c>
      <c r="D30">
        <v>0</v>
      </c>
      <c r="E30">
        <v>0</v>
      </c>
      <c r="F30">
        <f t="shared" si="0"/>
        <v>0</v>
      </c>
      <c r="G30">
        <f t="shared" si="1"/>
        <v>0</v>
      </c>
      <c r="H30">
        <f t="shared" si="2"/>
        <v>0</v>
      </c>
      <c r="J30" t="s">
        <v>1170</v>
      </c>
      <c r="R30" s="19" t="s">
        <v>222</v>
      </c>
      <c r="S30" s="19">
        <v>4</v>
      </c>
      <c r="T30" s="19">
        <v>3133.3665762499804</v>
      </c>
      <c r="U30" s="19">
        <v>783.34164406249511</v>
      </c>
      <c r="V30" s="19">
        <v>13.731006271389626</v>
      </c>
      <c r="W30" s="19">
        <v>1.4964731310688181E-6</v>
      </c>
    </row>
    <row r="31" spans="1:23" x14ac:dyDescent="0.25">
      <c r="A31">
        <v>10</v>
      </c>
      <c r="B31">
        <v>33</v>
      </c>
      <c r="C31">
        <v>0</v>
      </c>
      <c r="D31">
        <v>0</v>
      </c>
      <c r="E31">
        <v>0</v>
      </c>
      <c r="F31">
        <f t="shared" si="0"/>
        <v>0</v>
      </c>
      <c r="G31">
        <f t="shared" si="1"/>
        <v>0</v>
      </c>
      <c r="H31">
        <f t="shared" si="2"/>
        <v>0</v>
      </c>
      <c r="J31" s="512" t="s">
        <v>466</v>
      </c>
      <c r="K31" s="512" t="s">
        <v>60</v>
      </c>
      <c r="L31" s="512" t="s">
        <v>219</v>
      </c>
      <c r="M31" s="512" t="s">
        <v>240</v>
      </c>
      <c r="N31" s="512" t="s">
        <v>135</v>
      </c>
      <c r="O31" s="512" t="s">
        <v>297</v>
      </c>
      <c r="R31" s="19" t="s">
        <v>295</v>
      </c>
      <c r="S31" s="19">
        <v>31</v>
      </c>
      <c r="T31" s="19">
        <v>1768.5223126389094</v>
      </c>
      <c r="U31" s="19">
        <v>57.049106859319657</v>
      </c>
      <c r="V31" s="19"/>
      <c r="W31" s="19"/>
    </row>
    <row r="32" spans="1:23" ht="15.75" thickBot="1" x14ac:dyDescent="0.3">
      <c r="A32">
        <v>19</v>
      </c>
      <c r="B32">
        <v>34.200000000000003</v>
      </c>
      <c r="C32">
        <v>0</v>
      </c>
      <c r="D32">
        <v>0</v>
      </c>
      <c r="E32">
        <v>0</v>
      </c>
      <c r="F32">
        <f t="shared" si="0"/>
        <v>0</v>
      </c>
      <c r="G32">
        <f t="shared" si="1"/>
        <v>0</v>
      </c>
      <c r="H32">
        <f t="shared" si="2"/>
        <v>0</v>
      </c>
      <c r="J32" t="s">
        <v>1178</v>
      </c>
      <c r="K32">
        <f>K7-K19</f>
        <v>1</v>
      </c>
      <c r="L32">
        <f>L7-L19</f>
        <v>1678.3526873610904</v>
      </c>
      <c r="M32" s="19">
        <f>L32/K32</f>
        <v>1678.3526873610904</v>
      </c>
      <c r="N32" s="19">
        <f>M32/M34</f>
        <v>29.419438440987815</v>
      </c>
      <c r="O32" s="19">
        <f>FDIST(N32,K32,K34)</f>
        <v>6.3670620361677781E-6</v>
      </c>
      <c r="R32" s="20" t="s">
        <v>1</v>
      </c>
      <c r="S32" s="20">
        <v>35</v>
      </c>
      <c r="T32" s="20">
        <v>4901.8888888888896</v>
      </c>
      <c r="U32" s="20"/>
      <c r="V32" s="20"/>
      <c r="W32" s="20"/>
    </row>
    <row r="33" spans="1:24" ht="15.75" thickBot="1" x14ac:dyDescent="0.3">
      <c r="A33">
        <v>18</v>
      </c>
      <c r="B33">
        <v>43.2</v>
      </c>
      <c r="C33">
        <v>0</v>
      </c>
      <c r="D33">
        <v>0</v>
      </c>
      <c r="E33">
        <v>0</v>
      </c>
      <c r="F33">
        <f t="shared" si="0"/>
        <v>0</v>
      </c>
      <c r="G33">
        <f t="shared" si="1"/>
        <v>0</v>
      </c>
      <c r="H33">
        <f t="shared" si="2"/>
        <v>0</v>
      </c>
      <c r="J33" s="19" t="s">
        <v>1179</v>
      </c>
      <c r="K33" s="19">
        <f>K7-K25</f>
        <v>3</v>
      </c>
      <c r="L33" s="19">
        <f>L7-L25</f>
        <v>571.02988334509655</v>
      </c>
      <c r="M33" s="19">
        <f>L33/K33</f>
        <v>190.34329444836553</v>
      </c>
      <c r="N33" s="19">
        <f>M33/M34</f>
        <v>3.3364815845012772</v>
      </c>
      <c r="O33" s="19">
        <f>FDIST(N33,K33,K34)</f>
        <v>3.1940102263091678E-2</v>
      </c>
    </row>
    <row r="34" spans="1:24" x14ac:dyDescent="0.25">
      <c r="A34">
        <v>14</v>
      </c>
      <c r="B34">
        <v>20</v>
      </c>
      <c r="C34">
        <v>0</v>
      </c>
      <c r="D34">
        <v>0</v>
      </c>
      <c r="E34">
        <v>0</v>
      </c>
      <c r="F34">
        <f t="shared" si="0"/>
        <v>0</v>
      </c>
      <c r="G34">
        <f t="shared" si="1"/>
        <v>0</v>
      </c>
      <c r="H34">
        <f t="shared" si="2"/>
        <v>0</v>
      </c>
      <c r="J34" s="19" t="s">
        <v>295</v>
      </c>
      <c r="K34" s="19">
        <f>K8</f>
        <v>31</v>
      </c>
      <c r="L34" s="19">
        <f>L8</f>
        <v>1768.5223126389094</v>
      </c>
      <c r="M34" s="19">
        <f>L34/K34</f>
        <v>57.049106859319657</v>
      </c>
      <c r="N34" s="19"/>
      <c r="O34" s="19"/>
      <c r="R34" s="512"/>
      <c r="S34" s="512" t="s">
        <v>298</v>
      </c>
      <c r="T34" s="512" t="s">
        <v>11</v>
      </c>
      <c r="U34" s="512" t="s">
        <v>85</v>
      </c>
      <c r="V34" s="512" t="s">
        <v>119</v>
      </c>
      <c r="W34" s="512" t="s">
        <v>299</v>
      </c>
      <c r="X34" s="512" t="s">
        <v>300</v>
      </c>
    </row>
    <row r="35" spans="1:24" ht="15.75" thickBot="1" x14ac:dyDescent="0.3">
      <c r="A35">
        <v>8</v>
      </c>
      <c r="B35">
        <v>37</v>
      </c>
      <c r="C35">
        <v>0</v>
      </c>
      <c r="D35">
        <v>0</v>
      </c>
      <c r="E35">
        <v>0</v>
      </c>
      <c r="F35">
        <f t="shared" si="0"/>
        <v>0</v>
      </c>
      <c r="G35">
        <f t="shared" si="1"/>
        <v>0</v>
      </c>
      <c r="H35">
        <f t="shared" si="2"/>
        <v>0</v>
      </c>
      <c r="J35" s="20" t="s">
        <v>1</v>
      </c>
      <c r="K35" s="20">
        <f>K9</f>
        <v>35</v>
      </c>
      <c r="L35" s="20">
        <f>L9</f>
        <v>4901.8888888888896</v>
      </c>
      <c r="M35" s="20"/>
      <c r="N35" s="20"/>
      <c r="O35" s="20"/>
      <c r="R35" s="19" t="s">
        <v>296</v>
      </c>
      <c r="S35" s="19">
        <v>2.856677552882414</v>
      </c>
      <c r="T35" s="19">
        <v>3.3763043714517851</v>
      </c>
      <c r="U35" s="19">
        <v>0.8460959790938708</v>
      </c>
      <c r="V35" s="19">
        <v>0.40398325617209507</v>
      </c>
      <c r="W35" s="19">
        <v>-4.0293406118204746</v>
      </c>
      <c r="X35" s="19">
        <v>9.7426957175853026</v>
      </c>
    </row>
    <row r="36" spans="1:24" x14ac:dyDescent="0.25">
      <c r="A36">
        <v>7</v>
      </c>
      <c r="B36">
        <v>28.2</v>
      </c>
      <c r="C36">
        <v>0</v>
      </c>
      <c r="D36">
        <v>0</v>
      </c>
      <c r="E36">
        <v>0</v>
      </c>
      <c r="F36">
        <f t="shared" si="0"/>
        <v>0</v>
      </c>
      <c r="G36">
        <f t="shared" si="1"/>
        <v>0</v>
      </c>
      <c r="H36">
        <f t="shared" si="2"/>
        <v>0</v>
      </c>
      <c r="R36" s="19" t="s">
        <v>4</v>
      </c>
      <c r="S36" s="19">
        <v>0.32253482300317932</v>
      </c>
      <c r="T36" s="19">
        <v>5.946472591854892E-2</v>
      </c>
      <c r="U36" s="19">
        <v>5.4239688827451662</v>
      </c>
      <c r="V36" s="19">
        <v>6.3670620361677307E-6</v>
      </c>
      <c r="W36" s="19">
        <v>0.20125571490602179</v>
      </c>
      <c r="X36" s="19">
        <v>0.44381393110033684</v>
      </c>
    </row>
    <row r="37" spans="1:24" x14ac:dyDescent="0.25">
      <c r="A37">
        <v>19</v>
      </c>
      <c r="B37">
        <v>46.400000000000006</v>
      </c>
      <c r="C37">
        <v>0</v>
      </c>
      <c r="D37">
        <v>0</v>
      </c>
      <c r="E37">
        <v>0</v>
      </c>
      <c r="F37">
        <f t="shared" si="0"/>
        <v>0</v>
      </c>
      <c r="G37">
        <f t="shared" si="1"/>
        <v>0</v>
      </c>
      <c r="H37">
        <f t="shared" si="2"/>
        <v>0</v>
      </c>
      <c r="R37" s="19" t="s">
        <v>568</v>
      </c>
      <c r="S37" s="19">
        <v>5.1857522742588777</v>
      </c>
      <c r="T37" s="19">
        <v>3.5996349990324723</v>
      </c>
      <c r="U37" s="19">
        <v>1.4406328073965082</v>
      </c>
      <c r="V37" s="19">
        <v>0.15971307178846195</v>
      </c>
      <c r="W37" s="19">
        <v>-2.1557517083869717</v>
      </c>
      <c r="X37" s="19">
        <v>12.527256256904728</v>
      </c>
    </row>
    <row r="38" spans="1:24" ht="15.75" thickBot="1" x14ac:dyDescent="0.3">
      <c r="A38">
        <v>25</v>
      </c>
      <c r="B38">
        <v>64.900000000000006</v>
      </c>
      <c r="C38">
        <v>0</v>
      </c>
      <c r="D38">
        <v>0</v>
      </c>
      <c r="E38">
        <v>0</v>
      </c>
      <c r="F38">
        <f t="shared" si="0"/>
        <v>0</v>
      </c>
      <c r="G38">
        <f t="shared" si="1"/>
        <v>0</v>
      </c>
      <c r="H38">
        <f t="shared" si="2"/>
        <v>0</v>
      </c>
      <c r="J38" t="s">
        <v>1183</v>
      </c>
      <c r="R38" s="19" t="s">
        <v>569</v>
      </c>
      <c r="S38" s="19">
        <v>11.456567675888499</v>
      </c>
      <c r="T38" s="19">
        <v>3.7774692134876644</v>
      </c>
      <c r="U38" s="19">
        <v>3.0328685763955892</v>
      </c>
      <c r="V38" s="19">
        <v>4.8651077362410929E-3</v>
      </c>
      <c r="W38" s="19">
        <v>3.7523684216319424</v>
      </c>
      <c r="X38" s="19">
        <v>19.160766930145055</v>
      </c>
    </row>
    <row r="39" spans="1:24" ht="15.75" thickBot="1" x14ac:dyDescent="0.3">
      <c r="A39" s="410">
        <v>26</v>
      </c>
      <c r="B39" s="410">
        <v>59.4</v>
      </c>
      <c r="C39" s="410">
        <v>0</v>
      </c>
      <c r="D39" s="410">
        <v>0</v>
      </c>
      <c r="E39" s="410">
        <v>0</v>
      </c>
      <c r="F39" s="410">
        <f t="shared" si="0"/>
        <v>0</v>
      </c>
      <c r="G39" s="410">
        <f t="shared" si="1"/>
        <v>0</v>
      </c>
      <c r="H39" s="410">
        <f t="shared" si="2"/>
        <v>0</v>
      </c>
      <c r="J39" s="512" t="s">
        <v>466</v>
      </c>
      <c r="K39" s="512" t="s">
        <v>60</v>
      </c>
      <c r="L39" s="512" t="s">
        <v>219</v>
      </c>
      <c r="M39" s="512" t="s">
        <v>240</v>
      </c>
      <c r="N39" s="512" t="s">
        <v>135</v>
      </c>
      <c r="O39" s="512" t="s">
        <v>297</v>
      </c>
      <c r="R39" s="20" t="s">
        <v>663</v>
      </c>
      <c r="S39" s="20">
        <v>2.7359617960768428</v>
      </c>
      <c r="T39" s="20">
        <v>3.4343107914459856</v>
      </c>
      <c r="U39" s="20">
        <v>0.79665527152971816</v>
      </c>
      <c r="V39" s="20">
        <v>0.43171050712537717</v>
      </c>
      <c r="W39" s="20">
        <v>-4.2683612421815358</v>
      </c>
      <c r="X39" s="20">
        <v>9.7402848343352204</v>
      </c>
    </row>
    <row r="40" spans="1:24" x14ac:dyDescent="0.25">
      <c r="J40" s="19" t="s">
        <v>1172</v>
      </c>
      <c r="K40" s="19">
        <f>K33</f>
        <v>3</v>
      </c>
      <c r="L40" s="19">
        <f>L33</f>
        <v>571.02988334509655</v>
      </c>
      <c r="M40" s="19">
        <f>L40/K40</f>
        <v>190.34329444836553</v>
      </c>
      <c r="N40" s="19">
        <f>M40/M41</f>
        <v>3.3364815845012772</v>
      </c>
      <c r="O40" s="19">
        <f>FDIST(N40,K40,K41)</f>
        <v>3.1940102263091678E-2</v>
      </c>
    </row>
    <row r="41" spans="1:24" ht="18" x14ac:dyDescent="0.35">
      <c r="A41" t="s">
        <v>1169</v>
      </c>
      <c r="B41" s="580">
        <f>DEVSQ(B4:B39)</f>
        <v>18030.609722222227</v>
      </c>
      <c r="J41" s="19" t="s">
        <v>295</v>
      </c>
      <c r="K41" s="19">
        <f>K34</f>
        <v>31</v>
      </c>
      <c r="L41" s="19">
        <f>L34</f>
        <v>1768.5223126389094</v>
      </c>
      <c r="M41" s="19">
        <f>L41/K41</f>
        <v>57.049106859319657</v>
      </c>
      <c r="N41" s="19"/>
      <c r="O41" s="19"/>
    </row>
    <row r="42" spans="1:24" ht="15.75" thickBot="1" x14ac:dyDescent="0.3">
      <c r="F42" s="44"/>
      <c r="J42" s="20" t="s">
        <v>1174</v>
      </c>
      <c r="K42" s="20">
        <f>K40+K41</f>
        <v>34</v>
      </c>
      <c r="L42" s="20">
        <f>T32-B43^2*B41</f>
        <v>2339.5521959840053</v>
      </c>
      <c r="M42" s="20"/>
      <c r="N42" s="20"/>
      <c r="O42" s="20"/>
      <c r="R42" t="s">
        <v>1175</v>
      </c>
    </row>
    <row r="43" spans="1:24" ht="18.75" thickBot="1" x14ac:dyDescent="0.4">
      <c r="A43" t="s">
        <v>1171</v>
      </c>
      <c r="B43" s="580">
        <f>SLOPE(A4:A39,B4:B39)</f>
        <v>0.37697529640759825</v>
      </c>
    </row>
    <row r="44" spans="1:24" x14ac:dyDescent="0.25">
      <c r="R44" s="21" t="s">
        <v>291</v>
      </c>
      <c r="S44" s="21"/>
    </row>
    <row r="45" spans="1:24" ht="15.75" thickBot="1" x14ac:dyDescent="0.3">
      <c r="A45" s="1" t="s">
        <v>1191</v>
      </c>
      <c r="J45" t="s">
        <v>1190</v>
      </c>
      <c r="R45" s="19" t="s">
        <v>292</v>
      </c>
      <c r="S45" s="19">
        <v>0.32436576379192761</v>
      </c>
    </row>
    <row r="46" spans="1:24" ht="15.75" thickBot="1" x14ac:dyDescent="0.3">
      <c r="J46" s="512" t="s">
        <v>466</v>
      </c>
      <c r="K46" s="512" t="s">
        <v>60</v>
      </c>
      <c r="L46" s="512" t="s">
        <v>219</v>
      </c>
      <c r="M46" s="512" t="s">
        <v>240</v>
      </c>
      <c r="N46" s="512" t="s">
        <v>135</v>
      </c>
      <c r="O46" s="512" t="s">
        <v>297</v>
      </c>
      <c r="R46" s="19" t="s">
        <v>285</v>
      </c>
      <c r="S46" s="19">
        <v>0.10521314872032059</v>
      </c>
    </row>
    <row r="47" spans="1:24" x14ac:dyDescent="0.25">
      <c r="A47" s="512" t="s">
        <v>1173</v>
      </c>
      <c r="B47" s="512" t="s">
        <v>378</v>
      </c>
      <c r="C47" s="512" t="s">
        <v>377</v>
      </c>
      <c r="D47" s="512" t="s">
        <v>1197</v>
      </c>
      <c r="J47" s="19" t="s">
        <v>1172</v>
      </c>
      <c r="K47" s="19">
        <f>K7-1</f>
        <v>3</v>
      </c>
      <c r="L47" s="19">
        <f>L49-L48</f>
        <v>571.02988334509587</v>
      </c>
      <c r="M47" s="19">
        <f>L47/K47</f>
        <v>190.3432944483653</v>
      </c>
      <c r="N47" s="19">
        <f>M47/M48</f>
        <v>3.3364815845012732</v>
      </c>
      <c r="O47" s="19">
        <f>FDIST(N47,K47,K48)</f>
        <v>3.1940102263091824E-2</v>
      </c>
      <c r="R47" s="19" t="s">
        <v>293</v>
      </c>
      <c r="S47" s="19">
        <v>2.1326881412850648E-2</v>
      </c>
    </row>
    <row r="48" spans="1:24" x14ac:dyDescent="0.25">
      <c r="A48" s="511" t="s">
        <v>39</v>
      </c>
      <c r="B48">
        <f>AVERAGE(A4:A11)</f>
        <v>22.875</v>
      </c>
      <c r="C48">
        <f>AVERAGE(B4:B11)</f>
        <v>45.987499999999997</v>
      </c>
      <c r="D48">
        <f>B48-$S$36*(C48-C$52)</f>
        <v>23.783025119760339</v>
      </c>
      <c r="J48" s="19" t="s">
        <v>295</v>
      </c>
      <c r="K48" s="19">
        <f>K34</f>
        <v>31</v>
      </c>
      <c r="L48" s="19">
        <f>L34</f>
        <v>1768.5223126389094</v>
      </c>
      <c r="M48" s="19">
        <f>L48/K48</f>
        <v>57.049106859319657</v>
      </c>
      <c r="N48" s="19"/>
      <c r="O48" s="19"/>
      <c r="R48" s="19" t="s">
        <v>11</v>
      </c>
      <c r="S48" s="19">
        <v>22.453808488205294</v>
      </c>
    </row>
    <row r="49" spans="1:23" ht="15.75" thickBot="1" x14ac:dyDescent="0.3">
      <c r="A49" s="511" t="s">
        <v>40</v>
      </c>
      <c r="B49">
        <f>AVERAGE(A12:A19)</f>
        <v>33.75</v>
      </c>
      <c r="C49">
        <f>AVERAGE(B12:B19)</f>
        <v>60.262500000000003</v>
      </c>
      <c r="D49">
        <f>B49-$S$36*(C49-C$52)</f>
        <v>30.053840521389954</v>
      </c>
      <c r="J49" s="20" t="s">
        <v>1174</v>
      </c>
      <c r="K49" s="20">
        <f>K47+K48</f>
        <v>34</v>
      </c>
      <c r="L49" s="20">
        <f>L9-B43^2*B41</f>
        <v>2339.5521959840053</v>
      </c>
      <c r="M49" s="20"/>
      <c r="N49" s="20"/>
      <c r="O49" s="20"/>
      <c r="R49" s="20" t="s">
        <v>81</v>
      </c>
      <c r="S49" s="20">
        <v>36</v>
      </c>
    </row>
    <row r="50" spans="1:23" x14ac:dyDescent="0.25">
      <c r="A50" s="511" t="s">
        <v>46</v>
      </c>
      <c r="B50">
        <f>AVERAGE(A20:A29)</f>
        <v>21.9</v>
      </c>
      <c r="C50">
        <f>AVERAGE(B20:B29)</f>
        <v>50.559999999999995</v>
      </c>
      <c r="D50">
        <f>B50-$S$36*(C50-C$52)</f>
        <v>21.333234641578301</v>
      </c>
    </row>
    <row r="51" spans="1:23" ht="15.75" thickBot="1" x14ac:dyDescent="0.3">
      <c r="A51" s="564" t="s">
        <v>47</v>
      </c>
      <c r="B51" s="20">
        <f>AVERAGE(A30:A39)</f>
        <v>15.8</v>
      </c>
      <c r="C51" s="20">
        <f>AVERAGE(B30:B39)</f>
        <v>40.129999999999995</v>
      </c>
      <c r="D51" s="20">
        <f>B51-$S$36*(C51-C$52)</f>
        <v>18.597272845501465</v>
      </c>
      <c r="R51" t="s">
        <v>294</v>
      </c>
    </row>
    <row r="52" spans="1:23" x14ac:dyDescent="0.25">
      <c r="B52">
        <f>AVERAGE(A4:A39)</f>
        <v>23.055555555555557</v>
      </c>
      <c r="C52">
        <f>AVERAGE(B4:B39)</f>
        <v>48.802777777777777</v>
      </c>
      <c r="D52">
        <f>AVERAGE(D48:D51)</f>
        <v>23.441843282057516</v>
      </c>
      <c r="J52" s="1" t="s">
        <v>1222</v>
      </c>
      <c r="R52" s="512"/>
      <c r="S52" s="512" t="s">
        <v>60</v>
      </c>
      <c r="T52" s="512" t="s">
        <v>219</v>
      </c>
      <c r="U52" s="512" t="s">
        <v>240</v>
      </c>
      <c r="V52" s="512" t="s">
        <v>135</v>
      </c>
      <c r="W52" s="512" t="s">
        <v>297</v>
      </c>
    </row>
    <row r="53" spans="1:23" x14ac:dyDescent="0.25">
      <c r="R53" s="19" t="s">
        <v>222</v>
      </c>
      <c r="S53" s="19">
        <v>3</v>
      </c>
      <c r="T53" s="19">
        <v>1897.0572222222254</v>
      </c>
      <c r="U53" s="19">
        <v>632.35240740740846</v>
      </c>
      <c r="V53" s="19">
        <v>1.2542356704784683</v>
      </c>
      <c r="W53" s="19">
        <v>0.30655018520822414</v>
      </c>
    </row>
    <row r="54" spans="1:23" ht="15.75" thickBot="1" x14ac:dyDescent="0.3">
      <c r="J54" t="s">
        <v>1216</v>
      </c>
      <c r="R54" s="19" t="s">
        <v>295</v>
      </c>
      <c r="S54" s="19">
        <v>32</v>
      </c>
      <c r="T54" s="19">
        <v>16133.552500000002</v>
      </c>
      <c r="U54" s="19">
        <v>504.17351562500005</v>
      </c>
      <c r="V54" s="19"/>
      <c r="W54" s="19"/>
    </row>
    <row r="55" spans="1:23" ht="15.75" thickBot="1" x14ac:dyDescent="0.3">
      <c r="A55" s="512" t="s">
        <v>1173</v>
      </c>
      <c r="B55" s="512" t="s">
        <v>378</v>
      </c>
      <c r="C55" s="512" t="s">
        <v>1192</v>
      </c>
      <c r="R55" s="20" t="s">
        <v>1</v>
      </c>
      <c r="S55" s="20">
        <v>35</v>
      </c>
      <c r="T55" s="20">
        <v>18030.609722222227</v>
      </c>
      <c r="U55" s="20"/>
      <c r="V55" s="20"/>
      <c r="W55" s="20"/>
    </row>
    <row r="56" spans="1:23" x14ac:dyDescent="0.25">
      <c r="A56" s="511" t="s">
        <v>39</v>
      </c>
      <c r="B56">
        <f>AVERAGE(A4:A11)</f>
        <v>22.875</v>
      </c>
      <c r="C56">
        <f>C59+S37</f>
        <v>23.783025119760339</v>
      </c>
      <c r="J56" t="s">
        <v>1214</v>
      </c>
      <c r="K56" s="418">
        <f>L33/L35</f>
        <v>0.11649180474886933</v>
      </c>
    </row>
    <row r="57" spans="1:23" x14ac:dyDescent="0.25">
      <c r="A57" s="511" t="s">
        <v>40</v>
      </c>
      <c r="B57">
        <f>AVERAGE(A12:A19)</f>
        <v>33.75</v>
      </c>
      <c r="C57">
        <f>C59+S38</f>
        <v>30.053840521389958</v>
      </c>
      <c r="J57" t="s">
        <v>1215</v>
      </c>
      <c r="K57" s="420">
        <f>L33/(L33+L34)</f>
        <v>0.24407657342516512</v>
      </c>
    </row>
    <row r="58" spans="1:23" x14ac:dyDescent="0.25">
      <c r="A58" s="511" t="s">
        <v>46</v>
      </c>
      <c r="B58">
        <f>AVERAGE(A20:A29)</f>
        <v>21.9</v>
      </c>
      <c r="C58">
        <f>C59+S39</f>
        <v>21.333234641578304</v>
      </c>
      <c r="R58" t="s">
        <v>1176</v>
      </c>
    </row>
    <row r="59" spans="1:23" ht="15.75" thickBot="1" x14ac:dyDescent="0.3">
      <c r="A59" s="564" t="s">
        <v>47</v>
      </c>
      <c r="B59" s="20">
        <f>AVERAGE(A30:A39)</f>
        <v>15.8</v>
      </c>
      <c r="C59" s="20">
        <f>S35+C52*S36</f>
        <v>18.597272845501461</v>
      </c>
      <c r="J59" t="s">
        <v>1217</v>
      </c>
    </row>
    <row r="60" spans="1:23" x14ac:dyDescent="0.25">
      <c r="B60">
        <f>AVERAGE(A12:A48)</f>
        <v>23.107142857142858</v>
      </c>
      <c r="C60">
        <f>AVERAGE(C56:C59)</f>
        <v>23.441843282057516</v>
      </c>
      <c r="R60" s="21" t="s">
        <v>291</v>
      </c>
      <c r="S60" s="21"/>
    </row>
    <row r="61" spans="1:23" x14ac:dyDescent="0.25">
      <c r="J61" t="s">
        <v>1214</v>
      </c>
      <c r="K61" s="418">
        <f>L32/L35</f>
        <v>0.34238896992655465</v>
      </c>
      <c r="R61" s="19" t="s">
        <v>292</v>
      </c>
      <c r="S61" s="19">
        <v>0.54481848977319036</v>
      </c>
    </row>
    <row r="62" spans="1:23" x14ac:dyDescent="0.25">
      <c r="J62" t="s">
        <v>1215</v>
      </c>
      <c r="K62" s="420">
        <f>L32/(L32+L34)</f>
        <v>0.48692009062153119</v>
      </c>
      <c r="R62" s="19" t="s">
        <v>285</v>
      </c>
      <c r="S62" s="19">
        <v>0.29682718679873993</v>
      </c>
    </row>
    <row r="63" spans="1:23" x14ac:dyDescent="0.25">
      <c r="R63" s="19" t="s">
        <v>293</v>
      </c>
      <c r="S63" s="19">
        <v>0.23090473556112179</v>
      </c>
    </row>
    <row r="64" spans="1:23" x14ac:dyDescent="0.25">
      <c r="J64" t="s">
        <v>1218</v>
      </c>
      <c r="R64" s="19" t="s">
        <v>11</v>
      </c>
      <c r="S64" s="19">
        <v>10.378576190884759</v>
      </c>
    </row>
    <row r="65" spans="10:23" ht="15.75" thickBot="1" x14ac:dyDescent="0.3">
      <c r="R65" s="20" t="s">
        <v>81</v>
      </c>
      <c r="S65" s="20">
        <v>36</v>
      </c>
    </row>
    <row r="66" spans="10:23" x14ac:dyDescent="0.25">
      <c r="J66" t="s">
        <v>120</v>
      </c>
      <c r="K66" s="531">
        <f>SQRT(U36^2/(U36^2+S31))</f>
        <v>0.69779659688302542</v>
      </c>
    </row>
    <row r="67" spans="10:23" ht="15.75" thickBot="1" x14ac:dyDescent="0.3">
      <c r="R67" t="s">
        <v>294</v>
      </c>
    </row>
    <row r="68" spans="10:23" x14ac:dyDescent="0.25">
      <c r="R68" s="512"/>
      <c r="S68" s="512" t="s">
        <v>60</v>
      </c>
      <c r="T68" s="512" t="s">
        <v>219</v>
      </c>
      <c r="U68" s="512" t="s">
        <v>240</v>
      </c>
      <c r="V68" s="512" t="s">
        <v>135</v>
      </c>
      <c r="W68" s="512" t="s">
        <v>297</v>
      </c>
    </row>
    <row r="69" spans="10:23" x14ac:dyDescent="0.25">
      <c r="R69" s="19" t="s">
        <v>222</v>
      </c>
      <c r="S69" s="19">
        <v>3</v>
      </c>
      <c r="T69" s="19">
        <v>1455.0138888888901</v>
      </c>
      <c r="U69" s="19">
        <v>485.00462962963002</v>
      </c>
      <c r="V69" s="19">
        <v>4.5026721735334654</v>
      </c>
      <c r="W69" s="19">
        <v>9.5805875705777723E-3</v>
      </c>
    </row>
    <row r="70" spans="10:23" x14ac:dyDescent="0.25">
      <c r="R70" s="19" t="s">
        <v>295</v>
      </c>
      <c r="S70" s="19">
        <v>32</v>
      </c>
      <c r="T70" s="19">
        <v>3446.8749999999995</v>
      </c>
      <c r="U70" s="19">
        <v>107.71484374999999</v>
      </c>
      <c r="V70" s="19"/>
      <c r="W70" s="19"/>
    </row>
    <row r="71" spans="10:23" ht="15.75" thickBot="1" x14ac:dyDescent="0.3">
      <c r="R71" s="20" t="s">
        <v>1</v>
      </c>
      <c r="S71" s="20">
        <v>35</v>
      </c>
      <c r="T71" s="20">
        <v>4901.8888888888896</v>
      </c>
      <c r="U71" s="20"/>
      <c r="V71" s="20"/>
      <c r="W71" s="20"/>
    </row>
    <row r="74" spans="10:23" x14ac:dyDescent="0.25">
      <c r="R74" t="s">
        <v>1177</v>
      </c>
    </row>
    <row r="75" spans="10:23" ht="15.75" thickBot="1" x14ac:dyDescent="0.3"/>
    <row r="76" spans="10:23" x14ac:dyDescent="0.25">
      <c r="R76" s="21" t="s">
        <v>291</v>
      </c>
      <c r="S76" s="21"/>
    </row>
    <row r="77" spans="10:23" x14ac:dyDescent="0.25">
      <c r="R77" s="19" t="s">
        <v>292</v>
      </c>
      <c r="S77" s="19">
        <v>0.72299678559204206</v>
      </c>
    </row>
    <row r="78" spans="10:23" x14ac:dyDescent="0.25">
      <c r="R78" s="19" t="s">
        <v>285</v>
      </c>
      <c r="S78" s="19">
        <v>0.52272435197642519</v>
      </c>
    </row>
    <row r="79" spans="10:23" x14ac:dyDescent="0.25">
      <c r="R79" s="19" t="s">
        <v>293</v>
      </c>
      <c r="S79" s="19">
        <v>0.5086868329169083</v>
      </c>
    </row>
    <row r="80" spans="10:23" x14ac:dyDescent="0.25">
      <c r="R80" s="19" t="s">
        <v>11</v>
      </c>
      <c r="S80" s="19">
        <v>8.2952009442455292</v>
      </c>
    </row>
    <row r="81" spans="18:23" ht="15.75" thickBot="1" x14ac:dyDescent="0.3">
      <c r="R81" s="20" t="s">
        <v>81</v>
      </c>
      <c r="S81" s="20">
        <v>36</v>
      </c>
    </row>
    <row r="83" spans="18:23" ht="15.75" thickBot="1" x14ac:dyDescent="0.3">
      <c r="R83" t="s">
        <v>294</v>
      </c>
    </row>
    <row r="84" spans="18:23" x14ac:dyDescent="0.25">
      <c r="R84" s="512"/>
      <c r="S84" s="512" t="s">
        <v>60</v>
      </c>
      <c r="T84" s="512" t="s">
        <v>219</v>
      </c>
      <c r="U84" s="512" t="s">
        <v>240</v>
      </c>
      <c r="V84" s="512" t="s">
        <v>135</v>
      </c>
      <c r="W84" s="512" t="s">
        <v>297</v>
      </c>
    </row>
    <row r="85" spans="18:23" x14ac:dyDescent="0.25">
      <c r="R85" s="19" t="s">
        <v>222</v>
      </c>
      <c r="S85" s="19">
        <v>1</v>
      </c>
      <c r="T85" s="19">
        <v>2562.3366929048839</v>
      </c>
      <c r="U85" s="19">
        <v>2562.3366929048839</v>
      </c>
      <c r="V85" s="19">
        <v>37.237659287239794</v>
      </c>
      <c r="W85" s="19">
        <v>6.3463662804716112E-7</v>
      </c>
    </row>
    <row r="86" spans="18:23" x14ac:dyDescent="0.25">
      <c r="R86" s="19" t="s">
        <v>295</v>
      </c>
      <c r="S86" s="19">
        <v>34</v>
      </c>
      <c r="T86" s="19">
        <v>2339.5521959840057</v>
      </c>
      <c r="U86" s="19">
        <v>68.810358705411929</v>
      </c>
      <c r="V86" s="19"/>
      <c r="W86" s="19"/>
    </row>
    <row r="87" spans="18:23" ht="15.75" thickBot="1" x14ac:dyDescent="0.3">
      <c r="R87" s="20" t="s">
        <v>1</v>
      </c>
      <c r="S87" s="20">
        <v>35</v>
      </c>
      <c r="T87" s="20">
        <v>4901.8888888888896</v>
      </c>
      <c r="U87" s="20"/>
      <c r="V87" s="20"/>
      <c r="W87" s="20"/>
    </row>
  </sheetData>
  <pageMargins left="0.7" right="0.7" top="0.75" bottom="0.75" header="0.3" footer="0.3"/>
  <ignoredErrors>
    <ignoredError sqref="B56:B57 B48:C48 B58:B59 B49:C51" formulaRange="1"/>
  </ignoredError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AA57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10.7109375" customWidth="1"/>
    <col min="7" max="11" width="10.140625" customWidth="1"/>
    <col min="13" max="13" width="17.28515625" customWidth="1"/>
    <col min="18" max="18" width="9.140625" customWidth="1"/>
    <col min="21" max="21" width="16.7109375" customWidth="1"/>
    <col min="27" max="27" width="12" bestFit="1" customWidth="1"/>
  </cols>
  <sheetData>
    <row r="1" spans="1:27" x14ac:dyDescent="0.25">
      <c r="A1" s="1" t="s">
        <v>1221</v>
      </c>
    </row>
    <row r="3" spans="1:27" ht="15.75" thickBot="1" x14ac:dyDescent="0.3">
      <c r="B3" t="s">
        <v>1201</v>
      </c>
      <c r="G3" t="s">
        <v>1202</v>
      </c>
      <c r="M3" t="s">
        <v>1207</v>
      </c>
      <c r="U3" t="s">
        <v>1200</v>
      </c>
    </row>
    <row r="4" spans="1:27" x14ac:dyDescent="0.25">
      <c r="M4" s="512" t="s">
        <v>466</v>
      </c>
      <c r="N4" s="512" t="s">
        <v>219</v>
      </c>
      <c r="O4" s="512" t="s">
        <v>60</v>
      </c>
      <c r="P4" s="512" t="s">
        <v>240</v>
      </c>
      <c r="Q4" s="512" t="s">
        <v>135</v>
      </c>
      <c r="R4" s="512" t="s">
        <v>119</v>
      </c>
      <c r="S4" s="512" t="s">
        <v>467</v>
      </c>
    </row>
    <row r="5" spans="1:27" ht="15.75" thickBot="1" x14ac:dyDescent="0.3">
      <c r="B5" s="563" t="s">
        <v>39</v>
      </c>
      <c r="C5" s="563" t="s">
        <v>40</v>
      </c>
      <c r="D5" s="563" t="s">
        <v>46</v>
      </c>
      <c r="E5" s="565" t="s">
        <v>47</v>
      </c>
      <c r="G5" s="563" t="s">
        <v>39</v>
      </c>
      <c r="H5" s="563" t="s">
        <v>40</v>
      </c>
      <c r="I5" s="563" t="s">
        <v>46</v>
      </c>
      <c r="J5" s="565" t="s">
        <v>47</v>
      </c>
      <c r="K5" s="567"/>
      <c r="M5" s="19" t="s">
        <v>462</v>
      </c>
      <c r="N5" s="19">
        <v>1455.0138888888878</v>
      </c>
      <c r="O5" s="19">
        <v>3</v>
      </c>
      <c r="P5" s="19">
        <v>485.00462962962928</v>
      </c>
      <c r="Q5" s="19">
        <v>4.5026721735334574</v>
      </c>
      <c r="R5" s="19">
        <v>9.5805875705778556E-3</v>
      </c>
      <c r="S5" s="19">
        <v>2.9011195838408388</v>
      </c>
      <c r="U5" t="s">
        <v>62</v>
      </c>
    </row>
    <row r="6" spans="1:27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M6" s="19" t="s">
        <v>463</v>
      </c>
      <c r="N6" s="19">
        <v>3446.875</v>
      </c>
      <c r="O6" s="19">
        <v>32</v>
      </c>
      <c r="P6" s="19">
        <v>107.71484375</v>
      </c>
      <c r="Q6" s="19"/>
      <c r="R6" s="19"/>
      <c r="S6" s="19"/>
      <c r="U6" s="512" t="s">
        <v>79</v>
      </c>
      <c r="V6" s="512" t="s">
        <v>22</v>
      </c>
      <c r="W6" s="512" t="s">
        <v>21</v>
      </c>
      <c r="X6" s="512" t="s">
        <v>465</v>
      </c>
      <c r="Y6" s="512" t="s">
        <v>80</v>
      </c>
    </row>
    <row r="7" spans="1:27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M7" s="19"/>
      <c r="N7" s="19"/>
      <c r="O7" s="19"/>
      <c r="P7" s="19"/>
      <c r="Q7" s="19"/>
      <c r="R7" s="19"/>
      <c r="S7" s="19"/>
      <c r="U7" s="19" t="s">
        <v>39</v>
      </c>
      <c r="V7" s="19">
        <v>8</v>
      </c>
      <c r="W7" s="19">
        <v>183</v>
      </c>
      <c r="X7" s="19">
        <v>22.875</v>
      </c>
      <c r="Y7" s="19">
        <v>134.125</v>
      </c>
    </row>
    <row r="8" spans="1:27" ht="15.75" thickBot="1" x14ac:dyDescent="0.3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M8" s="20" t="s">
        <v>1</v>
      </c>
      <c r="N8" s="20">
        <v>4901.8888888888878</v>
      </c>
      <c r="O8" s="20">
        <v>35</v>
      </c>
      <c r="P8" s="20"/>
      <c r="Q8" s="20"/>
      <c r="R8" s="20"/>
      <c r="S8" s="20"/>
      <c r="U8" s="19" t="s">
        <v>40</v>
      </c>
      <c r="V8" s="19">
        <v>8</v>
      </c>
      <c r="W8" s="19">
        <v>270</v>
      </c>
      <c r="X8" s="19">
        <v>33.75</v>
      </c>
      <c r="Y8" s="19">
        <v>164.78571428571428</v>
      </c>
    </row>
    <row r="9" spans="1:27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U9" s="19" t="s">
        <v>46</v>
      </c>
      <c r="V9" s="19">
        <v>10</v>
      </c>
      <c r="W9" s="19">
        <v>219</v>
      </c>
      <c r="X9" s="19">
        <v>21.9</v>
      </c>
      <c r="Y9" s="19">
        <v>105.65555555555551</v>
      </c>
    </row>
    <row r="10" spans="1:27" ht="15.75" thickBot="1" x14ac:dyDescent="0.3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U10" s="20" t="s">
        <v>47</v>
      </c>
      <c r="V10" s="20">
        <v>10</v>
      </c>
      <c r="W10" s="20">
        <v>158</v>
      </c>
      <c r="X10" s="20">
        <v>15.8</v>
      </c>
      <c r="Y10" s="20">
        <v>44.844444444444434</v>
      </c>
    </row>
    <row r="11" spans="1:27" ht="15.75" thickBot="1" x14ac:dyDescent="0.3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M11" t="s">
        <v>1208</v>
      </c>
    </row>
    <row r="12" spans="1:27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M12" s="512" t="s">
        <v>466</v>
      </c>
      <c r="N12" s="512" t="s">
        <v>219</v>
      </c>
      <c r="O12" s="512" t="s">
        <v>60</v>
      </c>
      <c r="P12" s="512" t="s">
        <v>240</v>
      </c>
      <c r="Q12" s="512" t="s">
        <v>135</v>
      </c>
      <c r="R12" s="512" t="s">
        <v>119</v>
      </c>
      <c r="S12" s="512" t="s">
        <v>467</v>
      </c>
    </row>
    <row r="13" spans="1:27" ht="15.75" thickBot="1" x14ac:dyDescent="0.3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M13" s="19" t="s">
        <v>462</v>
      </c>
      <c r="N13" s="19">
        <v>1897.0572222222163</v>
      </c>
      <c r="O13" s="19">
        <v>3</v>
      </c>
      <c r="P13" s="19">
        <v>632.35240740740539</v>
      </c>
      <c r="Q13" s="19">
        <v>1.2542356704784621</v>
      </c>
      <c r="R13" s="19">
        <v>0.30655018520822608</v>
      </c>
      <c r="S13" s="19">
        <v>2.9011195838408388</v>
      </c>
      <c r="U13" t="s">
        <v>294</v>
      </c>
    </row>
    <row r="14" spans="1:27" x14ac:dyDescent="0.25">
      <c r="D14">
        <v>31</v>
      </c>
      <c r="E14">
        <v>25</v>
      </c>
      <c r="I14">
        <v>80</v>
      </c>
      <c r="J14">
        <v>64.900000000000006</v>
      </c>
      <c r="M14" s="19" t="s">
        <v>463</v>
      </c>
      <c r="N14" s="19">
        <v>16133.552500000003</v>
      </c>
      <c r="O14" s="19">
        <v>32</v>
      </c>
      <c r="P14" s="19">
        <v>504.17351562500011</v>
      </c>
      <c r="Q14" s="19"/>
      <c r="R14" s="19"/>
      <c r="S14" s="19"/>
      <c r="U14" s="512" t="s">
        <v>466</v>
      </c>
      <c r="V14" s="512" t="s">
        <v>219</v>
      </c>
      <c r="W14" s="512" t="s">
        <v>60</v>
      </c>
      <c r="X14" s="512" t="s">
        <v>240</v>
      </c>
      <c r="Y14" s="512" t="s">
        <v>135</v>
      </c>
      <c r="Z14" s="512" t="s">
        <v>119</v>
      </c>
      <c r="AA14" s="512" t="s">
        <v>467</v>
      </c>
    </row>
    <row r="15" spans="1:27" x14ac:dyDescent="0.25">
      <c r="B15" s="410"/>
      <c r="C15" s="410"/>
      <c r="D15" s="410">
        <v>13</v>
      </c>
      <c r="E15" s="410">
        <v>26</v>
      </c>
      <c r="G15" s="410"/>
      <c r="H15" s="410"/>
      <c r="I15" s="410">
        <v>41</v>
      </c>
      <c r="J15" s="410">
        <v>59.4</v>
      </c>
      <c r="K15" s="7"/>
      <c r="M15" s="19"/>
      <c r="N15" s="19"/>
      <c r="O15" s="19"/>
      <c r="P15" s="19"/>
      <c r="Q15" s="19"/>
      <c r="R15" s="19"/>
      <c r="S15" s="19"/>
      <c r="U15" s="19" t="s">
        <v>462</v>
      </c>
      <c r="V15" s="19">
        <v>1455.0138888888878</v>
      </c>
      <c r="W15" s="19">
        <v>3</v>
      </c>
      <c r="X15" s="19">
        <v>485.00462962962928</v>
      </c>
      <c r="Y15" s="19">
        <v>4.5026721735334574</v>
      </c>
      <c r="Z15" s="19">
        <v>9.5805875705778556E-3</v>
      </c>
      <c r="AA15" s="19">
        <v>2.9011195838408388</v>
      </c>
    </row>
    <row r="16" spans="1:27" ht="15.75" thickBot="1" x14ac:dyDescent="0.3">
      <c r="A16" t="s">
        <v>7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M16" s="20" t="s">
        <v>1</v>
      </c>
      <c r="N16" s="20">
        <v>18030.60972222222</v>
      </c>
      <c r="O16" s="20">
        <v>35</v>
      </c>
      <c r="P16" s="20"/>
      <c r="Q16" s="20"/>
      <c r="R16" s="20"/>
      <c r="S16" s="20"/>
      <c r="U16" s="19" t="s">
        <v>463</v>
      </c>
      <c r="V16" s="19">
        <v>3446.875</v>
      </c>
      <c r="W16" s="19">
        <v>32</v>
      </c>
      <c r="X16" s="19">
        <v>107.71484375</v>
      </c>
      <c r="Y16" s="19"/>
      <c r="Z16" s="19"/>
      <c r="AA16" s="19"/>
    </row>
    <row r="17" spans="1:27" x14ac:dyDescent="0.25">
      <c r="A17" t="s">
        <v>8</v>
      </c>
      <c r="B17" s="410">
        <f>VAR(B6:B15)</f>
        <v>134.125</v>
      </c>
      <c r="C17" s="410">
        <f>VAR(C6:C15)</f>
        <v>164.78571428571428</v>
      </c>
      <c r="D17" s="410">
        <f>VAR(D6:D15)</f>
        <v>105.65555555555551</v>
      </c>
      <c r="E17" s="410">
        <f>VAR(E6:E15)</f>
        <v>44.844444444444434</v>
      </c>
      <c r="G17" s="410">
        <f>VAR(G6:G15)</f>
        <v>1159.0783928571432</v>
      </c>
      <c r="H17" s="410">
        <f>VAR(H6:H15)</f>
        <v>324.43410714285659</v>
      </c>
      <c r="I17" s="410">
        <f>VAR(I6:I15)</f>
        <v>449.52044444444499</v>
      </c>
      <c r="J17" s="410">
        <f>VAR(J6:J15)</f>
        <v>189.25344444444514</v>
      </c>
      <c r="K17" s="7"/>
      <c r="U17" s="19"/>
      <c r="V17" s="19"/>
      <c r="W17" s="19"/>
      <c r="X17" s="19"/>
      <c r="Y17" s="19"/>
      <c r="Z17" s="19"/>
      <c r="AA17" s="19"/>
    </row>
    <row r="18" spans="1:27" ht="15.75" thickBot="1" x14ac:dyDescent="0.3">
      <c r="U18" s="20" t="s">
        <v>1</v>
      </c>
      <c r="V18" s="20">
        <v>4901.8888888888878</v>
      </c>
      <c r="W18" s="20">
        <v>35</v>
      </c>
      <c r="X18" s="20"/>
      <c r="Y18" s="20"/>
      <c r="Z18" s="20"/>
      <c r="AA18" s="20"/>
    </row>
    <row r="19" spans="1:27" ht="15.75" thickBot="1" x14ac:dyDescent="0.3">
      <c r="G19" t="s">
        <v>1195</v>
      </c>
      <c r="M19" t="s">
        <v>1183</v>
      </c>
    </row>
    <row r="20" spans="1:27" x14ac:dyDescent="0.25">
      <c r="M20" s="512" t="s">
        <v>466</v>
      </c>
      <c r="N20" s="512" t="s">
        <v>219</v>
      </c>
      <c r="O20" s="512" t="s">
        <v>60</v>
      </c>
      <c r="P20" s="512" t="s">
        <v>240</v>
      </c>
      <c r="Q20" s="512" t="s">
        <v>135</v>
      </c>
      <c r="R20" s="512" t="s">
        <v>119</v>
      </c>
    </row>
    <row r="21" spans="1:27" x14ac:dyDescent="0.25">
      <c r="F21" t="s">
        <v>219</v>
      </c>
      <c r="G21" s="429">
        <f>DEVSQ(G6:G15)</f>
        <v>8113.5487500000008</v>
      </c>
      <c r="H21" s="542">
        <f>DEVSQ(H6:H15)</f>
        <v>2271.0387499999997</v>
      </c>
      <c r="I21" s="542">
        <f>DEVSQ(I6:I15)</f>
        <v>4045.6840000000007</v>
      </c>
      <c r="J21" s="543">
        <f>DEVSQ(J6:J15)</f>
        <v>1703.2810000000002</v>
      </c>
      <c r="K21">
        <f>SUM(G21:J21)</f>
        <v>16133.552500000003</v>
      </c>
      <c r="M21" s="19" t="s">
        <v>1204</v>
      </c>
      <c r="N21" s="19">
        <f>N24-N22</f>
        <v>571.02988334509268</v>
      </c>
      <c r="O21" s="19">
        <f>O5</f>
        <v>3</v>
      </c>
      <c r="P21" s="19">
        <f>N21/O21</f>
        <v>190.34329444836422</v>
      </c>
      <c r="Q21" s="19">
        <f>P21/P22</f>
        <v>3.336481584501255</v>
      </c>
      <c r="R21" s="19">
        <f>FDIST(Q21,O21,O22)</f>
        <v>3.1940102263092449E-2</v>
      </c>
      <c r="U21" t="s">
        <v>1203</v>
      </c>
    </row>
    <row r="22" spans="1:27" x14ac:dyDescent="0.25">
      <c r="F22" t="s">
        <v>1180</v>
      </c>
      <c r="G22" s="532">
        <f>SLOPE(B6:B15,G6:G15)</f>
        <v>0.29192990305259459</v>
      </c>
      <c r="H22" s="7">
        <f>SLOPE(C6:C15,H6:H15)</f>
        <v>0.53985208310514299</v>
      </c>
      <c r="I22" s="7">
        <f>SLOPE(D6:D15,I6:I15)</f>
        <v>0.2348824080180261</v>
      </c>
      <c r="J22" s="533">
        <f>SLOPE(E6:E15,J6:J15)</f>
        <v>0.3867594366402255</v>
      </c>
      <c r="M22" s="19" t="s">
        <v>1205</v>
      </c>
      <c r="N22" s="19">
        <f>N6-G25^2*N14</f>
        <v>1768.5223126389089</v>
      </c>
      <c r="O22" s="19">
        <f>O6-1</f>
        <v>31</v>
      </c>
      <c r="P22" s="19">
        <f>N22/O22</f>
        <v>57.049106859319643</v>
      </c>
      <c r="Q22" s="19"/>
      <c r="R22" s="19"/>
    </row>
    <row r="23" spans="1:27" ht="15.75" thickBot="1" x14ac:dyDescent="0.3">
      <c r="F23" t="s">
        <v>1199</v>
      </c>
      <c r="G23" s="409">
        <f>G21*G22</f>
        <v>2368.5875000000001</v>
      </c>
      <c r="H23" s="410">
        <f>H21*H22</f>
        <v>1226.0249999999999</v>
      </c>
      <c r="I23" s="410">
        <f>I21*I22</f>
        <v>950.26</v>
      </c>
      <c r="J23" s="417">
        <f>J21*J22</f>
        <v>658.76</v>
      </c>
      <c r="K23">
        <f>SUM(G23:J23)</f>
        <v>5203.6325000000006</v>
      </c>
      <c r="M23" s="19"/>
      <c r="N23" s="19"/>
      <c r="O23" s="19"/>
      <c r="P23" s="19"/>
      <c r="Q23" s="19"/>
      <c r="R23" s="19"/>
      <c r="U23" t="s">
        <v>62</v>
      </c>
    </row>
    <row r="24" spans="1:27" ht="15.75" thickBot="1" x14ac:dyDescent="0.3">
      <c r="M24" s="20" t="s">
        <v>1174</v>
      </c>
      <c r="N24" s="20">
        <f>N8-G26^2*N16</f>
        <v>2339.5521959840016</v>
      </c>
      <c r="O24" s="20">
        <f>O21+O22</f>
        <v>34</v>
      </c>
      <c r="P24" s="20"/>
      <c r="Q24" s="20"/>
      <c r="R24" s="20"/>
      <c r="U24" s="512" t="s">
        <v>79</v>
      </c>
      <c r="V24" s="512" t="s">
        <v>22</v>
      </c>
      <c r="W24" s="512" t="s">
        <v>21</v>
      </c>
      <c r="X24" s="512" t="s">
        <v>465</v>
      </c>
      <c r="Y24" s="512" t="s">
        <v>80</v>
      </c>
    </row>
    <row r="25" spans="1:27" ht="18" x14ac:dyDescent="0.35">
      <c r="F25" t="s">
        <v>1181</v>
      </c>
      <c r="G25">
        <f>K23/K21</f>
        <v>0.32253482300317921</v>
      </c>
      <c r="U25" s="19" t="s">
        <v>39</v>
      </c>
      <c r="V25" s="19">
        <v>8</v>
      </c>
      <c r="W25" s="19">
        <v>367.9</v>
      </c>
      <c r="X25" s="19">
        <v>45.987499999999997</v>
      </c>
      <c r="Y25" s="19">
        <v>1159.0783928571432</v>
      </c>
    </row>
    <row r="26" spans="1:27" ht="18" x14ac:dyDescent="0.35">
      <c r="F26" t="s">
        <v>1171</v>
      </c>
      <c r="G26">
        <f>SLOPE(B6:E15,G6:J15)</f>
        <v>0.37697529640759841</v>
      </c>
      <c r="U26" s="19" t="s">
        <v>40</v>
      </c>
      <c r="V26" s="19">
        <v>8</v>
      </c>
      <c r="W26" s="19">
        <v>482.1</v>
      </c>
      <c r="X26" s="19">
        <v>60.262500000000003</v>
      </c>
      <c r="Y26" s="19">
        <v>324.43410714285659</v>
      </c>
    </row>
    <row r="27" spans="1:27" ht="15.75" thickBot="1" x14ac:dyDescent="0.3">
      <c r="M27" t="s">
        <v>1184</v>
      </c>
      <c r="U27" s="19" t="s">
        <v>46</v>
      </c>
      <c r="V27" s="19">
        <v>10</v>
      </c>
      <c r="W27" s="19">
        <v>505.59999999999997</v>
      </c>
      <c r="X27" s="19">
        <v>50.559999999999995</v>
      </c>
      <c r="Y27" s="19">
        <v>449.52044444444499</v>
      </c>
    </row>
    <row r="28" spans="1:27" ht="15.75" thickBot="1" x14ac:dyDescent="0.3">
      <c r="M28" s="512" t="s">
        <v>466</v>
      </c>
      <c r="N28" s="512" t="s">
        <v>219</v>
      </c>
      <c r="O28" s="512" t="s">
        <v>60</v>
      </c>
      <c r="P28" s="512" t="s">
        <v>240</v>
      </c>
      <c r="Q28" s="512" t="s">
        <v>135</v>
      </c>
      <c r="R28" s="512" t="s">
        <v>119</v>
      </c>
      <c r="U28" s="20" t="s">
        <v>47</v>
      </c>
      <c r="V28" s="20">
        <v>10</v>
      </c>
      <c r="W28" s="20">
        <v>401.29999999999995</v>
      </c>
      <c r="X28" s="20">
        <v>40.129999999999995</v>
      </c>
      <c r="Y28" s="20">
        <v>189.25344444444514</v>
      </c>
    </row>
    <row r="29" spans="1:27" x14ac:dyDescent="0.25">
      <c r="M29" t="s">
        <v>1178</v>
      </c>
      <c r="N29">
        <f>G25*K23</f>
        <v>1678.3526873610911</v>
      </c>
      <c r="O29">
        <v>1</v>
      </c>
      <c r="P29" s="19">
        <f>N29/O29</f>
        <v>1678.3526873610911</v>
      </c>
      <c r="Q29" s="19">
        <f>P29/P31</f>
        <v>29.419438440987836</v>
      </c>
      <c r="R29" s="19">
        <f>FDIST(Q29,O29,O31)</f>
        <v>6.3670620361677544E-6</v>
      </c>
    </row>
    <row r="30" spans="1:27" x14ac:dyDescent="0.25">
      <c r="M30" s="19" t="s">
        <v>1206</v>
      </c>
      <c r="N30">
        <f>N21</f>
        <v>571.02988334509268</v>
      </c>
      <c r="O30">
        <f>O21</f>
        <v>3</v>
      </c>
      <c r="P30" s="19">
        <f>N30/O30</f>
        <v>190.34329444836422</v>
      </c>
      <c r="Q30" s="19">
        <f>P30/P31</f>
        <v>3.336481584501255</v>
      </c>
      <c r="R30" s="19">
        <f>FDIST(Q30,O30,O31)</f>
        <v>3.1940102263092449E-2</v>
      </c>
    </row>
    <row r="31" spans="1:27" ht="15.75" thickBot="1" x14ac:dyDescent="0.3">
      <c r="M31" s="19" t="s">
        <v>1205</v>
      </c>
      <c r="N31" s="19">
        <f>N22</f>
        <v>1768.5223126389089</v>
      </c>
      <c r="O31" s="19">
        <f>O22</f>
        <v>31</v>
      </c>
      <c r="P31" s="19">
        <f>N31/O31</f>
        <v>57.049106859319643</v>
      </c>
      <c r="Q31" s="19"/>
      <c r="R31" s="19"/>
      <c r="U31" t="s">
        <v>294</v>
      </c>
    </row>
    <row r="32" spans="1:27" x14ac:dyDescent="0.25">
      <c r="M32" s="19"/>
      <c r="N32" s="19"/>
      <c r="O32" s="19"/>
      <c r="P32" s="19"/>
      <c r="Q32" s="19"/>
      <c r="R32" s="19"/>
      <c r="U32" s="512" t="s">
        <v>466</v>
      </c>
      <c r="V32" s="512" t="s">
        <v>219</v>
      </c>
      <c r="W32" s="512" t="s">
        <v>60</v>
      </c>
      <c r="X32" s="512" t="s">
        <v>240</v>
      </c>
      <c r="Y32" s="512" t="s">
        <v>135</v>
      </c>
      <c r="Z32" s="512" t="s">
        <v>119</v>
      </c>
      <c r="AA32" s="512" t="s">
        <v>467</v>
      </c>
    </row>
    <row r="33" spans="13:27" ht="15.75" thickBot="1" x14ac:dyDescent="0.3">
      <c r="M33" s="20" t="s">
        <v>1</v>
      </c>
      <c r="N33" s="20">
        <f>N8</f>
        <v>4901.8888888888878</v>
      </c>
      <c r="O33" s="20">
        <f>O8</f>
        <v>35</v>
      </c>
      <c r="P33" s="20"/>
      <c r="Q33" s="20"/>
      <c r="R33" s="20"/>
      <c r="U33" s="19" t="s">
        <v>462</v>
      </c>
      <c r="V33" s="19">
        <v>1897.0572222222163</v>
      </c>
      <c r="W33" s="19">
        <v>3</v>
      </c>
      <c r="X33" s="19">
        <v>632.35240740740539</v>
      </c>
      <c r="Y33" s="19">
        <v>1.2542356704784621</v>
      </c>
      <c r="Z33" s="19">
        <v>0.30655018520822608</v>
      </c>
      <c r="AA33" s="19">
        <v>2.9011195838408388</v>
      </c>
    </row>
    <row r="34" spans="13:27" x14ac:dyDescent="0.25">
      <c r="U34" s="19" t="s">
        <v>463</v>
      </c>
      <c r="V34" s="19">
        <v>16133.552500000003</v>
      </c>
      <c r="W34" s="19">
        <v>32</v>
      </c>
      <c r="X34" s="19">
        <v>504.17351562500011</v>
      </c>
      <c r="Y34" s="19"/>
      <c r="Z34" s="19"/>
      <c r="AA34" s="19"/>
    </row>
    <row r="35" spans="13:27" x14ac:dyDescent="0.25">
      <c r="U35" s="19"/>
      <c r="V35" s="19"/>
      <c r="W35" s="19"/>
      <c r="X35" s="19"/>
      <c r="Y35" s="19"/>
      <c r="Z35" s="19"/>
      <c r="AA35" s="19"/>
    </row>
    <row r="36" spans="13:27" ht="15.75" thickBot="1" x14ac:dyDescent="0.3">
      <c r="U36" s="20" t="s">
        <v>1</v>
      </c>
      <c r="V36" s="20">
        <v>18030.60972222222</v>
      </c>
      <c r="W36" s="20">
        <v>35</v>
      </c>
      <c r="X36" s="20"/>
      <c r="Y36" s="20"/>
      <c r="Z36" s="20"/>
      <c r="AA36" s="20"/>
    </row>
    <row r="56" spans="22:22" x14ac:dyDescent="0.25">
      <c r="V56">
        <f>'ANCOVA 2'!L7</f>
        <v>3133.3665762499804</v>
      </c>
    </row>
    <row r="57" spans="22:22" x14ac:dyDescent="0.25">
      <c r="V57">
        <f>V15</f>
        <v>1455.0138888888878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/>
  <dimension ref="A1:Q17"/>
  <sheetViews>
    <sheetView workbookViewId="0">
      <selection activeCell="M13" sqref="M13"/>
    </sheetView>
  </sheetViews>
  <sheetFormatPr defaultRowHeight="15" x14ac:dyDescent="0.25"/>
  <cols>
    <col min="1" max="1" width="5.85546875" customWidth="1"/>
    <col min="2" max="5" width="10.140625" customWidth="1"/>
    <col min="6" max="6" width="10.7109375" customWidth="1"/>
    <col min="7" max="11" width="10.140625" customWidth="1"/>
  </cols>
  <sheetData>
    <row r="1" spans="1:17" x14ac:dyDescent="0.25">
      <c r="A1" s="1" t="s">
        <v>2222</v>
      </c>
      <c r="L1" t="s">
        <v>2217</v>
      </c>
    </row>
    <row r="3" spans="1:17" x14ac:dyDescent="0.25">
      <c r="B3" t="s">
        <v>1201</v>
      </c>
      <c r="G3" t="s">
        <v>1202</v>
      </c>
      <c r="M3" t="str">
        <f>B5</f>
        <v>Method 1</v>
      </c>
      <c r="N3" t="str">
        <f>C5</f>
        <v>Method 2</v>
      </c>
      <c r="O3" t="str">
        <f>D5</f>
        <v>Method 3</v>
      </c>
      <c r="P3" t="str">
        <f>E5</f>
        <v>Method 4</v>
      </c>
    </row>
    <row r="4" spans="1:17" x14ac:dyDescent="0.25">
      <c r="L4" t="s">
        <v>219</v>
      </c>
      <c r="M4" s="1226">
        <f>DEVSQ(G6:G15)</f>
        <v>8113.5487500000008</v>
      </c>
      <c r="N4" s="827">
        <f>DEVSQ(H6:H15)</f>
        <v>2271.0387499999997</v>
      </c>
      <c r="O4" s="827">
        <f>DEVSQ(I6:I15)</f>
        <v>4045.6840000000007</v>
      </c>
      <c r="P4" s="1249">
        <f>DEVSQ(J6:J15)</f>
        <v>1703.2810000000002</v>
      </c>
    </row>
    <row r="5" spans="1:17" x14ac:dyDescent="0.25">
      <c r="B5" s="563" t="s">
        <v>39</v>
      </c>
      <c r="C5" s="563" t="s">
        <v>40</v>
      </c>
      <c r="D5" s="563" t="s">
        <v>46</v>
      </c>
      <c r="E5" s="565" t="s">
        <v>47</v>
      </c>
      <c r="G5" s="563" t="s">
        <v>39</v>
      </c>
      <c r="H5" s="563" t="s">
        <v>40</v>
      </c>
      <c r="I5" s="563" t="s">
        <v>46</v>
      </c>
      <c r="J5" s="565" t="s">
        <v>47</v>
      </c>
      <c r="K5" s="567"/>
      <c r="L5" t="s">
        <v>1180</v>
      </c>
      <c r="M5" s="532">
        <f>SLOPE(B6:B15,G6:G15)</f>
        <v>0.29192990305259459</v>
      </c>
      <c r="N5" s="7">
        <f>SLOPE(C6:C15,H6:H15)</f>
        <v>0.53985208310514299</v>
      </c>
      <c r="O5" s="7">
        <f>SLOPE(D6:D15,I6:I15)</f>
        <v>0.2348824080180261</v>
      </c>
      <c r="P5" s="533">
        <f>SLOPE(E6:E15,J6:J15)</f>
        <v>0.3867594366402255</v>
      </c>
    </row>
    <row r="6" spans="1:17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L6" t="s">
        <v>2218</v>
      </c>
      <c r="M6" s="409">
        <f>AVERAGE(B6:B15)-(AVERAGE(G6:G15)-AVERAGE($G$6:$J$15))*$M8</f>
        <v>23.783025119760342</v>
      </c>
      <c r="N6" s="762">
        <f>AVERAGE(C6:C15)-(AVERAGE(H6:H15)-AVERAGE($G$6:$J$15))*$M8</f>
        <v>30.053840521389958</v>
      </c>
      <c r="O6" s="762">
        <f>AVERAGE(D6:D15)-(AVERAGE(I6:I15)-AVERAGE($G$6:$J$15))*$M8</f>
        <v>21.333234641578304</v>
      </c>
      <c r="P6" s="417">
        <f>AVERAGE(E6:E15)-(AVERAGE(J6:J15)-AVERAGE($G$6:$J$15))*$M8</f>
        <v>18.597272845501465</v>
      </c>
    </row>
    <row r="7" spans="1:17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</row>
    <row r="8" spans="1:17" x14ac:dyDescent="0.25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L8" t="s">
        <v>2219</v>
      </c>
      <c r="M8" s="1155">
        <f>SUM(SUMPRODUCT(M4:P4,M5:P5))/SUM(M4:P4)</f>
        <v>0.32253482300317921</v>
      </c>
    </row>
    <row r="9" spans="1:17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L9" t="s">
        <v>2220</v>
      </c>
      <c r="M9" s="757">
        <f>SLOPE(B6:E15,G6:J15)</f>
        <v>0.37697529640759841</v>
      </c>
    </row>
    <row r="10" spans="1:17" x14ac:dyDescent="0.25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</row>
    <row r="11" spans="1:17" ht="15.75" thickBot="1" x14ac:dyDescent="0.3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L11" t="s">
        <v>1170</v>
      </c>
    </row>
    <row r="12" spans="1:17" ht="15.75" thickTop="1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L12" s="826"/>
      <c r="M12" s="826" t="s">
        <v>219</v>
      </c>
      <c r="N12" s="826" t="s">
        <v>60</v>
      </c>
      <c r="O12" s="826" t="s">
        <v>240</v>
      </c>
      <c r="P12" s="826" t="s">
        <v>135</v>
      </c>
      <c r="Q12" s="826" t="s">
        <v>67</v>
      </c>
    </row>
    <row r="13" spans="1:17" x14ac:dyDescent="0.25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L13" t="s">
        <v>1178</v>
      </c>
      <c r="M13">
        <f>M8^2*SUM(M4:P4)</f>
        <v>1678.3526873610911</v>
      </c>
      <c r="N13">
        <v>1</v>
      </c>
      <c r="O13">
        <f>M13/N13</f>
        <v>1678.3526873610911</v>
      </c>
      <c r="P13">
        <f>O13/O15</f>
        <v>29.41943844098785</v>
      </c>
      <c r="Q13">
        <f>FDIST(P13,N13,N15)</f>
        <v>6.3670620361677307E-6</v>
      </c>
    </row>
    <row r="14" spans="1:17" x14ac:dyDescent="0.25">
      <c r="D14">
        <v>31</v>
      </c>
      <c r="E14">
        <v>25</v>
      </c>
      <c r="I14">
        <v>80</v>
      </c>
      <c r="J14">
        <v>64.900000000000006</v>
      </c>
      <c r="L14" t="s">
        <v>2221</v>
      </c>
      <c r="M14">
        <f>M16-M9^2*DEVSQ(G6:J15)-M15</f>
        <v>571.02988334509359</v>
      </c>
      <c r="N14">
        <f>COUNT(M5:P5)-1</f>
        <v>3</v>
      </c>
      <c r="O14">
        <f>M14/N14</f>
        <v>190.34329444836453</v>
      </c>
      <c r="P14">
        <f>O14/O15</f>
        <v>3.3364815845012621</v>
      </c>
      <c r="Q14">
        <f>FDIST(P14,N14,N15)</f>
        <v>3.1940102263092213E-2</v>
      </c>
    </row>
    <row r="15" spans="1:17" x14ac:dyDescent="0.25">
      <c r="B15" s="410"/>
      <c r="C15" s="410"/>
      <c r="D15" s="410">
        <v>13</v>
      </c>
      <c r="E15" s="410">
        <v>26</v>
      </c>
      <c r="G15" s="410"/>
      <c r="H15" s="410"/>
      <c r="I15" s="410">
        <v>41</v>
      </c>
      <c r="J15" s="410">
        <v>59.4</v>
      </c>
      <c r="K15" s="7"/>
      <c r="L15" t="s">
        <v>600</v>
      </c>
      <c r="M15">
        <f>SUMPRODUCT([1]!VARCOL(B6:E15),[1]!COUNTCOL(B6:E15)-1)-SUMPRODUCT([1]!VARCOL(G6:J15),[1]!COUNTCOL(G6:J15)-1)*M8^2</f>
        <v>1768.522312638908</v>
      </c>
      <c r="N15">
        <f>N16-N13-N14</f>
        <v>31</v>
      </c>
      <c r="O15">
        <f>M15/N15</f>
        <v>57.049106859319615</v>
      </c>
    </row>
    <row r="16" spans="1:17" x14ac:dyDescent="0.25">
      <c r="A16" t="s">
        <v>7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L16" s="762" t="s">
        <v>1</v>
      </c>
      <c r="M16" s="762">
        <f>DEVSQ(B6:E15)</f>
        <v>4901.8888888888878</v>
      </c>
      <c r="N16" s="762">
        <f>COUNT(B6:E15)-1</f>
        <v>35</v>
      </c>
      <c r="O16" s="762"/>
      <c r="P16" s="762"/>
      <c r="Q16" s="762"/>
    </row>
    <row r="17" spans="1:11" x14ac:dyDescent="0.25">
      <c r="A17" t="s">
        <v>8</v>
      </c>
      <c r="B17" s="410">
        <f>VAR(B6:B15)</f>
        <v>134.125</v>
      </c>
      <c r="C17" s="410">
        <f>VAR(C6:C15)</f>
        <v>164.78571428571428</v>
      </c>
      <c r="D17" s="410">
        <f>VAR(D6:D15)</f>
        <v>105.65555555555551</v>
      </c>
      <c r="E17" s="410">
        <f>VAR(E6:E15)</f>
        <v>44.844444444444434</v>
      </c>
      <c r="G17" s="410">
        <f>VAR(G6:G15)</f>
        <v>1159.0783928571432</v>
      </c>
      <c r="H17" s="410">
        <f>VAR(H6:H15)</f>
        <v>324.43410714285659</v>
      </c>
      <c r="I17" s="410">
        <f>VAR(I6:I15)</f>
        <v>449.52044444444499</v>
      </c>
      <c r="J17" s="410">
        <f>VAR(J6:J15)</f>
        <v>189.25344444444514</v>
      </c>
      <c r="K17" s="7"/>
    </row>
  </sheetData>
  <pageMargins left="0.7" right="0.7" top="0.75" bottom="0.75" header="0.3" footer="0.3"/>
  <pageSetup paperSize="9" orientation="portrait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F17"/>
  <sheetViews>
    <sheetView workbookViewId="0"/>
  </sheetViews>
  <sheetFormatPr defaultRowHeight="15" x14ac:dyDescent="0.25"/>
  <cols>
    <col min="1" max="1" width="16.42578125" customWidth="1"/>
    <col min="5" max="5" width="3.42578125" customWidth="1"/>
    <col min="6" max="6" width="23.7109375" customWidth="1"/>
  </cols>
  <sheetData>
    <row r="1" spans="1:6" x14ac:dyDescent="0.25">
      <c r="A1" s="1" t="s">
        <v>1198</v>
      </c>
    </row>
    <row r="3" spans="1:6" x14ac:dyDescent="0.25">
      <c r="B3" s="568" t="s">
        <v>40</v>
      </c>
      <c r="C3" s="568" t="s">
        <v>47</v>
      </c>
    </row>
    <row r="4" spans="1:6" x14ac:dyDescent="0.25">
      <c r="A4" t="s">
        <v>1209</v>
      </c>
      <c r="B4" s="429">
        <f>'ANCOVA 2'!C57</f>
        <v>30.053840521389958</v>
      </c>
      <c r="C4" s="543">
        <f>'ANCOVA 2'!C59</f>
        <v>18.597272845501461</v>
      </c>
      <c r="D4" s="418">
        <f>ABS(B4-C4)</f>
        <v>11.456567675888497</v>
      </c>
      <c r="F4" s="16" t="s">
        <v>1261</v>
      </c>
    </row>
    <row r="5" spans="1:6" x14ac:dyDescent="0.25">
      <c r="A5" t="s">
        <v>1210</v>
      </c>
      <c r="B5" s="532">
        <f>'ANCOVA 1'!H16</f>
        <v>60.262500000000003</v>
      </c>
      <c r="C5" s="533">
        <f>'ANCOVA 1'!J16</f>
        <v>40.129999999999995</v>
      </c>
      <c r="D5" s="503">
        <f>(B5-C5)^2</f>
        <v>405.31755625000028</v>
      </c>
      <c r="F5" s="16" t="s">
        <v>1262</v>
      </c>
    </row>
    <row r="6" spans="1:6" x14ac:dyDescent="0.25">
      <c r="A6" t="s">
        <v>1211</v>
      </c>
      <c r="B6" s="409">
        <f>COUNT('ANCOVA 1'!C6:C15)</f>
        <v>8</v>
      </c>
      <c r="C6" s="417">
        <f>COUNT('ANCOVA 1'!E6:E15)</f>
        <v>10</v>
      </c>
      <c r="D6" s="420">
        <f>1/B6+1/C6</f>
        <v>0.22500000000000001</v>
      </c>
      <c r="F6" s="16" t="s">
        <v>1263</v>
      </c>
    </row>
    <row r="7" spans="1:6" x14ac:dyDescent="0.25">
      <c r="A7" t="s">
        <v>1212</v>
      </c>
      <c r="B7" s="7"/>
      <c r="C7" s="7"/>
      <c r="D7" s="503">
        <f>'ANCOVA 2'!M8</f>
        <v>57.049106859319657</v>
      </c>
      <c r="F7" s="16" t="s">
        <v>1264</v>
      </c>
    </row>
    <row r="8" spans="1:6" x14ac:dyDescent="0.25">
      <c r="A8" t="s">
        <v>1213</v>
      </c>
      <c r="B8" s="7"/>
      <c r="C8" s="7"/>
      <c r="D8" s="503">
        <f>'ANCOVA 2'!L14</f>
        <v>16133.552500000002</v>
      </c>
      <c r="F8" s="16" t="s">
        <v>1265</v>
      </c>
    </row>
    <row r="9" spans="1:6" x14ac:dyDescent="0.25">
      <c r="A9" t="s">
        <v>425</v>
      </c>
      <c r="D9" s="503">
        <f>SQRT(D7*(D6+D5/D8))</f>
        <v>3.777469213487664</v>
      </c>
      <c r="F9" s="16" t="s">
        <v>1266</v>
      </c>
    </row>
    <row r="10" spans="1:6" x14ac:dyDescent="0.25">
      <c r="A10" t="s">
        <v>63</v>
      </c>
      <c r="D10" s="503">
        <f>D4/D9</f>
        <v>3.0328685763955892</v>
      </c>
      <c r="F10" s="16" t="s">
        <v>1267</v>
      </c>
    </row>
    <row r="11" spans="1:6" x14ac:dyDescent="0.25">
      <c r="A11" t="s">
        <v>60</v>
      </c>
      <c r="D11" s="503">
        <f>'ANCOVA 2'!K8</f>
        <v>31</v>
      </c>
      <c r="F11" s="16" t="s">
        <v>1268</v>
      </c>
    </row>
    <row r="12" spans="1:6" x14ac:dyDescent="0.25">
      <c r="A12" s="30" t="s">
        <v>48</v>
      </c>
      <c r="D12" s="503">
        <v>0.05</v>
      </c>
    </row>
    <row r="13" spans="1:6" x14ac:dyDescent="0.25">
      <c r="A13" s="30" t="s">
        <v>67</v>
      </c>
      <c r="D13" s="503">
        <f>TDIST(D10,D11,2)</f>
        <v>4.8651077362410929E-3</v>
      </c>
      <c r="F13" s="16" t="s">
        <v>1269</v>
      </c>
    </row>
    <row r="14" spans="1:6" x14ac:dyDescent="0.25">
      <c r="A14" s="30" t="s">
        <v>68</v>
      </c>
      <c r="D14" s="503">
        <f>TINV(D12,D11)</f>
        <v>2.0395134463964082</v>
      </c>
      <c r="F14" s="16" t="s">
        <v>1270</v>
      </c>
    </row>
    <row r="15" spans="1:6" x14ac:dyDescent="0.25">
      <c r="A15" s="30" t="s">
        <v>527</v>
      </c>
      <c r="D15" s="414" t="str">
        <f>IF(D13&lt;D12,"yes","no")</f>
        <v>yes</v>
      </c>
      <c r="F15" s="16" t="s">
        <v>1271</v>
      </c>
    </row>
    <row r="17" spans="1:4" x14ac:dyDescent="0.25">
      <c r="A17" t="s">
        <v>1219</v>
      </c>
      <c r="D17" s="531">
        <f>SQRT(D10^2/(D10^2+D11))</f>
        <v>0.47835442106865922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H16"/>
  <sheetViews>
    <sheetView workbookViewId="0"/>
  </sheetViews>
  <sheetFormatPr defaultRowHeight="15" x14ac:dyDescent="0.25"/>
  <cols>
    <col min="6" max="6" width="26.140625" customWidth="1"/>
  </cols>
  <sheetData>
    <row r="1" spans="1:8" ht="15.75" x14ac:dyDescent="0.25">
      <c r="A1" s="1" t="s">
        <v>922</v>
      </c>
    </row>
    <row r="3" spans="1:8" x14ac:dyDescent="0.25">
      <c r="A3" s="466" t="s">
        <v>923</v>
      </c>
      <c r="B3" s="466" t="s">
        <v>36</v>
      </c>
      <c r="C3" s="466" t="s">
        <v>926</v>
      </c>
      <c r="D3" s="466" t="s">
        <v>927</v>
      </c>
      <c r="F3" s="469" t="s">
        <v>924</v>
      </c>
      <c r="G3" s="418">
        <f>CORREL(C4:C15,D4:D15)</f>
        <v>0.66727701559191543</v>
      </c>
    </row>
    <row r="4" spans="1:8" x14ac:dyDescent="0.25">
      <c r="A4" s="464">
        <v>1</v>
      </c>
      <c r="B4" s="464">
        <f>C4+D4</f>
        <v>42</v>
      </c>
      <c r="C4" s="464">
        <v>22</v>
      </c>
      <c r="D4" s="464">
        <v>20</v>
      </c>
      <c r="F4" s="17" t="s">
        <v>925</v>
      </c>
      <c r="G4" s="420">
        <f>2*G3/(1+G3)</f>
        <v>0.8004392903539419</v>
      </c>
    </row>
    <row r="5" spans="1:8" x14ac:dyDescent="0.25">
      <c r="A5" s="464">
        <f>A4+1</f>
        <v>2</v>
      </c>
      <c r="B5" s="464">
        <f t="shared" ref="B5:B13" si="0">C5+D5</f>
        <v>33</v>
      </c>
      <c r="C5" s="464">
        <v>18</v>
      </c>
      <c r="D5" s="464">
        <v>15</v>
      </c>
    </row>
    <row r="6" spans="1:8" x14ac:dyDescent="0.25">
      <c r="A6" s="464">
        <f t="shared" ref="A6:A13" si="1">A5+1</f>
        <v>3</v>
      </c>
      <c r="B6" s="464">
        <f t="shared" si="0"/>
        <v>44</v>
      </c>
      <c r="C6" s="464">
        <v>23</v>
      </c>
      <c r="D6" s="464">
        <v>21</v>
      </c>
      <c r="F6" t="s">
        <v>2137</v>
      </c>
      <c r="G6" s="580">
        <f>[1]!SPLIT_HALF(C4:C15,D4:D15)</f>
        <v>0.8004392903539419</v>
      </c>
    </row>
    <row r="7" spans="1:8" x14ac:dyDescent="0.25">
      <c r="A7" s="464">
        <f t="shared" si="1"/>
        <v>4</v>
      </c>
      <c r="B7" s="464">
        <f t="shared" si="0"/>
        <v>45</v>
      </c>
      <c r="C7" s="464">
        <v>21</v>
      </c>
      <c r="D7" s="464">
        <v>24</v>
      </c>
    </row>
    <row r="8" spans="1:8" x14ac:dyDescent="0.25">
      <c r="A8" s="464">
        <f t="shared" si="1"/>
        <v>5</v>
      </c>
      <c r="B8" s="464">
        <f t="shared" si="0"/>
        <v>30</v>
      </c>
      <c r="C8" s="464">
        <v>14</v>
      </c>
      <c r="D8" s="464">
        <v>16</v>
      </c>
    </row>
    <row r="9" spans="1:8" x14ac:dyDescent="0.25">
      <c r="A9" s="464">
        <f t="shared" si="1"/>
        <v>6</v>
      </c>
      <c r="B9" s="464">
        <f t="shared" si="0"/>
        <v>26</v>
      </c>
      <c r="C9" s="464">
        <v>15</v>
      </c>
      <c r="D9" s="464">
        <v>11</v>
      </c>
    </row>
    <row r="10" spans="1:8" x14ac:dyDescent="0.25">
      <c r="A10" s="464">
        <f t="shared" si="1"/>
        <v>7</v>
      </c>
      <c r="B10" s="464">
        <f t="shared" si="0"/>
        <v>45</v>
      </c>
      <c r="C10" s="464">
        <v>21</v>
      </c>
      <c r="D10" s="464">
        <v>24</v>
      </c>
    </row>
    <row r="11" spans="1:8" x14ac:dyDescent="0.25">
      <c r="A11" s="464">
        <f t="shared" si="1"/>
        <v>8</v>
      </c>
      <c r="B11" s="464">
        <f t="shared" si="0"/>
        <v>35</v>
      </c>
      <c r="C11" s="464">
        <v>17</v>
      </c>
      <c r="D11" s="464">
        <v>18</v>
      </c>
    </row>
    <row r="12" spans="1:8" x14ac:dyDescent="0.25">
      <c r="A12" s="464">
        <f t="shared" si="1"/>
        <v>9</v>
      </c>
      <c r="B12" s="464">
        <f t="shared" si="0"/>
        <v>40</v>
      </c>
      <c r="C12" s="464">
        <v>17</v>
      </c>
      <c r="D12" s="464">
        <v>23</v>
      </c>
    </row>
    <row r="13" spans="1:8" x14ac:dyDescent="0.25">
      <c r="A13" s="464">
        <f t="shared" si="1"/>
        <v>10</v>
      </c>
      <c r="B13" s="464">
        <f t="shared" si="0"/>
        <v>32</v>
      </c>
      <c r="C13" s="464">
        <v>16</v>
      </c>
      <c r="D13" s="464">
        <v>16</v>
      </c>
    </row>
    <row r="14" spans="1:8" x14ac:dyDescent="0.25">
      <c r="A14" s="464">
        <f>A13+1</f>
        <v>11</v>
      </c>
      <c r="B14" s="464">
        <f>C14+D14</f>
        <v>34</v>
      </c>
      <c r="C14" s="464">
        <v>19</v>
      </c>
      <c r="D14" s="464">
        <v>15</v>
      </c>
    </row>
    <row r="15" spans="1:8" x14ac:dyDescent="0.25">
      <c r="A15" s="467">
        <f>A14+1</f>
        <v>12</v>
      </c>
      <c r="B15" s="467">
        <f>C15+D15</f>
        <v>45</v>
      </c>
      <c r="C15" s="467">
        <v>23</v>
      </c>
      <c r="D15" s="467">
        <v>22</v>
      </c>
    </row>
    <row r="16" spans="1:8" x14ac:dyDescent="0.25">
      <c r="A16" s="464"/>
      <c r="B16" s="464"/>
      <c r="C16" s="464"/>
      <c r="D16" s="464"/>
      <c r="E16" s="464"/>
      <c r="F16" s="464"/>
      <c r="G16" s="464"/>
      <c r="H16" s="464"/>
    </row>
  </sheetData>
  <pageMargins left="0.7" right="0.7" top="0.75" bottom="0.75" header="0.3" footer="0.3"/>
  <pageSetup paperSize="9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8"/>
  <dimension ref="A1:R37"/>
  <sheetViews>
    <sheetView workbookViewId="0"/>
  </sheetViews>
  <sheetFormatPr defaultRowHeight="15" x14ac:dyDescent="0.25"/>
  <sheetData>
    <row r="1" spans="1:11" x14ac:dyDescent="0.25">
      <c r="A1" s="1" t="s">
        <v>2144</v>
      </c>
    </row>
    <row r="3" spans="1:11" x14ac:dyDescent="0.25">
      <c r="B3" s="973" t="s">
        <v>55</v>
      </c>
      <c r="C3" s="973" t="s">
        <v>929</v>
      </c>
      <c r="D3" s="973" t="s">
        <v>930</v>
      </c>
      <c r="E3" s="973" t="s">
        <v>931</v>
      </c>
      <c r="F3" s="973" t="s">
        <v>932</v>
      </c>
      <c r="G3" s="973" t="s">
        <v>933</v>
      </c>
      <c r="H3" s="973" t="s">
        <v>934</v>
      </c>
      <c r="I3" s="973" t="s">
        <v>935</v>
      </c>
      <c r="J3" s="973" t="s">
        <v>936</v>
      </c>
      <c r="K3" s="973" t="s">
        <v>937</v>
      </c>
    </row>
    <row r="4" spans="1:11" x14ac:dyDescent="0.25">
      <c r="A4" s="465">
        <v>1</v>
      </c>
      <c r="B4" s="470">
        <v>3</v>
      </c>
      <c r="C4" s="471">
        <v>2</v>
      </c>
      <c r="D4" s="471">
        <v>4</v>
      </c>
      <c r="E4" s="471">
        <v>1</v>
      </c>
      <c r="F4" s="471">
        <v>4</v>
      </c>
      <c r="G4" s="471">
        <v>5</v>
      </c>
      <c r="H4" s="471">
        <v>1</v>
      </c>
      <c r="I4" s="471">
        <v>4</v>
      </c>
      <c r="J4" s="471">
        <v>3</v>
      </c>
      <c r="K4" s="472">
        <v>2</v>
      </c>
    </row>
    <row r="5" spans="1:11" x14ac:dyDescent="0.25">
      <c r="A5" s="465">
        <f>A4+1</f>
        <v>2</v>
      </c>
      <c r="B5" s="473">
        <v>5</v>
      </c>
      <c r="C5" s="465">
        <v>4</v>
      </c>
      <c r="D5" s="465">
        <v>6</v>
      </c>
      <c r="E5" s="465">
        <v>3</v>
      </c>
      <c r="F5" s="465">
        <v>5</v>
      </c>
      <c r="G5" s="465">
        <v>1</v>
      </c>
      <c r="H5" s="465">
        <v>2</v>
      </c>
      <c r="I5" s="465">
        <v>5</v>
      </c>
      <c r="J5" s="465">
        <v>5</v>
      </c>
      <c r="K5" s="474">
        <v>5</v>
      </c>
    </row>
    <row r="6" spans="1:11" x14ac:dyDescent="0.25">
      <c r="A6" s="465">
        <f t="shared" ref="A6:A18" si="0">A5+1</f>
        <v>3</v>
      </c>
      <c r="B6" s="473">
        <v>7</v>
      </c>
      <c r="C6" s="465">
        <v>3</v>
      </c>
      <c r="D6" s="465">
        <v>5</v>
      </c>
      <c r="E6" s="465">
        <v>5</v>
      </c>
      <c r="F6" s="465">
        <v>6</v>
      </c>
      <c r="G6" s="465">
        <v>4</v>
      </c>
      <c r="H6" s="465">
        <v>3</v>
      </c>
      <c r="I6" s="465">
        <v>3</v>
      </c>
      <c r="J6" s="465">
        <v>6</v>
      </c>
      <c r="K6" s="474">
        <v>5</v>
      </c>
    </row>
    <row r="7" spans="1:11" x14ac:dyDescent="0.25">
      <c r="A7" s="465">
        <f t="shared" si="0"/>
        <v>4</v>
      </c>
      <c r="B7" s="473">
        <v>2</v>
      </c>
      <c r="C7" s="465">
        <v>4</v>
      </c>
      <c r="D7" s="465">
        <v>3</v>
      </c>
      <c r="E7" s="465">
        <v>3</v>
      </c>
      <c r="F7" s="465">
        <v>2</v>
      </c>
      <c r="G7" s="465">
        <v>2</v>
      </c>
      <c r="H7" s="465">
        <v>2</v>
      </c>
      <c r="I7" s="465">
        <v>6</v>
      </c>
      <c r="J7" s="465">
        <v>6</v>
      </c>
      <c r="K7" s="474">
        <v>3</v>
      </c>
    </row>
    <row r="8" spans="1:11" x14ac:dyDescent="0.25">
      <c r="A8" s="465">
        <f t="shared" si="0"/>
        <v>5</v>
      </c>
      <c r="B8" s="473">
        <v>6</v>
      </c>
      <c r="C8" s="465">
        <v>5</v>
      </c>
      <c r="D8" s="465">
        <v>6</v>
      </c>
      <c r="E8" s="465">
        <v>5</v>
      </c>
      <c r="F8" s="465">
        <v>4</v>
      </c>
      <c r="G8" s="465">
        <v>4</v>
      </c>
      <c r="H8" s="465">
        <v>4</v>
      </c>
      <c r="I8" s="465">
        <v>6</v>
      </c>
      <c r="J8" s="465">
        <v>7</v>
      </c>
      <c r="K8" s="474">
        <v>5</v>
      </c>
    </row>
    <row r="9" spans="1:11" x14ac:dyDescent="0.25">
      <c r="A9" s="465">
        <f t="shared" si="0"/>
        <v>6</v>
      </c>
      <c r="B9" s="473">
        <v>1</v>
      </c>
      <c r="C9" s="465">
        <v>2</v>
      </c>
      <c r="D9" s="465">
        <v>3</v>
      </c>
      <c r="E9" s="465">
        <v>4</v>
      </c>
      <c r="F9" s="465">
        <v>2</v>
      </c>
      <c r="G9" s="465">
        <v>5</v>
      </c>
      <c r="H9" s="465">
        <v>2</v>
      </c>
      <c r="I9" s="465">
        <v>3</v>
      </c>
      <c r="J9" s="465">
        <v>5</v>
      </c>
      <c r="K9" s="474">
        <v>2</v>
      </c>
    </row>
    <row r="10" spans="1:11" x14ac:dyDescent="0.25">
      <c r="A10" s="465">
        <f t="shared" si="0"/>
        <v>7</v>
      </c>
      <c r="B10" s="473">
        <v>4</v>
      </c>
      <c r="C10" s="465">
        <v>3</v>
      </c>
      <c r="D10" s="465">
        <v>5</v>
      </c>
      <c r="E10" s="465">
        <v>3</v>
      </c>
      <c r="F10" s="465">
        <v>5</v>
      </c>
      <c r="G10" s="465">
        <v>2</v>
      </c>
      <c r="H10" s="465">
        <v>1</v>
      </c>
      <c r="I10" s="465">
        <v>2</v>
      </c>
      <c r="J10" s="465">
        <v>4</v>
      </c>
      <c r="K10" s="721">
        <v>3</v>
      </c>
    </row>
    <row r="11" spans="1:11" x14ac:dyDescent="0.25">
      <c r="A11" s="465">
        <f t="shared" si="0"/>
        <v>8</v>
      </c>
      <c r="B11" s="473">
        <v>2</v>
      </c>
      <c r="C11" s="465">
        <v>4</v>
      </c>
      <c r="D11" s="465">
        <v>4</v>
      </c>
      <c r="E11" s="465">
        <v>3</v>
      </c>
      <c r="F11" s="465">
        <v>7</v>
      </c>
      <c r="G11" s="465">
        <v>2</v>
      </c>
      <c r="H11" s="465">
        <v>2</v>
      </c>
      <c r="I11" s="465">
        <v>4</v>
      </c>
      <c r="J11" s="465">
        <v>6</v>
      </c>
      <c r="K11" s="721">
        <v>5</v>
      </c>
    </row>
    <row r="12" spans="1:11" x14ac:dyDescent="0.25">
      <c r="A12" s="465">
        <f t="shared" si="0"/>
        <v>9</v>
      </c>
      <c r="B12" s="473">
        <v>6</v>
      </c>
      <c r="C12" s="465">
        <v>5</v>
      </c>
      <c r="D12" s="465">
        <v>5</v>
      </c>
      <c r="E12" s="465">
        <v>5</v>
      </c>
      <c r="F12" s="465">
        <v>1</v>
      </c>
      <c r="G12" s="465">
        <v>6</v>
      </c>
      <c r="H12" s="465">
        <v>5</v>
      </c>
      <c r="I12" s="465">
        <v>2</v>
      </c>
      <c r="J12" s="465">
        <v>3</v>
      </c>
      <c r="K12" s="721">
        <v>2</v>
      </c>
    </row>
    <row r="13" spans="1:11" x14ac:dyDescent="0.25">
      <c r="A13" s="465">
        <f t="shared" si="0"/>
        <v>10</v>
      </c>
      <c r="B13" s="473">
        <v>5</v>
      </c>
      <c r="C13" s="465">
        <v>4</v>
      </c>
      <c r="D13" s="465">
        <v>6</v>
      </c>
      <c r="E13" s="465">
        <v>4</v>
      </c>
      <c r="F13" s="465">
        <v>3</v>
      </c>
      <c r="G13" s="465">
        <v>5</v>
      </c>
      <c r="H13" s="465">
        <v>3</v>
      </c>
      <c r="I13" s="465">
        <v>1</v>
      </c>
      <c r="J13" s="465">
        <v>7</v>
      </c>
      <c r="K13" s="474">
        <v>2</v>
      </c>
    </row>
    <row r="14" spans="1:11" x14ac:dyDescent="0.25">
      <c r="A14" s="465">
        <f t="shared" si="0"/>
        <v>11</v>
      </c>
      <c r="B14" s="473">
        <v>4</v>
      </c>
      <c r="C14" s="465">
        <v>3</v>
      </c>
      <c r="D14" s="465">
        <v>5</v>
      </c>
      <c r="E14" s="465">
        <v>2</v>
      </c>
      <c r="F14" s="465">
        <v>5</v>
      </c>
      <c r="G14" s="465">
        <v>3</v>
      </c>
      <c r="H14" s="465">
        <v>2</v>
      </c>
      <c r="I14" s="465">
        <v>3</v>
      </c>
      <c r="J14" s="465">
        <v>4</v>
      </c>
      <c r="K14" s="474">
        <v>1</v>
      </c>
    </row>
    <row r="15" spans="1:11" x14ac:dyDescent="0.25">
      <c r="A15" s="465">
        <f t="shared" si="0"/>
        <v>12</v>
      </c>
      <c r="B15" s="473">
        <v>4</v>
      </c>
      <c r="C15" s="465">
        <v>2</v>
      </c>
      <c r="D15" s="465">
        <v>3</v>
      </c>
      <c r="E15" s="465">
        <v>2</v>
      </c>
      <c r="F15" s="465">
        <v>5</v>
      </c>
      <c r="G15" s="465">
        <v>3</v>
      </c>
      <c r="H15" s="465">
        <v>4</v>
      </c>
      <c r="I15" s="465">
        <v>2</v>
      </c>
      <c r="J15" s="465">
        <v>3</v>
      </c>
      <c r="K15" s="474">
        <v>4</v>
      </c>
    </row>
    <row r="16" spans="1:11" x14ac:dyDescent="0.25">
      <c r="A16" s="465">
        <f t="shared" si="0"/>
        <v>13</v>
      </c>
      <c r="B16" s="473">
        <v>5</v>
      </c>
      <c r="C16" s="465">
        <v>5</v>
      </c>
      <c r="D16" s="465">
        <v>6</v>
      </c>
      <c r="E16" s="465">
        <v>2</v>
      </c>
      <c r="F16" s="465">
        <v>3</v>
      </c>
      <c r="G16" s="465">
        <v>3</v>
      </c>
      <c r="H16" s="465">
        <v>2</v>
      </c>
      <c r="I16" s="465">
        <v>4</v>
      </c>
      <c r="J16" s="465">
        <v>4</v>
      </c>
      <c r="K16" s="474">
        <v>5</v>
      </c>
    </row>
    <row r="17" spans="1:18" x14ac:dyDescent="0.25">
      <c r="A17" s="465">
        <f t="shared" si="0"/>
        <v>14</v>
      </c>
      <c r="B17" s="473">
        <v>6</v>
      </c>
      <c r="C17" s="465">
        <v>5</v>
      </c>
      <c r="D17" s="465">
        <v>5</v>
      </c>
      <c r="E17" s="465">
        <v>4</v>
      </c>
      <c r="F17" s="465">
        <v>2</v>
      </c>
      <c r="G17" s="465">
        <v>2</v>
      </c>
      <c r="H17" s="465">
        <v>1</v>
      </c>
      <c r="I17" s="465">
        <v>4</v>
      </c>
      <c r="J17" s="465">
        <v>6</v>
      </c>
      <c r="K17" s="474">
        <v>5</v>
      </c>
    </row>
    <row r="18" spans="1:18" x14ac:dyDescent="0.25">
      <c r="A18" s="465">
        <f t="shared" si="0"/>
        <v>15</v>
      </c>
      <c r="B18" s="475">
        <v>4</v>
      </c>
      <c r="C18" s="476">
        <v>3</v>
      </c>
      <c r="D18" s="476">
        <v>5</v>
      </c>
      <c r="E18" s="476">
        <v>5</v>
      </c>
      <c r="F18" s="476">
        <v>3</v>
      </c>
      <c r="G18" s="476">
        <v>1</v>
      </c>
      <c r="H18" s="476">
        <v>3</v>
      </c>
      <c r="I18" s="476">
        <v>2</v>
      </c>
      <c r="J18" s="476">
        <v>3</v>
      </c>
      <c r="K18" s="477">
        <v>4</v>
      </c>
    </row>
    <row r="20" spans="1:18" x14ac:dyDescent="0.25">
      <c r="A20" t="s">
        <v>2143</v>
      </c>
      <c r="K20" t="s">
        <v>2145</v>
      </c>
    </row>
    <row r="22" spans="1:18" x14ac:dyDescent="0.25">
      <c r="B22" s="973" t="s">
        <v>2091</v>
      </c>
      <c r="C22" s="973" t="s">
        <v>2142</v>
      </c>
      <c r="L22" s="973" t="s">
        <v>927</v>
      </c>
      <c r="M22" s="973" t="s">
        <v>926</v>
      </c>
    </row>
    <row r="23" spans="1:18" ht="15" customHeight="1" x14ac:dyDescent="0.25">
      <c r="A23" s="465">
        <v>1</v>
      </c>
      <c r="B23" s="869">
        <f t="shared" ref="B23:B37" si="1">SUM(B4:F4)</f>
        <v>14</v>
      </c>
      <c r="C23" s="870">
        <f t="shared" ref="C23:C37" si="2">SUM(G4:K4)</f>
        <v>15</v>
      </c>
      <c r="E23" s="975" t="s">
        <v>924</v>
      </c>
      <c r="H23" s="418">
        <f>CORREL(B23:B37,C23:C37)</f>
        <v>0.47548080490631189</v>
      </c>
      <c r="K23" s="465">
        <v>1</v>
      </c>
      <c r="L23" s="869">
        <f>B4+D4+F4+H4+J4</f>
        <v>15</v>
      </c>
      <c r="M23" s="870">
        <f>C4+E4+G4+I4+K4</f>
        <v>14</v>
      </c>
      <c r="O23" s="975" t="s">
        <v>924</v>
      </c>
      <c r="R23" s="418">
        <f>CORREL(L23:L37,M23:M37)</f>
        <v>0.53705795401524947</v>
      </c>
    </row>
    <row r="24" spans="1:18" x14ac:dyDescent="0.25">
      <c r="A24" s="465">
        <f>A23+1</f>
        <v>2</v>
      </c>
      <c r="B24" s="532">
        <f t="shared" si="1"/>
        <v>23</v>
      </c>
      <c r="C24" s="533">
        <f t="shared" si="2"/>
        <v>18</v>
      </c>
      <c r="E24" s="17" t="s">
        <v>925</v>
      </c>
      <c r="H24" s="420">
        <f>2*H23/(1+H23)</f>
        <v>0.64450964502585084</v>
      </c>
      <c r="K24" s="465">
        <f>K23+1</f>
        <v>2</v>
      </c>
      <c r="L24" s="532">
        <f t="shared" ref="L24:M37" si="3">B5+D5+F5+H5+J5</f>
        <v>23</v>
      </c>
      <c r="M24" s="533">
        <f t="shared" si="3"/>
        <v>18</v>
      </c>
      <c r="O24" s="17" t="s">
        <v>925</v>
      </c>
      <c r="R24" s="420">
        <f>2*R23/(1+R23)</f>
        <v>0.69881288810522135</v>
      </c>
    </row>
    <row r="25" spans="1:18" x14ac:dyDescent="0.25">
      <c r="A25" s="465">
        <f t="shared" ref="A25:A37" si="4">A24+1</f>
        <v>3</v>
      </c>
      <c r="B25" s="532">
        <f t="shared" si="1"/>
        <v>26</v>
      </c>
      <c r="C25" s="533">
        <f t="shared" si="2"/>
        <v>21</v>
      </c>
      <c r="K25" s="465">
        <f t="shared" ref="K25:K37" si="5">K24+1</f>
        <v>3</v>
      </c>
      <c r="L25" s="532">
        <f t="shared" si="3"/>
        <v>27</v>
      </c>
      <c r="M25" s="533">
        <f t="shared" si="3"/>
        <v>20</v>
      </c>
    </row>
    <row r="26" spans="1:18" x14ac:dyDescent="0.25">
      <c r="A26" s="465">
        <f t="shared" si="4"/>
        <v>4</v>
      </c>
      <c r="B26" s="532">
        <f t="shared" si="1"/>
        <v>14</v>
      </c>
      <c r="C26" s="533">
        <f t="shared" si="2"/>
        <v>19</v>
      </c>
      <c r="E26" t="s">
        <v>2137</v>
      </c>
      <c r="H26" s="580">
        <f>[1]!SPLIT_HALF(B23:B37,C23:C37)</f>
        <v>0.64450964502585084</v>
      </c>
      <c r="K26" s="465">
        <f t="shared" si="5"/>
        <v>4</v>
      </c>
      <c r="L26" s="532">
        <f t="shared" si="3"/>
        <v>15</v>
      </c>
      <c r="M26" s="533">
        <f t="shared" si="3"/>
        <v>18</v>
      </c>
      <c r="O26" t="s">
        <v>2137</v>
      </c>
      <c r="R26" s="580">
        <f>[1]!SPLIT_HALF(L23:L37,M23:M37)</f>
        <v>0.69881288810522135</v>
      </c>
    </row>
    <row r="27" spans="1:18" x14ac:dyDescent="0.25">
      <c r="A27" s="465">
        <f t="shared" si="4"/>
        <v>5</v>
      </c>
      <c r="B27" s="532">
        <f t="shared" si="1"/>
        <v>26</v>
      </c>
      <c r="C27" s="533">
        <f t="shared" si="2"/>
        <v>26</v>
      </c>
      <c r="K27" s="465">
        <f t="shared" si="5"/>
        <v>5</v>
      </c>
      <c r="L27" s="532">
        <f t="shared" si="3"/>
        <v>27</v>
      </c>
      <c r="M27" s="533">
        <f t="shared" si="3"/>
        <v>25</v>
      </c>
    </row>
    <row r="28" spans="1:18" x14ac:dyDescent="0.25">
      <c r="A28" s="465">
        <f t="shared" si="4"/>
        <v>6</v>
      </c>
      <c r="B28" s="532">
        <f t="shared" si="1"/>
        <v>12</v>
      </c>
      <c r="C28" s="533">
        <f t="shared" si="2"/>
        <v>17</v>
      </c>
      <c r="K28" s="465">
        <f t="shared" si="5"/>
        <v>6</v>
      </c>
      <c r="L28" s="532">
        <f t="shared" si="3"/>
        <v>13</v>
      </c>
      <c r="M28" s="533">
        <f t="shared" si="3"/>
        <v>16</v>
      </c>
    </row>
    <row r="29" spans="1:18" x14ac:dyDescent="0.25">
      <c r="A29" s="465">
        <f t="shared" si="4"/>
        <v>7</v>
      </c>
      <c r="B29" s="532">
        <f t="shared" si="1"/>
        <v>20</v>
      </c>
      <c r="C29" s="533">
        <f t="shared" si="2"/>
        <v>12</v>
      </c>
      <c r="K29" s="465">
        <f t="shared" si="5"/>
        <v>7</v>
      </c>
      <c r="L29" s="532">
        <f t="shared" si="3"/>
        <v>19</v>
      </c>
      <c r="M29" s="533">
        <f t="shared" si="3"/>
        <v>13</v>
      </c>
    </row>
    <row r="30" spans="1:18" x14ac:dyDescent="0.25">
      <c r="A30" s="465">
        <f t="shared" si="4"/>
        <v>8</v>
      </c>
      <c r="B30" s="532">
        <f t="shared" si="1"/>
        <v>20</v>
      </c>
      <c r="C30" s="533">
        <f t="shared" si="2"/>
        <v>19</v>
      </c>
      <c r="K30" s="465">
        <f t="shared" si="5"/>
        <v>8</v>
      </c>
      <c r="L30" s="532">
        <f t="shared" si="3"/>
        <v>21</v>
      </c>
      <c r="M30" s="533">
        <f t="shared" si="3"/>
        <v>18</v>
      </c>
    </row>
    <row r="31" spans="1:18" x14ac:dyDescent="0.25">
      <c r="A31" s="465">
        <f t="shared" si="4"/>
        <v>9</v>
      </c>
      <c r="B31" s="532">
        <f t="shared" si="1"/>
        <v>22</v>
      </c>
      <c r="C31" s="533">
        <f t="shared" si="2"/>
        <v>18</v>
      </c>
      <c r="K31" s="465">
        <f t="shared" si="5"/>
        <v>9</v>
      </c>
      <c r="L31" s="532">
        <f t="shared" si="3"/>
        <v>20</v>
      </c>
      <c r="M31" s="533">
        <f t="shared" si="3"/>
        <v>20</v>
      </c>
    </row>
    <row r="32" spans="1:18" x14ac:dyDescent="0.25">
      <c r="A32" s="465">
        <f t="shared" si="4"/>
        <v>10</v>
      </c>
      <c r="B32" s="532">
        <f t="shared" si="1"/>
        <v>22</v>
      </c>
      <c r="C32" s="533">
        <f t="shared" si="2"/>
        <v>18</v>
      </c>
      <c r="K32" s="465">
        <f t="shared" si="5"/>
        <v>10</v>
      </c>
      <c r="L32" s="532">
        <f t="shared" si="3"/>
        <v>24</v>
      </c>
      <c r="M32" s="533">
        <f t="shared" si="3"/>
        <v>16</v>
      </c>
    </row>
    <row r="33" spans="1:13" x14ac:dyDescent="0.25">
      <c r="A33" s="465">
        <f t="shared" si="4"/>
        <v>11</v>
      </c>
      <c r="B33" s="532">
        <f t="shared" si="1"/>
        <v>19</v>
      </c>
      <c r="C33" s="533">
        <f t="shared" si="2"/>
        <v>13</v>
      </c>
      <c r="K33" s="465">
        <f t="shared" si="5"/>
        <v>11</v>
      </c>
      <c r="L33" s="532">
        <f t="shared" si="3"/>
        <v>20</v>
      </c>
      <c r="M33" s="533">
        <f t="shared" si="3"/>
        <v>12</v>
      </c>
    </row>
    <row r="34" spans="1:13" x14ac:dyDescent="0.25">
      <c r="A34" s="465">
        <f t="shared" si="4"/>
        <v>12</v>
      </c>
      <c r="B34" s="532">
        <f t="shared" si="1"/>
        <v>16</v>
      </c>
      <c r="C34" s="533">
        <f t="shared" si="2"/>
        <v>16</v>
      </c>
      <c r="K34" s="465">
        <f t="shared" si="5"/>
        <v>12</v>
      </c>
      <c r="L34" s="532">
        <f t="shared" si="3"/>
        <v>19</v>
      </c>
      <c r="M34" s="533">
        <f t="shared" si="3"/>
        <v>13</v>
      </c>
    </row>
    <row r="35" spans="1:13" x14ac:dyDescent="0.25">
      <c r="A35" s="465">
        <f t="shared" si="4"/>
        <v>13</v>
      </c>
      <c r="B35" s="532">
        <f t="shared" si="1"/>
        <v>21</v>
      </c>
      <c r="C35" s="533">
        <f t="shared" si="2"/>
        <v>18</v>
      </c>
      <c r="K35" s="465">
        <f t="shared" si="5"/>
        <v>13</v>
      </c>
      <c r="L35" s="532">
        <f t="shared" si="3"/>
        <v>20</v>
      </c>
      <c r="M35" s="533">
        <f t="shared" si="3"/>
        <v>19</v>
      </c>
    </row>
    <row r="36" spans="1:13" x14ac:dyDescent="0.25">
      <c r="A36" s="465">
        <f t="shared" si="4"/>
        <v>14</v>
      </c>
      <c r="B36" s="532">
        <f t="shared" si="1"/>
        <v>22</v>
      </c>
      <c r="C36" s="533">
        <f t="shared" si="2"/>
        <v>18</v>
      </c>
      <c r="K36" s="465">
        <f t="shared" si="5"/>
        <v>14</v>
      </c>
      <c r="L36" s="532">
        <f t="shared" si="3"/>
        <v>20</v>
      </c>
      <c r="M36" s="533">
        <f t="shared" si="3"/>
        <v>20</v>
      </c>
    </row>
    <row r="37" spans="1:13" x14ac:dyDescent="0.25">
      <c r="A37" s="465">
        <f t="shared" si="4"/>
        <v>15</v>
      </c>
      <c r="B37" s="409">
        <f t="shared" si="1"/>
        <v>20</v>
      </c>
      <c r="C37" s="417">
        <f t="shared" si="2"/>
        <v>13</v>
      </c>
      <c r="K37" s="465">
        <f t="shared" si="5"/>
        <v>15</v>
      </c>
      <c r="L37" s="409">
        <f t="shared" si="3"/>
        <v>18</v>
      </c>
      <c r="M37" s="417">
        <f t="shared" si="3"/>
        <v>15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S25"/>
  <sheetViews>
    <sheetView workbookViewId="0"/>
  </sheetViews>
  <sheetFormatPr defaultRowHeight="15" x14ac:dyDescent="0.25"/>
  <cols>
    <col min="1" max="13" width="7.7109375" customWidth="1"/>
    <col min="15" max="15" width="22.28515625" customWidth="1"/>
  </cols>
  <sheetData>
    <row r="1" spans="1:19" x14ac:dyDescent="0.25">
      <c r="A1" s="1" t="s">
        <v>928</v>
      </c>
    </row>
    <row r="3" spans="1:19" x14ac:dyDescent="0.25">
      <c r="B3" s="415" t="s">
        <v>55</v>
      </c>
      <c r="C3" s="415" t="s">
        <v>929</v>
      </c>
      <c r="D3" s="415" t="s">
        <v>930</v>
      </c>
      <c r="E3" s="415" t="s">
        <v>931</v>
      </c>
      <c r="F3" s="415" t="s">
        <v>932</v>
      </c>
      <c r="G3" s="415" t="s">
        <v>933</v>
      </c>
      <c r="H3" s="415" t="s">
        <v>934</v>
      </c>
      <c r="I3" s="415" t="s">
        <v>935</v>
      </c>
      <c r="J3" s="415" t="s">
        <v>936</v>
      </c>
      <c r="K3" s="415" t="s">
        <v>937</v>
      </c>
      <c r="L3" s="415" t="s">
        <v>938</v>
      </c>
      <c r="M3" s="415" t="s">
        <v>1</v>
      </c>
      <c r="O3" t="s">
        <v>2137</v>
      </c>
      <c r="P3" s="580">
        <f>[1]!KUDER(B4:L15)</f>
        <v>0.73801916932907341</v>
      </c>
      <c r="R3" t="s">
        <v>1656</v>
      </c>
    </row>
    <row r="4" spans="1:19" x14ac:dyDescent="0.25">
      <c r="A4" s="465">
        <v>1</v>
      </c>
      <c r="B4" s="470">
        <v>1</v>
      </c>
      <c r="C4" s="471">
        <v>1</v>
      </c>
      <c r="D4" s="471">
        <v>1</v>
      </c>
      <c r="E4" s="471">
        <v>1</v>
      </c>
      <c r="F4" s="471">
        <v>1</v>
      </c>
      <c r="G4" s="471">
        <v>1</v>
      </c>
      <c r="H4" s="471">
        <v>1</v>
      </c>
      <c r="I4" s="471">
        <v>1</v>
      </c>
      <c r="J4" s="471">
        <v>1</v>
      </c>
      <c r="K4" s="471">
        <v>1</v>
      </c>
      <c r="L4" s="472">
        <v>1</v>
      </c>
      <c r="M4" s="465">
        <f t="shared" ref="M4:M16" si="0">SUM(B4:L4)</f>
        <v>11</v>
      </c>
    </row>
    <row r="5" spans="1:19" x14ac:dyDescent="0.25">
      <c r="A5" s="465">
        <f>A4+1</f>
        <v>2</v>
      </c>
      <c r="B5" s="473">
        <v>1</v>
      </c>
      <c r="C5" s="465">
        <v>1</v>
      </c>
      <c r="D5" s="465">
        <v>1</v>
      </c>
      <c r="E5" s="465">
        <v>1</v>
      </c>
      <c r="F5" s="465">
        <v>1</v>
      </c>
      <c r="G5" s="465">
        <v>1</v>
      </c>
      <c r="H5" s="465">
        <v>1</v>
      </c>
      <c r="I5" s="465">
        <v>1</v>
      </c>
      <c r="J5" s="465">
        <v>0</v>
      </c>
      <c r="K5" s="465">
        <v>1</v>
      </c>
      <c r="L5" s="474">
        <v>0</v>
      </c>
      <c r="M5" s="465">
        <f t="shared" si="0"/>
        <v>9</v>
      </c>
      <c r="R5" t="s">
        <v>56</v>
      </c>
      <c r="S5" s="756">
        <f>B22</f>
        <v>11</v>
      </c>
    </row>
    <row r="6" spans="1:19" x14ac:dyDescent="0.25">
      <c r="A6" s="465">
        <f t="shared" ref="A6:A15" si="1">A5+1</f>
        <v>3</v>
      </c>
      <c r="B6" s="473">
        <v>1</v>
      </c>
      <c r="C6" s="465">
        <v>0</v>
      </c>
      <c r="D6" s="465">
        <v>1</v>
      </c>
      <c r="E6" s="465">
        <v>1</v>
      </c>
      <c r="F6" s="465">
        <v>1</v>
      </c>
      <c r="G6" s="465">
        <v>1</v>
      </c>
      <c r="H6" s="465">
        <v>1</v>
      </c>
      <c r="I6" s="465">
        <v>1</v>
      </c>
      <c r="J6" s="465">
        <v>1</v>
      </c>
      <c r="K6" s="465">
        <v>0</v>
      </c>
      <c r="L6" s="474">
        <v>0</v>
      </c>
      <c r="M6" s="465">
        <f t="shared" si="0"/>
        <v>8</v>
      </c>
      <c r="R6" t="s">
        <v>7</v>
      </c>
      <c r="S6" s="503">
        <f>AVERAGE(M4:M15)</f>
        <v>5.75</v>
      </c>
    </row>
    <row r="7" spans="1:19" x14ac:dyDescent="0.25">
      <c r="A7" s="465">
        <f t="shared" si="1"/>
        <v>4</v>
      </c>
      <c r="B7" s="473">
        <v>1</v>
      </c>
      <c r="C7" s="465">
        <v>1</v>
      </c>
      <c r="D7" s="465">
        <v>1</v>
      </c>
      <c r="E7" s="465">
        <v>0</v>
      </c>
      <c r="F7" s="465">
        <v>1</v>
      </c>
      <c r="G7" s="465">
        <v>1</v>
      </c>
      <c r="H7" s="465">
        <v>0</v>
      </c>
      <c r="I7" s="465">
        <v>1</v>
      </c>
      <c r="J7" s="465">
        <v>1</v>
      </c>
      <c r="K7" s="465">
        <v>0</v>
      </c>
      <c r="L7" s="474">
        <v>0</v>
      </c>
      <c r="M7" s="465">
        <f t="shared" si="0"/>
        <v>7</v>
      </c>
      <c r="R7" t="s">
        <v>8</v>
      </c>
      <c r="S7" s="503">
        <f>B24</f>
        <v>6.520833333333333</v>
      </c>
    </row>
    <row r="8" spans="1:19" x14ac:dyDescent="0.25">
      <c r="A8" s="465">
        <f t="shared" si="1"/>
        <v>5</v>
      </c>
      <c r="B8" s="473">
        <v>1</v>
      </c>
      <c r="C8" s="465">
        <v>1</v>
      </c>
      <c r="D8" s="465">
        <v>1</v>
      </c>
      <c r="E8" s="465">
        <v>1</v>
      </c>
      <c r="F8" s="465">
        <v>1</v>
      </c>
      <c r="G8" s="465">
        <v>0</v>
      </c>
      <c r="H8" s="465">
        <v>0</v>
      </c>
      <c r="I8" s="465">
        <v>0</v>
      </c>
      <c r="J8" s="465">
        <v>1</v>
      </c>
      <c r="K8" s="465">
        <v>0</v>
      </c>
      <c r="L8" s="474">
        <v>0</v>
      </c>
      <c r="M8" s="465">
        <f t="shared" si="0"/>
        <v>6</v>
      </c>
      <c r="R8" s="469" t="s">
        <v>210</v>
      </c>
      <c r="S8" s="420">
        <f>(S5/(S5-1))*(1-S6*(S5-S6)/(S5*S7))</f>
        <v>0.6370607028753994</v>
      </c>
    </row>
    <row r="9" spans="1:19" x14ac:dyDescent="0.25">
      <c r="A9" s="465">
        <f t="shared" si="1"/>
        <v>6</v>
      </c>
      <c r="B9" s="473">
        <v>0</v>
      </c>
      <c r="C9" s="465">
        <v>1</v>
      </c>
      <c r="D9" s="465">
        <v>1</v>
      </c>
      <c r="E9" s="465">
        <v>0</v>
      </c>
      <c r="F9" s="465">
        <v>1</v>
      </c>
      <c r="G9" s="465">
        <v>1</v>
      </c>
      <c r="H9" s="465">
        <v>1</v>
      </c>
      <c r="I9" s="465">
        <v>1</v>
      </c>
      <c r="J9" s="465">
        <v>0</v>
      </c>
      <c r="K9" s="465">
        <v>0</v>
      </c>
      <c r="L9" s="474">
        <v>0</v>
      </c>
      <c r="M9" s="465">
        <f t="shared" si="0"/>
        <v>6</v>
      </c>
    </row>
    <row r="10" spans="1:19" x14ac:dyDescent="0.25">
      <c r="A10" s="465">
        <f t="shared" si="1"/>
        <v>7</v>
      </c>
      <c r="B10" s="473">
        <v>1</v>
      </c>
      <c r="C10" s="465">
        <v>1</v>
      </c>
      <c r="D10" s="465">
        <v>1</v>
      </c>
      <c r="E10" s="465">
        <v>1</v>
      </c>
      <c r="F10" s="465">
        <v>0</v>
      </c>
      <c r="G10" s="465">
        <v>0</v>
      </c>
      <c r="H10" s="465">
        <v>1</v>
      </c>
      <c r="I10" s="465">
        <v>0</v>
      </c>
      <c r="J10" s="465">
        <v>0</v>
      </c>
      <c r="K10" s="465">
        <v>0</v>
      </c>
      <c r="L10" s="474">
        <v>0</v>
      </c>
      <c r="M10" s="465">
        <f t="shared" si="0"/>
        <v>5</v>
      </c>
    </row>
    <row r="11" spans="1:19" x14ac:dyDescent="0.25">
      <c r="A11" s="465">
        <f t="shared" si="1"/>
        <v>8</v>
      </c>
      <c r="B11" s="473">
        <v>1</v>
      </c>
      <c r="C11" s="465">
        <v>1</v>
      </c>
      <c r="D11" s="465">
        <v>1</v>
      </c>
      <c r="E11" s="465">
        <v>1</v>
      </c>
      <c r="F11" s="465">
        <v>1</v>
      </c>
      <c r="G11" s="465">
        <v>0</v>
      </c>
      <c r="H11" s="465">
        <v>0</v>
      </c>
      <c r="I11" s="465">
        <v>0</v>
      </c>
      <c r="J11" s="465">
        <v>0</v>
      </c>
      <c r="K11" s="465">
        <v>0</v>
      </c>
      <c r="L11" s="474">
        <v>0</v>
      </c>
      <c r="M11" s="465">
        <f t="shared" si="0"/>
        <v>5</v>
      </c>
    </row>
    <row r="12" spans="1:19" x14ac:dyDescent="0.25">
      <c r="A12" s="465">
        <f t="shared" si="1"/>
        <v>9</v>
      </c>
      <c r="B12" s="473">
        <v>0</v>
      </c>
      <c r="C12" s="465">
        <v>1</v>
      </c>
      <c r="D12" s="465">
        <v>0</v>
      </c>
      <c r="E12" s="465">
        <v>1</v>
      </c>
      <c r="F12" s="465">
        <v>1</v>
      </c>
      <c r="G12" s="465">
        <v>0</v>
      </c>
      <c r="H12" s="465">
        <v>0</v>
      </c>
      <c r="I12" s="465">
        <v>0</v>
      </c>
      <c r="J12" s="465">
        <v>0</v>
      </c>
      <c r="K12" s="465">
        <v>1</v>
      </c>
      <c r="L12" s="474">
        <v>0</v>
      </c>
      <c r="M12" s="465">
        <f t="shared" si="0"/>
        <v>4</v>
      </c>
    </row>
    <row r="13" spans="1:19" x14ac:dyDescent="0.25">
      <c r="A13" s="465">
        <f t="shared" si="1"/>
        <v>10</v>
      </c>
      <c r="B13" s="473">
        <v>1</v>
      </c>
      <c r="C13" s="465">
        <v>0</v>
      </c>
      <c r="D13" s="465">
        <v>0</v>
      </c>
      <c r="E13" s="465">
        <v>1</v>
      </c>
      <c r="F13" s="465">
        <v>0</v>
      </c>
      <c r="G13" s="465">
        <v>1</v>
      </c>
      <c r="H13" s="465">
        <v>0</v>
      </c>
      <c r="I13" s="465">
        <v>0</v>
      </c>
      <c r="J13" s="465">
        <v>0</v>
      </c>
      <c r="K13" s="465">
        <v>0</v>
      </c>
      <c r="L13" s="474">
        <v>0</v>
      </c>
      <c r="M13" s="465">
        <f t="shared" si="0"/>
        <v>3</v>
      </c>
    </row>
    <row r="14" spans="1:19" x14ac:dyDescent="0.25">
      <c r="A14" s="465">
        <f t="shared" si="1"/>
        <v>11</v>
      </c>
      <c r="B14" s="473">
        <v>1</v>
      </c>
      <c r="C14" s="465">
        <v>1</v>
      </c>
      <c r="D14" s="465">
        <v>1</v>
      </c>
      <c r="E14" s="465">
        <v>0</v>
      </c>
      <c r="F14" s="465">
        <v>0</v>
      </c>
      <c r="G14" s="465">
        <v>0</v>
      </c>
      <c r="H14" s="465">
        <v>0</v>
      </c>
      <c r="I14" s="465">
        <v>0</v>
      </c>
      <c r="J14" s="465">
        <v>0</v>
      </c>
      <c r="K14" s="465">
        <v>0</v>
      </c>
      <c r="L14" s="474">
        <v>0</v>
      </c>
      <c r="M14" s="465">
        <f t="shared" si="0"/>
        <v>3</v>
      </c>
    </row>
    <row r="15" spans="1:19" x14ac:dyDescent="0.25">
      <c r="A15" s="465">
        <f t="shared" si="1"/>
        <v>12</v>
      </c>
      <c r="B15" s="475">
        <v>1</v>
      </c>
      <c r="C15" s="476">
        <v>0</v>
      </c>
      <c r="D15" s="476">
        <v>0</v>
      </c>
      <c r="E15" s="476">
        <v>1</v>
      </c>
      <c r="F15" s="476">
        <v>0</v>
      </c>
      <c r="G15" s="476">
        <v>0</v>
      </c>
      <c r="H15" s="476">
        <v>0</v>
      </c>
      <c r="I15" s="476">
        <v>0</v>
      </c>
      <c r="J15" s="476">
        <v>0</v>
      </c>
      <c r="K15" s="476">
        <v>0</v>
      </c>
      <c r="L15" s="477">
        <v>0</v>
      </c>
      <c r="M15" s="465">
        <f t="shared" si="0"/>
        <v>2</v>
      </c>
    </row>
    <row r="16" spans="1:19" x14ac:dyDescent="0.25">
      <c r="A16" s="465" t="s">
        <v>1</v>
      </c>
      <c r="B16" s="465">
        <f>SUM(B4:B15)</f>
        <v>10</v>
      </c>
      <c r="C16" s="465">
        <f t="shared" ref="C16:L16" si="2">SUM(C4:C15)</f>
        <v>9</v>
      </c>
      <c r="D16" s="465">
        <f t="shared" si="2"/>
        <v>9</v>
      </c>
      <c r="E16" s="465">
        <f t="shared" si="2"/>
        <v>9</v>
      </c>
      <c r="F16" s="465">
        <f t="shared" si="2"/>
        <v>8</v>
      </c>
      <c r="G16" s="465">
        <f t="shared" si="2"/>
        <v>6</v>
      </c>
      <c r="H16" s="465">
        <f t="shared" si="2"/>
        <v>5</v>
      </c>
      <c r="I16" s="465">
        <f t="shared" si="2"/>
        <v>5</v>
      </c>
      <c r="J16" s="465">
        <f t="shared" si="2"/>
        <v>4</v>
      </c>
      <c r="K16" s="465">
        <f t="shared" si="2"/>
        <v>3</v>
      </c>
      <c r="L16" s="465">
        <f t="shared" si="2"/>
        <v>1</v>
      </c>
      <c r="M16" s="465">
        <f t="shared" si="0"/>
        <v>69</v>
      </c>
    </row>
    <row r="17" spans="1:13" x14ac:dyDescent="0.25">
      <c r="A17" s="465"/>
      <c r="B17" s="465"/>
      <c r="C17" s="465"/>
      <c r="D17" s="465"/>
      <c r="E17" s="465"/>
      <c r="F17" s="465"/>
      <c r="G17" s="465"/>
      <c r="H17" s="465"/>
      <c r="I17" s="465"/>
      <c r="J17" s="465"/>
      <c r="K17" s="465"/>
      <c r="L17" s="465"/>
      <c r="M17" s="465"/>
    </row>
    <row r="18" spans="1:13" x14ac:dyDescent="0.25">
      <c r="A18" s="474" t="s">
        <v>103</v>
      </c>
      <c r="B18" s="470">
        <f>B16/COUNT(B4:B15)</f>
        <v>0.83333333333333337</v>
      </c>
      <c r="C18" s="471">
        <f t="shared" ref="C18:L18" si="3">C16/COUNT(C4:C15)</f>
        <v>0.75</v>
      </c>
      <c r="D18" s="471">
        <f t="shared" si="3"/>
        <v>0.75</v>
      </c>
      <c r="E18" s="471">
        <f t="shared" si="3"/>
        <v>0.75</v>
      </c>
      <c r="F18" s="471">
        <f t="shared" si="3"/>
        <v>0.66666666666666663</v>
      </c>
      <c r="G18" s="471">
        <f t="shared" si="3"/>
        <v>0.5</v>
      </c>
      <c r="H18" s="471">
        <f t="shared" si="3"/>
        <v>0.41666666666666669</v>
      </c>
      <c r="I18" s="471">
        <f t="shared" si="3"/>
        <v>0.41666666666666669</v>
      </c>
      <c r="J18" s="471">
        <f t="shared" si="3"/>
        <v>0.33333333333333331</v>
      </c>
      <c r="K18" s="471">
        <f t="shared" si="3"/>
        <v>0.25</v>
      </c>
      <c r="L18" s="472">
        <f t="shared" si="3"/>
        <v>8.3333333333333329E-2</v>
      </c>
    </row>
    <row r="19" spans="1:13" x14ac:dyDescent="0.25">
      <c r="A19" s="465" t="s">
        <v>557</v>
      </c>
      <c r="B19" s="473">
        <f>1-B18</f>
        <v>0.16666666666666663</v>
      </c>
      <c r="C19" s="465">
        <f t="shared" ref="C19:L19" si="4">1-C18</f>
        <v>0.25</v>
      </c>
      <c r="D19" s="465">
        <f t="shared" si="4"/>
        <v>0.25</v>
      </c>
      <c r="E19" s="465">
        <f t="shared" si="4"/>
        <v>0.25</v>
      </c>
      <c r="F19" s="465">
        <f t="shared" si="4"/>
        <v>0.33333333333333337</v>
      </c>
      <c r="G19" s="465">
        <f t="shared" si="4"/>
        <v>0.5</v>
      </c>
      <c r="H19" s="465">
        <f t="shared" si="4"/>
        <v>0.58333333333333326</v>
      </c>
      <c r="I19" s="465">
        <f t="shared" si="4"/>
        <v>0.58333333333333326</v>
      </c>
      <c r="J19" s="465">
        <f t="shared" si="4"/>
        <v>0.66666666666666674</v>
      </c>
      <c r="K19" s="465">
        <f t="shared" si="4"/>
        <v>0.75</v>
      </c>
      <c r="L19" s="474">
        <f t="shared" si="4"/>
        <v>0.91666666666666663</v>
      </c>
    </row>
    <row r="20" spans="1:13" x14ac:dyDescent="0.25">
      <c r="A20" s="465" t="s">
        <v>939</v>
      </c>
      <c r="B20" s="475">
        <f>B18*B19</f>
        <v>0.13888888888888887</v>
      </c>
      <c r="C20" s="476">
        <f t="shared" ref="C20:L20" si="5">C18*C19</f>
        <v>0.1875</v>
      </c>
      <c r="D20" s="476">
        <f t="shared" si="5"/>
        <v>0.1875</v>
      </c>
      <c r="E20" s="476">
        <f t="shared" si="5"/>
        <v>0.1875</v>
      </c>
      <c r="F20" s="476">
        <f t="shared" si="5"/>
        <v>0.22222222222222224</v>
      </c>
      <c r="G20" s="476">
        <f t="shared" si="5"/>
        <v>0.25</v>
      </c>
      <c r="H20" s="476">
        <f t="shared" si="5"/>
        <v>0.24305555555555552</v>
      </c>
      <c r="I20" s="476">
        <f t="shared" si="5"/>
        <v>0.24305555555555552</v>
      </c>
      <c r="J20" s="476">
        <f t="shared" si="5"/>
        <v>0.22222222222222224</v>
      </c>
      <c r="K20" s="476">
        <f t="shared" si="5"/>
        <v>0.1875</v>
      </c>
      <c r="L20" s="477">
        <f t="shared" si="5"/>
        <v>7.6388888888888881E-2</v>
      </c>
      <c r="M20" s="478">
        <f>SUM(B20:L20)</f>
        <v>2.1458333333333335</v>
      </c>
    </row>
    <row r="22" spans="1:13" x14ac:dyDescent="0.25">
      <c r="A22" s="468" t="s">
        <v>56</v>
      </c>
      <c r="B22" s="418">
        <f>COUNTA(B3:L3)</f>
        <v>11</v>
      </c>
    </row>
    <row r="23" spans="1:13" x14ac:dyDescent="0.25">
      <c r="A23" s="82" t="s">
        <v>940</v>
      </c>
      <c r="B23" s="272">
        <f>M20</f>
        <v>2.1458333333333335</v>
      </c>
    </row>
    <row r="24" spans="1:13" x14ac:dyDescent="0.25">
      <c r="A24" s="468" t="s">
        <v>8</v>
      </c>
      <c r="B24" s="272">
        <f xml:space="preserve"> VARP(M4:M15)</f>
        <v>6.520833333333333</v>
      </c>
    </row>
    <row r="25" spans="1:13" x14ac:dyDescent="0.25">
      <c r="A25" s="468" t="s">
        <v>210</v>
      </c>
      <c r="B25" s="420">
        <f>(B22/(B22-1))*(1-B23/B24)</f>
        <v>0.73801916932907352</v>
      </c>
    </row>
  </sheetData>
  <pageMargins left="0.7" right="0.7" top="0.75" bottom="0.75" header="0.3" footer="0.3"/>
  <ignoredErrors>
    <ignoredError sqref="M4" formulaRange="1"/>
  </ignoredError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AI95"/>
  <sheetViews>
    <sheetView workbookViewId="0"/>
  </sheetViews>
  <sheetFormatPr defaultRowHeight="15" x14ac:dyDescent="0.25"/>
  <cols>
    <col min="1" max="13" width="7.7109375" customWidth="1"/>
    <col min="15" max="15" width="17.7109375" customWidth="1"/>
  </cols>
  <sheetData>
    <row r="1" spans="1:19" x14ac:dyDescent="0.25">
      <c r="A1" s="1" t="s">
        <v>943</v>
      </c>
    </row>
    <row r="3" spans="1:19" x14ac:dyDescent="0.25">
      <c r="B3" s="425" t="s">
        <v>55</v>
      </c>
      <c r="C3" s="425" t="s">
        <v>929</v>
      </c>
      <c r="D3" s="425" t="s">
        <v>930</v>
      </c>
      <c r="E3" s="425" t="s">
        <v>931</v>
      </c>
      <c r="F3" s="425" t="s">
        <v>932</v>
      </c>
      <c r="G3" s="425" t="s">
        <v>933</v>
      </c>
      <c r="H3" s="425" t="s">
        <v>934</v>
      </c>
      <c r="I3" s="425" t="s">
        <v>935</v>
      </c>
      <c r="J3" s="425" t="s">
        <v>936</v>
      </c>
      <c r="K3" s="425" t="s">
        <v>937</v>
      </c>
      <c r="L3" s="425" t="s">
        <v>938</v>
      </c>
      <c r="M3" s="425" t="s">
        <v>1</v>
      </c>
      <c r="O3" t="s">
        <v>587</v>
      </c>
    </row>
    <row r="4" spans="1:19" ht="15.75" thickBot="1" x14ac:dyDescent="0.3">
      <c r="A4" s="465">
        <v>1</v>
      </c>
      <c r="B4" s="470">
        <v>1</v>
      </c>
      <c r="C4" s="471">
        <v>1</v>
      </c>
      <c r="D4" s="471">
        <v>1</v>
      </c>
      <c r="E4" s="471">
        <v>1</v>
      </c>
      <c r="F4" s="471">
        <v>1</v>
      </c>
      <c r="G4" s="471">
        <v>1</v>
      </c>
      <c r="H4" s="471">
        <v>1</v>
      </c>
      <c r="I4" s="471">
        <v>1</v>
      </c>
      <c r="J4" s="471">
        <v>1</v>
      </c>
      <c r="K4" s="471">
        <v>1</v>
      </c>
      <c r="L4" s="472">
        <v>1</v>
      </c>
      <c r="M4" s="465">
        <f t="shared" ref="M4:M16" si="0">SUM(B4:L4)</f>
        <v>11</v>
      </c>
    </row>
    <row r="5" spans="1:19" x14ac:dyDescent="0.25">
      <c r="A5" s="465">
        <f>A4+1</f>
        <v>2</v>
      </c>
      <c r="B5" s="473">
        <v>1</v>
      </c>
      <c r="C5" s="465">
        <v>1</v>
      </c>
      <c r="D5" s="465">
        <v>1</v>
      </c>
      <c r="E5" s="465">
        <v>1</v>
      </c>
      <c r="F5" s="465">
        <v>1</v>
      </c>
      <c r="G5" s="465">
        <v>1</v>
      </c>
      <c r="H5" s="465">
        <v>1</v>
      </c>
      <c r="I5" s="465">
        <v>1</v>
      </c>
      <c r="J5" s="465">
        <v>0</v>
      </c>
      <c r="K5" s="465">
        <v>1</v>
      </c>
      <c r="L5" s="474">
        <v>0</v>
      </c>
      <c r="M5" s="465">
        <f t="shared" si="0"/>
        <v>9</v>
      </c>
      <c r="O5" s="426" t="s">
        <v>62</v>
      </c>
      <c r="P5" s="426" t="s">
        <v>22</v>
      </c>
      <c r="Q5" s="426" t="s">
        <v>21</v>
      </c>
      <c r="R5" s="426" t="s">
        <v>465</v>
      </c>
      <c r="S5" s="426" t="s">
        <v>80</v>
      </c>
    </row>
    <row r="6" spans="1:19" x14ac:dyDescent="0.25">
      <c r="A6" s="465">
        <f t="shared" ref="A6:A15" si="1">A5+1</f>
        <v>3</v>
      </c>
      <c r="B6" s="473">
        <v>1</v>
      </c>
      <c r="C6" s="465">
        <v>0</v>
      </c>
      <c r="D6" s="465">
        <v>1</v>
      </c>
      <c r="E6" s="465">
        <v>1</v>
      </c>
      <c r="F6" s="465">
        <v>1</v>
      </c>
      <c r="G6" s="465">
        <v>1</v>
      </c>
      <c r="H6" s="465">
        <v>1</v>
      </c>
      <c r="I6" s="465">
        <v>1</v>
      </c>
      <c r="J6" s="465">
        <v>1</v>
      </c>
      <c r="K6" s="465">
        <v>0</v>
      </c>
      <c r="L6" s="474">
        <v>0</v>
      </c>
      <c r="M6" s="465">
        <f t="shared" si="0"/>
        <v>8</v>
      </c>
      <c r="O6" s="19">
        <v>1</v>
      </c>
      <c r="P6" s="19">
        <v>11</v>
      </c>
      <c r="Q6" s="19">
        <v>11</v>
      </c>
      <c r="R6" s="19">
        <v>1</v>
      </c>
      <c r="S6" s="19">
        <v>0</v>
      </c>
    </row>
    <row r="7" spans="1:19" x14ac:dyDescent="0.25">
      <c r="A7" s="465">
        <f t="shared" si="1"/>
        <v>4</v>
      </c>
      <c r="B7" s="473">
        <v>1</v>
      </c>
      <c r="C7" s="465">
        <v>1</v>
      </c>
      <c r="D7" s="465">
        <v>1</v>
      </c>
      <c r="E7" s="465">
        <v>0</v>
      </c>
      <c r="F7" s="465">
        <v>1</v>
      </c>
      <c r="G7" s="465">
        <v>1</v>
      </c>
      <c r="H7" s="465">
        <v>0</v>
      </c>
      <c r="I7" s="465">
        <v>1</v>
      </c>
      <c r="J7" s="465">
        <v>1</v>
      </c>
      <c r="K7" s="465">
        <v>0</v>
      </c>
      <c r="L7" s="474">
        <v>0</v>
      </c>
      <c r="M7" s="465">
        <f t="shared" si="0"/>
        <v>7</v>
      </c>
      <c r="O7" s="19">
        <v>2</v>
      </c>
      <c r="P7" s="19">
        <v>11</v>
      </c>
      <c r="Q7" s="19">
        <v>9</v>
      </c>
      <c r="R7" s="19">
        <v>0.81818181818181823</v>
      </c>
      <c r="S7" s="19">
        <v>0.16363636363636366</v>
      </c>
    </row>
    <row r="8" spans="1:19" x14ac:dyDescent="0.25">
      <c r="A8" s="465">
        <f t="shared" si="1"/>
        <v>5</v>
      </c>
      <c r="B8" s="473">
        <v>1</v>
      </c>
      <c r="C8" s="465">
        <v>1</v>
      </c>
      <c r="D8" s="465">
        <v>1</v>
      </c>
      <c r="E8" s="465">
        <v>1</v>
      </c>
      <c r="F8" s="465">
        <v>1</v>
      </c>
      <c r="G8" s="465">
        <v>0</v>
      </c>
      <c r="H8" s="465">
        <v>0</v>
      </c>
      <c r="I8" s="465">
        <v>0</v>
      </c>
      <c r="J8" s="465">
        <v>1</v>
      </c>
      <c r="K8" s="465">
        <v>0</v>
      </c>
      <c r="L8" s="474">
        <v>0</v>
      </c>
      <c r="M8" s="465">
        <f t="shared" si="0"/>
        <v>6</v>
      </c>
      <c r="O8" s="19">
        <v>3</v>
      </c>
      <c r="P8" s="19">
        <v>11</v>
      </c>
      <c r="Q8" s="19">
        <v>8</v>
      </c>
      <c r="R8" s="19">
        <v>0.72727272727272729</v>
      </c>
      <c r="S8" s="19">
        <v>0.21818181818181817</v>
      </c>
    </row>
    <row r="9" spans="1:19" x14ac:dyDescent="0.25">
      <c r="A9" s="465">
        <f t="shared" si="1"/>
        <v>6</v>
      </c>
      <c r="B9" s="473">
        <v>0</v>
      </c>
      <c r="C9" s="465">
        <v>1</v>
      </c>
      <c r="D9" s="465">
        <v>1</v>
      </c>
      <c r="E9" s="465">
        <v>0</v>
      </c>
      <c r="F9" s="465">
        <v>1</v>
      </c>
      <c r="G9" s="465">
        <v>1</v>
      </c>
      <c r="H9" s="465">
        <v>1</v>
      </c>
      <c r="I9" s="465">
        <v>1</v>
      </c>
      <c r="J9" s="465">
        <v>0</v>
      </c>
      <c r="K9" s="465">
        <v>0</v>
      </c>
      <c r="L9" s="474">
        <v>0</v>
      </c>
      <c r="M9" s="465">
        <f t="shared" si="0"/>
        <v>6</v>
      </c>
      <c r="O9" s="19">
        <v>4</v>
      </c>
      <c r="P9" s="19">
        <v>11</v>
      </c>
      <c r="Q9" s="19">
        <v>7</v>
      </c>
      <c r="R9" s="19">
        <v>0.63636363636363635</v>
      </c>
      <c r="S9" s="19">
        <v>0.25454545454545457</v>
      </c>
    </row>
    <row r="10" spans="1:19" x14ac:dyDescent="0.25">
      <c r="A10" s="465">
        <f t="shared" si="1"/>
        <v>7</v>
      </c>
      <c r="B10" s="473">
        <v>1</v>
      </c>
      <c r="C10" s="465">
        <v>1</v>
      </c>
      <c r="D10" s="465">
        <v>1</v>
      </c>
      <c r="E10" s="465">
        <v>1</v>
      </c>
      <c r="F10" s="465">
        <v>0</v>
      </c>
      <c r="G10" s="465">
        <v>0</v>
      </c>
      <c r="H10" s="465">
        <v>1</v>
      </c>
      <c r="I10" s="465">
        <v>0</v>
      </c>
      <c r="J10" s="465">
        <v>0</v>
      </c>
      <c r="K10" s="465">
        <v>0</v>
      </c>
      <c r="L10" s="474">
        <v>0</v>
      </c>
      <c r="M10" s="465">
        <f t="shared" si="0"/>
        <v>5</v>
      </c>
      <c r="O10" s="19">
        <v>5</v>
      </c>
      <c r="P10" s="19">
        <v>11</v>
      </c>
      <c r="Q10" s="19">
        <v>6</v>
      </c>
      <c r="R10" s="19">
        <v>0.54545454545454541</v>
      </c>
      <c r="S10" s="19">
        <v>0.27272727272727271</v>
      </c>
    </row>
    <row r="11" spans="1:19" x14ac:dyDescent="0.25">
      <c r="A11" s="465">
        <f t="shared" si="1"/>
        <v>8</v>
      </c>
      <c r="B11" s="473">
        <v>1</v>
      </c>
      <c r="C11" s="465">
        <v>1</v>
      </c>
      <c r="D11" s="465">
        <v>1</v>
      </c>
      <c r="E11" s="465">
        <v>1</v>
      </c>
      <c r="F11" s="465">
        <v>1</v>
      </c>
      <c r="G11" s="465">
        <v>0</v>
      </c>
      <c r="H11" s="465">
        <v>0</v>
      </c>
      <c r="I11" s="465">
        <v>0</v>
      </c>
      <c r="J11" s="465">
        <v>0</v>
      </c>
      <c r="K11" s="465">
        <v>0</v>
      </c>
      <c r="L11" s="474">
        <v>0</v>
      </c>
      <c r="M11" s="465">
        <f t="shared" si="0"/>
        <v>5</v>
      </c>
      <c r="O11" s="19">
        <v>6</v>
      </c>
      <c r="P11" s="19">
        <v>11</v>
      </c>
      <c r="Q11" s="19">
        <v>6</v>
      </c>
      <c r="R11" s="19">
        <v>0.54545454545454541</v>
      </c>
      <c r="S11" s="19">
        <v>0.27272727272727271</v>
      </c>
    </row>
    <row r="12" spans="1:19" x14ac:dyDescent="0.25">
      <c r="A12" s="465">
        <f t="shared" si="1"/>
        <v>9</v>
      </c>
      <c r="B12" s="473">
        <v>0</v>
      </c>
      <c r="C12" s="465">
        <v>1</v>
      </c>
      <c r="D12" s="465">
        <v>0</v>
      </c>
      <c r="E12" s="465">
        <v>1</v>
      </c>
      <c r="F12" s="465">
        <v>1</v>
      </c>
      <c r="G12" s="465">
        <v>0</v>
      </c>
      <c r="H12" s="465">
        <v>0</v>
      </c>
      <c r="I12" s="465">
        <v>0</v>
      </c>
      <c r="J12" s="465">
        <v>0</v>
      </c>
      <c r="K12" s="465">
        <v>1</v>
      </c>
      <c r="L12" s="474">
        <v>0</v>
      </c>
      <c r="M12" s="465">
        <f t="shared" si="0"/>
        <v>4</v>
      </c>
      <c r="O12" s="19">
        <v>7</v>
      </c>
      <c r="P12" s="19">
        <v>11</v>
      </c>
      <c r="Q12" s="19">
        <v>5</v>
      </c>
      <c r="R12" s="19">
        <v>0.45454545454545453</v>
      </c>
      <c r="S12" s="19">
        <v>0.27272727272727271</v>
      </c>
    </row>
    <row r="13" spans="1:19" x14ac:dyDescent="0.25">
      <c r="A13" s="465">
        <f t="shared" si="1"/>
        <v>10</v>
      </c>
      <c r="B13" s="473">
        <v>1</v>
      </c>
      <c r="C13" s="465">
        <v>0</v>
      </c>
      <c r="D13" s="465">
        <v>0</v>
      </c>
      <c r="E13" s="465">
        <v>1</v>
      </c>
      <c r="F13" s="465">
        <v>0</v>
      </c>
      <c r="G13" s="465">
        <v>1</v>
      </c>
      <c r="H13" s="465">
        <v>0</v>
      </c>
      <c r="I13" s="465">
        <v>0</v>
      </c>
      <c r="J13" s="465">
        <v>0</v>
      </c>
      <c r="K13" s="465">
        <v>0</v>
      </c>
      <c r="L13" s="474">
        <v>0</v>
      </c>
      <c r="M13" s="465">
        <f t="shared" si="0"/>
        <v>3</v>
      </c>
      <c r="O13" s="19">
        <v>8</v>
      </c>
      <c r="P13" s="19">
        <v>11</v>
      </c>
      <c r="Q13" s="19">
        <v>5</v>
      </c>
      <c r="R13" s="19">
        <v>0.45454545454545453</v>
      </c>
      <c r="S13" s="19">
        <v>0.27272727272727271</v>
      </c>
    </row>
    <row r="14" spans="1:19" x14ac:dyDescent="0.25">
      <c r="A14" s="465">
        <f t="shared" si="1"/>
        <v>11</v>
      </c>
      <c r="B14" s="473">
        <v>1</v>
      </c>
      <c r="C14" s="465">
        <v>1</v>
      </c>
      <c r="D14" s="465">
        <v>1</v>
      </c>
      <c r="E14" s="465">
        <v>0</v>
      </c>
      <c r="F14" s="465">
        <v>0</v>
      </c>
      <c r="G14" s="465">
        <v>0</v>
      </c>
      <c r="H14" s="465">
        <v>0</v>
      </c>
      <c r="I14" s="465">
        <v>0</v>
      </c>
      <c r="J14" s="465">
        <v>0</v>
      </c>
      <c r="K14" s="465">
        <v>0</v>
      </c>
      <c r="L14" s="474">
        <v>0</v>
      </c>
      <c r="M14" s="465">
        <f t="shared" si="0"/>
        <v>3</v>
      </c>
      <c r="O14" s="19">
        <v>9</v>
      </c>
      <c r="P14" s="19">
        <v>11</v>
      </c>
      <c r="Q14" s="19">
        <v>4</v>
      </c>
      <c r="R14" s="19">
        <v>0.36363636363636365</v>
      </c>
      <c r="S14" s="19">
        <v>0.25454545454545452</v>
      </c>
    </row>
    <row r="15" spans="1:19" x14ac:dyDescent="0.25">
      <c r="A15" s="465">
        <f t="shared" si="1"/>
        <v>12</v>
      </c>
      <c r="B15" s="475">
        <v>1</v>
      </c>
      <c r="C15" s="476">
        <v>0</v>
      </c>
      <c r="D15" s="476">
        <v>0</v>
      </c>
      <c r="E15" s="476">
        <v>1</v>
      </c>
      <c r="F15" s="476">
        <v>0</v>
      </c>
      <c r="G15" s="476">
        <v>0</v>
      </c>
      <c r="H15" s="476">
        <v>0</v>
      </c>
      <c r="I15" s="476">
        <v>0</v>
      </c>
      <c r="J15" s="476">
        <v>0</v>
      </c>
      <c r="K15" s="476">
        <v>0</v>
      </c>
      <c r="L15" s="477">
        <v>0</v>
      </c>
      <c r="M15" s="465">
        <f t="shared" si="0"/>
        <v>2</v>
      </c>
      <c r="O15" s="19">
        <v>10</v>
      </c>
      <c r="P15" s="19">
        <v>11</v>
      </c>
      <c r="Q15" s="19">
        <v>3</v>
      </c>
      <c r="R15" s="19">
        <v>0.27272727272727271</v>
      </c>
      <c r="S15" s="19">
        <v>0.21818181818181817</v>
      </c>
    </row>
    <row r="16" spans="1:19" x14ac:dyDescent="0.25">
      <c r="A16" s="465" t="s">
        <v>1</v>
      </c>
      <c r="B16" s="465">
        <f>SUM(B4:B15)</f>
        <v>10</v>
      </c>
      <c r="C16" s="465">
        <f t="shared" ref="C16:L16" si="2">SUM(C4:C15)</f>
        <v>9</v>
      </c>
      <c r="D16" s="465">
        <f t="shared" si="2"/>
        <v>9</v>
      </c>
      <c r="E16" s="465">
        <f t="shared" si="2"/>
        <v>9</v>
      </c>
      <c r="F16" s="465">
        <f t="shared" si="2"/>
        <v>8</v>
      </c>
      <c r="G16" s="465">
        <f t="shared" si="2"/>
        <v>6</v>
      </c>
      <c r="H16" s="465">
        <f t="shared" si="2"/>
        <v>5</v>
      </c>
      <c r="I16" s="465">
        <f t="shared" si="2"/>
        <v>5</v>
      </c>
      <c r="J16" s="465">
        <f t="shared" si="2"/>
        <v>4</v>
      </c>
      <c r="K16" s="465">
        <f t="shared" si="2"/>
        <v>3</v>
      </c>
      <c r="L16" s="465">
        <f t="shared" si="2"/>
        <v>1</v>
      </c>
      <c r="M16" s="465">
        <f t="shared" si="0"/>
        <v>69</v>
      </c>
      <c r="O16" s="19">
        <v>11</v>
      </c>
      <c r="P16" s="19">
        <v>11</v>
      </c>
      <c r="Q16" s="19">
        <v>3</v>
      </c>
      <c r="R16" s="19">
        <v>0.27272727272727271</v>
      </c>
      <c r="S16" s="19">
        <v>0.21818181818181817</v>
      </c>
    </row>
    <row r="17" spans="1:19" x14ac:dyDescent="0.25">
      <c r="A17" s="465" t="s">
        <v>941</v>
      </c>
      <c r="B17" s="465">
        <f>VARP(B4:B15)</f>
        <v>0.1388888888888889</v>
      </c>
      <c r="C17" s="465">
        <f t="shared" ref="C17:L17" si="3">VARP(C4:C15)</f>
        <v>0.1875</v>
      </c>
      <c r="D17" s="465">
        <f t="shared" si="3"/>
        <v>0.1875</v>
      </c>
      <c r="E17" s="465">
        <f t="shared" si="3"/>
        <v>0.1875</v>
      </c>
      <c r="F17" s="465">
        <f t="shared" si="3"/>
        <v>0.22222222222222221</v>
      </c>
      <c r="G17" s="465">
        <f t="shared" si="3"/>
        <v>0.25</v>
      </c>
      <c r="H17" s="465">
        <f t="shared" si="3"/>
        <v>0.24305555555555555</v>
      </c>
      <c r="I17" s="465">
        <f t="shared" si="3"/>
        <v>0.24305555555555555</v>
      </c>
      <c r="J17" s="465">
        <f t="shared" si="3"/>
        <v>0.22222222222222221</v>
      </c>
      <c r="K17" s="465">
        <f t="shared" si="3"/>
        <v>0.1875</v>
      </c>
      <c r="L17" s="465">
        <f t="shared" si="3"/>
        <v>7.6388888888888895E-2</v>
      </c>
      <c r="M17" s="465">
        <f>SUM(B17:L17)</f>
        <v>2.1458333333333335</v>
      </c>
      <c r="O17" s="19">
        <v>12</v>
      </c>
      <c r="P17" s="19">
        <v>11</v>
      </c>
      <c r="Q17" s="19">
        <v>2</v>
      </c>
      <c r="R17" s="19">
        <v>0.18181818181818182</v>
      </c>
      <c r="S17" s="19">
        <v>0.16363636363636364</v>
      </c>
    </row>
    <row r="18" spans="1:19" x14ac:dyDescent="0.25">
      <c r="O18" s="19"/>
      <c r="P18" s="19"/>
      <c r="Q18" s="19"/>
      <c r="R18" s="19"/>
      <c r="S18" s="19"/>
    </row>
    <row r="19" spans="1:19" x14ac:dyDescent="0.25">
      <c r="A19" s="468" t="s">
        <v>56</v>
      </c>
      <c r="B19" s="418">
        <f>COUNTA(B3:L3)</f>
        <v>11</v>
      </c>
      <c r="O19" s="19" t="s">
        <v>55</v>
      </c>
      <c r="P19" s="19">
        <v>12</v>
      </c>
      <c r="Q19" s="19">
        <v>10</v>
      </c>
      <c r="R19" s="19">
        <v>0.83333333333333337</v>
      </c>
      <c r="S19" s="19">
        <v>0.15151515151515146</v>
      </c>
    </row>
    <row r="20" spans="1:19" x14ac:dyDescent="0.25">
      <c r="A20" s="82" t="s">
        <v>942</v>
      </c>
      <c r="B20" s="272">
        <f>M17</f>
        <v>2.1458333333333335</v>
      </c>
      <c r="O20" s="19" t="s">
        <v>929</v>
      </c>
      <c r="P20" s="19">
        <v>12</v>
      </c>
      <c r="Q20" s="19">
        <v>9</v>
      </c>
      <c r="R20" s="19">
        <v>0.75</v>
      </c>
      <c r="S20" s="19">
        <v>0.20454545454545456</v>
      </c>
    </row>
    <row r="21" spans="1:19" x14ac:dyDescent="0.25">
      <c r="A21" s="468" t="s">
        <v>8</v>
      </c>
      <c r="B21" s="272">
        <f xml:space="preserve"> VARP(M4:M15)</f>
        <v>6.520833333333333</v>
      </c>
      <c r="O21" s="19" t="s">
        <v>930</v>
      </c>
      <c r="P21" s="19">
        <v>12</v>
      </c>
      <c r="Q21" s="19">
        <v>9</v>
      </c>
      <c r="R21" s="19">
        <v>0.75</v>
      </c>
      <c r="S21" s="19">
        <v>0.20454545454545456</v>
      </c>
    </row>
    <row r="22" spans="1:19" x14ac:dyDescent="0.25">
      <c r="A22" s="480" t="s">
        <v>48</v>
      </c>
      <c r="B22" s="420">
        <f>(B19/(B19-1))*(1-B20/B21)</f>
        <v>0.73801916932907352</v>
      </c>
      <c r="O22" s="19" t="s">
        <v>931</v>
      </c>
      <c r="P22" s="19">
        <v>12</v>
      </c>
      <c r="Q22" s="19">
        <v>9</v>
      </c>
      <c r="R22" s="19">
        <v>0.75</v>
      </c>
      <c r="S22" s="19">
        <v>0.20454545454545456</v>
      </c>
    </row>
    <row r="23" spans="1:19" x14ac:dyDescent="0.25">
      <c r="A23" s="480"/>
      <c r="B23" s="7"/>
      <c r="O23" s="19" t="s">
        <v>932</v>
      </c>
      <c r="P23" s="19">
        <v>12</v>
      </c>
      <c r="Q23" s="19">
        <v>8</v>
      </c>
      <c r="R23" s="19">
        <v>0.66666666666666663</v>
      </c>
      <c r="S23" s="19">
        <v>0.24242424242424246</v>
      </c>
    </row>
    <row r="24" spans="1:19" x14ac:dyDescent="0.25">
      <c r="A24" s="974" t="s">
        <v>944</v>
      </c>
      <c r="B24" s="7"/>
      <c r="O24" s="19" t="s">
        <v>933</v>
      </c>
      <c r="P24" s="19">
        <v>12</v>
      </c>
      <c r="Q24" s="19">
        <v>6</v>
      </c>
      <c r="R24" s="19">
        <v>0.5</v>
      </c>
      <c r="S24" s="19">
        <v>0.27272727272727271</v>
      </c>
    </row>
    <row r="25" spans="1:19" x14ac:dyDescent="0.25">
      <c r="O25" s="19" t="s">
        <v>934</v>
      </c>
      <c r="P25" s="19">
        <v>12</v>
      </c>
      <c r="Q25" s="19">
        <v>5</v>
      </c>
      <c r="R25" s="19">
        <v>0.41666666666666669</v>
      </c>
      <c r="S25" s="19">
        <v>0.26515151515151514</v>
      </c>
    </row>
    <row r="26" spans="1:19" x14ac:dyDescent="0.25">
      <c r="B26" s="425" t="s">
        <v>55</v>
      </c>
      <c r="C26" s="425" t="s">
        <v>929</v>
      </c>
      <c r="D26" s="425" t="s">
        <v>930</v>
      </c>
      <c r="E26" s="425" t="s">
        <v>931</v>
      </c>
      <c r="F26" s="425" t="s">
        <v>932</v>
      </c>
      <c r="G26" s="425" t="s">
        <v>933</v>
      </c>
      <c r="H26" s="425" t="s">
        <v>934</v>
      </c>
      <c r="I26" s="425" t="s">
        <v>935</v>
      </c>
      <c r="J26" s="425" t="s">
        <v>936</v>
      </c>
      <c r="K26" s="425" t="s">
        <v>937</v>
      </c>
      <c r="L26" s="425" t="s">
        <v>938</v>
      </c>
      <c r="O26" s="19" t="s">
        <v>935</v>
      </c>
      <c r="P26" s="19">
        <v>12</v>
      </c>
      <c r="Q26" s="19">
        <v>5</v>
      </c>
      <c r="R26" s="19">
        <v>0.41666666666666669</v>
      </c>
      <c r="S26" s="19">
        <v>0.26515151515151514</v>
      </c>
    </row>
    <row r="27" spans="1:19" x14ac:dyDescent="0.25">
      <c r="A27" s="465">
        <v>1</v>
      </c>
      <c r="B27" s="470">
        <f>$M4-B4</f>
        <v>10</v>
      </c>
      <c r="C27" s="471">
        <f t="shared" ref="C27:L27" si="4">$M4-C4</f>
        <v>10</v>
      </c>
      <c r="D27" s="471">
        <f t="shared" si="4"/>
        <v>10</v>
      </c>
      <c r="E27" s="471">
        <f t="shared" si="4"/>
        <v>10</v>
      </c>
      <c r="F27" s="471">
        <f t="shared" si="4"/>
        <v>10</v>
      </c>
      <c r="G27" s="471">
        <f t="shared" si="4"/>
        <v>10</v>
      </c>
      <c r="H27" s="471">
        <f t="shared" si="4"/>
        <v>10</v>
      </c>
      <c r="I27" s="471">
        <f t="shared" si="4"/>
        <v>10</v>
      </c>
      <c r="J27" s="471">
        <f t="shared" si="4"/>
        <v>10</v>
      </c>
      <c r="K27" s="471">
        <f t="shared" si="4"/>
        <v>10</v>
      </c>
      <c r="L27" s="472">
        <f t="shared" si="4"/>
        <v>10</v>
      </c>
      <c r="O27" s="19" t="s">
        <v>936</v>
      </c>
      <c r="P27" s="19">
        <v>12</v>
      </c>
      <c r="Q27" s="19">
        <v>4</v>
      </c>
      <c r="R27" s="19">
        <v>0.33333333333333331</v>
      </c>
      <c r="S27" s="19">
        <v>0.24242424242424246</v>
      </c>
    </row>
    <row r="28" spans="1:19" x14ac:dyDescent="0.25">
      <c r="A28" s="465">
        <f>A27+1</f>
        <v>2</v>
      </c>
      <c r="B28" s="481">
        <f t="shared" ref="B28:L28" si="5">$M5-B5</f>
        <v>8</v>
      </c>
      <c r="C28" s="465">
        <f t="shared" si="5"/>
        <v>8</v>
      </c>
      <c r="D28" s="465">
        <f t="shared" si="5"/>
        <v>8</v>
      </c>
      <c r="E28" s="465">
        <f t="shared" si="5"/>
        <v>8</v>
      </c>
      <c r="F28" s="465">
        <f t="shared" si="5"/>
        <v>8</v>
      </c>
      <c r="G28" s="465">
        <f t="shared" si="5"/>
        <v>8</v>
      </c>
      <c r="H28" s="465">
        <f t="shared" si="5"/>
        <v>8</v>
      </c>
      <c r="I28" s="465">
        <f t="shared" si="5"/>
        <v>8</v>
      </c>
      <c r="J28" s="465">
        <f t="shared" si="5"/>
        <v>9</v>
      </c>
      <c r="K28" s="465">
        <f t="shared" si="5"/>
        <v>8</v>
      </c>
      <c r="L28" s="474">
        <f t="shared" si="5"/>
        <v>9</v>
      </c>
      <c r="O28" s="19" t="s">
        <v>937</v>
      </c>
      <c r="P28" s="19">
        <v>12</v>
      </c>
      <c r="Q28" s="19">
        <v>3</v>
      </c>
      <c r="R28" s="19">
        <v>0.25</v>
      </c>
      <c r="S28" s="19">
        <v>0.20454545454545456</v>
      </c>
    </row>
    <row r="29" spans="1:19" ht="15.75" thickBot="1" x14ac:dyDescent="0.3">
      <c r="A29" s="465">
        <f t="shared" ref="A29:A38" si="6">A28+1</f>
        <v>3</v>
      </c>
      <c r="B29" s="481">
        <f t="shared" ref="B29:L29" si="7">$M6-B6</f>
        <v>7</v>
      </c>
      <c r="C29" s="465">
        <f t="shared" si="7"/>
        <v>8</v>
      </c>
      <c r="D29" s="465">
        <f t="shared" si="7"/>
        <v>7</v>
      </c>
      <c r="E29" s="465">
        <f t="shared" si="7"/>
        <v>7</v>
      </c>
      <c r="F29" s="465">
        <f t="shared" si="7"/>
        <v>7</v>
      </c>
      <c r="G29" s="465">
        <f t="shared" si="7"/>
        <v>7</v>
      </c>
      <c r="H29" s="465">
        <f t="shared" si="7"/>
        <v>7</v>
      </c>
      <c r="I29" s="465">
        <f t="shared" si="7"/>
        <v>7</v>
      </c>
      <c r="J29" s="465">
        <f t="shared" si="7"/>
        <v>7</v>
      </c>
      <c r="K29" s="465">
        <f t="shared" si="7"/>
        <v>8</v>
      </c>
      <c r="L29" s="474">
        <f t="shared" si="7"/>
        <v>8</v>
      </c>
      <c r="O29" s="20" t="s">
        <v>938</v>
      </c>
      <c r="P29" s="20">
        <v>12</v>
      </c>
      <c r="Q29" s="20">
        <v>1</v>
      </c>
      <c r="R29" s="20">
        <v>8.3333333333333329E-2</v>
      </c>
      <c r="S29" s="20">
        <v>8.3333333333333329E-2</v>
      </c>
    </row>
    <row r="30" spans="1:19" x14ac:dyDescent="0.25">
      <c r="A30" s="465">
        <f t="shared" si="6"/>
        <v>4</v>
      </c>
      <c r="B30" s="481">
        <f t="shared" ref="B30:L30" si="8">$M7-B7</f>
        <v>6</v>
      </c>
      <c r="C30" s="465">
        <f t="shared" si="8"/>
        <v>6</v>
      </c>
      <c r="D30" s="465">
        <f t="shared" si="8"/>
        <v>6</v>
      </c>
      <c r="E30" s="465">
        <f t="shared" si="8"/>
        <v>7</v>
      </c>
      <c r="F30" s="465">
        <f t="shared" si="8"/>
        <v>6</v>
      </c>
      <c r="G30" s="465">
        <f t="shared" si="8"/>
        <v>6</v>
      </c>
      <c r="H30" s="465">
        <f t="shared" si="8"/>
        <v>7</v>
      </c>
      <c r="I30" s="465">
        <f t="shared" si="8"/>
        <v>6</v>
      </c>
      <c r="J30" s="465">
        <f t="shared" si="8"/>
        <v>6</v>
      </c>
      <c r="K30" s="465">
        <f t="shared" si="8"/>
        <v>7</v>
      </c>
      <c r="L30" s="474">
        <f t="shared" si="8"/>
        <v>7</v>
      </c>
    </row>
    <row r="31" spans="1:19" x14ac:dyDescent="0.25">
      <c r="A31" s="465">
        <f t="shared" si="6"/>
        <v>5</v>
      </c>
      <c r="B31" s="481">
        <f t="shared" ref="B31:L31" si="9">$M8-B8</f>
        <v>5</v>
      </c>
      <c r="C31" s="465">
        <f t="shared" si="9"/>
        <v>5</v>
      </c>
      <c r="D31" s="465">
        <f t="shared" si="9"/>
        <v>5</v>
      </c>
      <c r="E31" s="465">
        <f t="shared" si="9"/>
        <v>5</v>
      </c>
      <c r="F31" s="465">
        <f t="shared" si="9"/>
        <v>5</v>
      </c>
      <c r="G31" s="465">
        <f t="shared" si="9"/>
        <v>6</v>
      </c>
      <c r="H31" s="465">
        <f t="shared" si="9"/>
        <v>6</v>
      </c>
      <c r="I31" s="465">
        <f t="shared" si="9"/>
        <v>6</v>
      </c>
      <c r="J31" s="465">
        <f t="shared" si="9"/>
        <v>5</v>
      </c>
      <c r="K31" s="465">
        <f t="shared" si="9"/>
        <v>6</v>
      </c>
      <c r="L31" s="474">
        <f t="shared" si="9"/>
        <v>6</v>
      </c>
    </row>
    <row r="32" spans="1:19" ht="15.75" thickBot="1" x14ac:dyDescent="0.3">
      <c r="A32" s="465">
        <f t="shared" si="6"/>
        <v>6</v>
      </c>
      <c r="B32" s="481">
        <f t="shared" ref="B32:L32" si="10">$M9-B9</f>
        <v>6</v>
      </c>
      <c r="C32" s="465">
        <f t="shared" si="10"/>
        <v>5</v>
      </c>
      <c r="D32" s="465">
        <f t="shared" si="10"/>
        <v>5</v>
      </c>
      <c r="E32" s="465">
        <f t="shared" si="10"/>
        <v>6</v>
      </c>
      <c r="F32" s="465">
        <f t="shared" si="10"/>
        <v>5</v>
      </c>
      <c r="G32" s="465">
        <f t="shared" si="10"/>
        <v>5</v>
      </c>
      <c r="H32" s="465">
        <f t="shared" si="10"/>
        <v>5</v>
      </c>
      <c r="I32" s="465">
        <f t="shared" si="10"/>
        <v>5</v>
      </c>
      <c r="J32" s="465">
        <f t="shared" si="10"/>
        <v>6</v>
      </c>
      <c r="K32" s="465">
        <f t="shared" si="10"/>
        <v>6</v>
      </c>
      <c r="L32" s="474">
        <f t="shared" si="10"/>
        <v>6</v>
      </c>
      <c r="O32" t="s">
        <v>294</v>
      </c>
    </row>
    <row r="33" spans="1:29" x14ac:dyDescent="0.25">
      <c r="A33" s="465">
        <f t="shared" si="6"/>
        <v>7</v>
      </c>
      <c r="B33" s="481">
        <f t="shared" ref="B33:L33" si="11">$M10-B10</f>
        <v>4</v>
      </c>
      <c r="C33" s="465">
        <f t="shared" si="11"/>
        <v>4</v>
      </c>
      <c r="D33" s="465">
        <f t="shared" si="11"/>
        <v>4</v>
      </c>
      <c r="E33" s="465">
        <f t="shared" si="11"/>
        <v>4</v>
      </c>
      <c r="F33" s="465">
        <f t="shared" si="11"/>
        <v>5</v>
      </c>
      <c r="G33" s="465">
        <f t="shared" si="11"/>
        <v>5</v>
      </c>
      <c r="H33" s="465">
        <f t="shared" si="11"/>
        <v>4</v>
      </c>
      <c r="I33" s="465">
        <f t="shared" si="11"/>
        <v>5</v>
      </c>
      <c r="J33" s="465">
        <f t="shared" si="11"/>
        <v>5</v>
      </c>
      <c r="K33" s="465">
        <f t="shared" si="11"/>
        <v>5</v>
      </c>
      <c r="L33" s="474">
        <f t="shared" si="11"/>
        <v>5</v>
      </c>
      <c r="O33" s="426" t="s">
        <v>466</v>
      </c>
      <c r="P33" s="426" t="s">
        <v>219</v>
      </c>
      <c r="Q33" s="426" t="s">
        <v>60</v>
      </c>
      <c r="R33" s="426" t="s">
        <v>240</v>
      </c>
      <c r="S33" s="426" t="s">
        <v>135</v>
      </c>
      <c r="T33" s="426" t="s">
        <v>119</v>
      </c>
      <c r="U33" s="426" t="s">
        <v>467</v>
      </c>
    </row>
    <row r="34" spans="1:29" x14ac:dyDescent="0.25">
      <c r="A34" s="465">
        <f t="shared" si="6"/>
        <v>8</v>
      </c>
      <c r="B34" s="481">
        <f t="shared" ref="B34:L34" si="12">$M11-B11</f>
        <v>4</v>
      </c>
      <c r="C34" s="465">
        <f t="shared" si="12"/>
        <v>4</v>
      </c>
      <c r="D34" s="465">
        <f t="shared" si="12"/>
        <v>4</v>
      </c>
      <c r="E34" s="465">
        <f t="shared" si="12"/>
        <v>4</v>
      </c>
      <c r="F34" s="465">
        <f t="shared" si="12"/>
        <v>4</v>
      </c>
      <c r="G34" s="465">
        <f t="shared" si="12"/>
        <v>5</v>
      </c>
      <c r="H34" s="465">
        <f t="shared" si="12"/>
        <v>5</v>
      </c>
      <c r="I34" s="465">
        <f t="shared" si="12"/>
        <v>5</v>
      </c>
      <c r="J34" s="465">
        <f t="shared" si="12"/>
        <v>5</v>
      </c>
      <c r="K34" s="465">
        <f t="shared" si="12"/>
        <v>5</v>
      </c>
      <c r="L34" s="474">
        <f t="shared" si="12"/>
        <v>5</v>
      </c>
      <c r="O34" s="19" t="s">
        <v>136</v>
      </c>
      <c r="P34" s="19">
        <v>7.1136363636363491</v>
      </c>
      <c r="Q34" s="19">
        <v>11</v>
      </c>
      <c r="R34" s="19">
        <v>0.64669421487603174</v>
      </c>
      <c r="S34" s="19">
        <v>3.8170731707316961</v>
      </c>
      <c r="T34" s="19">
        <v>1.166989319379249E-4</v>
      </c>
      <c r="U34" s="19">
        <v>1.8767319839177952</v>
      </c>
    </row>
    <row r="35" spans="1:29" x14ac:dyDescent="0.25">
      <c r="A35" s="465">
        <f t="shared" si="6"/>
        <v>9</v>
      </c>
      <c r="B35" s="481">
        <f t="shared" ref="B35:L35" si="13">$M12-B12</f>
        <v>4</v>
      </c>
      <c r="C35" s="465">
        <f t="shared" si="13"/>
        <v>3</v>
      </c>
      <c r="D35" s="465">
        <f t="shared" si="13"/>
        <v>4</v>
      </c>
      <c r="E35" s="465">
        <f t="shared" si="13"/>
        <v>3</v>
      </c>
      <c r="F35" s="465">
        <f t="shared" si="13"/>
        <v>3</v>
      </c>
      <c r="G35" s="465">
        <f t="shared" si="13"/>
        <v>4</v>
      </c>
      <c r="H35" s="465">
        <f t="shared" si="13"/>
        <v>4</v>
      </c>
      <c r="I35" s="465">
        <f t="shared" si="13"/>
        <v>4</v>
      </c>
      <c r="J35" s="465">
        <f t="shared" si="13"/>
        <v>4</v>
      </c>
      <c r="K35" s="465">
        <f t="shared" si="13"/>
        <v>3</v>
      </c>
      <c r="L35" s="474">
        <f t="shared" si="13"/>
        <v>4</v>
      </c>
      <c r="O35" s="19" t="s">
        <v>589</v>
      </c>
      <c r="P35" s="19">
        <v>7.1818181818181621</v>
      </c>
      <c r="Q35" s="19">
        <v>10</v>
      </c>
      <c r="R35" s="19">
        <v>0.71818181818181626</v>
      </c>
      <c r="S35" s="19">
        <v>4.2390243902438876</v>
      </c>
      <c r="T35" s="19">
        <v>5.4099417408762222E-5</v>
      </c>
      <c r="U35" s="19">
        <v>1.9178271403928664</v>
      </c>
    </row>
    <row r="36" spans="1:29" x14ac:dyDescent="0.25">
      <c r="A36" s="465">
        <f t="shared" si="6"/>
        <v>10</v>
      </c>
      <c r="B36" s="481">
        <f t="shared" ref="B36:L36" si="14">$M13-B13</f>
        <v>2</v>
      </c>
      <c r="C36" s="465">
        <f t="shared" si="14"/>
        <v>3</v>
      </c>
      <c r="D36" s="465">
        <f t="shared" si="14"/>
        <v>3</v>
      </c>
      <c r="E36" s="465">
        <f t="shared" si="14"/>
        <v>2</v>
      </c>
      <c r="F36" s="465">
        <f t="shared" si="14"/>
        <v>3</v>
      </c>
      <c r="G36" s="465">
        <f t="shared" si="14"/>
        <v>2</v>
      </c>
      <c r="H36" s="465">
        <f t="shared" si="14"/>
        <v>3</v>
      </c>
      <c r="I36" s="465">
        <f t="shared" si="14"/>
        <v>3</v>
      </c>
      <c r="J36" s="465">
        <f t="shared" si="14"/>
        <v>3</v>
      </c>
      <c r="K36" s="465">
        <f t="shared" si="14"/>
        <v>3</v>
      </c>
      <c r="L36" s="474">
        <f t="shared" si="14"/>
        <v>3</v>
      </c>
      <c r="O36" s="19" t="s">
        <v>588</v>
      </c>
      <c r="P36" s="19">
        <v>18.636363636363654</v>
      </c>
      <c r="Q36" s="19">
        <v>110</v>
      </c>
      <c r="R36" s="19">
        <v>0.16942148760330594</v>
      </c>
      <c r="S36" s="19"/>
      <c r="T36" s="19"/>
      <c r="U36" s="19"/>
    </row>
    <row r="37" spans="1:29" x14ac:dyDescent="0.25">
      <c r="A37" s="465">
        <f t="shared" si="6"/>
        <v>11</v>
      </c>
      <c r="B37" s="481">
        <f t="shared" ref="B37:L37" si="15">$M14-B14</f>
        <v>2</v>
      </c>
      <c r="C37" s="465">
        <f t="shared" si="15"/>
        <v>2</v>
      </c>
      <c r="D37" s="465">
        <f t="shared" si="15"/>
        <v>2</v>
      </c>
      <c r="E37" s="465">
        <f t="shared" si="15"/>
        <v>3</v>
      </c>
      <c r="F37" s="465">
        <f t="shared" si="15"/>
        <v>3</v>
      </c>
      <c r="G37" s="465">
        <f t="shared" si="15"/>
        <v>3</v>
      </c>
      <c r="H37" s="465">
        <f t="shared" si="15"/>
        <v>3</v>
      </c>
      <c r="I37" s="465">
        <f t="shared" si="15"/>
        <v>3</v>
      </c>
      <c r="J37" s="465">
        <f t="shared" si="15"/>
        <v>3</v>
      </c>
      <c r="K37" s="465">
        <f t="shared" si="15"/>
        <v>3</v>
      </c>
      <c r="L37" s="474">
        <f t="shared" si="15"/>
        <v>3</v>
      </c>
      <c r="O37" s="19"/>
      <c r="P37" s="19"/>
      <c r="Q37" s="19"/>
      <c r="R37" s="19"/>
      <c r="S37" s="19"/>
      <c r="T37" s="19"/>
      <c r="U37" s="19"/>
    </row>
    <row r="38" spans="1:29" ht="15.75" thickBot="1" x14ac:dyDescent="0.3">
      <c r="A38" s="465">
        <f t="shared" si="6"/>
        <v>12</v>
      </c>
      <c r="B38" s="475">
        <f t="shared" ref="B38:L38" si="16">$M15-B15</f>
        <v>1</v>
      </c>
      <c r="C38" s="482">
        <f t="shared" si="16"/>
        <v>2</v>
      </c>
      <c r="D38" s="482">
        <f t="shared" si="16"/>
        <v>2</v>
      </c>
      <c r="E38" s="482">
        <f t="shared" si="16"/>
        <v>1</v>
      </c>
      <c r="F38" s="482">
        <f t="shared" si="16"/>
        <v>2</v>
      </c>
      <c r="G38" s="482">
        <f t="shared" si="16"/>
        <v>2</v>
      </c>
      <c r="H38" s="482">
        <f t="shared" si="16"/>
        <v>2</v>
      </c>
      <c r="I38" s="482">
        <f t="shared" si="16"/>
        <v>2</v>
      </c>
      <c r="J38" s="482">
        <f t="shared" si="16"/>
        <v>2</v>
      </c>
      <c r="K38" s="482">
        <f t="shared" si="16"/>
        <v>2</v>
      </c>
      <c r="L38" s="483">
        <f t="shared" si="16"/>
        <v>2</v>
      </c>
      <c r="O38" s="20" t="s">
        <v>1</v>
      </c>
      <c r="P38" s="20">
        <v>32.931818181818166</v>
      </c>
      <c r="Q38" s="20">
        <v>131</v>
      </c>
      <c r="R38" s="20"/>
      <c r="S38" s="20"/>
      <c r="T38" s="20"/>
      <c r="U38" s="20"/>
    </row>
    <row r="39" spans="1:29" x14ac:dyDescent="0.25">
      <c r="M39" s="465"/>
    </row>
    <row r="40" spans="1:29" ht="18" x14ac:dyDescent="0.35">
      <c r="A40" s="468" t="s">
        <v>56</v>
      </c>
      <c r="B40" s="429">
        <f>COUNTA($B$26:$L$26)-1</f>
        <v>10</v>
      </c>
      <c r="C40" s="433">
        <f t="shared" ref="C40:L40" si="17">COUNTA($B$26:$L$26)-1</f>
        <v>10</v>
      </c>
      <c r="D40" s="433">
        <f t="shared" si="17"/>
        <v>10</v>
      </c>
      <c r="E40" s="433">
        <f t="shared" si="17"/>
        <v>10</v>
      </c>
      <c r="F40" s="433">
        <f t="shared" si="17"/>
        <v>10</v>
      </c>
      <c r="G40" s="433">
        <f t="shared" si="17"/>
        <v>10</v>
      </c>
      <c r="H40" s="433">
        <f t="shared" si="17"/>
        <v>10</v>
      </c>
      <c r="I40" s="433">
        <f t="shared" si="17"/>
        <v>10</v>
      </c>
      <c r="J40" s="433">
        <f t="shared" si="17"/>
        <v>10</v>
      </c>
      <c r="K40" s="433">
        <f t="shared" si="17"/>
        <v>10</v>
      </c>
      <c r="L40" s="428">
        <f t="shared" si="17"/>
        <v>10</v>
      </c>
      <c r="O40" t="s">
        <v>34</v>
      </c>
      <c r="P40" s="580">
        <f>1-R36/R34</f>
        <v>0.73801916932907274</v>
      </c>
      <c r="R40" s="16" t="s">
        <v>945</v>
      </c>
    </row>
    <row r="41" spans="1:29" x14ac:dyDescent="0.25">
      <c r="A41" s="82" t="s">
        <v>942</v>
      </c>
      <c r="B41" s="273">
        <f>$M17-B17</f>
        <v>2.0069444444444446</v>
      </c>
      <c r="C41" s="7">
        <f t="shared" ref="C41:L41" si="18">$M17-C17</f>
        <v>1.9583333333333335</v>
      </c>
      <c r="D41" s="7">
        <f t="shared" si="18"/>
        <v>1.9583333333333335</v>
      </c>
      <c r="E41" s="7">
        <f t="shared" si="18"/>
        <v>1.9583333333333335</v>
      </c>
      <c r="F41" s="7">
        <f t="shared" si="18"/>
        <v>1.9236111111111112</v>
      </c>
      <c r="G41" s="7">
        <f t="shared" si="18"/>
        <v>1.8958333333333335</v>
      </c>
      <c r="H41" s="7">
        <f t="shared" si="18"/>
        <v>1.9027777777777779</v>
      </c>
      <c r="I41" s="7">
        <f t="shared" si="18"/>
        <v>1.9027777777777779</v>
      </c>
      <c r="J41" s="7">
        <f t="shared" si="18"/>
        <v>1.9236111111111112</v>
      </c>
      <c r="K41" s="7">
        <f t="shared" si="18"/>
        <v>1.9583333333333335</v>
      </c>
      <c r="L41" s="8">
        <f t="shared" si="18"/>
        <v>2.0694444444444446</v>
      </c>
    </row>
    <row r="42" spans="1:29" x14ac:dyDescent="0.25">
      <c r="A42" s="465" t="s">
        <v>8</v>
      </c>
      <c r="B42" s="481">
        <f t="shared" ref="B42:L42" si="19">VARP(B27:B38)</f>
        <v>6.4097222222222223</v>
      </c>
      <c r="C42" s="465">
        <f t="shared" si="19"/>
        <v>6</v>
      </c>
      <c r="D42" s="465">
        <f t="shared" si="19"/>
        <v>5.333333333333333</v>
      </c>
      <c r="E42" s="465">
        <f t="shared" si="19"/>
        <v>6.5</v>
      </c>
      <c r="F42" s="465">
        <f t="shared" si="19"/>
        <v>5.0763888888888893</v>
      </c>
      <c r="G42" s="465">
        <f t="shared" si="19"/>
        <v>5.1875</v>
      </c>
      <c r="H42" s="465">
        <f t="shared" si="19"/>
        <v>5.0555555555555554</v>
      </c>
      <c r="I42" s="465">
        <f t="shared" si="19"/>
        <v>4.7222222222222223</v>
      </c>
      <c r="J42" s="465">
        <f t="shared" si="19"/>
        <v>5.2430555555555554</v>
      </c>
      <c r="K42" s="465">
        <f t="shared" si="19"/>
        <v>5.583333333333333</v>
      </c>
      <c r="L42" s="474">
        <f t="shared" si="19"/>
        <v>5.7222222222222223</v>
      </c>
      <c r="O42" t="s">
        <v>2330</v>
      </c>
    </row>
    <row r="43" spans="1:29" x14ac:dyDescent="0.25">
      <c r="A43" s="480" t="s">
        <v>48</v>
      </c>
      <c r="B43" s="434">
        <f>(B40/(B40-1))*(1-B41/B42)</f>
        <v>0.7632117491272421</v>
      </c>
      <c r="C43" s="484">
        <f t="shared" ref="C43:L43" si="20">(C40/(C40-1))*(1-C41/C42)</f>
        <v>0.74845679012345689</v>
      </c>
      <c r="D43" s="484">
        <f t="shared" si="20"/>
        <v>0.703125</v>
      </c>
      <c r="E43" s="484">
        <f t="shared" si="20"/>
        <v>0.77635327635327633</v>
      </c>
      <c r="F43" s="484">
        <f t="shared" si="20"/>
        <v>0.69007447940416478</v>
      </c>
      <c r="G43" s="484">
        <f t="shared" si="20"/>
        <v>0.70504239178937966</v>
      </c>
      <c r="H43" s="484">
        <f t="shared" si="20"/>
        <v>0.6929181929181929</v>
      </c>
      <c r="I43" s="484">
        <f t="shared" si="20"/>
        <v>0.66339869281045749</v>
      </c>
      <c r="J43" s="484">
        <f t="shared" si="20"/>
        <v>0.70345842531273006</v>
      </c>
      <c r="K43" s="484">
        <f t="shared" si="20"/>
        <v>0.72139303482587069</v>
      </c>
      <c r="L43" s="485">
        <f t="shared" si="20"/>
        <v>0.70927723840345214</v>
      </c>
    </row>
    <row r="44" spans="1:29" x14ac:dyDescent="0.25">
      <c r="O44" t="s">
        <v>34</v>
      </c>
      <c r="P44" s="580">
        <f>[1]!CRONALPHA(B4:L15)</f>
        <v>0.73801916932907374</v>
      </c>
      <c r="R44" s="16" t="s">
        <v>1525</v>
      </c>
    </row>
    <row r="47" spans="1:29" x14ac:dyDescent="0.25">
      <c r="O47" t="s">
        <v>27</v>
      </c>
      <c r="AC47" t="s">
        <v>1670</v>
      </c>
    </row>
    <row r="49" spans="15:35" ht="15.75" thickBot="1" x14ac:dyDescent="0.3">
      <c r="O49" t="s">
        <v>1666</v>
      </c>
      <c r="AC49" t="s">
        <v>294</v>
      </c>
      <c r="AG49" s="871" t="s">
        <v>34</v>
      </c>
      <c r="AH49" s="871">
        <v>0.05</v>
      </c>
    </row>
    <row r="50" spans="15:35" ht="15.75" thickTop="1" x14ac:dyDescent="0.25">
      <c r="P50" s="871" t="str">
        <f>B3</f>
        <v>Q1</v>
      </c>
      <c r="Q50" s="871" t="str">
        <f t="shared" ref="Q50:Z50" si="21">C3</f>
        <v>Q2</v>
      </c>
      <c r="R50" s="871" t="str">
        <f t="shared" si="21"/>
        <v>Q3</v>
      </c>
      <c r="S50" s="871" t="str">
        <f t="shared" si="21"/>
        <v>Q4</v>
      </c>
      <c r="T50" s="871" t="str">
        <f t="shared" si="21"/>
        <v>Q5</v>
      </c>
      <c r="U50" s="871" t="str">
        <f t="shared" si="21"/>
        <v>Q6</v>
      </c>
      <c r="V50" s="871" t="str">
        <f t="shared" si="21"/>
        <v>Q7</v>
      </c>
      <c r="W50" s="871" t="str">
        <f t="shared" si="21"/>
        <v>Q8</v>
      </c>
      <c r="X50" s="871" t="str">
        <f t="shared" si="21"/>
        <v>Q9</v>
      </c>
      <c r="Y50" s="871" t="str">
        <f t="shared" si="21"/>
        <v>Q10</v>
      </c>
      <c r="Z50" s="871" t="str">
        <f t="shared" si="21"/>
        <v>Q11</v>
      </c>
      <c r="AC50" s="826"/>
      <c r="AD50" s="826" t="s">
        <v>219</v>
      </c>
      <c r="AE50" s="826" t="s">
        <v>60</v>
      </c>
      <c r="AF50" s="826" t="s">
        <v>240</v>
      </c>
      <c r="AG50" s="826" t="s">
        <v>135</v>
      </c>
      <c r="AH50" s="826" t="s">
        <v>67</v>
      </c>
      <c r="AI50" s="826" t="s">
        <v>527</v>
      </c>
    </row>
    <row r="51" spans="15:35" x14ac:dyDescent="0.25">
      <c r="O51">
        <f t="shared" ref="O51:O62" si="22">A4</f>
        <v>1</v>
      </c>
      <c r="P51" s="865">
        <f t="shared" ref="P51:P62" si="23">COUNT(B4)</f>
        <v>1</v>
      </c>
      <c r="Q51" s="798">
        <f t="shared" ref="Q51:Z51" si="24">COUNT(C4)</f>
        <v>1</v>
      </c>
      <c r="R51" s="798">
        <f t="shared" si="24"/>
        <v>1</v>
      </c>
      <c r="S51" s="798">
        <f t="shared" si="24"/>
        <v>1</v>
      </c>
      <c r="T51" s="798">
        <f t="shared" si="24"/>
        <v>1</v>
      </c>
      <c r="U51" s="798">
        <f t="shared" si="24"/>
        <v>1</v>
      </c>
      <c r="V51" s="798">
        <f t="shared" si="24"/>
        <v>1</v>
      </c>
      <c r="W51" s="798">
        <f t="shared" si="24"/>
        <v>1</v>
      </c>
      <c r="X51" s="798">
        <f t="shared" si="24"/>
        <v>1</v>
      </c>
      <c r="Y51" s="798">
        <f t="shared" si="24"/>
        <v>1</v>
      </c>
      <c r="Z51" s="866">
        <f t="shared" si="24"/>
        <v>1</v>
      </c>
      <c r="AA51">
        <f t="shared" ref="AA51:AA62" si="25">COUNT(B4:L4)</f>
        <v>11</v>
      </c>
      <c r="AC51" t="s">
        <v>136</v>
      </c>
      <c r="AD51">
        <f>DEVSQ(AA67:AA78)*AA51</f>
        <v>7.1136363636363633</v>
      </c>
      <c r="AE51">
        <f>COUNT(AA67:AA78)-1</f>
        <v>11</v>
      </c>
      <c r="AF51">
        <f>AD51/AE51</f>
        <v>0.64669421487603307</v>
      </c>
      <c r="AG51">
        <f>AF51/AF53</f>
        <v>3.817073170731708</v>
      </c>
      <c r="AH51">
        <f>FDIST(AG51,AE51,AE53)</f>
        <v>1.166989319379202E-4</v>
      </c>
      <c r="AI51" s="871" t="str">
        <f>IF(AH51&lt;AH49,"yes","no")</f>
        <v>yes</v>
      </c>
    </row>
    <row r="52" spans="15:35" x14ac:dyDescent="0.25">
      <c r="O52">
        <f t="shared" si="22"/>
        <v>2</v>
      </c>
      <c r="P52" s="501">
        <f t="shared" si="23"/>
        <v>1</v>
      </c>
      <c r="Q52" s="7">
        <f t="shared" ref="Q52:Z52" si="26">COUNT(C5)</f>
        <v>1</v>
      </c>
      <c r="R52" s="7">
        <f t="shared" si="26"/>
        <v>1</v>
      </c>
      <c r="S52" s="7">
        <f t="shared" si="26"/>
        <v>1</v>
      </c>
      <c r="T52" s="7">
        <f t="shared" si="26"/>
        <v>1</v>
      </c>
      <c r="U52" s="7">
        <f t="shared" si="26"/>
        <v>1</v>
      </c>
      <c r="V52" s="7">
        <f t="shared" si="26"/>
        <v>1</v>
      </c>
      <c r="W52" s="7">
        <f t="shared" si="26"/>
        <v>1</v>
      </c>
      <c r="X52" s="7">
        <f t="shared" si="26"/>
        <v>1</v>
      </c>
      <c r="Y52" s="7">
        <f t="shared" si="26"/>
        <v>1</v>
      </c>
      <c r="Z52" s="57">
        <f t="shared" si="26"/>
        <v>1</v>
      </c>
      <c r="AA52">
        <f t="shared" si="25"/>
        <v>11</v>
      </c>
      <c r="AC52" t="s">
        <v>589</v>
      </c>
      <c r="AD52">
        <f>DEVSQ(P79:Z79)*P63</f>
        <v>7.1818181818181817</v>
      </c>
      <c r="AE52">
        <f>COUNT(P79:Z79)-1</f>
        <v>10</v>
      </c>
      <c r="AF52">
        <f>AD52/AE52</f>
        <v>0.71818181818181814</v>
      </c>
      <c r="AG52">
        <f>AF52/AF53</f>
        <v>4.2390243902439035</v>
      </c>
      <c r="AH52">
        <f>FDIST(AG52,AE52,AE53)</f>
        <v>5.4099417408759824E-5</v>
      </c>
      <c r="AI52" s="871" t="str">
        <f>IF(AH52&lt;AH49,"yes","no")</f>
        <v>yes</v>
      </c>
    </row>
    <row r="53" spans="15:35" x14ac:dyDescent="0.25">
      <c r="O53">
        <f t="shared" si="22"/>
        <v>3</v>
      </c>
      <c r="P53" s="501">
        <f t="shared" si="23"/>
        <v>1</v>
      </c>
      <c r="Q53" s="7">
        <f t="shared" ref="Q53:Z53" si="27">COUNT(C6)</f>
        <v>1</v>
      </c>
      <c r="R53" s="7">
        <f t="shared" si="27"/>
        <v>1</v>
      </c>
      <c r="S53" s="7">
        <f t="shared" si="27"/>
        <v>1</v>
      </c>
      <c r="T53" s="7">
        <f t="shared" si="27"/>
        <v>1</v>
      </c>
      <c r="U53" s="7">
        <f t="shared" si="27"/>
        <v>1</v>
      </c>
      <c r="V53" s="7">
        <f t="shared" si="27"/>
        <v>1</v>
      </c>
      <c r="W53" s="7">
        <f t="shared" si="27"/>
        <v>1</v>
      </c>
      <c r="X53" s="7">
        <f t="shared" si="27"/>
        <v>1</v>
      </c>
      <c r="Y53" s="7">
        <f t="shared" si="27"/>
        <v>1</v>
      </c>
      <c r="Z53" s="57">
        <f t="shared" si="27"/>
        <v>1</v>
      </c>
      <c r="AA53">
        <f t="shared" si="25"/>
        <v>11</v>
      </c>
      <c r="AC53" t="s">
        <v>588</v>
      </c>
      <c r="AD53">
        <f>AD55-AD51-AD52</f>
        <v>18.636363636363633</v>
      </c>
      <c r="AE53">
        <f>AE52*AE51</f>
        <v>110</v>
      </c>
      <c r="AF53">
        <f>AD53/AE53</f>
        <v>0.16942148760330575</v>
      </c>
    </row>
    <row r="54" spans="15:35" x14ac:dyDescent="0.25">
      <c r="O54">
        <f t="shared" si="22"/>
        <v>4</v>
      </c>
      <c r="P54" s="501">
        <f t="shared" si="23"/>
        <v>1</v>
      </c>
      <c r="Q54" s="7">
        <f t="shared" ref="Q54:Z54" si="28">COUNT(C7)</f>
        <v>1</v>
      </c>
      <c r="R54" s="7">
        <f t="shared" si="28"/>
        <v>1</v>
      </c>
      <c r="S54" s="7">
        <f t="shared" si="28"/>
        <v>1</v>
      </c>
      <c r="T54" s="7">
        <f t="shared" si="28"/>
        <v>1</v>
      </c>
      <c r="U54" s="7">
        <f t="shared" si="28"/>
        <v>1</v>
      </c>
      <c r="V54" s="7">
        <f t="shared" si="28"/>
        <v>1</v>
      </c>
      <c r="W54" s="7">
        <f t="shared" si="28"/>
        <v>1</v>
      </c>
      <c r="X54" s="7">
        <f t="shared" si="28"/>
        <v>1</v>
      </c>
      <c r="Y54" s="7">
        <f t="shared" si="28"/>
        <v>1</v>
      </c>
      <c r="Z54" s="57">
        <f t="shared" si="28"/>
        <v>1</v>
      </c>
      <c r="AA54">
        <f t="shared" si="25"/>
        <v>11</v>
      </c>
    </row>
    <row r="55" spans="15:35" x14ac:dyDescent="0.25">
      <c r="O55">
        <f t="shared" si="22"/>
        <v>5</v>
      </c>
      <c r="P55" s="501">
        <f t="shared" si="23"/>
        <v>1</v>
      </c>
      <c r="Q55" s="7">
        <f t="shared" ref="Q55:Z55" si="29">COUNT(C8)</f>
        <v>1</v>
      </c>
      <c r="R55" s="7">
        <f t="shared" si="29"/>
        <v>1</v>
      </c>
      <c r="S55" s="7">
        <f t="shared" si="29"/>
        <v>1</v>
      </c>
      <c r="T55" s="7">
        <f t="shared" si="29"/>
        <v>1</v>
      </c>
      <c r="U55" s="7">
        <f t="shared" si="29"/>
        <v>1</v>
      </c>
      <c r="V55" s="7">
        <f t="shared" si="29"/>
        <v>1</v>
      </c>
      <c r="W55" s="7">
        <f t="shared" si="29"/>
        <v>1</v>
      </c>
      <c r="X55" s="7">
        <f t="shared" si="29"/>
        <v>1</v>
      </c>
      <c r="Y55" s="7">
        <f t="shared" si="29"/>
        <v>1</v>
      </c>
      <c r="Z55" s="57">
        <f t="shared" si="29"/>
        <v>1</v>
      </c>
      <c r="AA55">
        <f t="shared" si="25"/>
        <v>11</v>
      </c>
      <c r="AC55" s="762" t="s">
        <v>1</v>
      </c>
      <c r="AD55" s="762">
        <f>AF55*AE55</f>
        <v>32.93181818181818</v>
      </c>
      <c r="AE55" s="762">
        <f>AA63-1</f>
        <v>131</v>
      </c>
      <c r="AF55" s="762">
        <f>AA95</f>
        <v>0.25138792505204716</v>
      </c>
      <c r="AG55" s="762"/>
      <c r="AH55" s="762"/>
      <c r="AI55" s="762"/>
    </row>
    <row r="56" spans="15:35" x14ac:dyDescent="0.25">
      <c r="O56">
        <f t="shared" si="22"/>
        <v>6</v>
      </c>
      <c r="P56" s="501">
        <f t="shared" si="23"/>
        <v>1</v>
      </c>
      <c r="Q56" s="7">
        <f t="shared" ref="Q56:Z56" si="30">COUNT(C9)</f>
        <v>1</v>
      </c>
      <c r="R56" s="7">
        <f t="shared" si="30"/>
        <v>1</v>
      </c>
      <c r="S56" s="7">
        <f t="shared" si="30"/>
        <v>1</v>
      </c>
      <c r="T56" s="7">
        <f t="shared" si="30"/>
        <v>1</v>
      </c>
      <c r="U56" s="7">
        <f t="shared" si="30"/>
        <v>1</v>
      </c>
      <c r="V56" s="7">
        <f t="shared" si="30"/>
        <v>1</v>
      </c>
      <c r="W56" s="7">
        <f t="shared" si="30"/>
        <v>1</v>
      </c>
      <c r="X56" s="7">
        <f t="shared" si="30"/>
        <v>1</v>
      </c>
      <c r="Y56" s="7">
        <f t="shared" si="30"/>
        <v>1</v>
      </c>
      <c r="Z56" s="57">
        <f t="shared" si="30"/>
        <v>1</v>
      </c>
      <c r="AA56">
        <f t="shared" si="25"/>
        <v>11</v>
      </c>
    </row>
    <row r="57" spans="15:35" x14ac:dyDescent="0.25">
      <c r="O57">
        <f t="shared" si="22"/>
        <v>7</v>
      </c>
      <c r="P57" s="501">
        <f t="shared" si="23"/>
        <v>1</v>
      </c>
      <c r="Q57" s="7">
        <f t="shared" ref="Q57:Z57" si="31">COUNT(C10)</f>
        <v>1</v>
      </c>
      <c r="R57" s="7">
        <f t="shared" si="31"/>
        <v>1</v>
      </c>
      <c r="S57" s="7">
        <f t="shared" si="31"/>
        <v>1</v>
      </c>
      <c r="T57" s="7">
        <f t="shared" si="31"/>
        <v>1</v>
      </c>
      <c r="U57" s="7">
        <f t="shared" si="31"/>
        <v>1</v>
      </c>
      <c r="V57" s="7">
        <f t="shared" si="31"/>
        <v>1</v>
      </c>
      <c r="W57" s="7">
        <f t="shared" si="31"/>
        <v>1</v>
      </c>
      <c r="X57" s="7">
        <f t="shared" si="31"/>
        <v>1</v>
      </c>
      <c r="Y57" s="7">
        <f t="shared" si="31"/>
        <v>1</v>
      </c>
      <c r="Z57" s="57">
        <f t="shared" si="31"/>
        <v>1</v>
      </c>
      <c r="AA57">
        <f t="shared" si="25"/>
        <v>11</v>
      </c>
    </row>
    <row r="58" spans="15:35" x14ac:dyDescent="0.25">
      <c r="O58">
        <f t="shared" si="22"/>
        <v>8</v>
      </c>
      <c r="P58" s="501">
        <f t="shared" si="23"/>
        <v>1</v>
      </c>
      <c r="Q58" s="7">
        <f t="shared" ref="Q58:Z58" si="32">COUNT(C11)</f>
        <v>1</v>
      </c>
      <c r="R58" s="7">
        <f t="shared" si="32"/>
        <v>1</v>
      </c>
      <c r="S58" s="7">
        <f t="shared" si="32"/>
        <v>1</v>
      </c>
      <c r="T58" s="7">
        <f t="shared" si="32"/>
        <v>1</v>
      </c>
      <c r="U58" s="7">
        <f t="shared" si="32"/>
        <v>1</v>
      </c>
      <c r="V58" s="7">
        <f t="shared" si="32"/>
        <v>1</v>
      </c>
      <c r="W58" s="7">
        <f t="shared" si="32"/>
        <v>1</v>
      </c>
      <c r="X58" s="7">
        <f t="shared" si="32"/>
        <v>1</v>
      </c>
      <c r="Y58" s="7">
        <f t="shared" si="32"/>
        <v>1</v>
      </c>
      <c r="Z58" s="57">
        <f t="shared" si="32"/>
        <v>1</v>
      </c>
      <c r="AA58">
        <f t="shared" si="25"/>
        <v>11</v>
      </c>
    </row>
    <row r="59" spans="15:35" x14ac:dyDescent="0.25">
      <c r="O59">
        <f t="shared" si="22"/>
        <v>9</v>
      </c>
      <c r="P59" s="501">
        <f t="shared" si="23"/>
        <v>1</v>
      </c>
      <c r="Q59" s="7">
        <f t="shared" ref="Q59:Z59" si="33">COUNT(C12)</f>
        <v>1</v>
      </c>
      <c r="R59" s="7">
        <f t="shared" si="33"/>
        <v>1</v>
      </c>
      <c r="S59" s="7">
        <f t="shared" si="33"/>
        <v>1</v>
      </c>
      <c r="T59" s="7">
        <f t="shared" si="33"/>
        <v>1</v>
      </c>
      <c r="U59" s="7">
        <f t="shared" si="33"/>
        <v>1</v>
      </c>
      <c r="V59" s="7">
        <f t="shared" si="33"/>
        <v>1</v>
      </c>
      <c r="W59" s="7">
        <f t="shared" si="33"/>
        <v>1</v>
      </c>
      <c r="X59" s="7">
        <f t="shared" si="33"/>
        <v>1</v>
      </c>
      <c r="Y59" s="7">
        <f t="shared" si="33"/>
        <v>1</v>
      </c>
      <c r="Z59" s="57">
        <f t="shared" si="33"/>
        <v>1</v>
      </c>
      <c r="AA59">
        <f t="shared" si="25"/>
        <v>11</v>
      </c>
    </row>
    <row r="60" spans="15:35" x14ac:dyDescent="0.25">
      <c r="O60">
        <f t="shared" si="22"/>
        <v>10</v>
      </c>
      <c r="P60" s="501">
        <f t="shared" si="23"/>
        <v>1</v>
      </c>
      <c r="Q60" s="7">
        <f t="shared" ref="Q60:Z60" si="34">COUNT(C13)</f>
        <v>1</v>
      </c>
      <c r="R60" s="7">
        <f t="shared" si="34"/>
        <v>1</v>
      </c>
      <c r="S60" s="7">
        <f t="shared" si="34"/>
        <v>1</v>
      </c>
      <c r="T60" s="7">
        <f t="shared" si="34"/>
        <v>1</v>
      </c>
      <c r="U60" s="7">
        <f t="shared" si="34"/>
        <v>1</v>
      </c>
      <c r="V60" s="7">
        <f t="shared" si="34"/>
        <v>1</v>
      </c>
      <c r="W60" s="7">
        <f t="shared" si="34"/>
        <v>1</v>
      </c>
      <c r="X60" s="7">
        <f t="shared" si="34"/>
        <v>1</v>
      </c>
      <c r="Y60" s="7">
        <f t="shared" si="34"/>
        <v>1</v>
      </c>
      <c r="Z60" s="57">
        <f t="shared" si="34"/>
        <v>1</v>
      </c>
      <c r="AA60">
        <f t="shared" si="25"/>
        <v>11</v>
      </c>
    </row>
    <row r="61" spans="15:35" x14ac:dyDescent="0.25">
      <c r="O61">
        <f t="shared" si="22"/>
        <v>11</v>
      </c>
      <c r="P61" s="501">
        <f t="shared" si="23"/>
        <v>1</v>
      </c>
      <c r="Q61" s="7">
        <f t="shared" ref="Q61:Z61" si="35">COUNT(C14)</f>
        <v>1</v>
      </c>
      <c r="R61" s="7">
        <f t="shared" si="35"/>
        <v>1</v>
      </c>
      <c r="S61" s="7">
        <f t="shared" si="35"/>
        <v>1</v>
      </c>
      <c r="T61" s="7">
        <f t="shared" si="35"/>
        <v>1</v>
      </c>
      <c r="U61" s="7">
        <f t="shared" si="35"/>
        <v>1</v>
      </c>
      <c r="V61" s="7">
        <f t="shared" si="35"/>
        <v>1</v>
      </c>
      <c r="W61" s="7">
        <f t="shared" si="35"/>
        <v>1</v>
      </c>
      <c r="X61" s="7">
        <f t="shared" si="35"/>
        <v>1</v>
      </c>
      <c r="Y61" s="7">
        <f t="shared" si="35"/>
        <v>1</v>
      </c>
      <c r="Z61" s="57">
        <f t="shared" si="35"/>
        <v>1</v>
      </c>
      <c r="AA61">
        <f t="shared" si="25"/>
        <v>11</v>
      </c>
    </row>
    <row r="62" spans="15:35" x14ac:dyDescent="0.25">
      <c r="O62">
        <f t="shared" si="22"/>
        <v>12</v>
      </c>
      <c r="P62" s="759">
        <f t="shared" si="23"/>
        <v>1</v>
      </c>
      <c r="Q62" s="760">
        <f t="shared" ref="Q62:Z62" si="36">COUNT(C15)</f>
        <v>1</v>
      </c>
      <c r="R62" s="760">
        <f t="shared" si="36"/>
        <v>1</v>
      </c>
      <c r="S62" s="760">
        <f t="shared" si="36"/>
        <v>1</v>
      </c>
      <c r="T62" s="760">
        <f t="shared" si="36"/>
        <v>1</v>
      </c>
      <c r="U62" s="760">
        <f t="shared" si="36"/>
        <v>1</v>
      </c>
      <c r="V62" s="760">
        <f t="shared" si="36"/>
        <v>1</v>
      </c>
      <c r="W62" s="760">
        <f t="shared" si="36"/>
        <v>1</v>
      </c>
      <c r="X62" s="760">
        <f t="shared" si="36"/>
        <v>1</v>
      </c>
      <c r="Y62" s="760">
        <f t="shared" si="36"/>
        <v>1</v>
      </c>
      <c r="Z62" s="761">
        <f t="shared" si="36"/>
        <v>1</v>
      </c>
      <c r="AA62">
        <f t="shared" si="25"/>
        <v>11</v>
      </c>
    </row>
    <row r="63" spans="15:35" x14ac:dyDescent="0.25">
      <c r="P63">
        <f>COUNT(B4:B15)</f>
        <v>12</v>
      </c>
      <c r="Q63">
        <f t="shared" ref="Q63:Z63" si="37">COUNT(C4:C15)</f>
        <v>12</v>
      </c>
      <c r="R63">
        <f t="shared" si="37"/>
        <v>12</v>
      </c>
      <c r="S63">
        <f t="shared" si="37"/>
        <v>12</v>
      </c>
      <c r="T63">
        <f t="shared" si="37"/>
        <v>12</v>
      </c>
      <c r="U63">
        <f t="shared" si="37"/>
        <v>12</v>
      </c>
      <c r="V63">
        <f t="shared" si="37"/>
        <v>12</v>
      </c>
      <c r="W63">
        <f t="shared" si="37"/>
        <v>12</v>
      </c>
      <c r="X63">
        <f t="shared" si="37"/>
        <v>12</v>
      </c>
      <c r="Y63">
        <f t="shared" si="37"/>
        <v>12</v>
      </c>
      <c r="Z63">
        <f t="shared" si="37"/>
        <v>12</v>
      </c>
      <c r="AA63">
        <f>COUNT(B4:L15)</f>
        <v>132</v>
      </c>
    </row>
    <row r="65" spans="15:27" x14ac:dyDescent="0.25">
      <c r="O65" t="s">
        <v>610</v>
      </c>
    </row>
    <row r="66" spans="15:27" x14ac:dyDescent="0.25">
      <c r="P66" s="871" t="str">
        <f>B3</f>
        <v>Q1</v>
      </c>
      <c r="Q66" s="871" t="str">
        <f t="shared" ref="Q66:Z66" si="38">C3</f>
        <v>Q2</v>
      </c>
      <c r="R66" s="871" t="str">
        <f t="shared" si="38"/>
        <v>Q3</v>
      </c>
      <c r="S66" s="871" t="str">
        <f t="shared" si="38"/>
        <v>Q4</v>
      </c>
      <c r="T66" s="871" t="str">
        <f t="shared" si="38"/>
        <v>Q5</v>
      </c>
      <c r="U66" s="871" t="str">
        <f t="shared" si="38"/>
        <v>Q6</v>
      </c>
      <c r="V66" s="871" t="str">
        <f t="shared" si="38"/>
        <v>Q7</v>
      </c>
      <c r="W66" s="871" t="str">
        <f t="shared" si="38"/>
        <v>Q8</v>
      </c>
      <c r="X66" s="871" t="str">
        <f t="shared" si="38"/>
        <v>Q9</v>
      </c>
      <c r="Y66" s="871" t="str">
        <f t="shared" si="38"/>
        <v>Q10</v>
      </c>
      <c r="Z66" s="871" t="str">
        <f t="shared" si="38"/>
        <v>Q11</v>
      </c>
    </row>
    <row r="67" spans="15:27" x14ac:dyDescent="0.25">
      <c r="O67">
        <f t="shared" ref="O67:O78" si="39">A4</f>
        <v>1</v>
      </c>
      <c r="P67" s="865">
        <f t="shared" ref="P67:P78" si="40">AVERAGE(B4)</f>
        <v>1</v>
      </c>
      <c r="Q67" s="798">
        <f t="shared" ref="Q67:Z67" si="41">AVERAGE(C4)</f>
        <v>1</v>
      </c>
      <c r="R67" s="798">
        <f t="shared" si="41"/>
        <v>1</v>
      </c>
      <c r="S67" s="798">
        <f t="shared" si="41"/>
        <v>1</v>
      </c>
      <c r="T67" s="798">
        <f t="shared" si="41"/>
        <v>1</v>
      </c>
      <c r="U67" s="798">
        <f t="shared" si="41"/>
        <v>1</v>
      </c>
      <c r="V67" s="798">
        <f t="shared" si="41"/>
        <v>1</v>
      </c>
      <c r="W67" s="798">
        <f t="shared" si="41"/>
        <v>1</v>
      </c>
      <c r="X67" s="798">
        <f t="shared" si="41"/>
        <v>1</v>
      </c>
      <c r="Y67" s="798">
        <f t="shared" si="41"/>
        <v>1</v>
      </c>
      <c r="Z67" s="866">
        <f t="shared" si="41"/>
        <v>1</v>
      </c>
      <c r="AA67">
        <f t="shared" ref="AA67:AA78" si="42">AVERAGE(B4:L4)</f>
        <v>1</v>
      </c>
    </row>
    <row r="68" spans="15:27" x14ac:dyDescent="0.25">
      <c r="O68">
        <f t="shared" si="39"/>
        <v>2</v>
      </c>
      <c r="P68" s="501">
        <f t="shared" si="40"/>
        <v>1</v>
      </c>
      <c r="Q68" s="7">
        <f t="shared" ref="Q68:Z68" si="43">AVERAGE(C5)</f>
        <v>1</v>
      </c>
      <c r="R68" s="7">
        <f t="shared" si="43"/>
        <v>1</v>
      </c>
      <c r="S68" s="7">
        <f t="shared" si="43"/>
        <v>1</v>
      </c>
      <c r="T68" s="7">
        <f t="shared" si="43"/>
        <v>1</v>
      </c>
      <c r="U68" s="7">
        <f t="shared" si="43"/>
        <v>1</v>
      </c>
      <c r="V68" s="7">
        <f t="shared" si="43"/>
        <v>1</v>
      </c>
      <c r="W68" s="7">
        <f t="shared" si="43"/>
        <v>1</v>
      </c>
      <c r="X68" s="7">
        <f t="shared" si="43"/>
        <v>0</v>
      </c>
      <c r="Y68" s="7">
        <f t="shared" si="43"/>
        <v>1</v>
      </c>
      <c r="Z68" s="57">
        <f t="shared" si="43"/>
        <v>0</v>
      </c>
      <c r="AA68">
        <f t="shared" si="42"/>
        <v>0.81818181818181823</v>
      </c>
    </row>
    <row r="69" spans="15:27" x14ac:dyDescent="0.25">
      <c r="O69">
        <f t="shared" si="39"/>
        <v>3</v>
      </c>
      <c r="P69" s="501">
        <f t="shared" si="40"/>
        <v>1</v>
      </c>
      <c r="Q69" s="7">
        <f t="shared" ref="Q69:Z69" si="44">AVERAGE(C6)</f>
        <v>0</v>
      </c>
      <c r="R69" s="7">
        <f t="shared" si="44"/>
        <v>1</v>
      </c>
      <c r="S69" s="7">
        <f t="shared" si="44"/>
        <v>1</v>
      </c>
      <c r="T69" s="7">
        <f t="shared" si="44"/>
        <v>1</v>
      </c>
      <c r="U69" s="7">
        <f t="shared" si="44"/>
        <v>1</v>
      </c>
      <c r="V69" s="7">
        <f t="shared" si="44"/>
        <v>1</v>
      </c>
      <c r="W69" s="7">
        <f t="shared" si="44"/>
        <v>1</v>
      </c>
      <c r="X69" s="7">
        <f t="shared" si="44"/>
        <v>1</v>
      </c>
      <c r="Y69" s="7">
        <f t="shared" si="44"/>
        <v>0</v>
      </c>
      <c r="Z69" s="57">
        <f t="shared" si="44"/>
        <v>0</v>
      </c>
      <c r="AA69">
        <f t="shared" si="42"/>
        <v>0.72727272727272729</v>
      </c>
    </row>
    <row r="70" spans="15:27" x14ac:dyDescent="0.25">
      <c r="O70">
        <f t="shared" si="39"/>
        <v>4</v>
      </c>
      <c r="P70" s="501">
        <f t="shared" si="40"/>
        <v>1</v>
      </c>
      <c r="Q70" s="7">
        <f t="shared" ref="Q70:Z70" si="45">AVERAGE(C7)</f>
        <v>1</v>
      </c>
      <c r="R70" s="7">
        <f t="shared" si="45"/>
        <v>1</v>
      </c>
      <c r="S70" s="7">
        <f t="shared" si="45"/>
        <v>0</v>
      </c>
      <c r="T70" s="7">
        <f t="shared" si="45"/>
        <v>1</v>
      </c>
      <c r="U70" s="7">
        <f t="shared" si="45"/>
        <v>1</v>
      </c>
      <c r="V70" s="7">
        <f t="shared" si="45"/>
        <v>0</v>
      </c>
      <c r="W70" s="7">
        <f t="shared" si="45"/>
        <v>1</v>
      </c>
      <c r="X70" s="7">
        <f t="shared" si="45"/>
        <v>1</v>
      </c>
      <c r="Y70" s="7">
        <f t="shared" si="45"/>
        <v>0</v>
      </c>
      <c r="Z70" s="57">
        <f t="shared" si="45"/>
        <v>0</v>
      </c>
      <c r="AA70">
        <f t="shared" si="42"/>
        <v>0.63636363636363635</v>
      </c>
    </row>
    <row r="71" spans="15:27" x14ac:dyDescent="0.25">
      <c r="O71">
        <f t="shared" si="39"/>
        <v>5</v>
      </c>
      <c r="P71" s="501">
        <f t="shared" si="40"/>
        <v>1</v>
      </c>
      <c r="Q71" s="7">
        <f t="shared" ref="Q71:Z71" si="46">AVERAGE(C8)</f>
        <v>1</v>
      </c>
      <c r="R71" s="7">
        <f t="shared" si="46"/>
        <v>1</v>
      </c>
      <c r="S71" s="7">
        <f t="shared" si="46"/>
        <v>1</v>
      </c>
      <c r="T71" s="7">
        <f t="shared" si="46"/>
        <v>1</v>
      </c>
      <c r="U71" s="7">
        <f t="shared" si="46"/>
        <v>0</v>
      </c>
      <c r="V71" s="7">
        <f t="shared" si="46"/>
        <v>0</v>
      </c>
      <c r="W71" s="7">
        <f t="shared" si="46"/>
        <v>0</v>
      </c>
      <c r="X71" s="7">
        <f t="shared" si="46"/>
        <v>1</v>
      </c>
      <c r="Y71" s="7">
        <f t="shared" si="46"/>
        <v>0</v>
      </c>
      <c r="Z71" s="57">
        <f t="shared" si="46"/>
        <v>0</v>
      </c>
      <c r="AA71">
        <f t="shared" si="42"/>
        <v>0.54545454545454541</v>
      </c>
    </row>
    <row r="72" spans="15:27" x14ac:dyDescent="0.25">
      <c r="O72">
        <f t="shared" si="39"/>
        <v>6</v>
      </c>
      <c r="P72" s="501">
        <f t="shared" si="40"/>
        <v>0</v>
      </c>
      <c r="Q72" s="7">
        <f t="shared" ref="Q72:Z72" si="47">AVERAGE(C9)</f>
        <v>1</v>
      </c>
      <c r="R72" s="7">
        <f t="shared" si="47"/>
        <v>1</v>
      </c>
      <c r="S72" s="7">
        <f t="shared" si="47"/>
        <v>0</v>
      </c>
      <c r="T72" s="7">
        <f t="shared" si="47"/>
        <v>1</v>
      </c>
      <c r="U72" s="7">
        <f t="shared" si="47"/>
        <v>1</v>
      </c>
      <c r="V72" s="7">
        <f t="shared" si="47"/>
        <v>1</v>
      </c>
      <c r="W72" s="7">
        <f t="shared" si="47"/>
        <v>1</v>
      </c>
      <c r="X72" s="7">
        <f t="shared" si="47"/>
        <v>0</v>
      </c>
      <c r="Y72" s="7">
        <f t="shared" si="47"/>
        <v>0</v>
      </c>
      <c r="Z72" s="57">
        <f t="shared" si="47"/>
        <v>0</v>
      </c>
      <c r="AA72">
        <f t="shared" si="42"/>
        <v>0.54545454545454541</v>
      </c>
    </row>
    <row r="73" spans="15:27" x14ac:dyDescent="0.25">
      <c r="O73">
        <f t="shared" si="39"/>
        <v>7</v>
      </c>
      <c r="P73" s="501">
        <f t="shared" si="40"/>
        <v>1</v>
      </c>
      <c r="Q73" s="7">
        <f t="shared" ref="Q73:Z73" si="48">AVERAGE(C10)</f>
        <v>1</v>
      </c>
      <c r="R73" s="7">
        <f t="shared" si="48"/>
        <v>1</v>
      </c>
      <c r="S73" s="7">
        <f t="shared" si="48"/>
        <v>1</v>
      </c>
      <c r="T73" s="7">
        <f t="shared" si="48"/>
        <v>0</v>
      </c>
      <c r="U73" s="7">
        <f t="shared" si="48"/>
        <v>0</v>
      </c>
      <c r="V73" s="7">
        <f t="shared" si="48"/>
        <v>1</v>
      </c>
      <c r="W73" s="7">
        <f t="shared" si="48"/>
        <v>0</v>
      </c>
      <c r="X73" s="7">
        <f t="shared" si="48"/>
        <v>0</v>
      </c>
      <c r="Y73" s="7">
        <f t="shared" si="48"/>
        <v>0</v>
      </c>
      <c r="Z73" s="57">
        <f t="shared" si="48"/>
        <v>0</v>
      </c>
      <c r="AA73">
        <f t="shared" si="42"/>
        <v>0.45454545454545453</v>
      </c>
    </row>
    <row r="74" spans="15:27" x14ac:dyDescent="0.25">
      <c r="O74">
        <f t="shared" si="39"/>
        <v>8</v>
      </c>
      <c r="P74" s="501">
        <f t="shared" si="40"/>
        <v>1</v>
      </c>
      <c r="Q74" s="7">
        <f t="shared" ref="Q74:Z74" si="49">AVERAGE(C11)</f>
        <v>1</v>
      </c>
      <c r="R74" s="7">
        <f t="shared" si="49"/>
        <v>1</v>
      </c>
      <c r="S74" s="7">
        <f t="shared" si="49"/>
        <v>1</v>
      </c>
      <c r="T74" s="7">
        <f t="shared" si="49"/>
        <v>1</v>
      </c>
      <c r="U74" s="7">
        <f t="shared" si="49"/>
        <v>0</v>
      </c>
      <c r="V74" s="7">
        <f t="shared" si="49"/>
        <v>0</v>
      </c>
      <c r="W74" s="7">
        <f t="shared" si="49"/>
        <v>0</v>
      </c>
      <c r="X74" s="7">
        <f t="shared" si="49"/>
        <v>0</v>
      </c>
      <c r="Y74" s="7">
        <f t="shared" si="49"/>
        <v>0</v>
      </c>
      <c r="Z74" s="57">
        <f t="shared" si="49"/>
        <v>0</v>
      </c>
      <c r="AA74">
        <f t="shared" si="42"/>
        <v>0.45454545454545453</v>
      </c>
    </row>
    <row r="75" spans="15:27" x14ac:dyDescent="0.25">
      <c r="O75">
        <f t="shared" si="39"/>
        <v>9</v>
      </c>
      <c r="P75" s="501">
        <f t="shared" si="40"/>
        <v>0</v>
      </c>
      <c r="Q75" s="7">
        <f t="shared" ref="Q75:Z75" si="50">AVERAGE(C12)</f>
        <v>1</v>
      </c>
      <c r="R75" s="7">
        <f t="shared" si="50"/>
        <v>0</v>
      </c>
      <c r="S75" s="7">
        <f t="shared" si="50"/>
        <v>1</v>
      </c>
      <c r="T75" s="7">
        <f t="shared" si="50"/>
        <v>1</v>
      </c>
      <c r="U75" s="7">
        <f t="shared" si="50"/>
        <v>0</v>
      </c>
      <c r="V75" s="7">
        <f t="shared" si="50"/>
        <v>0</v>
      </c>
      <c r="W75" s="7">
        <f t="shared" si="50"/>
        <v>0</v>
      </c>
      <c r="X75" s="7">
        <f t="shared" si="50"/>
        <v>0</v>
      </c>
      <c r="Y75" s="7">
        <f t="shared" si="50"/>
        <v>1</v>
      </c>
      <c r="Z75" s="57">
        <f t="shared" si="50"/>
        <v>0</v>
      </c>
      <c r="AA75">
        <f t="shared" si="42"/>
        <v>0.36363636363636365</v>
      </c>
    </row>
    <row r="76" spans="15:27" x14ac:dyDescent="0.25">
      <c r="O76">
        <f t="shared" si="39"/>
        <v>10</v>
      </c>
      <c r="P76" s="501">
        <f t="shared" si="40"/>
        <v>1</v>
      </c>
      <c r="Q76" s="7">
        <f t="shared" ref="Q76:Z76" si="51">AVERAGE(C13)</f>
        <v>0</v>
      </c>
      <c r="R76" s="7">
        <f t="shared" si="51"/>
        <v>0</v>
      </c>
      <c r="S76" s="7">
        <f t="shared" si="51"/>
        <v>1</v>
      </c>
      <c r="T76" s="7">
        <f t="shared" si="51"/>
        <v>0</v>
      </c>
      <c r="U76" s="7">
        <f t="shared" si="51"/>
        <v>1</v>
      </c>
      <c r="V76" s="7">
        <f t="shared" si="51"/>
        <v>0</v>
      </c>
      <c r="W76" s="7">
        <f t="shared" si="51"/>
        <v>0</v>
      </c>
      <c r="X76" s="7">
        <f t="shared" si="51"/>
        <v>0</v>
      </c>
      <c r="Y76" s="7">
        <f t="shared" si="51"/>
        <v>0</v>
      </c>
      <c r="Z76" s="57">
        <f t="shared" si="51"/>
        <v>0</v>
      </c>
      <c r="AA76">
        <f t="shared" si="42"/>
        <v>0.27272727272727271</v>
      </c>
    </row>
    <row r="77" spans="15:27" x14ac:dyDescent="0.25">
      <c r="O77">
        <f t="shared" si="39"/>
        <v>11</v>
      </c>
      <c r="P77" s="501">
        <f t="shared" si="40"/>
        <v>1</v>
      </c>
      <c r="Q77" s="7">
        <f t="shared" ref="Q77:Z77" si="52">AVERAGE(C14)</f>
        <v>1</v>
      </c>
      <c r="R77" s="7">
        <f t="shared" si="52"/>
        <v>1</v>
      </c>
      <c r="S77" s="7">
        <f t="shared" si="52"/>
        <v>0</v>
      </c>
      <c r="T77" s="7">
        <f t="shared" si="52"/>
        <v>0</v>
      </c>
      <c r="U77" s="7">
        <f t="shared" si="52"/>
        <v>0</v>
      </c>
      <c r="V77" s="7">
        <f t="shared" si="52"/>
        <v>0</v>
      </c>
      <c r="W77" s="7">
        <f t="shared" si="52"/>
        <v>0</v>
      </c>
      <c r="X77" s="7">
        <f t="shared" si="52"/>
        <v>0</v>
      </c>
      <c r="Y77" s="7">
        <f t="shared" si="52"/>
        <v>0</v>
      </c>
      <c r="Z77" s="57">
        <f t="shared" si="52"/>
        <v>0</v>
      </c>
      <c r="AA77">
        <f t="shared" si="42"/>
        <v>0.27272727272727271</v>
      </c>
    </row>
    <row r="78" spans="15:27" x14ac:dyDescent="0.25">
      <c r="O78">
        <f t="shared" si="39"/>
        <v>12</v>
      </c>
      <c r="P78" s="759">
        <f t="shared" si="40"/>
        <v>1</v>
      </c>
      <c r="Q78" s="760">
        <f t="shared" ref="Q78:Z78" si="53">AVERAGE(C15)</f>
        <v>0</v>
      </c>
      <c r="R78" s="760">
        <f t="shared" si="53"/>
        <v>0</v>
      </c>
      <c r="S78" s="760">
        <f t="shared" si="53"/>
        <v>1</v>
      </c>
      <c r="T78" s="760">
        <f t="shared" si="53"/>
        <v>0</v>
      </c>
      <c r="U78" s="760">
        <f t="shared" si="53"/>
        <v>0</v>
      </c>
      <c r="V78" s="760">
        <f t="shared" si="53"/>
        <v>0</v>
      </c>
      <c r="W78" s="760">
        <f t="shared" si="53"/>
        <v>0</v>
      </c>
      <c r="X78" s="760">
        <f t="shared" si="53"/>
        <v>0</v>
      </c>
      <c r="Y78" s="760">
        <f t="shared" si="53"/>
        <v>0</v>
      </c>
      <c r="Z78" s="761">
        <f t="shared" si="53"/>
        <v>0</v>
      </c>
      <c r="AA78">
        <f t="shared" si="42"/>
        <v>0.18181818181818182</v>
      </c>
    </row>
    <row r="79" spans="15:27" x14ac:dyDescent="0.25">
      <c r="P79">
        <f>AVERAGE(B4:B15)</f>
        <v>0.83333333333333337</v>
      </c>
      <c r="Q79">
        <f t="shared" ref="Q79:Z79" si="54">AVERAGE(C4:C15)</f>
        <v>0.75</v>
      </c>
      <c r="R79">
        <f t="shared" si="54"/>
        <v>0.75</v>
      </c>
      <c r="S79">
        <f t="shared" si="54"/>
        <v>0.75</v>
      </c>
      <c r="T79">
        <f t="shared" si="54"/>
        <v>0.66666666666666663</v>
      </c>
      <c r="U79">
        <f t="shared" si="54"/>
        <v>0.5</v>
      </c>
      <c r="V79">
        <f t="shared" si="54"/>
        <v>0.41666666666666669</v>
      </c>
      <c r="W79">
        <f t="shared" si="54"/>
        <v>0.41666666666666669</v>
      </c>
      <c r="X79">
        <f t="shared" si="54"/>
        <v>0.33333333333333331</v>
      </c>
      <c r="Y79">
        <f t="shared" si="54"/>
        <v>0.25</v>
      </c>
      <c r="Z79">
        <f t="shared" si="54"/>
        <v>8.3333333333333329E-2</v>
      </c>
      <c r="AA79">
        <f>AVERAGE(B4:L15)</f>
        <v>0.52272727272727271</v>
      </c>
    </row>
    <row r="81" spans="15:27" x14ac:dyDescent="0.25">
      <c r="O81" t="s">
        <v>1667</v>
      </c>
    </row>
    <row r="82" spans="15:27" x14ac:dyDescent="0.25">
      <c r="P82" s="871" t="str">
        <f>B3</f>
        <v>Q1</v>
      </c>
      <c r="Q82" s="871" t="str">
        <f t="shared" ref="Q82:Z82" si="55">C3</f>
        <v>Q2</v>
      </c>
      <c r="R82" s="871" t="str">
        <f t="shared" si="55"/>
        <v>Q3</v>
      </c>
      <c r="S82" s="871" t="str">
        <f t="shared" si="55"/>
        <v>Q4</v>
      </c>
      <c r="T82" s="871" t="str">
        <f t="shared" si="55"/>
        <v>Q5</v>
      </c>
      <c r="U82" s="871" t="str">
        <f t="shared" si="55"/>
        <v>Q6</v>
      </c>
      <c r="V82" s="871" t="str">
        <f t="shared" si="55"/>
        <v>Q7</v>
      </c>
      <c r="W82" s="871" t="str">
        <f t="shared" si="55"/>
        <v>Q8</v>
      </c>
      <c r="X82" s="871" t="str">
        <f t="shared" si="55"/>
        <v>Q9</v>
      </c>
      <c r="Y82" s="871" t="str">
        <f t="shared" si="55"/>
        <v>Q10</v>
      </c>
      <c r="Z82" s="871" t="str">
        <f t="shared" si="55"/>
        <v>Q11</v>
      </c>
    </row>
    <row r="83" spans="15:27" x14ac:dyDescent="0.25">
      <c r="O83">
        <f t="shared" ref="O83:O94" si="56">A4</f>
        <v>1</v>
      </c>
      <c r="P83" s="865" t="e">
        <f t="shared" ref="P83:P94" si="57">VAR(B4)</f>
        <v>#DIV/0!</v>
      </c>
      <c r="Q83" s="798" t="e">
        <f t="shared" ref="Q83:Z83" si="58">VAR(C4)</f>
        <v>#DIV/0!</v>
      </c>
      <c r="R83" s="798" t="e">
        <f t="shared" si="58"/>
        <v>#DIV/0!</v>
      </c>
      <c r="S83" s="798" t="e">
        <f t="shared" si="58"/>
        <v>#DIV/0!</v>
      </c>
      <c r="T83" s="798" t="e">
        <f t="shared" si="58"/>
        <v>#DIV/0!</v>
      </c>
      <c r="U83" s="798" t="e">
        <f t="shared" si="58"/>
        <v>#DIV/0!</v>
      </c>
      <c r="V83" s="798" t="e">
        <f t="shared" si="58"/>
        <v>#DIV/0!</v>
      </c>
      <c r="W83" s="798" t="e">
        <f t="shared" si="58"/>
        <v>#DIV/0!</v>
      </c>
      <c r="X83" s="798" t="e">
        <f t="shared" si="58"/>
        <v>#DIV/0!</v>
      </c>
      <c r="Y83" s="798" t="e">
        <f t="shared" si="58"/>
        <v>#DIV/0!</v>
      </c>
      <c r="Z83" s="866" t="e">
        <f t="shared" si="58"/>
        <v>#DIV/0!</v>
      </c>
      <c r="AA83">
        <f t="shared" ref="AA83:AA94" si="59">VAR(B4:L4)</f>
        <v>0</v>
      </c>
    </row>
    <row r="84" spans="15:27" x14ac:dyDescent="0.25">
      <c r="O84">
        <f t="shared" si="56"/>
        <v>2</v>
      </c>
      <c r="P84" s="501" t="e">
        <f t="shared" si="57"/>
        <v>#DIV/0!</v>
      </c>
      <c r="Q84" s="7" t="e">
        <f t="shared" ref="Q84:Z84" si="60">VAR(C5)</f>
        <v>#DIV/0!</v>
      </c>
      <c r="R84" s="7" t="e">
        <f t="shared" si="60"/>
        <v>#DIV/0!</v>
      </c>
      <c r="S84" s="7" t="e">
        <f t="shared" si="60"/>
        <v>#DIV/0!</v>
      </c>
      <c r="T84" s="7" t="e">
        <f t="shared" si="60"/>
        <v>#DIV/0!</v>
      </c>
      <c r="U84" s="7" t="e">
        <f t="shared" si="60"/>
        <v>#DIV/0!</v>
      </c>
      <c r="V84" s="7" t="e">
        <f t="shared" si="60"/>
        <v>#DIV/0!</v>
      </c>
      <c r="W84" s="7" t="e">
        <f t="shared" si="60"/>
        <v>#DIV/0!</v>
      </c>
      <c r="X84" s="7" t="e">
        <f t="shared" si="60"/>
        <v>#DIV/0!</v>
      </c>
      <c r="Y84" s="7" t="e">
        <f t="shared" si="60"/>
        <v>#DIV/0!</v>
      </c>
      <c r="Z84" s="57" t="e">
        <f t="shared" si="60"/>
        <v>#DIV/0!</v>
      </c>
      <c r="AA84">
        <f t="shared" si="59"/>
        <v>0.16363636363636366</v>
      </c>
    </row>
    <row r="85" spans="15:27" x14ac:dyDescent="0.25">
      <c r="O85">
        <f t="shared" si="56"/>
        <v>3</v>
      </c>
      <c r="P85" s="501" t="e">
        <f t="shared" si="57"/>
        <v>#DIV/0!</v>
      </c>
      <c r="Q85" s="7" t="e">
        <f t="shared" ref="Q85:Z85" si="61">VAR(C6)</f>
        <v>#DIV/0!</v>
      </c>
      <c r="R85" s="7" t="e">
        <f t="shared" si="61"/>
        <v>#DIV/0!</v>
      </c>
      <c r="S85" s="7" t="e">
        <f t="shared" si="61"/>
        <v>#DIV/0!</v>
      </c>
      <c r="T85" s="7" t="e">
        <f t="shared" si="61"/>
        <v>#DIV/0!</v>
      </c>
      <c r="U85" s="7" t="e">
        <f t="shared" si="61"/>
        <v>#DIV/0!</v>
      </c>
      <c r="V85" s="7" t="e">
        <f t="shared" si="61"/>
        <v>#DIV/0!</v>
      </c>
      <c r="W85" s="7" t="e">
        <f t="shared" si="61"/>
        <v>#DIV/0!</v>
      </c>
      <c r="X85" s="7" t="e">
        <f t="shared" si="61"/>
        <v>#DIV/0!</v>
      </c>
      <c r="Y85" s="7" t="e">
        <f t="shared" si="61"/>
        <v>#DIV/0!</v>
      </c>
      <c r="Z85" s="57" t="e">
        <f t="shared" si="61"/>
        <v>#DIV/0!</v>
      </c>
      <c r="AA85">
        <f t="shared" si="59"/>
        <v>0.21818181818181817</v>
      </c>
    </row>
    <row r="86" spans="15:27" x14ac:dyDescent="0.25">
      <c r="O86">
        <f t="shared" si="56"/>
        <v>4</v>
      </c>
      <c r="P86" s="501" t="e">
        <f t="shared" si="57"/>
        <v>#DIV/0!</v>
      </c>
      <c r="Q86" s="7" t="e">
        <f t="shared" ref="Q86:Z86" si="62">VAR(C7)</f>
        <v>#DIV/0!</v>
      </c>
      <c r="R86" s="7" t="e">
        <f t="shared" si="62"/>
        <v>#DIV/0!</v>
      </c>
      <c r="S86" s="7" t="e">
        <f t="shared" si="62"/>
        <v>#DIV/0!</v>
      </c>
      <c r="T86" s="7" t="e">
        <f t="shared" si="62"/>
        <v>#DIV/0!</v>
      </c>
      <c r="U86" s="7" t="e">
        <f t="shared" si="62"/>
        <v>#DIV/0!</v>
      </c>
      <c r="V86" s="7" t="e">
        <f t="shared" si="62"/>
        <v>#DIV/0!</v>
      </c>
      <c r="W86" s="7" t="e">
        <f t="shared" si="62"/>
        <v>#DIV/0!</v>
      </c>
      <c r="X86" s="7" t="e">
        <f t="shared" si="62"/>
        <v>#DIV/0!</v>
      </c>
      <c r="Y86" s="7" t="e">
        <f t="shared" si="62"/>
        <v>#DIV/0!</v>
      </c>
      <c r="Z86" s="57" t="e">
        <f t="shared" si="62"/>
        <v>#DIV/0!</v>
      </c>
      <c r="AA86">
        <f t="shared" si="59"/>
        <v>0.25454545454545457</v>
      </c>
    </row>
    <row r="87" spans="15:27" x14ac:dyDescent="0.25">
      <c r="O87">
        <f t="shared" si="56"/>
        <v>5</v>
      </c>
      <c r="P87" s="501" t="e">
        <f t="shared" si="57"/>
        <v>#DIV/0!</v>
      </c>
      <c r="Q87" s="7" t="e">
        <f t="shared" ref="Q87:Z87" si="63">VAR(C8)</f>
        <v>#DIV/0!</v>
      </c>
      <c r="R87" s="7" t="e">
        <f t="shared" si="63"/>
        <v>#DIV/0!</v>
      </c>
      <c r="S87" s="7" t="e">
        <f t="shared" si="63"/>
        <v>#DIV/0!</v>
      </c>
      <c r="T87" s="7" t="e">
        <f t="shared" si="63"/>
        <v>#DIV/0!</v>
      </c>
      <c r="U87" s="7" t="e">
        <f t="shared" si="63"/>
        <v>#DIV/0!</v>
      </c>
      <c r="V87" s="7" t="e">
        <f t="shared" si="63"/>
        <v>#DIV/0!</v>
      </c>
      <c r="W87" s="7" t="e">
        <f t="shared" si="63"/>
        <v>#DIV/0!</v>
      </c>
      <c r="X87" s="7" t="e">
        <f t="shared" si="63"/>
        <v>#DIV/0!</v>
      </c>
      <c r="Y87" s="7" t="e">
        <f t="shared" si="63"/>
        <v>#DIV/0!</v>
      </c>
      <c r="Z87" s="57" t="e">
        <f t="shared" si="63"/>
        <v>#DIV/0!</v>
      </c>
      <c r="AA87">
        <f t="shared" si="59"/>
        <v>0.27272727272727271</v>
      </c>
    </row>
    <row r="88" spans="15:27" x14ac:dyDescent="0.25">
      <c r="O88">
        <f t="shared" si="56"/>
        <v>6</v>
      </c>
      <c r="P88" s="501" t="e">
        <f t="shared" si="57"/>
        <v>#DIV/0!</v>
      </c>
      <c r="Q88" s="7" t="e">
        <f t="shared" ref="Q88:Z88" si="64">VAR(C9)</f>
        <v>#DIV/0!</v>
      </c>
      <c r="R88" s="7" t="e">
        <f t="shared" si="64"/>
        <v>#DIV/0!</v>
      </c>
      <c r="S88" s="7" t="e">
        <f t="shared" si="64"/>
        <v>#DIV/0!</v>
      </c>
      <c r="T88" s="7" t="e">
        <f t="shared" si="64"/>
        <v>#DIV/0!</v>
      </c>
      <c r="U88" s="7" t="e">
        <f t="shared" si="64"/>
        <v>#DIV/0!</v>
      </c>
      <c r="V88" s="7" t="e">
        <f t="shared" si="64"/>
        <v>#DIV/0!</v>
      </c>
      <c r="W88" s="7" t="e">
        <f t="shared" si="64"/>
        <v>#DIV/0!</v>
      </c>
      <c r="X88" s="7" t="e">
        <f t="shared" si="64"/>
        <v>#DIV/0!</v>
      </c>
      <c r="Y88" s="7" t="e">
        <f t="shared" si="64"/>
        <v>#DIV/0!</v>
      </c>
      <c r="Z88" s="57" t="e">
        <f t="shared" si="64"/>
        <v>#DIV/0!</v>
      </c>
      <c r="AA88">
        <f t="shared" si="59"/>
        <v>0.27272727272727271</v>
      </c>
    </row>
    <row r="89" spans="15:27" x14ac:dyDescent="0.25">
      <c r="O89">
        <f t="shared" si="56"/>
        <v>7</v>
      </c>
      <c r="P89" s="501" t="e">
        <f t="shared" si="57"/>
        <v>#DIV/0!</v>
      </c>
      <c r="Q89" s="7" t="e">
        <f t="shared" ref="Q89:Z89" si="65">VAR(C10)</f>
        <v>#DIV/0!</v>
      </c>
      <c r="R89" s="7" t="e">
        <f t="shared" si="65"/>
        <v>#DIV/0!</v>
      </c>
      <c r="S89" s="7" t="e">
        <f t="shared" si="65"/>
        <v>#DIV/0!</v>
      </c>
      <c r="T89" s="7" t="e">
        <f t="shared" si="65"/>
        <v>#DIV/0!</v>
      </c>
      <c r="U89" s="7" t="e">
        <f t="shared" si="65"/>
        <v>#DIV/0!</v>
      </c>
      <c r="V89" s="7" t="e">
        <f t="shared" si="65"/>
        <v>#DIV/0!</v>
      </c>
      <c r="W89" s="7" t="e">
        <f t="shared" si="65"/>
        <v>#DIV/0!</v>
      </c>
      <c r="X89" s="7" t="e">
        <f t="shared" si="65"/>
        <v>#DIV/0!</v>
      </c>
      <c r="Y89" s="7" t="e">
        <f t="shared" si="65"/>
        <v>#DIV/0!</v>
      </c>
      <c r="Z89" s="57" t="e">
        <f t="shared" si="65"/>
        <v>#DIV/0!</v>
      </c>
      <c r="AA89">
        <f t="shared" si="59"/>
        <v>0.27272727272727271</v>
      </c>
    </row>
    <row r="90" spans="15:27" x14ac:dyDescent="0.25">
      <c r="O90">
        <f t="shared" si="56"/>
        <v>8</v>
      </c>
      <c r="P90" s="501" t="e">
        <f t="shared" si="57"/>
        <v>#DIV/0!</v>
      </c>
      <c r="Q90" s="7" t="e">
        <f t="shared" ref="Q90:Z90" si="66">VAR(C11)</f>
        <v>#DIV/0!</v>
      </c>
      <c r="R90" s="7" t="e">
        <f t="shared" si="66"/>
        <v>#DIV/0!</v>
      </c>
      <c r="S90" s="7" t="e">
        <f t="shared" si="66"/>
        <v>#DIV/0!</v>
      </c>
      <c r="T90" s="7" t="e">
        <f t="shared" si="66"/>
        <v>#DIV/0!</v>
      </c>
      <c r="U90" s="7" t="e">
        <f t="shared" si="66"/>
        <v>#DIV/0!</v>
      </c>
      <c r="V90" s="7" t="e">
        <f t="shared" si="66"/>
        <v>#DIV/0!</v>
      </c>
      <c r="W90" s="7" t="e">
        <f t="shared" si="66"/>
        <v>#DIV/0!</v>
      </c>
      <c r="X90" s="7" t="e">
        <f t="shared" si="66"/>
        <v>#DIV/0!</v>
      </c>
      <c r="Y90" s="7" t="e">
        <f t="shared" si="66"/>
        <v>#DIV/0!</v>
      </c>
      <c r="Z90" s="57" t="e">
        <f t="shared" si="66"/>
        <v>#DIV/0!</v>
      </c>
      <c r="AA90">
        <f t="shared" si="59"/>
        <v>0.27272727272727271</v>
      </c>
    </row>
    <row r="91" spans="15:27" x14ac:dyDescent="0.25">
      <c r="O91">
        <f t="shared" si="56"/>
        <v>9</v>
      </c>
      <c r="P91" s="501" t="e">
        <f t="shared" si="57"/>
        <v>#DIV/0!</v>
      </c>
      <c r="Q91" s="7" t="e">
        <f t="shared" ref="Q91:Z91" si="67">VAR(C12)</f>
        <v>#DIV/0!</v>
      </c>
      <c r="R91" s="7" t="e">
        <f t="shared" si="67"/>
        <v>#DIV/0!</v>
      </c>
      <c r="S91" s="7" t="e">
        <f t="shared" si="67"/>
        <v>#DIV/0!</v>
      </c>
      <c r="T91" s="7" t="e">
        <f t="shared" si="67"/>
        <v>#DIV/0!</v>
      </c>
      <c r="U91" s="7" t="e">
        <f t="shared" si="67"/>
        <v>#DIV/0!</v>
      </c>
      <c r="V91" s="7" t="e">
        <f t="shared" si="67"/>
        <v>#DIV/0!</v>
      </c>
      <c r="W91" s="7" t="e">
        <f t="shared" si="67"/>
        <v>#DIV/0!</v>
      </c>
      <c r="X91" s="7" t="e">
        <f t="shared" si="67"/>
        <v>#DIV/0!</v>
      </c>
      <c r="Y91" s="7" t="e">
        <f t="shared" si="67"/>
        <v>#DIV/0!</v>
      </c>
      <c r="Z91" s="57" t="e">
        <f t="shared" si="67"/>
        <v>#DIV/0!</v>
      </c>
      <c r="AA91">
        <f t="shared" si="59"/>
        <v>0.25454545454545452</v>
      </c>
    </row>
    <row r="92" spans="15:27" x14ac:dyDescent="0.25">
      <c r="O92">
        <f t="shared" si="56"/>
        <v>10</v>
      </c>
      <c r="P92" s="501" t="e">
        <f t="shared" si="57"/>
        <v>#DIV/0!</v>
      </c>
      <c r="Q92" s="7" t="e">
        <f t="shared" ref="Q92:Z92" si="68">VAR(C13)</f>
        <v>#DIV/0!</v>
      </c>
      <c r="R92" s="7" t="e">
        <f t="shared" si="68"/>
        <v>#DIV/0!</v>
      </c>
      <c r="S92" s="7" t="e">
        <f t="shared" si="68"/>
        <v>#DIV/0!</v>
      </c>
      <c r="T92" s="7" t="e">
        <f t="shared" si="68"/>
        <v>#DIV/0!</v>
      </c>
      <c r="U92" s="7" t="e">
        <f t="shared" si="68"/>
        <v>#DIV/0!</v>
      </c>
      <c r="V92" s="7" t="e">
        <f t="shared" si="68"/>
        <v>#DIV/0!</v>
      </c>
      <c r="W92" s="7" t="e">
        <f t="shared" si="68"/>
        <v>#DIV/0!</v>
      </c>
      <c r="X92" s="7" t="e">
        <f t="shared" si="68"/>
        <v>#DIV/0!</v>
      </c>
      <c r="Y92" s="7" t="e">
        <f t="shared" si="68"/>
        <v>#DIV/0!</v>
      </c>
      <c r="Z92" s="57" t="e">
        <f t="shared" si="68"/>
        <v>#DIV/0!</v>
      </c>
      <c r="AA92">
        <f t="shared" si="59"/>
        <v>0.21818181818181817</v>
      </c>
    </row>
    <row r="93" spans="15:27" x14ac:dyDescent="0.25">
      <c r="O93">
        <f t="shared" si="56"/>
        <v>11</v>
      </c>
      <c r="P93" s="501" t="e">
        <f t="shared" si="57"/>
        <v>#DIV/0!</v>
      </c>
      <c r="Q93" s="7" t="e">
        <f t="shared" ref="Q93:Z93" si="69">VAR(C14)</f>
        <v>#DIV/0!</v>
      </c>
      <c r="R93" s="7" t="e">
        <f t="shared" si="69"/>
        <v>#DIV/0!</v>
      </c>
      <c r="S93" s="7" t="e">
        <f t="shared" si="69"/>
        <v>#DIV/0!</v>
      </c>
      <c r="T93" s="7" t="e">
        <f t="shared" si="69"/>
        <v>#DIV/0!</v>
      </c>
      <c r="U93" s="7" t="e">
        <f t="shared" si="69"/>
        <v>#DIV/0!</v>
      </c>
      <c r="V93" s="7" t="e">
        <f t="shared" si="69"/>
        <v>#DIV/0!</v>
      </c>
      <c r="W93" s="7" t="e">
        <f t="shared" si="69"/>
        <v>#DIV/0!</v>
      </c>
      <c r="X93" s="7" t="e">
        <f t="shared" si="69"/>
        <v>#DIV/0!</v>
      </c>
      <c r="Y93" s="7" t="e">
        <f t="shared" si="69"/>
        <v>#DIV/0!</v>
      </c>
      <c r="Z93" s="57" t="e">
        <f t="shared" si="69"/>
        <v>#DIV/0!</v>
      </c>
      <c r="AA93">
        <f t="shared" si="59"/>
        <v>0.21818181818181817</v>
      </c>
    </row>
    <row r="94" spans="15:27" x14ac:dyDescent="0.25">
      <c r="O94">
        <f t="shared" si="56"/>
        <v>12</v>
      </c>
      <c r="P94" s="759" t="e">
        <f t="shared" si="57"/>
        <v>#DIV/0!</v>
      </c>
      <c r="Q94" s="760" t="e">
        <f t="shared" ref="Q94:Z94" si="70">VAR(C15)</f>
        <v>#DIV/0!</v>
      </c>
      <c r="R94" s="760" t="e">
        <f t="shared" si="70"/>
        <v>#DIV/0!</v>
      </c>
      <c r="S94" s="760" t="e">
        <f t="shared" si="70"/>
        <v>#DIV/0!</v>
      </c>
      <c r="T94" s="760" t="e">
        <f t="shared" si="70"/>
        <v>#DIV/0!</v>
      </c>
      <c r="U94" s="760" t="e">
        <f t="shared" si="70"/>
        <v>#DIV/0!</v>
      </c>
      <c r="V94" s="760" t="e">
        <f t="shared" si="70"/>
        <v>#DIV/0!</v>
      </c>
      <c r="W94" s="760" t="e">
        <f t="shared" si="70"/>
        <v>#DIV/0!</v>
      </c>
      <c r="X94" s="760" t="e">
        <f t="shared" si="70"/>
        <v>#DIV/0!</v>
      </c>
      <c r="Y94" s="760" t="e">
        <f t="shared" si="70"/>
        <v>#DIV/0!</v>
      </c>
      <c r="Z94" s="761" t="e">
        <f t="shared" si="70"/>
        <v>#DIV/0!</v>
      </c>
      <c r="AA94">
        <f t="shared" si="59"/>
        <v>0.16363636363636364</v>
      </c>
    </row>
    <row r="95" spans="15:27" x14ac:dyDescent="0.25">
      <c r="P95">
        <f>VAR(B4:B15)</f>
        <v>0.15151515151515146</v>
      </c>
      <c r="Q95">
        <f t="shared" ref="Q95:Z95" si="71">VAR(C4:C15)</f>
        <v>0.20454545454545456</v>
      </c>
      <c r="R95">
        <f t="shared" si="71"/>
        <v>0.20454545454545456</v>
      </c>
      <c r="S95">
        <f t="shared" si="71"/>
        <v>0.20454545454545456</v>
      </c>
      <c r="T95">
        <f t="shared" si="71"/>
        <v>0.24242424242424246</v>
      </c>
      <c r="U95">
        <f t="shared" si="71"/>
        <v>0.27272727272727271</v>
      </c>
      <c r="V95">
        <f t="shared" si="71"/>
        <v>0.26515151515151514</v>
      </c>
      <c r="W95">
        <f t="shared" si="71"/>
        <v>0.26515151515151514</v>
      </c>
      <c r="X95">
        <f t="shared" si="71"/>
        <v>0.24242424242424246</v>
      </c>
      <c r="Y95">
        <f t="shared" si="71"/>
        <v>0.20454545454545456</v>
      </c>
      <c r="Z95">
        <f t="shared" si="71"/>
        <v>8.3333333333333329E-2</v>
      </c>
      <c r="AA95">
        <f>VAR(B4:L15)</f>
        <v>0.25138792505204716</v>
      </c>
    </row>
  </sheetData>
  <pageMargins left="0.7" right="0.7" top="0.75" bottom="0.75" header="0.3" footer="0.3"/>
  <ignoredErrors>
    <ignoredError sqref="M4" formulaRange="1"/>
  </ignoredError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T46"/>
  <sheetViews>
    <sheetView workbookViewId="0"/>
  </sheetViews>
  <sheetFormatPr defaultRowHeight="15" x14ac:dyDescent="0.25"/>
  <cols>
    <col min="1" max="12" width="7.7109375" customWidth="1"/>
    <col min="14" max="14" width="14.28515625" customWidth="1"/>
  </cols>
  <sheetData>
    <row r="1" spans="1:18" x14ac:dyDescent="0.25">
      <c r="A1" s="1" t="s">
        <v>943</v>
      </c>
    </row>
    <row r="3" spans="1:18" x14ac:dyDescent="0.25">
      <c r="B3" s="718" t="s">
        <v>55</v>
      </c>
      <c r="C3" s="718" t="s">
        <v>929</v>
      </c>
      <c r="D3" s="718" t="s">
        <v>930</v>
      </c>
      <c r="E3" s="718" t="s">
        <v>931</v>
      </c>
      <c r="F3" s="718" t="s">
        <v>932</v>
      </c>
      <c r="G3" s="718" t="s">
        <v>933</v>
      </c>
      <c r="H3" s="718" t="s">
        <v>934</v>
      </c>
      <c r="I3" s="718" t="s">
        <v>935</v>
      </c>
      <c r="J3" s="718" t="s">
        <v>936</v>
      </c>
      <c r="K3" s="718" t="s">
        <v>937</v>
      </c>
      <c r="L3" s="718" t="s">
        <v>1</v>
      </c>
      <c r="N3" t="s">
        <v>587</v>
      </c>
    </row>
    <row r="4" spans="1:18" ht="15.75" thickBot="1" x14ac:dyDescent="0.3">
      <c r="A4" s="465">
        <v>1</v>
      </c>
      <c r="B4" s="470">
        <v>3</v>
      </c>
      <c r="C4" s="471">
        <v>2</v>
      </c>
      <c r="D4" s="471">
        <v>4</v>
      </c>
      <c r="E4" s="471">
        <v>1</v>
      </c>
      <c r="F4" s="471">
        <v>4</v>
      </c>
      <c r="G4" s="471">
        <v>5</v>
      </c>
      <c r="H4" s="471">
        <v>1</v>
      </c>
      <c r="I4" s="471">
        <v>4</v>
      </c>
      <c r="J4" s="471">
        <v>3</v>
      </c>
      <c r="K4" s="472">
        <v>2</v>
      </c>
      <c r="L4" s="465">
        <f t="shared" ref="L4:L12" si="0">SUM(B4:K4)</f>
        <v>29</v>
      </c>
    </row>
    <row r="5" spans="1:18" x14ac:dyDescent="0.25">
      <c r="A5" s="465">
        <f>A4+1</f>
        <v>2</v>
      </c>
      <c r="B5" s="473">
        <v>5</v>
      </c>
      <c r="C5" s="465">
        <v>4</v>
      </c>
      <c r="D5" s="465">
        <v>6</v>
      </c>
      <c r="E5" s="465">
        <v>3</v>
      </c>
      <c r="F5" s="465">
        <v>5</v>
      </c>
      <c r="G5" s="465">
        <v>1</v>
      </c>
      <c r="H5" s="465">
        <v>2</v>
      </c>
      <c r="I5" s="465">
        <v>5</v>
      </c>
      <c r="J5" s="465">
        <v>5</v>
      </c>
      <c r="K5" s="474">
        <v>5</v>
      </c>
      <c r="L5" s="465">
        <f t="shared" si="0"/>
        <v>41</v>
      </c>
      <c r="N5" s="719" t="s">
        <v>62</v>
      </c>
      <c r="O5" s="719" t="s">
        <v>22</v>
      </c>
      <c r="P5" s="719" t="s">
        <v>21</v>
      </c>
      <c r="Q5" s="719" t="s">
        <v>465</v>
      </c>
      <c r="R5" s="719" t="s">
        <v>80</v>
      </c>
    </row>
    <row r="6" spans="1:18" x14ac:dyDescent="0.25">
      <c r="A6" s="465">
        <f t="shared" ref="A6:A18" si="1">A5+1</f>
        <v>3</v>
      </c>
      <c r="B6" s="473">
        <v>7</v>
      </c>
      <c r="C6" s="465">
        <v>3</v>
      </c>
      <c r="D6" s="465">
        <v>5</v>
      </c>
      <c r="E6" s="465">
        <v>5</v>
      </c>
      <c r="F6" s="465">
        <v>6</v>
      </c>
      <c r="G6" s="465">
        <v>4</v>
      </c>
      <c r="H6" s="465">
        <v>3</v>
      </c>
      <c r="I6" s="465">
        <v>3</v>
      </c>
      <c r="J6" s="465">
        <v>6</v>
      </c>
      <c r="K6" s="474">
        <v>5</v>
      </c>
      <c r="L6" s="465">
        <f t="shared" si="0"/>
        <v>47</v>
      </c>
      <c r="N6" s="19">
        <v>1</v>
      </c>
      <c r="O6" s="19">
        <v>10</v>
      </c>
      <c r="P6" s="19">
        <v>29</v>
      </c>
      <c r="Q6" s="19">
        <v>2.9</v>
      </c>
      <c r="R6" s="19">
        <v>1.8777777777777784</v>
      </c>
    </row>
    <row r="7" spans="1:18" x14ac:dyDescent="0.25">
      <c r="A7" s="465">
        <f t="shared" si="1"/>
        <v>4</v>
      </c>
      <c r="B7" s="473">
        <v>2</v>
      </c>
      <c r="C7" s="465">
        <v>4</v>
      </c>
      <c r="D7" s="465">
        <v>3</v>
      </c>
      <c r="E7" s="465">
        <v>3</v>
      </c>
      <c r="F7" s="465">
        <v>2</v>
      </c>
      <c r="G7" s="465">
        <v>2</v>
      </c>
      <c r="H7" s="465">
        <v>2</v>
      </c>
      <c r="I7" s="465">
        <v>6</v>
      </c>
      <c r="J7" s="465">
        <v>6</v>
      </c>
      <c r="K7" s="474">
        <v>3</v>
      </c>
      <c r="L7" s="465">
        <f t="shared" si="0"/>
        <v>33</v>
      </c>
      <c r="N7" s="19">
        <v>2</v>
      </c>
      <c r="O7" s="19">
        <v>10</v>
      </c>
      <c r="P7" s="19">
        <v>41</v>
      </c>
      <c r="Q7" s="19">
        <v>4.0999999999999996</v>
      </c>
      <c r="R7" s="19">
        <v>2.5444444444444452</v>
      </c>
    </row>
    <row r="8" spans="1:18" x14ac:dyDescent="0.25">
      <c r="A8" s="465">
        <f t="shared" si="1"/>
        <v>5</v>
      </c>
      <c r="B8" s="473">
        <v>6</v>
      </c>
      <c r="C8" s="465">
        <v>5</v>
      </c>
      <c r="D8" s="465">
        <v>6</v>
      </c>
      <c r="E8" s="465">
        <v>5</v>
      </c>
      <c r="F8" s="465">
        <v>4</v>
      </c>
      <c r="G8" s="465">
        <v>4</v>
      </c>
      <c r="H8" s="465">
        <v>4</v>
      </c>
      <c r="I8" s="465">
        <v>6</v>
      </c>
      <c r="J8" s="465">
        <v>7</v>
      </c>
      <c r="K8" s="474">
        <v>5</v>
      </c>
      <c r="L8" s="465">
        <f t="shared" si="0"/>
        <v>52</v>
      </c>
      <c r="N8" s="19">
        <v>3</v>
      </c>
      <c r="O8" s="19">
        <v>10</v>
      </c>
      <c r="P8" s="19">
        <v>47</v>
      </c>
      <c r="Q8" s="19">
        <v>4.7</v>
      </c>
      <c r="R8" s="19">
        <v>2.0111111111111106</v>
      </c>
    </row>
    <row r="9" spans="1:18" x14ac:dyDescent="0.25">
      <c r="A9" s="465">
        <f t="shared" si="1"/>
        <v>6</v>
      </c>
      <c r="B9" s="473">
        <v>1</v>
      </c>
      <c r="C9" s="465">
        <v>2</v>
      </c>
      <c r="D9" s="465">
        <v>3</v>
      </c>
      <c r="E9" s="465">
        <v>4</v>
      </c>
      <c r="F9" s="465">
        <v>2</v>
      </c>
      <c r="G9" s="465">
        <v>5</v>
      </c>
      <c r="H9" s="465">
        <v>2</v>
      </c>
      <c r="I9" s="465">
        <v>3</v>
      </c>
      <c r="J9" s="465">
        <v>5</v>
      </c>
      <c r="K9" s="474">
        <v>2</v>
      </c>
      <c r="L9" s="465">
        <f t="shared" si="0"/>
        <v>29</v>
      </c>
      <c r="N9" s="19">
        <v>4</v>
      </c>
      <c r="O9" s="19">
        <v>10</v>
      </c>
      <c r="P9" s="19">
        <v>33</v>
      </c>
      <c r="Q9" s="19">
        <v>3.3</v>
      </c>
      <c r="R9" s="19">
        <v>2.4555555555555548</v>
      </c>
    </row>
    <row r="10" spans="1:18" x14ac:dyDescent="0.25">
      <c r="A10" s="465">
        <f t="shared" si="1"/>
        <v>7</v>
      </c>
      <c r="B10" s="473">
        <v>4</v>
      </c>
      <c r="C10" s="465">
        <v>3</v>
      </c>
      <c r="D10" s="465">
        <v>5</v>
      </c>
      <c r="E10" s="465">
        <v>3</v>
      </c>
      <c r="F10" s="465">
        <v>5</v>
      </c>
      <c r="G10" s="465">
        <v>2</v>
      </c>
      <c r="H10" s="465">
        <v>1</v>
      </c>
      <c r="I10" s="465">
        <v>2</v>
      </c>
      <c r="J10" s="465">
        <v>4</v>
      </c>
      <c r="K10" s="721">
        <v>3</v>
      </c>
      <c r="L10" s="465">
        <f t="shared" si="0"/>
        <v>32</v>
      </c>
      <c r="N10" s="19">
        <v>5</v>
      </c>
      <c r="O10" s="19">
        <v>10</v>
      </c>
      <c r="P10" s="19">
        <v>52</v>
      </c>
      <c r="Q10" s="19">
        <v>5.2</v>
      </c>
      <c r="R10" s="19">
        <v>1.0666666666666691</v>
      </c>
    </row>
    <row r="11" spans="1:18" x14ac:dyDescent="0.25">
      <c r="A11" s="465">
        <f t="shared" si="1"/>
        <v>8</v>
      </c>
      <c r="B11" s="473">
        <v>2</v>
      </c>
      <c r="C11" s="465">
        <v>4</v>
      </c>
      <c r="D11" s="465">
        <v>4</v>
      </c>
      <c r="E11" s="465">
        <v>3</v>
      </c>
      <c r="F11" s="465">
        <v>7</v>
      </c>
      <c r="G11" s="465">
        <v>2</v>
      </c>
      <c r="H11" s="465">
        <v>2</v>
      </c>
      <c r="I11" s="465">
        <v>4</v>
      </c>
      <c r="J11" s="465">
        <v>6</v>
      </c>
      <c r="K11" s="721">
        <v>5</v>
      </c>
      <c r="L11" s="465">
        <f t="shared" si="0"/>
        <v>39</v>
      </c>
      <c r="N11" s="19">
        <v>6</v>
      </c>
      <c r="O11" s="19">
        <v>10</v>
      </c>
      <c r="P11" s="19">
        <v>29</v>
      </c>
      <c r="Q11" s="19">
        <v>2.9</v>
      </c>
      <c r="R11" s="19">
        <v>1.8777777777777784</v>
      </c>
    </row>
    <row r="12" spans="1:18" x14ac:dyDescent="0.25">
      <c r="A12" s="465">
        <f t="shared" si="1"/>
        <v>9</v>
      </c>
      <c r="B12" s="473">
        <v>6</v>
      </c>
      <c r="C12" s="465">
        <v>5</v>
      </c>
      <c r="D12" s="465">
        <v>5</v>
      </c>
      <c r="E12" s="465">
        <v>5</v>
      </c>
      <c r="F12" s="465">
        <v>1</v>
      </c>
      <c r="G12" s="465">
        <v>6</v>
      </c>
      <c r="H12" s="465">
        <v>5</v>
      </c>
      <c r="I12" s="465">
        <v>2</v>
      </c>
      <c r="J12" s="465">
        <v>3</v>
      </c>
      <c r="K12" s="721">
        <v>2</v>
      </c>
      <c r="L12" s="465">
        <f t="shared" si="0"/>
        <v>40</v>
      </c>
      <c r="N12" s="19">
        <v>7</v>
      </c>
      <c r="O12" s="19">
        <v>10</v>
      </c>
      <c r="P12" s="19">
        <v>32</v>
      </c>
      <c r="Q12" s="19">
        <v>3.2</v>
      </c>
      <c r="R12" s="19">
        <v>1.7333333333333327</v>
      </c>
    </row>
    <row r="13" spans="1:18" x14ac:dyDescent="0.25">
      <c r="A13" s="465">
        <f t="shared" si="1"/>
        <v>10</v>
      </c>
      <c r="B13" s="473">
        <v>5</v>
      </c>
      <c r="C13" s="465">
        <v>4</v>
      </c>
      <c r="D13" s="465">
        <v>6</v>
      </c>
      <c r="E13" s="465">
        <v>4</v>
      </c>
      <c r="F13" s="465">
        <v>3</v>
      </c>
      <c r="G13" s="465">
        <v>5</v>
      </c>
      <c r="H13" s="465">
        <v>3</v>
      </c>
      <c r="I13" s="465">
        <v>1</v>
      </c>
      <c r="J13" s="465">
        <v>7</v>
      </c>
      <c r="K13" s="474">
        <v>2</v>
      </c>
      <c r="L13" s="465">
        <f t="shared" ref="L13:L20" si="2">SUM(B13:K13)</f>
        <v>40</v>
      </c>
      <c r="N13" s="19">
        <v>8</v>
      </c>
      <c r="O13" s="19">
        <v>10</v>
      </c>
      <c r="P13" s="19">
        <v>39</v>
      </c>
      <c r="Q13" s="19">
        <v>3.9</v>
      </c>
      <c r="R13" s="19">
        <v>2.9888888888888894</v>
      </c>
    </row>
    <row r="14" spans="1:18" x14ac:dyDescent="0.25">
      <c r="A14" s="465">
        <f t="shared" si="1"/>
        <v>11</v>
      </c>
      <c r="B14" s="473">
        <v>4</v>
      </c>
      <c r="C14" s="465">
        <v>3</v>
      </c>
      <c r="D14" s="465">
        <v>5</v>
      </c>
      <c r="E14" s="465">
        <v>2</v>
      </c>
      <c r="F14" s="465">
        <v>5</v>
      </c>
      <c r="G14" s="465">
        <v>3</v>
      </c>
      <c r="H14" s="465">
        <v>2</v>
      </c>
      <c r="I14" s="465">
        <v>3</v>
      </c>
      <c r="J14" s="465">
        <v>4</v>
      </c>
      <c r="K14" s="474">
        <v>1</v>
      </c>
      <c r="L14" s="465">
        <f t="shared" si="2"/>
        <v>32</v>
      </c>
      <c r="N14" s="19">
        <v>9</v>
      </c>
      <c r="O14" s="19">
        <v>10</v>
      </c>
      <c r="P14" s="19">
        <v>40</v>
      </c>
      <c r="Q14" s="19">
        <v>4</v>
      </c>
      <c r="R14" s="19">
        <v>3.3333333333333335</v>
      </c>
    </row>
    <row r="15" spans="1:18" x14ac:dyDescent="0.25">
      <c r="A15" s="465">
        <f t="shared" si="1"/>
        <v>12</v>
      </c>
      <c r="B15" s="473">
        <v>4</v>
      </c>
      <c r="C15" s="465">
        <v>2</v>
      </c>
      <c r="D15" s="465">
        <v>3</v>
      </c>
      <c r="E15" s="465">
        <v>2</v>
      </c>
      <c r="F15" s="465">
        <v>5</v>
      </c>
      <c r="G15" s="465">
        <v>3</v>
      </c>
      <c r="H15" s="465">
        <v>4</v>
      </c>
      <c r="I15" s="465">
        <v>2</v>
      </c>
      <c r="J15" s="465">
        <v>3</v>
      </c>
      <c r="K15" s="474">
        <v>4</v>
      </c>
      <c r="L15" s="465">
        <f t="shared" si="2"/>
        <v>32</v>
      </c>
      <c r="N15" s="19">
        <v>10</v>
      </c>
      <c r="O15" s="19">
        <v>10</v>
      </c>
      <c r="P15" s="19">
        <v>40</v>
      </c>
      <c r="Q15" s="19">
        <v>4</v>
      </c>
      <c r="R15" s="19">
        <v>3.3333333333333335</v>
      </c>
    </row>
    <row r="16" spans="1:18" x14ac:dyDescent="0.25">
      <c r="A16" s="465">
        <f t="shared" si="1"/>
        <v>13</v>
      </c>
      <c r="B16" s="473">
        <v>5</v>
      </c>
      <c r="C16" s="465">
        <v>5</v>
      </c>
      <c r="D16" s="465">
        <v>6</v>
      </c>
      <c r="E16" s="465">
        <v>2</v>
      </c>
      <c r="F16" s="465">
        <v>3</v>
      </c>
      <c r="G16" s="465">
        <v>3</v>
      </c>
      <c r="H16" s="465">
        <v>2</v>
      </c>
      <c r="I16" s="465">
        <v>4</v>
      </c>
      <c r="J16" s="465">
        <v>4</v>
      </c>
      <c r="K16" s="474">
        <v>5</v>
      </c>
      <c r="L16" s="465">
        <f t="shared" si="2"/>
        <v>39</v>
      </c>
      <c r="N16" s="19">
        <v>11</v>
      </c>
      <c r="O16" s="19">
        <v>10</v>
      </c>
      <c r="P16" s="19">
        <v>32</v>
      </c>
      <c r="Q16" s="19">
        <v>3.2</v>
      </c>
      <c r="R16" s="19">
        <v>1.7333333333333327</v>
      </c>
    </row>
    <row r="17" spans="1:18" x14ac:dyDescent="0.25">
      <c r="A17" s="465">
        <f t="shared" si="1"/>
        <v>14</v>
      </c>
      <c r="B17" s="473">
        <v>6</v>
      </c>
      <c r="C17" s="465">
        <v>5</v>
      </c>
      <c r="D17" s="465">
        <v>5</v>
      </c>
      <c r="E17" s="465">
        <v>4</v>
      </c>
      <c r="F17" s="465">
        <v>2</v>
      </c>
      <c r="G17" s="465">
        <v>2</v>
      </c>
      <c r="H17" s="465">
        <v>1</v>
      </c>
      <c r="I17" s="465">
        <v>4</v>
      </c>
      <c r="J17" s="465">
        <v>6</v>
      </c>
      <c r="K17" s="474">
        <v>5</v>
      </c>
      <c r="L17" s="465">
        <f t="shared" si="2"/>
        <v>40</v>
      </c>
      <c r="N17" s="19">
        <v>12</v>
      </c>
      <c r="O17" s="19">
        <v>10</v>
      </c>
      <c r="P17" s="19">
        <v>32</v>
      </c>
      <c r="Q17" s="19">
        <v>3.2</v>
      </c>
      <c r="R17" s="19">
        <v>1.066666666666666</v>
      </c>
    </row>
    <row r="18" spans="1:18" x14ac:dyDescent="0.25">
      <c r="A18" s="465">
        <f t="shared" si="1"/>
        <v>15</v>
      </c>
      <c r="B18" s="475">
        <v>4</v>
      </c>
      <c r="C18" s="476">
        <v>3</v>
      </c>
      <c r="D18" s="476">
        <v>5</v>
      </c>
      <c r="E18" s="476">
        <v>5</v>
      </c>
      <c r="F18" s="476">
        <v>3</v>
      </c>
      <c r="G18" s="476">
        <v>1</v>
      </c>
      <c r="H18" s="476">
        <v>3</v>
      </c>
      <c r="I18" s="476">
        <v>2</v>
      </c>
      <c r="J18" s="476">
        <v>3</v>
      </c>
      <c r="K18" s="477">
        <v>4</v>
      </c>
      <c r="L18" s="465">
        <f t="shared" si="2"/>
        <v>33</v>
      </c>
      <c r="N18" s="19">
        <v>13</v>
      </c>
      <c r="O18" s="19">
        <v>10</v>
      </c>
      <c r="P18" s="19">
        <v>39</v>
      </c>
      <c r="Q18" s="19">
        <v>3.9</v>
      </c>
      <c r="R18" s="19">
        <v>1.8777777777777784</v>
      </c>
    </row>
    <row r="19" spans="1:18" x14ac:dyDescent="0.25">
      <c r="A19" s="465" t="s">
        <v>1</v>
      </c>
      <c r="B19" s="465">
        <f t="shared" ref="B19:K19" si="3">SUM(B4:B18)</f>
        <v>64</v>
      </c>
      <c r="C19" s="465">
        <f t="shared" si="3"/>
        <v>54</v>
      </c>
      <c r="D19" s="465">
        <f t="shared" si="3"/>
        <v>71</v>
      </c>
      <c r="E19" s="465">
        <f t="shared" si="3"/>
        <v>51</v>
      </c>
      <c r="F19" s="465">
        <f t="shared" si="3"/>
        <v>57</v>
      </c>
      <c r="G19" s="465">
        <f t="shared" si="3"/>
        <v>48</v>
      </c>
      <c r="H19" s="465">
        <f t="shared" si="3"/>
        <v>37</v>
      </c>
      <c r="I19" s="465">
        <f t="shared" si="3"/>
        <v>51</v>
      </c>
      <c r="J19" s="465">
        <f t="shared" si="3"/>
        <v>72</v>
      </c>
      <c r="K19" s="465">
        <f t="shared" si="3"/>
        <v>53</v>
      </c>
      <c r="L19" s="465">
        <f t="shared" si="2"/>
        <v>558</v>
      </c>
      <c r="N19" s="19">
        <v>14</v>
      </c>
      <c r="O19" s="19">
        <v>10</v>
      </c>
      <c r="P19" s="19">
        <v>40</v>
      </c>
      <c r="Q19" s="19">
        <v>4</v>
      </c>
      <c r="R19" s="19">
        <v>3.1111111111111112</v>
      </c>
    </row>
    <row r="20" spans="1:18" x14ac:dyDescent="0.25">
      <c r="A20" s="465" t="s">
        <v>941</v>
      </c>
      <c r="B20" s="465">
        <f t="shared" ref="B20:K20" si="4">VARP(B4:B18)</f>
        <v>2.7288888888888887</v>
      </c>
      <c r="C20" s="465">
        <f t="shared" si="4"/>
        <v>1.1733333333333333</v>
      </c>
      <c r="D20" s="465">
        <f t="shared" si="4"/>
        <v>1.1288888888888888</v>
      </c>
      <c r="E20" s="465">
        <f t="shared" si="4"/>
        <v>1.5733333333333333</v>
      </c>
      <c r="F20" s="465">
        <f t="shared" si="4"/>
        <v>2.6933333333333334</v>
      </c>
      <c r="G20" s="465">
        <f t="shared" si="4"/>
        <v>2.2933333333333334</v>
      </c>
      <c r="H20" s="465">
        <f t="shared" si="4"/>
        <v>1.3155555555555556</v>
      </c>
      <c r="I20" s="465">
        <f t="shared" si="4"/>
        <v>2.1066666666666665</v>
      </c>
      <c r="J20" s="465">
        <f t="shared" si="4"/>
        <v>2.0266666666666668</v>
      </c>
      <c r="K20" s="465">
        <f t="shared" si="4"/>
        <v>1.9822222222222223</v>
      </c>
      <c r="L20" s="465">
        <f t="shared" si="2"/>
        <v>19.022222222222222</v>
      </c>
      <c r="N20" s="19">
        <v>15</v>
      </c>
      <c r="O20" s="19">
        <v>10</v>
      </c>
      <c r="P20" s="19">
        <v>33</v>
      </c>
      <c r="Q20" s="19">
        <v>3.3</v>
      </c>
      <c r="R20" s="19">
        <v>1.566666666666666</v>
      </c>
    </row>
    <row r="21" spans="1:18" x14ac:dyDescent="0.25">
      <c r="N21" s="19"/>
      <c r="O21" s="19"/>
      <c r="P21" s="19"/>
      <c r="Q21" s="19"/>
      <c r="R21" s="19"/>
    </row>
    <row r="22" spans="1:18" x14ac:dyDescent="0.25">
      <c r="A22" s="468" t="s">
        <v>56</v>
      </c>
      <c r="B22" s="418">
        <f>COUNTA(B3:K3)</f>
        <v>10</v>
      </c>
      <c r="N22" s="19" t="s">
        <v>55</v>
      </c>
      <c r="O22" s="19">
        <v>15</v>
      </c>
      <c r="P22" s="19">
        <v>64</v>
      </c>
      <c r="Q22" s="19">
        <v>4.2666666666666666</v>
      </c>
      <c r="R22" s="19">
        <v>2.9238095238095241</v>
      </c>
    </row>
    <row r="23" spans="1:18" x14ac:dyDescent="0.25">
      <c r="A23" s="82" t="s">
        <v>942</v>
      </c>
      <c r="B23" s="272">
        <f>L20</f>
        <v>19.022222222222222</v>
      </c>
      <c r="N23" s="19" t="s">
        <v>929</v>
      </c>
      <c r="O23" s="19">
        <v>15</v>
      </c>
      <c r="P23" s="19">
        <v>54</v>
      </c>
      <c r="Q23" s="19">
        <v>3.6</v>
      </c>
      <c r="R23" s="19">
        <v>1.2571428571428567</v>
      </c>
    </row>
    <row r="24" spans="1:18" x14ac:dyDescent="0.25">
      <c r="A24" s="468" t="s">
        <v>8</v>
      </c>
      <c r="B24" s="272">
        <f xml:space="preserve"> VARP(L4:L18)</f>
        <v>40.693333333333335</v>
      </c>
      <c r="N24" s="19" t="s">
        <v>930</v>
      </c>
      <c r="O24" s="19">
        <v>15</v>
      </c>
      <c r="P24" s="19">
        <v>71</v>
      </c>
      <c r="Q24" s="19">
        <v>4.7333333333333334</v>
      </c>
      <c r="R24" s="19">
        <v>1.2095238095238099</v>
      </c>
    </row>
    <row r="25" spans="1:18" x14ac:dyDescent="0.25">
      <c r="A25" s="480" t="s">
        <v>48</v>
      </c>
      <c r="B25" s="420">
        <f>(B22/(B22-1))*(1-B23/B24)</f>
        <v>0.59171884859958257</v>
      </c>
      <c r="N25" s="19" t="s">
        <v>931</v>
      </c>
      <c r="O25" s="19">
        <v>15</v>
      </c>
      <c r="P25" s="19">
        <v>51</v>
      </c>
      <c r="Q25" s="19">
        <v>3.4</v>
      </c>
      <c r="R25" s="19">
        <v>1.6857142857142853</v>
      </c>
    </row>
    <row r="26" spans="1:18" x14ac:dyDescent="0.25">
      <c r="A26" s="480"/>
      <c r="B26" s="7"/>
      <c r="N26" s="19" t="s">
        <v>932</v>
      </c>
      <c r="O26" s="19">
        <v>15</v>
      </c>
      <c r="P26" s="19">
        <v>57</v>
      </c>
      <c r="Q26" s="19">
        <v>3.8</v>
      </c>
      <c r="R26" s="19">
        <v>2.8857142857142861</v>
      </c>
    </row>
    <row r="27" spans="1:18" x14ac:dyDescent="0.25">
      <c r="A27" s="480"/>
      <c r="B27" s="7"/>
      <c r="N27" s="19" t="s">
        <v>933</v>
      </c>
      <c r="O27" s="19">
        <v>15</v>
      </c>
      <c r="P27" s="19">
        <v>48</v>
      </c>
      <c r="Q27" s="19">
        <v>3.2</v>
      </c>
      <c r="R27" s="19">
        <v>2.4571428571428577</v>
      </c>
    </row>
    <row r="28" spans="1:18" x14ac:dyDescent="0.25">
      <c r="A28" s="480"/>
      <c r="B28" s="7"/>
      <c r="N28" s="19" t="s">
        <v>934</v>
      </c>
      <c r="O28" s="19">
        <v>15</v>
      </c>
      <c r="P28" s="19">
        <v>37</v>
      </c>
      <c r="Q28" s="19">
        <v>2.4666666666666668</v>
      </c>
      <c r="R28" s="19">
        <v>1.4095238095238096</v>
      </c>
    </row>
    <row r="29" spans="1:18" x14ac:dyDescent="0.25">
      <c r="A29" s="480"/>
      <c r="B29" s="7"/>
      <c r="N29" s="19" t="s">
        <v>935</v>
      </c>
      <c r="O29" s="19">
        <v>15</v>
      </c>
      <c r="P29" s="19">
        <v>51</v>
      </c>
      <c r="Q29" s="19">
        <v>3.4</v>
      </c>
      <c r="R29" s="19">
        <v>2.2571428571428567</v>
      </c>
    </row>
    <row r="30" spans="1:18" x14ac:dyDescent="0.25">
      <c r="A30" s="480"/>
      <c r="B30" s="7"/>
      <c r="N30" s="19" t="s">
        <v>936</v>
      </c>
      <c r="O30" s="19">
        <v>15</v>
      </c>
      <c r="P30" s="19">
        <v>72</v>
      </c>
      <c r="Q30" s="19">
        <v>4.8</v>
      </c>
      <c r="R30" s="19">
        <v>2.1714285714285699</v>
      </c>
    </row>
    <row r="31" spans="1:18" ht="15.75" thickBot="1" x14ac:dyDescent="0.3">
      <c r="A31" s="480"/>
      <c r="B31" s="7"/>
      <c r="N31" s="20" t="s">
        <v>937</v>
      </c>
      <c r="O31" s="20">
        <v>15</v>
      </c>
      <c r="P31" s="20">
        <v>53</v>
      </c>
      <c r="Q31" s="20">
        <v>3.5333333333333332</v>
      </c>
      <c r="R31" s="20">
        <v>2.1238095238095229</v>
      </c>
    </row>
    <row r="32" spans="1:18" x14ac:dyDescent="0.25">
      <c r="A32" s="480"/>
      <c r="B32" s="7"/>
    </row>
    <row r="33" spans="1:20" x14ac:dyDescent="0.25">
      <c r="A33" s="480"/>
      <c r="B33" s="7"/>
    </row>
    <row r="34" spans="1:20" ht="15.75" thickBot="1" x14ac:dyDescent="0.3">
      <c r="A34" s="480"/>
      <c r="B34" s="7"/>
      <c r="N34" t="s">
        <v>294</v>
      </c>
    </row>
    <row r="35" spans="1:20" x14ac:dyDescent="0.25">
      <c r="A35" s="480"/>
      <c r="B35" s="7"/>
      <c r="N35" s="719" t="s">
        <v>466</v>
      </c>
      <c r="O35" s="719" t="s">
        <v>219</v>
      </c>
      <c r="P35" s="719" t="s">
        <v>60</v>
      </c>
      <c r="Q35" s="719" t="s">
        <v>240</v>
      </c>
      <c r="R35" s="719" t="s">
        <v>135</v>
      </c>
      <c r="S35" s="719" t="s">
        <v>119</v>
      </c>
      <c r="T35" s="719" t="s">
        <v>467</v>
      </c>
    </row>
    <row r="36" spans="1:20" x14ac:dyDescent="0.25">
      <c r="A36" s="480"/>
      <c r="B36" s="7"/>
      <c r="N36" s="19" t="s">
        <v>136</v>
      </c>
      <c r="O36" s="19">
        <v>61.039999999999281</v>
      </c>
      <c r="P36" s="19">
        <v>14</v>
      </c>
      <c r="Q36" s="19">
        <v>4.3599999999999488</v>
      </c>
      <c r="R36" s="19">
        <v>2.4492925930328964</v>
      </c>
      <c r="S36" s="19">
        <v>4.3763869012234313E-3</v>
      </c>
      <c r="T36" s="19">
        <v>1.7710235343212157</v>
      </c>
    </row>
    <row r="37" spans="1:20" x14ac:dyDescent="0.25">
      <c r="A37" s="480"/>
      <c r="B37" s="7"/>
      <c r="N37" s="19" t="s">
        <v>589</v>
      </c>
      <c r="O37" s="19">
        <v>68.906666666666013</v>
      </c>
      <c r="P37" s="19">
        <v>9</v>
      </c>
      <c r="Q37" s="19">
        <v>7.6562962962962233</v>
      </c>
      <c r="R37" s="19">
        <v>4.3010343597669172</v>
      </c>
      <c r="S37" s="19">
        <v>6.8243311435231693E-5</v>
      </c>
      <c r="T37" s="19">
        <v>1.954952612669149</v>
      </c>
    </row>
    <row r="38" spans="1:20" x14ac:dyDescent="0.25">
      <c r="A38" s="480"/>
      <c r="B38" s="7"/>
      <c r="N38" s="19" t="s">
        <v>588</v>
      </c>
      <c r="O38" s="19">
        <v>224.29333333333403</v>
      </c>
      <c r="P38" s="19">
        <v>126</v>
      </c>
      <c r="Q38" s="19">
        <v>1.7801058201058257</v>
      </c>
      <c r="R38" s="19"/>
      <c r="S38" s="19"/>
      <c r="T38" s="19"/>
    </row>
    <row r="39" spans="1:20" x14ac:dyDescent="0.25">
      <c r="A39" s="480"/>
      <c r="B39" s="7"/>
      <c r="N39" s="19"/>
      <c r="O39" s="19"/>
      <c r="P39" s="19"/>
      <c r="Q39" s="19"/>
      <c r="R39" s="19"/>
      <c r="S39" s="19"/>
      <c r="T39" s="19"/>
    </row>
    <row r="40" spans="1:20" ht="15.75" thickBot="1" x14ac:dyDescent="0.3">
      <c r="A40" s="480"/>
      <c r="B40" s="7"/>
      <c r="N40" s="20" t="s">
        <v>1</v>
      </c>
      <c r="O40" s="20">
        <v>354.23999999999933</v>
      </c>
      <c r="P40" s="20">
        <v>149</v>
      </c>
      <c r="Q40" s="20"/>
      <c r="R40" s="20"/>
      <c r="S40" s="20"/>
      <c r="T40" s="20"/>
    </row>
    <row r="41" spans="1:20" x14ac:dyDescent="0.25">
      <c r="A41" s="480"/>
      <c r="B41" s="7"/>
    </row>
    <row r="42" spans="1:20" ht="18" x14ac:dyDescent="0.35">
      <c r="A42" s="480"/>
      <c r="B42" s="7"/>
      <c r="L42" s="465"/>
      <c r="N42" t="s">
        <v>34</v>
      </c>
      <c r="O42" s="580">
        <f>1-Q38/Q36</f>
        <v>0.59171884859957646</v>
      </c>
      <c r="Q42" s="16" t="s">
        <v>945</v>
      </c>
    </row>
    <row r="43" spans="1:20" x14ac:dyDescent="0.25">
      <c r="A43" s="480"/>
      <c r="B43" s="7"/>
    </row>
    <row r="44" spans="1:20" x14ac:dyDescent="0.25">
      <c r="A44" s="480"/>
      <c r="B44" s="7"/>
      <c r="N44" t="s">
        <v>2330</v>
      </c>
    </row>
    <row r="45" spans="1:20" x14ac:dyDescent="0.25">
      <c r="A45" s="480"/>
      <c r="B45" s="7"/>
    </row>
    <row r="46" spans="1:20" x14ac:dyDescent="0.25">
      <c r="A46" s="480"/>
      <c r="B46" s="7"/>
      <c r="N46" t="s">
        <v>34</v>
      </c>
      <c r="O46" s="580">
        <f>[1]!CRONALPHA(B4:K18)</f>
        <v>0.5917188485995839</v>
      </c>
      <c r="Q46" s="16" t="s">
        <v>1562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6"/>
  <dimension ref="A1:V18"/>
  <sheetViews>
    <sheetView workbookViewId="0">
      <selection activeCell="Q14" sqref="Q14"/>
    </sheetView>
  </sheetViews>
  <sheetFormatPr defaultRowHeight="15" x14ac:dyDescent="0.25"/>
  <sheetData>
    <row r="1" spans="1:22" x14ac:dyDescent="0.25">
      <c r="A1" s="1" t="s">
        <v>943</v>
      </c>
      <c r="M1" t="s">
        <v>943</v>
      </c>
    </row>
    <row r="3" spans="1:22" x14ac:dyDescent="0.25">
      <c r="B3" s="973" t="s">
        <v>55</v>
      </c>
      <c r="C3" s="973" t="s">
        <v>929</v>
      </c>
      <c r="D3" s="973" t="s">
        <v>930</v>
      </c>
      <c r="E3" s="973" t="s">
        <v>931</v>
      </c>
      <c r="F3" s="973" t="s">
        <v>932</v>
      </c>
      <c r="G3" s="973" t="s">
        <v>933</v>
      </c>
      <c r="H3" s="973" t="s">
        <v>934</v>
      </c>
      <c r="I3" s="973" t="s">
        <v>935</v>
      </c>
      <c r="J3" s="973" t="s">
        <v>936</v>
      </c>
      <c r="K3" s="973" t="s">
        <v>937</v>
      </c>
      <c r="M3" s="805">
        <f>[1]!CRONALPHA(B4:K18)</f>
        <v>0.5917188485995839</v>
      </c>
    </row>
    <row r="4" spans="1:22" x14ac:dyDescent="0.25">
      <c r="A4" s="465">
        <v>1</v>
      </c>
      <c r="B4" s="470">
        <v>3</v>
      </c>
      <c r="C4" s="471">
        <v>2</v>
      </c>
      <c r="D4" s="471">
        <v>4</v>
      </c>
      <c r="E4" s="471">
        <v>1</v>
      </c>
      <c r="F4" s="471">
        <v>4</v>
      </c>
      <c r="G4" s="471">
        <v>5</v>
      </c>
      <c r="H4" s="471">
        <v>1</v>
      </c>
      <c r="I4" s="471">
        <v>4</v>
      </c>
      <c r="J4" s="471">
        <v>3</v>
      </c>
      <c r="K4" s="472">
        <v>2</v>
      </c>
    </row>
    <row r="5" spans="1:22" x14ac:dyDescent="0.25">
      <c r="A5" s="465">
        <f>A4+1</f>
        <v>2</v>
      </c>
      <c r="B5" s="473">
        <v>5</v>
      </c>
      <c r="C5" s="465">
        <v>4</v>
      </c>
      <c r="D5" s="465">
        <v>6</v>
      </c>
      <c r="E5" s="465">
        <v>3</v>
      </c>
      <c r="F5" s="465">
        <v>5</v>
      </c>
      <c r="G5" s="465">
        <v>1</v>
      </c>
      <c r="H5" s="465">
        <v>2</v>
      </c>
      <c r="I5" s="465">
        <v>5</v>
      </c>
      <c r="J5" s="465">
        <v>5</v>
      </c>
      <c r="K5" s="474">
        <v>5</v>
      </c>
      <c r="M5" t="s">
        <v>2139</v>
      </c>
    </row>
    <row r="6" spans="1:22" x14ac:dyDescent="0.25">
      <c r="A6" s="465">
        <f t="shared" ref="A6:A18" si="0">A5+1</f>
        <v>3</v>
      </c>
      <c r="B6" s="473">
        <v>7</v>
      </c>
      <c r="C6" s="465">
        <v>3</v>
      </c>
      <c r="D6" s="465">
        <v>5</v>
      </c>
      <c r="E6" s="465">
        <v>5</v>
      </c>
      <c r="F6" s="465">
        <v>6</v>
      </c>
      <c r="G6" s="465">
        <v>4</v>
      </c>
      <c r="H6" s="465">
        <v>3</v>
      </c>
      <c r="I6" s="465">
        <v>3</v>
      </c>
      <c r="J6" s="465">
        <v>6</v>
      </c>
      <c r="K6" s="474">
        <v>5</v>
      </c>
    </row>
    <row r="7" spans="1:22" x14ac:dyDescent="0.25">
      <c r="A7" s="465">
        <f t="shared" si="0"/>
        <v>4</v>
      </c>
      <c r="B7" s="473">
        <v>2</v>
      </c>
      <c r="C7" s="465">
        <v>4</v>
      </c>
      <c r="D7" s="465">
        <v>3</v>
      </c>
      <c r="E7" s="465">
        <v>3</v>
      </c>
      <c r="F7" s="465">
        <v>2</v>
      </c>
      <c r="G7" s="465">
        <v>2</v>
      </c>
      <c r="H7" s="465">
        <v>2</v>
      </c>
      <c r="I7" s="465">
        <v>6</v>
      </c>
      <c r="J7" s="465">
        <v>6</v>
      </c>
      <c r="K7" s="474">
        <v>3</v>
      </c>
      <c r="M7" t="str">
        <f>B3</f>
        <v>Q1</v>
      </c>
      <c r="N7" t="str">
        <f t="shared" ref="N7:V7" si="1">C3</f>
        <v>Q2</v>
      </c>
      <c r="O7" t="str">
        <f t="shared" si="1"/>
        <v>Q3</v>
      </c>
      <c r="P7" t="str">
        <f t="shared" si="1"/>
        <v>Q4</v>
      </c>
      <c r="Q7" t="str">
        <f t="shared" si="1"/>
        <v>Q5</v>
      </c>
      <c r="R7" t="str">
        <f t="shared" si="1"/>
        <v>Q6</v>
      </c>
      <c r="S7" t="str">
        <f t="shared" si="1"/>
        <v>Q7</v>
      </c>
      <c r="T7" t="str">
        <f t="shared" si="1"/>
        <v>Q8</v>
      </c>
      <c r="U7" t="str">
        <f t="shared" si="1"/>
        <v>Q9</v>
      </c>
      <c r="V7" t="str">
        <f t="shared" si="1"/>
        <v>Q10</v>
      </c>
    </row>
    <row r="8" spans="1:22" x14ac:dyDescent="0.25">
      <c r="A8" s="465">
        <f t="shared" si="0"/>
        <v>5</v>
      </c>
      <c r="B8" s="473">
        <v>6</v>
      </c>
      <c r="C8" s="465">
        <v>5</v>
      </c>
      <c r="D8" s="465">
        <v>6</v>
      </c>
      <c r="E8" s="465">
        <v>5</v>
      </c>
      <c r="F8" s="465">
        <v>4</v>
      </c>
      <c r="G8" s="465">
        <v>4</v>
      </c>
      <c r="H8" s="465">
        <v>4</v>
      </c>
      <c r="I8" s="465">
        <v>6</v>
      </c>
      <c r="J8" s="465">
        <v>7</v>
      </c>
      <c r="K8" s="474">
        <v>5</v>
      </c>
      <c r="M8" s="803">
        <f t="array" ref="M8:V8">[1]!CALPHA(B4:K18)</f>
        <v>0.46869032463399113</v>
      </c>
      <c r="N8" s="720">
        <v>0.50728055783429038</v>
      </c>
      <c r="O8" s="720">
        <v>0.51834985266541644</v>
      </c>
      <c r="P8" s="720">
        <v>0.53182917002417407</v>
      </c>
      <c r="Q8" s="720">
        <v>0.66848906560636179</v>
      </c>
      <c r="R8" s="720">
        <v>0.67114147909967858</v>
      </c>
      <c r="S8" s="720">
        <v>0.56850633225726344</v>
      </c>
      <c r="T8" s="720">
        <v>0.61011904761904767</v>
      </c>
      <c r="U8" s="720">
        <v>0.51942567567567577</v>
      </c>
      <c r="V8" s="804">
        <v>0.522590782122905</v>
      </c>
    </row>
    <row r="9" spans="1:22" x14ac:dyDescent="0.25">
      <c r="A9" s="465">
        <f t="shared" si="0"/>
        <v>6</v>
      </c>
      <c r="B9" s="473">
        <v>1</v>
      </c>
      <c r="C9" s="465">
        <v>2</v>
      </c>
      <c r="D9" s="465">
        <v>3</v>
      </c>
      <c r="E9" s="465">
        <v>4</v>
      </c>
      <c r="F9" s="465">
        <v>2</v>
      </c>
      <c r="G9" s="465">
        <v>5</v>
      </c>
      <c r="H9" s="465">
        <v>2</v>
      </c>
      <c r="I9" s="465">
        <v>3</v>
      </c>
      <c r="J9" s="465">
        <v>5</v>
      </c>
      <c r="K9" s="474">
        <v>2</v>
      </c>
    </row>
    <row r="10" spans="1:22" x14ac:dyDescent="0.25">
      <c r="A10" s="465">
        <f t="shared" si="0"/>
        <v>7</v>
      </c>
      <c r="B10" s="473">
        <v>4</v>
      </c>
      <c r="C10" s="465">
        <v>3</v>
      </c>
      <c r="D10" s="465">
        <v>5</v>
      </c>
      <c r="E10" s="465">
        <v>3</v>
      </c>
      <c r="F10" s="465">
        <v>5</v>
      </c>
      <c r="G10" s="465">
        <v>2</v>
      </c>
      <c r="H10" s="465">
        <v>1</v>
      </c>
      <c r="I10" s="465">
        <v>2</v>
      </c>
      <c r="J10" s="465">
        <v>4</v>
      </c>
      <c r="K10" s="721">
        <v>3</v>
      </c>
      <c r="M10" t="s">
        <v>2140</v>
      </c>
    </row>
    <row r="11" spans="1:22" x14ac:dyDescent="0.25">
      <c r="A11" s="465">
        <f t="shared" si="0"/>
        <v>8</v>
      </c>
      <c r="B11" s="473">
        <v>2</v>
      </c>
      <c r="C11" s="465">
        <v>4</v>
      </c>
      <c r="D11" s="465">
        <v>4</v>
      </c>
      <c r="E11" s="465">
        <v>3</v>
      </c>
      <c r="F11" s="465">
        <v>7</v>
      </c>
      <c r="G11" s="465">
        <v>2</v>
      </c>
      <c r="H11" s="465">
        <v>2</v>
      </c>
      <c r="I11" s="465">
        <v>4</v>
      </c>
      <c r="J11" s="465">
        <v>6</v>
      </c>
      <c r="K11" s="721">
        <v>5</v>
      </c>
    </row>
    <row r="12" spans="1:22" x14ac:dyDescent="0.25">
      <c r="A12" s="465">
        <f t="shared" si="0"/>
        <v>9</v>
      </c>
      <c r="B12" s="473">
        <v>6</v>
      </c>
      <c r="C12" s="465">
        <v>5</v>
      </c>
      <c r="D12" s="465">
        <v>5</v>
      </c>
      <c r="E12" s="465">
        <v>5</v>
      </c>
      <c r="F12" s="465">
        <v>1</v>
      </c>
      <c r="G12" s="465">
        <v>6</v>
      </c>
      <c r="H12" s="465">
        <v>5</v>
      </c>
      <c r="I12" s="465">
        <v>2</v>
      </c>
      <c r="J12" s="465">
        <v>3</v>
      </c>
      <c r="K12" s="721">
        <v>2</v>
      </c>
      <c r="M12" t="s">
        <v>2143</v>
      </c>
      <c r="N12" s="970">
        <f>[1]!SPLITHALF(B4:K18,0)</f>
        <v>0.64450964502585084</v>
      </c>
    </row>
    <row r="13" spans="1:22" x14ac:dyDescent="0.25">
      <c r="A13" s="465">
        <f t="shared" si="0"/>
        <v>10</v>
      </c>
      <c r="B13" s="473">
        <v>5</v>
      </c>
      <c r="C13" s="465">
        <v>4</v>
      </c>
      <c r="D13" s="465">
        <v>6</v>
      </c>
      <c r="E13" s="465">
        <v>4</v>
      </c>
      <c r="F13" s="465">
        <v>3</v>
      </c>
      <c r="G13" s="465">
        <v>5</v>
      </c>
      <c r="H13" s="465">
        <v>3</v>
      </c>
      <c r="I13" s="465">
        <v>1</v>
      </c>
      <c r="J13" s="465">
        <v>7</v>
      </c>
      <c r="K13" s="474">
        <v>2</v>
      </c>
      <c r="M13" t="s">
        <v>2141</v>
      </c>
      <c r="N13" s="757">
        <f>[1]!SPLITHALF(B4:K18,1)</f>
        <v>0.69881288810522135</v>
      </c>
    </row>
    <row r="14" spans="1:22" x14ac:dyDescent="0.25">
      <c r="A14" s="465">
        <f t="shared" si="0"/>
        <v>11</v>
      </c>
      <c r="B14" s="473">
        <v>4</v>
      </c>
      <c r="C14" s="465">
        <v>3</v>
      </c>
      <c r="D14" s="465">
        <v>5</v>
      </c>
      <c r="E14" s="465">
        <v>2</v>
      </c>
      <c r="F14" s="465">
        <v>5</v>
      </c>
      <c r="G14" s="465">
        <v>3</v>
      </c>
      <c r="H14" s="465">
        <v>2</v>
      </c>
      <c r="I14" s="465">
        <v>3</v>
      </c>
      <c r="J14" s="465">
        <v>4</v>
      </c>
      <c r="K14" s="474">
        <v>1</v>
      </c>
    </row>
    <row r="15" spans="1:22" x14ac:dyDescent="0.25">
      <c r="A15" s="465">
        <f t="shared" si="0"/>
        <v>12</v>
      </c>
      <c r="B15" s="473">
        <v>4</v>
      </c>
      <c r="C15" s="465">
        <v>2</v>
      </c>
      <c r="D15" s="465">
        <v>3</v>
      </c>
      <c r="E15" s="465">
        <v>2</v>
      </c>
      <c r="F15" s="465">
        <v>5</v>
      </c>
      <c r="G15" s="465">
        <v>3</v>
      </c>
      <c r="H15" s="465">
        <v>4</v>
      </c>
      <c r="I15" s="465">
        <v>2</v>
      </c>
      <c r="J15" s="465">
        <v>3</v>
      </c>
      <c r="K15" s="474">
        <v>4</v>
      </c>
    </row>
    <row r="16" spans="1:22" x14ac:dyDescent="0.25">
      <c r="A16" s="465">
        <f t="shared" si="0"/>
        <v>13</v>
      </c>
      <c r="B16" s="473">
        <v>5</v>
      </c>
      <c r="C16" s="465">
        <v>5</v>
      </c>
      <c r="D16" s="465">
        <v>6</v>
      </c>
      <c r="E16" s="465">
        <v>2</v>
      </c>
      <c r="F16" s="465">
        <v>3</v>
      </c>
      <c r="G16" s="465">
        <v>3</v>
      </c>
      <c r="H16" s="465">
        <v>2</v>
      </c>
      <c r="I16" s="465">
        <v>4</v>
      </c>
      <c r="J16" s="465">
        <v>4</v>
      </c>
      <c r="K16" s="474">
        <v>5</v>
      </c>
    </row>
    <row r="17" spans="1:11" x14ac:dyDescent="0.25">
      <c r="A17" s="465">
        <f t="shared" si="0"/>
        <v>14</v>
      </c>
      <c r="B17" s="473">
        <v>6</v>
      </c>
      <c r="C17" s="465">
        <v>5</v>
      </c>
      <c r="D17" s="465">
        <v>5</v>
      </c>
      <c r="E17" s="465">
        <v>4</v>
      </c>
      <c r="F17" s="465">
        <v>2</v>
      </c>
      <c r="G17" s="465">
        <v>2</v>
      </c>
      <c r="H17" s="465">
        <v>1</v>
      </c>
      <c r="I17" s="465">
        <v>4</v>
      </c>
      <c r="J17" s="465">
        <v>6</v>
      </c>
      <c r="K17" s="474">
        <v>5</v>
      </c>
    </row>
    <row r="18" spans="1:11" x14ac:dyDescent="0.25">
      <c r="A18" s="465">
        <f t="shared" si="0"/>
        <v>15</v>
      </c>
      <c r="B18" s="475">
        <v>4</v>
      </c>
      <c r="C18" s="476">
        <v>3</v>
      </c>
      <c r="D18" s="476">
        <v>5</v>
      </c>
      <c r="E18" s="476">
        <v>5</v>
      </c>
      <c r="F18" s="476">
        <v>3</v>
      </c>
      <c r="G18" s="476">
        <v>1</v>
      </c>
      <c r="H18" s="476">
        <v>3</v>
      </c>
      <c r="I18" s="476">
        <v>2</v>
      </c>
      <c r="J18" s="476">
        <v>3</v>
      </c>
      <c r="K18" s="477">
        <v>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7"/>
  <dimension ref="A1:U20"/>
  <sheetViews>
    <sheetView workbookViewId="0"/>
  </sheetViews>
  <sheetFormatPr defaultRowHeight="15" x14ac:dyDescent="0.25"/>
  <cols>
    <col min="1" max="1" width="6.5703125" customWidth="1"/>
    <col min="2" max="11" width="6" customWidth="1"/>
    <col min="14" max="14" width="9.140625" customWidth="1"/>
    <col min="15" max="15" width="3.42578125" customWidth="1"/>
    <col min="16" max="16" width="29.5703125" customWidth="1"/>
  </cols>
  <sheetData>
    <row r="1" spans="1:21" x14ac:dyDescent="0.25">
      <c r="A1" s="1" t="s">
        <v>2351</v>
      </c>
    </row>
    <row r="3" spans="1:21" x14ac:dyDescent="0.25">
      <c r="B3" s="1047" t="s">
        <v>55</v>
      </c>
      <c r="C3" s="1047" t="s">
        <v>929</v>
      </c>
      <c r="D3" s="1047" t="s">
        <v>930</v>
      </c>
      <c r="E3" s="1047" t="s">
        <v>931</v>
      </c>
      <c r="F3" s="1047" t="s">
        <v>932</v>
      </c>
      <c r="G3" s="1047" t="s">
        <v>933</v>
      </c>
      <c r="H3" s="1047" t="s">
        <v>934</v>
      </c>
      <c r="I3" s="1047" t="s">
        <v>935</v>
      </c>
      <c r="J3" s="1047" t="s">
        <v>936</v>
      </c>
      <c r="K3" s="1047" t="s">
        <v>937</v>
      </c>
    </row>
    <row r="4" spans="1:21" x14ac:dyDescent="0.25">
      <c r="A4" s="465">
        <v>1</v>
      </c>
      <c r="B4" s="470">
        <v>3</v>
      </c>
      <c r="C4" s="471">
        <v>2</v>
      </c>
      <c r="D4" s="471">
        <v>4</v>
      </c>
      <c r="E4" s="471">
        <v>1</v>
      </c>
      <c r="F4" s="471">
        <v>4</v>
      </c>
      <c r="G4" s="471">
        <v>5</v>
      </c>
      <c r="H4" s="471">
        <v>1</v>
      </c>
      <c r="I4" s="471">
        <v>4</v>
      </c>
      <c r="J4" s="471">
        <v>3</v>
      </c>
      <c r="K4" s="472">
        <v>2</v>
      </c>
      <c r="M4" s="53" t="s">
        <v>31</v>
      </c>
      <c r="N4" s="1041">
        <f>COUNTA(A4:A18)</f>
        <v>15</v>
      </c>
      <c r="P4" t="str">
        <f>[1]!FTEXT(N4)</f>
        <v>=COUNTA(A4:A18)</v>
      </c>
      <c r="R4" s="1047" t="s">
        <v>56</v>
      </c>
      <c r="S4" s="1041">
        <v>10</v>
      </c>
    </row>
    <row r="5" spans="1:21" x14ac:dyDescent="0.25">
      <c r="A5" s="465">
        <f>A4+1</f>
        <v>2</v>
      </c>
      <c r="B5" s="473">
        <v>5</v>
      </c>
      <c r="C5" s="465">
        <v>4</v>
      </c>
      <c r="D5" s="465">
        <v>6</v>
      </c>
      <c r="E5" s="465">
        <v>3</v>
      </c>
      <c r="F5" s="465">
        <v>5</v>
      </c>
      <c r="G5" s="465">
        <v>1</v>
      </c>
      <c r="H5" s="465">
        <v>2</v>
      </c>
      <c r="I5" s="465">
        <v>5</v>
      </c>
      <c r="J5" s="465">
        <v>5</v>
      </c>
      <c r="K5" s="474">
        <v>5</v>
      </c>
      <c r="M5" t="s">
        <v>56</v>
      </c>
      <c r="N5" s="503">
        <f>COUNTA(B3:K3)</f>
        <v>10</v>
      </c>
      <c r="P5" t="str">
        <f>[1]!FTEXT(N5)</f>
        <v>=COUNTA(B3:K3)</v>
      </c>
      <c r="R5" s="82" t="s">
        <v>2348</v>
      </c>
      <c r="S5" s="503">
        <v>0.7</v>
      </c>
    </row>
    <row r="6" spans="1:21" x14ac:dyDescent="0.25">
      <c r="A6" s="465">
        <f t="shared" ref="A6:A18" si="0">A5+1</f>
        <v>3</v>
      </c>
      <c r="B6" s="473">
        <v>7</v>
      </c>
      <c r="C6" s="465">
        <v>3</v>
      </c>
      <c r="D6" s="465">
        <v>5</v>
      </c>
      <c r="E6" s="465">
        <v>5</v>
      </c>
      <c r="F6" s="465">
        <v>6</v>
      </c>
      <c r="G6" s="465">
        <v>4</v>
      </c>
      <c r="H6" s="465">
        <v>3</v>
      </c>
      <c r="I6" s="465">
        <v>3</v>
      </c>
      <c r="J6" s="465">
        <v>6</v>
      </c>
      <c r="K6" s="474">
        <v>5</v>
      </c>
      <c r="M6" s="30" t="s">
        <v>2348</v>
      </c>
      <c r="N6" s="503">
        <f>[1]!CRONALPHA(B4:K18)</f>
        <v>0.5917188485995839</v>
      </c>
      <c r="P6" t="str">
        <f>[1]!FTEXT(N6)</f>
        <v>=CRONALPHA(B4:K18)</v>
      </c>
      <c r="R6" s="82" t="s">
        <v>48</v>
      </c>
      <c r="S6" s="420">
        <v>0.05</v>
      </c>
    </row>
    <row r="7" spans="1:21" x14ac:dyDescent="0.25">
      <c r="A7" s="465">
        <f t="shared" si="0"/>
        <v>4</v>
      </c>
      <c r="B7" s="473">
        <v>2</v>
      </c>
      <c r="C7" s="465">
        <v>4</v>
      </c>
      <c r="D7" s="465">
        <v>3</v>
      </c>
      <c r="E7" s="465">
        <v>3</v>
      </c>
      <c r="F7" s="465">
        <v>2</v>
      </c>
      <c r="G7" s="465">
        <v>2</v>
      </c>
      <c r="H7" s="465">
        <v>2</v>
      </c>
      <c r="I7" s="465">
        <v>6</v>
      </c>
      <c r="J7" s="465">
        <v>6</v>
      </c>
      <c r="K7" s="474">
        <v>3</v>
      </c>
      <c r="M7" s="30" t="s">
        <v>2349</v>
      </c>
      <c r="N7" s="1048">
        <v>0.7</v>
      </c>
    </row>
    <row r="8" spans="1:21" x14ac:dyDescent="0.25">
      <c r="A8" s="465">
        <f t="shared" si="0"/>
        <v>5</v>
      </c>
      <c r="B8" s="473">
        <v>6</v>
      </c>
      <c r="C8" s="465">
        <v>5</v>
      </c>
      <c r="D8" s="465">
        <v>6</v>
      </c>
      <c r="E8" s="465">
        <v>5</v>
      </c>
      <c r="F8" s="465">
        <v>4</v>
      </c>
      <c r="G8" s="465">
        <v>4</v>
      </c>
      <c r="H8" s="465">
        <v>4</v>
      </c>
      <c r="I8" s="465">
        <v>6</v>
      </c>
      <c r="J8" s="465">
        <v>7</v>
      </c>
      <c r="K8" s="474">
        <v>5</v>
      </c>
      <c r="M8" s="30" t="s">
        <v>1044</v>
      </c>
      <c r="N8" s="1048">
        <f>(1-N7)/(1-N6)</f>
        <v>0.73478777790988248</v>
      </c>
      <c r="P8" t="str">
        <f>[1]!FTEXT(N8)</f>
        <v>=(1-N7)/(1-N6)</v>
      </c>
      <c r="R8" s="1047" t="s">
        <v>31</v>
      </c>
      <c r="S8" s="1047" t="s">
        <v>29</v>
      </c>
      <c r="T8" s="1047" t="s">
        <v>30</v>
      </c>
      <c r="U8" s="1047" t="s">
        <v>2350</v>
      </c>
    </row>
    <row r="9" spans="1:21" x14ac:dyDescent="0.25">
      <c r="A9" s="465">
        <f t="shared" si="0"/>
        <v>6</v>
      </c>
      <c r="B9" s="473">
        <v>1</v>
      </c>
      <c r="C9" s="465">
        <v>2</v>
      </c>
      <c r="D9" s="465">
        <v>3</v>
      </c>
      <c r="E9" s="465">
        <v>4</v>
      </c>
      <c r="F9" s="465">
        <v>2</v>
      </c>
      <c r="G9" s="465">
        <v>5</v>
      </c>
      <c r="H9" s="465">
        <v>2</v>
      </c>
      <c r="I9" s="465">
        <v>3</v>
      </c>
      <c r="J9" s="465">
        <v>5</v>
      </c>
      <c r="K9" s="474">
        <v>2</v>
      </c>
      <c r="M9" s="30" t="s">
        <v>421</v>
      </c>
      <c r="N9" s="503">
        <f>N4-1</f>
        <v>14</v>
      </c>
      <c r="P9" t="str">
        <f>[1]!FTEXT(N9)</f>
        <v>=N4-1</v>
      </c>
      <c r="R9" s="1047">
        <v>100</v>
      </c>
      <c r="S9" s="869">
        <f t="shared" ref="S9:S20" si="1">1-(1-$S$5)*FINV($S$6/2,R9-1,(R9-1)*($S$4-1))</f>
        <v>0.60407268859110042</v>
      </c>
      <c r="T9" s="827">
        <f t="shared" ref="T9:T20" si="2">1-(1-$S$5)*FINV(1-$S$6/2,R9-1,(R9-1)*($S$4-1))</f>
        <v>0.78053772863687665</v>
      </c>
      <c r="U9" s="870">
        <f t="shared" ref="U9:U20" si="3">T9-S9</f>
        <v>0.17646504004577623</v>
      </c>
    </row>
    <row r="10" spans="1:21" x14ac:dyDescent="0.25">
      <c r="A10" s="465">
        <f t="shared" si="0"/>
        <v>7</v>
      </c>
      <c r="B10" s="473">
        <v>4</v>
      </c>
      <c r="C10" s="465">
        <v>3</v>
      </c>
      <c r="D10" s="465">
        <v>5</v>
      </c>
      <c r="E10" s="465">
        <v>3</v>
      </c>
      <c r="F10" s="465">
        <v>5</v>
      </c>
      <c r="G10" s="465">
        <v>2</v>
      </c>
      <c r="H10" s="465">
        <v>1</v>
      </c>
      <c r="I10" s="465">
        <v>2</v>
      </c>
      <c r="J10" s="465">
        <v>4</v>
      </c>
      <c r="K10" s="721">
        <v>3</v>
      </c>
      <c r="M10" s="30" t="s">
        <v>422</v>
      </c>
      <c r="N10" s="503">
        <f>N9*(N5-1)</f>
        <v>126</v>
      </c>
      <c r="P10" t="str">
        <f>[1]!FTEXT(N10)</f>
        <v>=N9*(N5-1)</v>
      </c>
      <c r="R10" s="1047">
        <v>200</v>
      </c>
      <c r="S10" s="532">
        <f t="shared" si="1"/>
        <v>0.63398968321518223</v>
      </c>
      <c r="T10" s="7">
        <f t="shared" si="2"/>
        <v>0.7583569004808548</v>
      </c>
      <c r="U10" s="533">
        <f t="shared" si="3"/>
        <v>0.12436721726567257</v>
      </c>
    </row>
    <row r="11" spans="1:21" x14ac:dyDescent="0.25">
      <c r="A11" s="465">
        <f t="shared" si="0"/>
        <v>8</v>
      </c>
      <c r="B11" s="473">
        <v>2</v>
      </c>
      <c r="C11" s="465">
        <v>4</v>
      </c>
      <c r="D11" s="465">
        <v>4</v>
      </c>
      <c r="E11" s="465">
        <v>3</v>
      </c>
      <c r="F11" s="465">
        <v>7</v>
      </c>
      <c r="G11" s="465">
        <v>2</v>
      </c>
      <c r="H11" s="465">
        <v>2</v>
      </c>
      <c r="I11" s="465">
        <v>4</v>
      </c>
      <c r="J11" s="465">
        <v>6</v>
      </c>
      <c r="K11" s="721">
        <v>5</v>
      </c>
      <c r="M11" s="30" t="s">
        <v>67</v>
      </c>
      <c r="N11" s="420">
        <f>1-FDIST(N8,N9,N10)</f>
        <v>0.2639543537336243</v>
      </c>
      <c r="P11" t="str">
        <f>[1]!FTEXT(N11)</f>
        <v>=1-FDIST(N8,N9,N10)</v>
      </c>
      <c r="R11" s="1047">
        <v>400</v>
      </c>
      <c r="S11" s="532">
        <f t="shared" si="1"/>
        <v>0.65419367360392711</v>
      </c>
      <c r="T11" s="7">
        <f t="shared" si="2"/>
        <v>0.74198988427439727</v>
      </c>
      <c r="U11" s="533">
        <f t="shared" si="3"/>
        <v>8.7796210670470165E-2</v>
      </c>
    </row>
    <row r="12" spans="1:21" x14ac:dyDescent="0.25">
      <c r="A12" s="465">
        <f t="shared" si="0"/>
        <v>9</v>
      </c>
      <c r="B12" s="473">
        <v>6</v>
      </c>
      <c r="C12" s="465">
        <v>5</v>
      </c>
      <c r="D12" s="465">
        <v>5</v>
      </c>
      <c r="E12" s="465">
        <v>5</v>
      </c>
      <c r="F12" s="465">
        <v>1</v>
      </c>
      <c r="G12" s="465">
        <v>6</v>
      </c>
      <c r="H12" s="465">
        <v>5</v>
      </c>
      <c r="I12" s="465">
        <v>2</v>
      </c>
      <c r="J12" s="465">
        <v>3</v>
      </c>
      <c r="K12" s="721">
        <v>2</v>
      </c>
      <c r="R12" s="1047">
        <v>800</v>
      </c>
      <c r="S12" s="532">
        <f t="shared" si="1"/>
        <v>0.66803200046630984</v>
      </c>
      <c r="T12" s="7">
        <f t="shared" si="2"/>
        <v>0.73006233534019893</v>
      </c>
      <c r="U12" s="533">
        <f t="shared" si="3"/>
        <v>6.2030334873889093E-2</v>
      </c>
    </row>
    <row r="13" spans="1:21" x14ac:dyDescent="0.25">
      <c r="A13" s="465">
        <f t="shared" si="0"/>
        <v>10</v>
      </c>
      <c r="B13" s="473">
        <v>5</v>
      </c>
      <c r="C13" s="465">
        <v>4</v>
      </c>
      <c r="D13" s="465">
        <v>6</v>
      </c>
      <c r="E13" s="465">
        <v>4</v>
      </c>
      <c r="F13" s="465">
        <v>3</v>
      </c>
      <c r="G13" s="465">
        <v>5</v>
      </c>
      <c r="H13" s="465">
        <v>3</v>
      </c>
      <c r="I13" s="465">
        <v>1</v>
      </c>
      <c r="J13" s="465">
        <v>7</v>
      </c>
      <c r="K13" s="474">
        <v>2</v>
      </c>
      <c r="M13" s="30" t="s">
        <v>48</v>
      </c>
      <c r="N13" s="1049">
        <v>0.05</v>
      </c>
      <c r="R13" s="1047">
        <v>1600</v>
      </c>
      <c r="S13" s="532">
        <f t="shared" si="1"/>
        <v>0.67760185930174988</v>
      </c>
      <c r="T13" s="7">
        <f t="shared" si="2"/>
        <v>0.72144594661810646</v>
      </c>
      <c r="U13" s="533">
        <f t="shared" si="3"/>
        <v>4.3844087316356584E-2</v>
      </c>
    </row>
    <row r="14" spans="1:21" x14ac:dyDescent="0.25">
      <c r="A14" s="465">
        <f t="shared" si="0"/>
        <v>11</v>
      </c>
      <c r="B14" s="473">
        <v>4</v>
      </c>
      <c r="C14" s="465">
        <v>3</v>
      </c>
      <c r="D14" s="465">
        <v>5</v>
      </c>
      <c r="E14" s="465">
        <v>2</v>
      </c>
      <c r="F14" s="465">
        <v>5</v>
      </c>
      <c r="G14" s="465">
        <v>3</v>
      </c>
      <c r="H14" s="465">
        <v>2</v>
      </c>
      <c r="I14" s="465">
        <v>3</v>
      </c>
      <c r="J14" s="465">
        <v>4</v>
      </c>
      <c r="K14" s="474">
        <v>1</v>
      </c>
      <c r="M14" s="30" t="s">
        <v>29</v>
      </c>
      <c r="N14" s="503">
        <f>1-(1-N6)*FINV(N13/2,N9,N10)</f>
        <v>0.19492139066312442</v>
      </c>
      <c r="P14" t="str">
        <f>[1]!FTEXT(N14)</f>
        <v>=1-(1-N6)*FINV(N13/2,N9,N10)</v>
      </c>
      <c r="R14" s="1047">
        <v>1200</v>
      </c>
      <c r="S14" s="532">
        <f t="shared" si="1"/>
        <v>0.67404820722393355</v>
      </c>
      <c r="T14" s="7">
        <f t="shared" si="2"/>
        <v>0.72468191722463593</v>
      </c>
      <c r="U14" s="533">
        <f t="shared" si="3"/>
        <v>5.0633710000702381E-2</v>
      </c>
    </row>
    <row r="15" spans="1:21" x14ac:dyDescent="0.25">
      <c r="A15" s="465">
        <f t="shared" si="0"/>
        <v>12</v>
      </c>
      <c r="B15" s="473">
        <v>4</v>
      </c>
      <c r="C15" s="465">
        <v>2</v>
      </c>
      <c r="D15" s="465">
        <v>3</v>
      </c>
      <c r="E15" s="465">
        <v>2</v>
      </c>
      <c r="F15" s="465">
        <v>5</v>
      </c>
      <c r="G15" s="465">
        <v>3</v>
      </c>
      <c r="H15" s="465">
        <v>4</v>
      </c>
      <c r="I15" s="465">
        <v>2</v>
      </c>
      <c r="J15" s="465">
        <v>3</v>
      </c>
      <c r="K15" s="474">
        <v>4</v>
      </c>
      <c r="M15" s="30" t="s">
        <v>30</v>
      </c>
      <c r="N15" s="420">
        <f>1-(1-N6)*FINV(1-N13/2,N9,N10)</f>
        <v>0.83982081462754365</v>
      </c>
      <c r="P15" t="str">
        <f>[1]!FTEXT(N15)</f>
        <v>=1-(1-N6)*FINV(1-N13/2,N9,N10)</v>
      </c>
      <c r="R15" s="1047">
        <v>1300</v>
      </c>
      <c r="S15" s="532">
        <f t="shared" si="1"/>
        <v>0.67509131915952914</v>
      </c>
      <c r="T15" s="7">
        <f t="shared" si="2"/>
        <v>0.72373656854036517</v>
      </c>
      <c r="U15" s="533">
        <f t="shared" si="3"/>
        <v>4.8645249380836031E-2</v>
      </c>
    </row>
    <row r="16" spans="1:21" x14ac:dyDescent="0.25">
      <c r="A16" s="465">
        <f t="shared" si="0"/>
        <v>13</v>
      </c>
      <c r="B16" s="473">
        <v>5</v>
      </c>
      <c r="C16" s="465">
        <v>5</v>
      </c>
      <c r="D16" s="465">
        <v>6</v>
      </c>
      <c r="E16" s="465">
        <v>2</v>
      </c>
      <c r="F16" s="465">
        <v>3</v>
      </c>
      <c r="G16" s="465">
        <v>3</v>
      </c>
      <c r="H16" s="465">
        <v>2</v>
      </c>
      <c r="I16" s="465">
        <v>4</v>
      </c>
      <c r="J16" s="465">
        <v>4</v>
      </c>
      <c r="K16" s="474">
        <v>5</v>
      </c>
      <c r="R16" s="1047">
        <v>1250</v>
      </c>
      <c r="S16" s="532">
        <f t="shared" si="1"/>
        <v>0.67458567326570307</v>
      </c>
      <c r="T16" s="7">
        <f t="shared" si="2"/>
        <v>0.72419528974964265</v>
      </c>
      <c r="U16" s="533">
        <f t="shared" si="3"/>
        <v>4.9609616483939578E-2</v>
      </c>
    </row>
    <row r="17" spans="1:21" x14ac:dyDescent="0.25">
      <c r="A17" s="465">
        <f t="shared" si="0"/>
        <v>14</v>
      </c>
      <c r="B17" s="473">
        <v>6</v>
      </c>
      <c r="C17" s="465">
        <v>5</v>
      </c>
      <c r="D17" s="465">
        <v>5</v>
      </c>
      <c r="E17" s="465">
        <v>4</v>
      </c>
      <c r="F17" s="465">
        <v>2</v>
      </c>
      <c r="G17" s="465">
        <v>2</v>
      </c>
      <c r="H17" s="465">
        <v>1</v>
      </c>
      <c r="I17" s="465">
        <v>4</v>
      </c>
      <c r="J17" s="465">
        <v>6</v>
      </c>
      <c r="K17" s="474">
        <v>5</v>
      </c>
      <c r="R17" s="1047">
        <v>1225</v>
      </c>
      <c r="S17" s="532">
        <f t="shared" si="1"/>
        <v>0.67432112294519242</v>
      </c>
      <c r="T17" s="7">
        <f t="shared" si="2"/>
        <v>0.72443494000142317</v>
      </c>
      <c r="U17" s="533">
        <f t="shared" si="3"/>
        <v>5.0113817056230747E-2</v>
      </c>
    </row>
    <row r="18" spans="1:21" x14ac:dyDescent="0.25">
      <c r="A18" s="465">
        <f t="shared" si="0"/>
        <v>15</v>
      </c>
      <c r="B18" s="475">
        <v>4</v>
      </c>
      <c r="C18" s="476">
        <v>3</v>
      </c>
      <c r="D18" s="476">
        <v>5</v>
      </c>
      <c r="E18" s="476">
        <v>5</v>
      </c>
      <c r="F18" s="476">
        <v>3</v>
      </c>
      <c r="G18" s="476">
        <v>1</v>
      </c>
      <c r="H18" s="476">
        <v>3</v>
      </c>
      <c r="I18" s="476">
        <v>2</v>
      </c>
      <c r="J18" s="476">
        <v>3</v>
      </c>
      <c r="K18" s="477">
        <v>4</v>
      </c>
      <c r="M18" t="str">
        <f t="array" ref="M18:N20">[1]!ICC(B4:K18,3,10,TRUE)</f>
        <v>ICC</v>
      </c>
      <c r="N18" s="1041">
        <v>0.5917188485995839</v>
      </c>
      <c r="P18" t="str">
        <f>[1]!FTEXT(M18)</f>
        <v>=ICC(B4:K18,3,10,TRUE)</v>
      </c>
      <c r="R18" s="1047">
        <v>1235</v>
      </c>
      <c r="S18" s="532">
        <f t="shared" si="1"/>
        <v>0.67442792287127618</v>
      </c>
      <c r="T18" s="7">
        <f t="shared" si="2"/>
        <v>0.72433822117978575</v>
      </c>
      <c r="U18" s="533">
        <f t="shared" si="3"/>
        <v>4.9910298308509571E-2</v>
      </c>
    </row>
    <row r="19" spans="1:21" x14ac:dyDescent="0.25">
      <c r="M19" t="str">
        <v>lower</v>
      </c>
      <c r="N19" s="503">
        <v>0.19492139066312436</v>
      </c>
      <c r="R19" s="1047">
        <v>1230</v>
      </c>
      <c r="S19" s="532">
        <f t="shared" si="1"/>
        <v>0.67437468844891946</v>
      </c>
      <c r="T19" s="7">
        <f t="shared" si="2"/>
        <v>0.7243864355578189</v>
      </c>
      <c r="U19" s="533">
        <f t="shared" si="3"/>
        <v>5.001174710889944E-2</v>
      </c>
    </row>
    <row r="20" spans="1:21" x14ac:dyDescent="0.25">
      <c r="M20" t="str">
        <v>upper</v>
      </c>
      <c r="N20" s="420">
        <v>0.83982081462754377</v>
      </c>
      <c r="R20" s="1047">
        <v>1231</v>
      </c>
      <c r="S20" s="409">
        <f t="shared" si="1"/>
        <v>0.67438536171086128</v>
      </c>
      <c r="T20" s="762">
        <f t="shared" si="2"/>
        <v>0.72437676956999852</v>
      </c>
      <c r="U20" s="417">
        <f t="shared" si="3"/>
        <v>4.9991407859137249E-2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8"/>
  <dimension ref="A1:O19"/>
  <sheetViews>
    <sheetView workbookViewId="0"/>
  </sheetViews>
  <sheetFormatPr defaultRowHeight="15" x14ac:dyDescent="0.25"/>
  <cols>
    <col min="1" max="1" width="6.140625" customWidth="1"/>
    <col min="2" max="2" width="9.140625" customWidth="1"/>
    <col min="5" max="5" width="2.7109375" customWidth="1"/>
    <col min="6" max="6" width="19" customWidth="1"/>
    <col min="7" max="7" width="2.7109375" customWidth="1"/>
    <col min="8" max="8" width="20.5703125" customWidth="1"/>
    <col min="9" max="9" width="2.7109375" customWidth="1"/>
    <col min="10" max="10" width="9.7109375" customWidth="1"/>
    <col min="14" max="14" width="3.42578125" customWidth="1"/>
    <col min="15" max="15" width="20.5703125" customWidth="1"/>
  </cols>
  <sheetData>
    <row r="1" spans="1:15" x14ac:dyDescent="0.25">
      <c r="A1" s="1" t="s">
        <v>2360</v>
      </c>
    </row>
    <row r="2" spans="1:15" x14ac:dyDescent="0.25">
      <c r="A2" s="1"/>
    </row>
    <row r="3" spans="1:15" x14ac:dyDescent="0.25">
      <c r="A3" s="1" t="s">
        <v>2355</v>
      </c>
      <c r="L3" s="1" t="s">
        <v>2356</v>
      </c>
    </row>
    <row r="5" spans="1:15" x14ac:dyDescent="0.25">
      <c r="A5" s="53" t="s">
        <v>31</v>
      </c>
      <c r="B5" s="1041">
        <v>100</v>
      </c>
      <c r="L5" s="53" t="s">
        <v>31</v>
      </c>
      <c r="M5" s="1041">
        <v>100</v>
      </c>
    </row>
    <row r="6" spans="1:15" x14ac:dyDescent="0.25">
      <c r="A6" t="s">
        <v>56</v>
      </c>
      <c r="B6" s="503">
        <v>10</v>
      </c>
      <c r="L6" t="s">
        <v>56</v>
      </c>
      <c r="M6" s="503">
        <v>10</v>
      </c>
    </row>
    <row r="7" spans="1:15" x14ac:dyDescent="0.25">
      <c r="A7" s="30" t="s">
        <v>2349</v>
      </c>
      <c r="B7" s="503">
        <v>0.7</v>
      </c>
      <c r="L7" s="30" t="s">
        <v>2349</v>
      </c>
      <c r="M7" s="503">
        <v>0.7</v>
      </c>
    </row>
    <row r="8" spans="1:15" x14ac:dyDescent="0.25">
      <c r="A8" s="30" t="s">
        <v>2352</v>
      </c>
      <c r="B8" s="1048">
        <v>0.75</v>
      </c>
      <c r="L8" s="30" t="s">
        <v>2352</v>
      </c>
      <c r="M8" s="1048">
        <v>0.75</v>
      </c>
    </row>
    <row r="9" spans="1:15" x14ac:dyDescent="0.25">
      <c r="A9" s="372" t="s">
        <v>48</v>
      </c>
      <c r="B9" s="1048">
        <v>0.05</v>
      </c>
      <c r="L9" s="372" t="s">
        <v>48</v>
      </c>
      <c r="M9" s="1048">
        <v>0.05</v>
      </c>
    </row>
    <row r="10" spans="1:15" x14ac:dyDescent="0.25">
      <c r="A10" s="30" t="s">
        <v>421</v>
      </c>
      <c r="B10" s="503">
        <f>B5-1</f>
        <v>99</v>
      </c>
      <c r="F10" t="str">
        <f>[1]!FTEXT(B10)</f>
        <v>=B5-1</v>
      </c>
      <c r="L10" s="30" t="s">
        <v>421</v>
      </c>
      <c r="M10" s="503">
        <f>M5-1</f>
        <v>99</v>
      </c>
      <c r="O10" t="str">
        <f>[1]!FTEXT(M10)</f>
        <v>=M5-1</v>
      </c>
    </row>
    <row r="11" spans="1:15" x14ac:dyDescent="0.25">
      <c r="A11" s="30" t="s">
        <v>422</v>
      </c>
      <c r="B11" s="420">
        <f>B10*(B6-1)</f>
        <v>891</v>
      </c>
      <c r="F11" t="str">
        <f>[1]!FTEXT(B11)</f>
        <v>=B10*(B6-1)</v>
      </c>
      <c r="L11" s="30" t="s">
        <v>422</v>
      </c>
      <c r="M11" s="420">
        <f>M10*(M6-1)</f>
        <v>891</v>
      </c>
      <c r="O11" t="str">
        <f>[1]!FTEXT(M11)</f>
        <v>=M10*(M6-1)</v>
      </c>
    </row>
    <row r="12" spans="1:15" x14ac:dyDescent="0.25">
      <c r="F12" t="str">
        <f>[1]!FTEXT(B12)</f>
        <v/>
      </c>
    </row>
    <row r="13" spans="1:15" x14ac:dyDescent="0.25">
      <c r="B13" s="1047" t="s">
        <v>2336</v>
      </c>
      <c r="C13" s="1047" t="s">
        <v>2335</v>
      </c>
      <c r="D13" s="1047" t="s">
        <v>2088</v>
      </c>
      <c r="F13" s="1047" t="s">
        <v>2336</v>
      </c>
      <c r="G13" s="1047"/>
      <c r="H13" s="1047" t="s">
        <v>2335</v>
      </c>
      <c r="I13" s="1047"/>
      <c r="J13" s="1047" t="s">
        <v>2088</v>
      </c>
      <c r="L13" s="30" t="s">
        <v>246</v>
      </c>
      <c r="M13" s="1041">
        <f>FINV(M9,M10,M11)</f>
        <v>1.2627405196922372</v>
      </c>
      <c r="O13" t="str">
        <f>[1]!FTEXT(M13)</f>
        <v>=FINV(M9,M10,M11)</v>
      </c>
    </row>
    <row r="14" spans="1:15" x14ac:dyDescent="0.25">
      <c r="A14" s="30" t="s">
        <v>246</v>
      </c>
      <c r="B14" s="869">
        <f>FINV(B9/2,B10,B11)</f>
        <v>1.3197577046963318</v>
      </c>
      <c r="C14" s="870">
        <f>FINV(1-B9/2,B10,B11)</f>
        <v>0.73154090454374454</v>
      </c>
      <c r="F14" t="str">
        <f>[1]!FTEXT(B14)</f>
        <v>=FINV(B9/2,B10,B11)</v>
      </c>
      <c r="H14" t="str">
        <f>[1]!FTEXT(C14)</f>
        <v>=FINV(1-B9/2,B10,B11)</v>
      </c>
      <c r="L14" s="30" t="s">
        <v>2353</v>
      </c>
      <c r="M14" s="503">
        <f>1-(1-M7)/M13</f>
        <v>0.76242149885780341</v>
      </c>
      <c r="O14" t="str">
        <f>[1]!FTEXT(M14)</f>
        <v>=1-(1-M7)/M13</v>
      </c>
    </row>
    <row r="15" spans="1:15" x14ac:dyDescent="0.25">
      <c r="A15" s="30" t="s">
        <v>2353</v>
      </c>
      <c r="B15" s="532">
        <f>1-(1-B7)/B14</f>
        <v>0.77268554755736152</v>
      </c>
      <c r="C15" s="533">
        <f>1-(1-B7)/C14</f>
        <v>0.58990673230076274</v>
      </c>
      <c r="F15" t="str">
        <f>[1]!FTEXT(B15)</f>
        <v>=1-(1-B7)/B14</v>
      </c>
      <c r="H15" t="str">
        <f>[1]!FTEXT(C15)</f>
        <v>=1-(1-B7)/C14</v>
      </c>
      <c r="L15" s="372" t="s">
        <v>2354</v>
      </c>
      <c r="M15" s="503">
        <f>(1-M8)/(1-M14)</f>
        <v>1.0522837664101974</v>
      </c>
      <c r="O15" t="str">
        <f>[1]!FTEXT(M15)</f>
        <v>=(1-M8)/(1-M14)</v>
      </c>
    </row>
    <row r="16" spans="1:15" x14ac:dyDescent="0.25">
      <c r="A16" s="372" t="s">
        <v>2354</v>
      </c>
      <c r="B16" s="532">
        <f>(1-B8)/(1-B15)</f>
        <v>1.0997980872469431</v>
      </c>
      <c r="C16" s="533">
        <f>(1-B8)/(1-C15)</f>
        <v>0.6096174204531204</v>
      </c>
      <c r="F16" t="str">
        <f>[1]!FTEXT(B16)</f>
        <v>=(1-B8)/(1-B15)</v>
      </c>
      <c r="H16" t="str">
        <f>[1]!FTEXT(C16)</f>
        <v>=(1-B8)/(1-C15)</v>
      </c>
      <c r="L16" s="372" t="s">
        <v>2089</v>
      </c>
      <c r="M16" s="420">
        <f>FDIST(M15,M10,M11)</f>
        <v>0.35117718315108826</v>
      </c>
      <c r="O16" t="str">
        <f>[1]!FTEXT(M16)</f>
        <v>=FDIST(M15,M10,M11)</v>
      </c>
    </row>
    <row r="17" spans="1:15" x14ac:dyDescent="0.25">
      <c r="A17" s="372" t="s">
        <v>2089</v>
      </c>
      <c r="B17" s="609">
        <f>FDIST(B16,B10,B11)</f>
        <v>0.24748133824421889</v>
      </c>
      <c r="C17" s="610">
        <f>1-FDIST(C16,B10,B11)</f>
        <v>1.1379694181832267E-3</v>
      </c>
      <c r="D17" s="580">
        <f>B17+C17</f>
        <v>0.24861930766240212</v>
      </c>
      <c r="F17" t="str">
        <f>[1]!FTEXT(B17)</f>
        <v>=FDIST(B16,B10,B11)</v>
      </c>
      <c r="H17" t="str">
        <f>[1]!FTEXT(C17)</f>
        <v>=1-FDIST(C16,B10,B11)</v>
      </c>
      <c r="J17" t="str">
        <f>[1]!FTEXT(D17)</f>
        <v>=B17+C17</v>
      </c>
    </row>
    <row r="18" spans="1:15" x14ac:dyDescent="0.25">
      <c r="L18" s="372" t="s">
        <v>2089</v>
      </c>
      <c r="M18" s="580">
        <f>[1]!CALPHA_POWER(M7,M8,M5,M6,1,M9)</f>
        <v>0.35117718315108826</v>
      </c>
      <c r="O18" t="str">
        <f>[1]!FTEXT(M18)</f>
        <v>=CALPHA_POWER(M7,M8,M5,M6,1,M9)</v>
      </c>
    </row>
    <row r="19" spans="1:15" x14ac:dyDescent="0.25">
      <c r="A19" s="372" t="s">
        <v>2089</v>
      </c>
      <c r="D19" s="580">
        <f>[1]!CALPHA_POWER(B7,B8,B5,B6)</f>
        <v>0.24861930766240212</v>
      </c>
      <c r="F19" t="str">
        <f>[1]!FTEXT(D19)</f>
        <v>=CALPHA_POWER(B7,B8,B5,B6)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9"/>
  <dimension ref="A1:I12"/>
  <sheetViews>
    <sheetView workbookViewId="0"/>
  </sheetViews>
  <sheetFormatPr defaultRowHeight="15" x14ac:dyDescent="0.25"/>
  <cols>
    <col min="1" max="1" width="6.140625" customWidth="1"/>
    <col min="2" max="2" width="9.140625" customWidth="1"/>
    <col min="3" max="3" width="2.7109375" customWidth="1"/>
    <col min="4" max="4" width="28.85546875" customWidth="1"/>
    <col min="7" max="7" width="9.140625" customWidth="1"/>
    <col min="8" max="8" width="3.42578125" customWidth="1"/>
    <col min="9" max="9" width="34.42578125" customWidth="1"/>
  </cols>
  <sheetData>
    <row r="1" spans="1:9" x14ac:dyDescent="0.25">
      <c r="A1" s="1" t="s">
        <v>2361</v>
      </c>
    </row>
    <row r="2" spans="1:9" x14ac:dyDescent="0.25">
      <c r="A2" s="1"/>
    </row>
    <row r="3" spans="1:9" x14ac:dyDescent="0.25">
      <c r="A3" s="1" t="s">
        <v>2362</v>
      </c>
      <c r="F3" s="1" t="s">
        <v>2363</v>
      </c>
    </row>
    <row r="5" spans="1:9" x14ac:dyDescent="0.25">
      <c r="A5" s="372" t="s">
        <v>2089</v>
      </c>
      <c r="B5" s="1041">
        <v>0.9</v>
      </c>
      <c r="F5" s="372" t="s">
        <v>2089</v>
      </c>
      <c r="G5" s="1041">
        <v>0.9</v>
      </c>
    </row>
    <row r="6" spans="1:9" x14ac:dyDescent="0.25">
      <c r="A6" t="s">
        <v>56</v>
      </c>
      <c r="B6" s="503">
        <v>10</v>
      </c>
      <c r="F6" t="s">
        <v>56</v>
      </c>
      <c r="G6" s="503">
        <v>10</v>
      </c>
    </row>
    <row r="7" spans="1:9" x14ac:dyDescent="0.25">
      <c r="A7" s="30" t="s">
        <v>2349</v>
      </c>
      <c r="B7" s="503">
        <v>0.7</v>
      </c>
      <c r="F7" s="30" t="s">
        <v>2349</v>
      </c>
      <c r="G7" s="503">
        <v>0.7</v>
      </c>
    </row>
    <row r="8" spans="1:9" x14ac:dyDescent="0.25">
      <c r="A8" s="30" t="s">
        <v>2352</v>
      </c>
      <c r="B8" s="1048">
        <v>0.75</v>
      </c>
      <c r="F8" s="30" t="s">
        <v>2352</v>
      </c>
      <c r="G8" s="1048">
        <v>0.75</v>
      </c>
    </row>
    <row r="9" spans="1:9" x14ac:dyDescent="0.25">
      <c r="A9" s="372" t="s">
        <v>48</v>
      </c>
      <c r="B9" s="1050">
        <v>0.05</v>
      </c>
      <c r="F9" s="372" t="s">
        <v>48</v>
      </c>
      <c r="G9" s="1050">
        <v>0.05</v>
      </c>
    </row>
    <row r="10" spans="1:9" x14ac:dyDescent="0.25">
      <c r="D10" t="str">
        <f>[1]!FTEXT(B10)</f>
        <v/>
      </c>
    </row>
    <row r="11" spans="1:9" x14ac:dyDescent="0.25">
      <c r="A11" s="372" t="s">
        <v>31</v>
      </c>
      <c r="B11" s="1041">
        <f>[1]!CALPHA_SIZE(B7,B8,B6,B5)</f>
        <v>698</v>
      </c>
      <c r="D11" t="str">
        <f>[1]!FTEXT(B11)</f>
        <v>=CALPHA_SIZE(B7,B8,B6,B5)</v>
      </c>
      <c r="F11" s="372" t="s">
        <v>31</v>
      </c>
      <c r="G11" s="1041">
        <f>[1]!CALPHA_SIZE(G7,G8,G6,G5,1,G9)</f>
        <v>571</v>
      </c>
      <c r="I11" t="str">
        <f>[1]!FTEXT(G11)</f>
        <v>=CALPHA_SIZE(G7,G8,G6,G5,1,G9)</v>
      </c>
    </row>
    <row r="12" spans="1:9" x14ac:dyDescent="0.25">
      <c r="A12" s="372" t="s">
        <v>2089</v>
      </c>
      <c r="B12" s="420">
        <f>[1]!CALPHA_POWER(B7,B8,B11,B6)</f>
        <v>0.90035688287231119</v>
      </c>
      <c r="D12" t="str">
        <f>[1]!FTEXT(B12)</f>
        <v>=CALPHA_POWER(B7,B8,B11,B6)</v>
      </c>
      <c r="F12" s="372" t="s">
        <v>2089</v>
      </c>
      <c r="G12" s="420">
        <f>[1]!CALPHA_POWER(G7,G8,G11,G6,1,G9)</f>
        <v>0.90009120707291701</v>
      </c>
      <c r="I12" t="str">
        <f>[1]!FTEXT(G12)</f>
        <v>=CALPHA_POWER(G7,G8,G11,G6,1,G9)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AB21"/>
  <sheetViews>
    <sheetView zoomScale="106" zoomScaleNormal="100" workbookViewId="0"/>
  </sheetViews>
  <sheetFormatPr defaultRowHeight="15" x14ac:dyDescent="0.25"/>
  <cols>
    <col min="1" max="1" width="11.28515625" customWidth="1"/>
    <col min="2" max="4" width="10.28515625" customWidth="1"/>
    <col min="9" max="9" width="3.5703125" customWidth="1"/>
    <col min="10" max="10" width="26.140625" customWidth="1"/>
    <col min="12" max="12" width="7.7109375" customWidth="1"/>
    <col min="14" max="14" width="3.5703125" customWidth="1"/>
    <col min="15" max="15" width="28.42578125" customWidth="1"/>
    <col min="16" max="16" width="4.140625" customWidth="1"/>
    <col min="20" max="20" width="3.5703125" customWidth="1"/>
    <col min="21" max="21" width="36.140625" customWidth="1"/>
  </cols>
  <sheetData>
    <row r="1" spans="1:28" x14ac:dyDescent="0.25">
      <c r="A1" s="1" t="s">
        <v>946</v>
      </c>
    </row>
    <row r="2" spans="1:28" x14ac:dyDescent="0.25">
      <c r="W2" t="s">
        <v>2331</v>
      </c>
      <c r="AA2" t="s">
        <v>2154</v>
      </c>
    </row>
    <row r="3" spans="1:28" x14ac:dyDescent="0.25">
      <c r="B3" s="1309" t="s">
        <v>947</v>
      </c>
      <c r="C3" s="1309"/>
      <c r="D3" s="1309"/>
      <c r="L3" t="s">
        <v>741</v>
      </c>
      <c r="Q3" t="s">
        <v>2384</v>
      </c>
    </row>
    <row r="4" spans="1:28" x14ac:dyDescent="0.25">
      <c r="A4" t="s">
        <v>948</v>
      </c>
      <c r="B4" s="425" t="s">
        <v>952</v>
      </c>
      <c r="C4" s="425" t="s">
        <v>953</v>
      </c>
      <c r="D4" s="425" t="s">
        <v>954</v>
      </c>
      <c r="E4" s="425" t="s">
        <v>1</v>
      </c>
      <c r="W4" t="str">
        <f t="array" ref="W4:X7">[1]!WKAPPA(B5:D7,,TRUE)</f>
        <v>kappa</v>
      </c>
      <c r="X4" s="1041">
        <v>0.49590422180214239</v>
      </c>
      <c r="AA4" t="s">
        <v>946</v>
      </c>
    </row>
    <row r="5" spans="1:28" x14ac:dyDescent="0.25">
      <c r="A5" s="53" t="s">
        <v>952</v>
      </c>
      <c r="B5" s="486">
        <v>10</v>
      </c>
      <c r="C5" s="439">
        <v>4</v>
      </c>
      <c r="D5" s="431">
        <v>1</v>
      </c>
      <c r="E5" s="425">
        <f>SUM(B5:D5)</f>
        <v>15</v>
      </c>
      <c r="G5" s="132" t="s">
        <v>1682</v>
      </c>
      <c r="H5" s="1041">
        <f>[1]!TRACE(B5:D7)/SUM(B5:D7)</f>
        <v>0.68</v>
      </c>
      <c r="J5" t="str">
        <f>[1]!FTEXT(H5)</f>
        <v>=TRACE(B5:D7)/SUM(B5:D7)</v>
      </c>
      <c r="L5" t="s">
        <v>2382</v>
      </c>
      <c r="M5" s="1041">
        <f>1-H7</f>
        <v>0.50409577819785756</v>
      </c>
      <c r="O5" t="str">
        <f>[1]!FTEXT(M5)</f>
        <v>=1-H7</v>
      </c>
      <c r="Q5" s="869">
        <f>B5/$E$8*(1-($E5+B$8)/$E$8*$M$5)^2</f>
        <v>9.4520420127461285E-2</v>
      </c>
      <c r="R5" s="827"/>
      <c r="S5" s="870"/>
      <c r="W5" t="str">
        <v>std err</v>
      </c>
      <c r="X5" s="503">
        <v>0.10624579391325582</v>
      </c>
    </row>
    <row r="6" spans="1:28" x14ac:dyDescent="0.25">
      <c r="A6" s="53" t="s">
        <v>953</v>
      </c>
      <c r="B6" s="256">
        <v>6</v>
      </c>
      <c r="C6" s="50">
        <v>16</v>
      </c>
      <c r="D6" s="36">
        <v>2</v>
      </c>
      <c r="E6" s="425">
        <f>SUM(B6:D6)</f>
        <v>24</v>
      </c>
      <c r="G6" s="132" t="s">
        <v>1683</v>
      </c>
      <c r="H6" s="503">
        <f>MMULT(B8:D8,E5:E7)/E8^2</f>
        <v>0.36520000000000002</v>
      </c>
      <c r="J6" t="str">
        <f>[1]!FTEXT(H6)</f>
        <v>=MMULT(B8:D8,E5:E7)/E8^2</v>
      </c>
      <c r="L6" t="s">
        <v>41</v>
      </c>
      <c r="M6" s="503">
        <f>SUM(Q5:S7)</f>
        <v>0.28000193760822123</v>
      </c>
      <c r="O6" t="str">
        <f>[1]!FTEXT(M6)</f>
        <v>=SUM(Q5:S7)</v>
      </c>
      <c r="Q6" s="532"/>
      <c r="R6" s="7">
        <f>C6/$E$8*(1-($E6+C$8)/$E$8*$M$5)^2</f>
        <v>8.8586812590800562E-2</v>
      </c>
      <c r="S6" s="533"/>
      <c r="W6" t="str">
        <v>lower</v>
      </c>
      <c r="X6" s="503">
        <v>0.28766629222329609</v>
      </c>
      <c r="AA6" t="s">
        <v>34</v>
      </c>
      <c r="AB6">
        <v>0.05</v>
      </c>
    </row>
    <row r="7" spans="1:28" x14ac:dyDescent="0.25">
      <c r="A7" s="53" t="s">
        <v>954</v>
      </c>
      <c r="B7" s="436">
        <v>0</v>
      </c>
      <c r="C7" s="487">
        <v>3</v>
      </c>
      <c r="D7" s="412">
        <v>8</v>
      </c>
      <c r="E7" s="425">
        <f>SUM(B7:D7)</f>
        <v>11</v>
      </c>
      <c r="G7" t="s">
        <v>1629</v>
      </c>
      <c r="H7" s="420">
        <f>(H5-H6)/(1-H6)</f>
        <v>0.49590422180214244</v>
      </c>
      <c r="J7" t="str">
        <f>[1]!FTEXT(H7)</f>
        <v>=(H5-H6)/(1-H6)</v>
      </c>
      <c r="L7" t="s">
        <v>42</v>
      </c>
      <c r="M7" s="503">
        <f>M5^2*SUM(Q11:S13)</f>
        <v>4.4662822420191782E-2</v>
      </c>
      <c r="O7" t="str">
        <f>[1]!FTEXT(M7)</f>
        <v>=M5^2*SUM(Q11:S13)</v>
      </c>
      <c r="Q7" s="409"/>
      <c r="R7" s="762"/>
      <c r="S7" s="417">
        <f>D7/$E$8*(1-($E7+D$8)/$E$8*$M$5)^2</f>
        <v>9.6894704889959354E-2</v>
      </c>
      <c r="U7" t="str">
        <f>[1]!FTEXT(S7)</f>
        <v>=D7/$E$8*(1-($E7+D$8)/$E$8*$M$5)^2</v>
      </c>
      <c r="W7" t="str">
        <v>upper</v>
      </c>
      <c r="X7" s="420">
        <v>0.70414215138098868</v>
      </c>
    </row>
    <row r="8" spans="1:28" x14ac:dyDescent="0.25">
      <c r="A8" s="31" t="s">
        <v>1</v>
      </c>
      <c r="B8" s="425">
        <f>SUM(B5:B7)</f>
        <v>16</v>
      </c>
      <c r="C8" s="425">
        <f>SUM(C5:C7)</f>
        <v>23</v>
      </c>
      <c r="D8" s="425">
        <f>SUM(D5:D7)</f>
        <v>11</v>
      </c>
      <c r="E8" s="425">
        <f>SUM(E5:E7)</f>
        <v>50</v>
      </c>
      <c r="L8" t="s">
        <v>43</v>
      </c>
      <c r="M8" s="503">
        <f>(H7-H6*M5)^2</f>
        <v>9.7224505502926481E-2</v>
      </c>
      <c r="O8" t="str">
        <f>[1]!FTEXT(M8)</f>
        <v>=(H7-H6*M5)^2</v>
      </c>
      <c r="AA8" t="str">
        <f t="array" ref="AA8:AB11">[1]!WKAPPA(B5:D7,,TRUE,AB6)</f>
        <v>kappa</v>
      </c>
      <c r="AB8" s="1037">
        <v>0.49590422180214239</v>
      </c>
    </row>
    <row r="9" spans="1:28" x14ac:dyDescent="0.25">
      <c r="L9" t="s">
        <v>425</v>
      </c>
      <c r="M9" s="420">
        <f>SQRT((M6+M7-M8)/E8)/(1-H6)</f>
        <v>0.10624579391325582</v>
      </c>
      <c r="O9" t="str">
        <f>[1]!FTEXT(M9)</f>
        <v>=SQRT((M6+M7-M8)/E8)/(1-H6)</v>
      </c>
      <c r="Q9" t="s">
        <v>2383</v>
      </c>
      <c r="AA9" t="str">
        <v>std err</v>
      </c>
      <c r="AB9" s="680">
        <v>0.10624579391325582</v>
      </c>
    </row>
    <row r="10" spans="1:28" x14ac:dyDescent="0.25">
      <c r="A10" t="s">
        <v>949</v>
      </c>
      <c r="B10" s="486">
        <f>B5</f>
        <v>10</v>
      </c>
      <c r="C10" s="439">
        <f>C6</f>
        <v>16</v>
      </c>
      <c r="D10" s="431">
        <f>D7</f>
        <v>8</v>
      </c>
      <c r="E10" s="425">
        <f>SUM(B10:D10)</f>
        <v>34</v>
      </c>
      <c r="AA10" t="str">
        <v>lower</v>
      </c>
      <c r="AB10" s="680">
        <v>0.28766629222329609</v>
      </c>
    </row>
    <row r="11" spans="1:28" x14ac:dyDescent="0.25">
      <c r="A11" s="31" t="s">
        <v>950</v>
      </c>
      <c r="B11" s="436">
        <f>B$8*$E5/$E$8</f>
        <v>4.8</v>
      </c>
      <c r="C11" s="487">
        <f>C$8*$E6/$E$8</f>
        <v>11.04</v>
      </c>
      <c r="D11" s="412">
        <f>D$8*$E7/$E$8</f>
        <v>2.42</v>
      </c>
      <c r="E11" s="425">
        <f>SUM(B11:D11)</f>
        <v>18.259999999999998</v>
      </c>
      <c r="L11" t="s">
        <v>1635</v>
      </c>
      <c r="M11" s="1041">
        <f>H7</f>
        <v>0.49590422180214244</v>
      </c>
      <c r="O11" t="str">
        <f>[1]!FTEXT(M11)</f>
        <v>=H7</v>
      </c>
      <c r="Q11" s="869"/>
      <c r="R11" s="827">
        <f>C5/$E$8*(($E5+C$8)/$E$8)^2</f>
        <v>4.6207999999999999E-2</v>
      </c>
      <c r="S11" s="870">
        <f>D5/$E$8*(($E5+D$8)/$E$8)^2</f>
        <v>5.4080000000000005E-3</v>
      </c>
      <c r="U11" t="str">
        <f>[1]!FTEXT(S11)</f>
        <v>=D5/$E$8*(($E5+D$8)/$E$8)^2</v>
      </c>
      <c r="AA11" t="str">
        <v>upper</v>
      </c>
      <c r="AB11" s="757">
        <v>0.70414215138098868</v>
      </c>
    </row>
    <row r="12" spans="1:28" x14ac:dyDescent="0.25">
      <c r="L12" t="s">
        <v>425</v>
      </c>
      <c r="M12" s="503">
        <f>M9</f>
        <v>0.10624579391325582</v>
      </c>
      <c r="O12" t="str">
        <f>[1]!FTEXT(M12)</f>
        <v>=M9</v>
      </c>
      <c r="Q12" s="532">
        <f>B6/$E$8*(($E6+B$8)/$E$8)^2</f>
        <v>7.6800000000000007E-2</v>
      </c>
      <c r="R12" s="7"/>
      <c r="S12" s="533">
        <f>D6/$E$8*(($E6+D$8)/$E$8)^2</f>
        <v>1.9599999999999999E-2</v>
      </c>
    </row>
    <row r="13" spans="1:28" x14ac:dyDescent="0.25">
      <c r="A13" t="s">
        <v>951</v>
      </c>
      <c r="B13" s="405">
        <f>(E10-E11)/(E8-E11)</f>
        <v>0.49590422180214244</v>
      </c>
      <c r="L13" s="30" t="s">
        <v>48</v>
      </c>
      <c r="M13" s="503">
        <v>0.05</v>
      </c>
      <c r="O13" t="str">
        <f>[1]!FTEXT(M13)</f>
        <v>0.05</v>
      </c>
      <c r="Q13" s="409">
        <f>B7/$E$8*(($E7+B$8)/$E$8)^2</f>
        <v>0</v>
      </c>
      <c r="R13" s="762">
        <f>C7/$E$8*(($E7+C$8)/$E$8)^2</f>
        <v>2.7744000000000005E-2</v>
      </c>
      <c r="S13" s="417"/>
    </row>
    <row r="14" spans="1:28" x14ac:dyDescent="0.25">
      <c r="L14" s="372" t="s">
        <v>211</v>
      </c>
      <c r="M14" s="503">
        <f>NORMSINV(1-M13/2)</f>
        <v>1.9599639845400536</v>
      </c>
      <c r="O14" t="str">
        <f>[1]!FTEXT(M14)</f>
        <v>=NORMSINV(1-M13/2)</v>
      </c>
    </row>
    <row r="15" spans="1:28" x14ac:dyDescent="0.25">
      <c r="L15" s="372" t="s">
        <v>29</v>
      </c>
      <c r="M15" s="503">
        <f>M11-M12*M14</f>
        <v>0.2876662922232962</v>
      </c>
      <c r="O15" t="str">
        <f>[1]!FTEXT(M15)</f>
        <v>=M11-M12*M14</v>
      </c>
    </row>
    <row r="16" spans="1:28" x14ac:dyDescent="0.25">
      <c r="B16" s="1309" t="s">
        <v>955</v>
      </c>
      <c r="C16" s="1309"/>
      <c r="D16" s="1309"/>
      <c r="L16" s="372" t="s">
        <v>30</v>
      </c>
      <c r="M16" s="420">
        <f>M11+M12*M14</f>
        <v>0.70414215138098868</v>
      </c>
      <c r="O16" t="str">
        <f>[1]!FTEXT(M16)</f>
        <v>=M11+M12*M14</v>
      </c>
    </row>
    <row r="17" spans="1:5" x14ac:dyDescent="0.25">
      <c r="A17" t="s">
        <v>956</v>
      </c>
      <c r="B17" s="425" t="s">
        <v>957</v>
      </c>
      <c r="C17" s="425" t="s">
        <v>958</v>
      </c>
      <c r="D17" s="425" t="s">
        <v>959</v>
      </c>
      <c r="E17" s="425" t="s">
        <v>1</v>
      </c>
    </row>
    <row r="18" spans="1:5" x14ac:dyDescent="0.25">
      <c r="A18" s="53" t="s">
        <v>957</v>
      </c>
      <c r="B18" s="486">
        <v>10</v>
      </c>
      <c r="C18" s="439">
        <v>4</v>
      </c>
      <c r="D18" s="431">
        <v>1</v>
      </c>
      <c r="E18" s="425">
        <f>SUM(B18:D18)</f>
        <v>15</v>
      </c>
    </row>
    <row r="19" spans="1:5" x14ac:dyDescent="0.25">
      <c r="A19" s="53" t="s">
        <v>958</v>
      </c>
      <c r="B19" s="256">
        <v>6</v>
      </c>
      <c r="C19" s="50">
        <v>16</v>
      </c>
      <c r="D19" s="36">
        <v>2</v>
      </c>
      <c r="E19" s="425">
        <f>SUM(B19:D19)</f>
        <v>24</v>
      </c>
    </row>
    <row r="20" spans="1:5" x14ac:dyDescent="0.25">
      <c r="A20" s="53" t="s">
        <v>959</v>
      </c>
      <c r="B20" s="436">
        <v>0</v>
      </c>
      <c r="C20" s="487">
        <v>3</v>
      </c>
      <c r="D20" s="412">
        <v>8</v>
      </c>
      <c r="E20" s="425">
        <f>SUM(B20:D20)</f>
        <v>11</v>
      </c>
    </row>
    <row r="21" spans="1:5" x14ac:dyDescent="0.25">
      <c r="A21" s="31" t="s">
        <v>1</v>
      </c>
      <c r="B21" s="425">
        <f>SUM(B18:B20)</f>
        <v>16</v>
      </c>
      <c r="C21" s="425">
        <f>SUM(C18:C20)</f>
        <v>23</v>
      </c>
      <c r="D21" s="425">
        <f>SUM(D18:D20)</f>
        <v>11</v>
      </c>
      <c r="E21" s="425">
        <f>SUM(E18:E20)</f>
        <v>50</v>
      </c>
    </row>
  </sheetData>
  <mergeCells count="2">
    <mergeCell ref="B3:D3"/>
    <mergeCell ref="B16:D16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/>
  <dimension ref="A1:U48"/>
  <sheetViews>
    <sheetView workbookViewId="0"/>
  </sheetViews>
  <sheetFormatPr defaultRowHeight="15" x14ac:dyDescent="0.25"/>
  <cols>
    <col min="6" max="6" width="3.85546875" customWidth="1"/>
    <col min="17" max="17" width="4.85546875" customWidth="1"/>
  </cols>
  <sheetData>
    <row r="1" spans="1:21" x14ac:dyDescent="0.25">
      <c r="A1" s="1" t="s">
        <v>1681</v>
      </c>
      <c r="L1" t="s">
        <v>1686</v>
      </c>
    </row>
    <row r="3" spans="1:21" x14ac:dyDescent="0.25">
      <c r="A3" s="17" t="s">
        <v>81</v>
      </c>
      <c r="L3" s="17" t="s">
        <v>81</v>
      </c>
    </row>
    <row r="5" spans="1:21" x14ac:dyDescent="0.25">
      <c r="B5" s="1309" t="s">
        <v>955</v>
      </c>
      <c r="C5" s="1309"/>
      <c r="D5" s="1309"/>
      <c r="H5" s="1309" t="s">
        <v>1680</v>
      </c>
      <c r="I5" s="1309"/>
      <c r="J5" s="1309"/>
      <c r="M5" s="1309" t="s">
        <v>955</v>
      </c>
      <c r="N5" s="1309"/>
      <c r="O5" s="1309"/>
      <c r="S5" s="1309" t="s">
        <v>1680</v>
      </c>
      <c r="T5" s="1309"/>
      <c r="U5" s="1309"/>
    </row>
    <row r="6" spans="1:21" x14ac:dyDescent="0.25">
      <c r="A6" t="s">
        <v>956</v>
      </c>
      <c r="B6" s="778" t="s">
        <v>958</v>
      </c>
      <c r="C6" s="778" t="s">
        <v>957</v>
      </c>
      <c r="D6" s="778" t="s">
        <v>959</v>
      </c>
      <c r="E6" s="778" t="s">
        <v>1</v>
      </c>
      <c r="H6" s="778" t="s">
        <v>958</v>
      </c>
      <c r="I6" s="778" t="s">
        <v>957</v>
      </c>
      <c r="J6" s="778" t="s">
        <v>959</v>
      </c>
      <c r="L6" t="s">
        <v>956</v>
      </c>
      <c r="M6" s="778" t="s">
        <v>958</v>
      </c>
      <c r="N6" s="778" t="s">
        <v>957</v>
      </c>
      <c r="O6" s="778" t="s">
        <v>959</v>
      </c>
      <c r="P6" s="778" t="s">
        <v>1</v>
      </c>
      <c r="S6" s="778" t="s">
        <v>958</v>
      </c>
      <c r="T6" s="778" t="s">
        <v>957</v>
      </c>
      <c r="U6" s="778" t="s">
        <v>959</v>
      </c>
    </row>
    <row r="7" spans="1:21" x14ac:dyDescent="0.25">
      <c r="A7" s="53" t="s">
        <v>958</v>
      </c>
      <c r="B7" s="486">
        <v>16</v>
      </c>
      <c r="C7" s="439">
        <v>6</v>
      </c>
      <c r="D7" s="431">
        <v>2</v>
      </c>
      <c r="E7" s="778">
        <f>SUM(B7:D7)</f>
        <v>24</v>
      </c>
      <c r="G7" s="53" t="s">
        <v>958</v>
      </c>
      <c r="H7" s="486">
        <v>0</v>
      </c>
      <c r="I7" s="439">
        <v>1</v>
      </c>
      <c r="J7" s="431">
        <v>2</v>
      </c>
      <c r="L7" s="53" t="s">
        <v>958</v>
      </c>
      <c r="M7" s="486">
        <v>16</v>
      </c>
      <c r="N7" s="439">
        <v>6</v>
      </c>
      <c r="O7" s="431">
        <v>2</v>
      </c>
      <c r="P7" s="778">
        <f>SUM(M7:O7)</f>
        <v>24</v>
      </c>
      <c r="R7" s="53" t="s">
        <v>958</v>
      </c>
      <c r="S7" s="486">
        <v>0</v>
      </c>
      <c r="T7" s="439">
        <v>1</v>
      </c>
      <c r="U7" s="431">
        <v>1</v>
      </c>
    </row>
    <row r="8" spans="1:21" x14ac:dyDescent="0.25">
      <c r="A8" s="53" t="s">
        <v>957</v>
      </c>
      <c r="B8" s="256">
        <v>4</v>
      </c>
      <c r="C8" s="780">
        <v>10</v>
      </c>
      <c r="D8" s="36">
        <v>1</v>
      </c>
      <c r="E8" s="778">
        <f>SUM(B8:D8)</f>
        <v>15</v>
      </c>
      <c r="G8" s="53" t="s">
        <v>957</v>
      </c>
      <c r="H8" s="256">
        <v>1</v>
      </c>
      <c r="I8" s="780">
        <v>0</v>
      </c>
      <c r="J8" s="36">
        <v>1</v>
      </c>
      <c r="L8" s="53" t="s">
        <v>957</v>
      </c>
      <c r="M8" s="256">
        <v>4</v>
      </c>
      <c r="N8" s="780">
        <v>10</v>
      </c>
      <c r="O8" s="36">
        <v>1</v>
      </c>
      <c r="P8" s="778">
        <f>SUM(M8:O8)</f>
        <v>15</v>
      </c>
      <c r="R8" s="53" t="s">
        <v>957</v>
      </c>
      <c r="S8" s="256">
        <v>1</v>
      </c>
      <c r="T8" s="780">
        <v>0</v>
      </c>
      <c r="U8" s="36">
        <v>1</v>
      </c>
    </row>
    <row r="9" spans="1:21" x14ac:dyDescent="0.25">
      <c r="A9" s="53" t="s">
        <v>959</v>
      </c>
      <c r="B9" s="436">
        <v>3</v>
      </c>
      <c r="C9" s="779">
        <v>0</v>
      </c>
      <c r="D9" s="412">
        <v>8</v>
      </c>
      <c r="E9" s="778">
        <f>SUM(B9:D9)</f>
        <v>11</v>
      </c>
      <c r="G9" s="53" t="s">
        <v>959</v>
      </c>
      <c r="H9" s="436">
        <v>2</v>
      </c>
      <c r="I9" s="779">
        <v>1</v>
      </c>
      <c r="J9" s="412">
        <v>0</v>
      </c>
      <c r="L9" s="53" t="s">
        <v>959</v>
      </c>
      <c r="M9" s="436">
        <v>3</v>
      </c>
      <c r="N9" s="779">
        <v>0</v>
      </c>
      <c r="O9" s="412">
        <v>8</v>
      </c>
      <c r="P9" s="778">
        <f>SUM(M9:O9)</f>
        <v>11</v>
      </c>
      <c r="R9" s="53" t="s">
        <v>959</v>
      </c>
      <c r="S9" s="436">
        <v>1</v>
      </c>
      <c r="T9" s="779">
        <v>1</v>
      </c>
      <c r="U9" s="412">
        <v>0</v>
      </c>
    </row>
    <row r="10" spans="1:21" x14ac:dyDescent="0.25">
      <c r="A10" s="31" t="s">
        <v>1</v>
      </c>
      <c r="B10" s="778">
        <f>SUM(B7:B9)</f>
        <v>23</v>
      </c>
      <c r="C10" s="778">
        <f>SUM(C7:C9)</f>
        <v>16</v>
      </c>
      <c r="D10" s="778">
        <f>SUM(D7:D9)</f>
        <v>11</v>
      </c>
      <c r="E10" s="778">
        <f>SUM(E7:E9)</f>
        <v>50</v>
      </c>
      <c r="L10" s="31" t="s">
        <v>1</v>
      </c>
      <c r="M10" s="778">
        <f>SUM(M7:M9)</f>
        <v>23</v>
      </c>
      <c r="N10" s="778">
        <f>SUM(N7:N9)</f>
        <v>16</v>
      </c>
      <c r="O10" s="778">
        <f>SUM(O7:O9)</f>
        <v>11</v>
      </c>
      <c r="P10" s="778">
        <f>SUM(P7:P9)</f>
        <v>50</v>
      </c>
    </row>
    <row r="11" spans="1:21" x14ac:dyDescent="0.25">
      <c r="A11" s="31"/>
      <c r="B11" s="778"/>
      <c r="C11" s="778"/>
      <c r="D11" s="778"/>
      <c r="E11" s="778"/>
      <c r="L11" s="31"/>
      <c r="M11" s="778"/>
      <c r="N11" s="778"/>
      <c r="O11" s="778"/>
      <c r="P11" s="778"/>
    </row>
    <row r="12" spans="1:21" x14ac:dyDescent="0.25">
      <c r="A12" s="53" t="s">
        <v>860</v>
      </c>
      <c r="C12" s="778"/>
      <c r="D12" s="778"/>
      <c r="E12" s="778"/>
      <c r="L12" s="53" t="s">
        <v>860</v>
      </c>
      <c r="N12" s="778"/>
      <c r="O12" s="778"/>
      <c r="P12" s="778"/>
    </row>
    <row r="13" spans="1:21" x14ac:dyDescent="0.25">
      <c r="A13" s="31"/>
      <c r="B13" s="778"/>
      <c r="C13" s="778"/>
      <c r="D13" s="778"/>
      <c r="E13" s="778"/>
      <c r="L13" s="31"/>
      <c r="M13" s="778"/>
      <c r="N13" s="778"/>
      <c r="O13" s="778"/>
      <c r="P13" s="778"/>
    </row>
    <row r="14" spans="1:21" x14ac:dyDescent="0.25">
      <c r="B14" s="1309" t="s">
        <v>955</v>
      </c>
      <c r="C14" s="1309"/>
      <c r="D14" s="1309"/>
      <c r="M14" s="1309" t="s">
        <v>955</v>
      </c>
      <c r="N14" s="1309"/>
      <c r="O14" s="1309"/>
    </row>
    <row r="15" spans="1:21" x14ac:dyDescent="0.25">
      <c r="A15" t="s">
        <v>956</v>
      </c>
      <c r="B15" s="778" t="s">
        <v>958</v>
      </c>
      <c r="C15" s="778" t="s">
        <v>957</v>
      </c>
      <c r="D15" s="778" t="s">
        <v>959</v>
      </c>
      <c r="E15" s="778" t="s">
        <v>1</v>
      </c>
      <c r="G15" s="53" t="s">
        <v>951</v>
      </c>
      <c r="H15" s="580">
        <f>1-SUMPRODUCT(B7:D9,H7:J9)/SUMPRODUCT(B16:D18,H7:J9)</f>
        <v>0.50095057034220547</v>
      </c>
      <c r="L15" t="s">
        <v>956</v>
      </c>
      <c r="M15" s="778" t="s">
        <v>958</v>
      </c>
      <c r="N15" s="778" t="s">
        <v>957</v>
      </c>
      <c r="O15" s="778" t="s">
        <v>959</v>
      </c>
      <c r="P15" s="778" t="s">
        <v>1</v>
      </c>
      <c r="R15" s="53" t="s">
        <v>951</v>
      </c>
      <c r="S15" s="580">
        <f>1-SUMPRODUCT(M7:O9,S7:U9)/SUMPRODUCT(M16:O18,S7:U9)</f>
        <v>0.49590422180214233</v>
      </c>
    </row>
    <row r="16" spans="1:21" x14ac:dyDescent="0.25">
      <c r="A16" s="53" t="s">
        <v>958</v>
      </c>
      <c r="B16" s="785">
        <f t="shared" ref="B16:D18" si="0">B$19*$P16/$P$19</f>
        <v>11.04</v>
      </c>
      <c r="C16" s="48">
        <f t="shared" si="0"/>
        <v>7.68</v>
      </c>
      <c r="D16" s="786">
        <f t="shared" si="0"/>
        <v>5.28</v>
      </c>
      <c r="E16" s="778">
        <f>E7</f>
        <v>24</v>
      </c>
      <c r="L16" s="53" t="s">
        <v>958</v>
      </c>
      <c r="M16" s="785">
        <f t="shared" ref="M16:O18" si="1">M$19*$P16/$P$19</f>
        <v>11.04</v>
      </c>
      <c r="N16" s="48">
        <f t="shared" si="1"/>
        <v>7.68</v>
      </c>
      <c r="O16" s="786">
        <f t="shared" si="1"/>
        <v>5.28</v>
      </c>
      <c r="P16" s="778">
        <f>P7</f>
        <v>24</v>
      </c>
    </row>
    <row r="17" spans="1:19" x14ac:dyDescent="0.25">
      <c r="A17" s="53" t="s">
        <v>957</v>
      </c>
      <c r="B17" s="540">
        <f t="shared" si="0"/>
        <v>6.9</v>
      </c>
      <c r="C17" s="780">
        <f t="shared" si="0"/>
        <v>4.8</v>
      </c>
      <c r="D17" s="494">
        <f t="shared" si="0"/>
        <v>3.3</v>
      </c>
      <c r="E17" s="778">
        <f>E8</f>
        <v>15</v>
      </c>
      <c r="L17" s="53" t="s">
        <v>957</v>
      </c>
      <c r="M17" s="540">
        <f t="shared" si="1"/>
        <v>6.9</v>
      </c>
      <c r="N17" s="780">
        <f t="shared" si="1"/>
        <v>4.8</v>
      </c>
      <c r="O17" s="494">
        <f t="shared" si="1"/>
        <v>3.3</v>
      </c>
      <c r="P17" s="778">
        <f>P8</f>
        <v>15</v>
      </c>
    </row>
    <row r="18" spans="1:19" x14ac:dyDescent="0.25">
      <c r="A18" s="53" t="s">
        <v>959</v>
      </c>
      <c r="B18" s="436">
        <f t="shared" si="0"/>
        <v>5.0599999999999996</v>
      </c>
      <c r="C18" s="787">
        <f t="shared" si="0"/>
        <v>3.52</v>
      </c>
      <c r="D18" s="412">
        <f t="shared" si="0"/>
        <v>2.42</v>
      </c>
      <c r="E18" s="778">
        <f>E9</f>
        <v>11</v>
      </c>
      <c r="L18" s="53" t="s">
        <v>959</v>
      </c>
      <c r="M18" s="436">
        <f t="shared" si="1"/>
        <v>5.0599999999999996</v>
      </c>
      <c r="N18" s="787">
        <f t="shared" si="1"/>
        <v>3.52</v>
      </c>
      <c r="O18" s="412">
        <f t="shared" si="1"/>
        <v>2.42</v>
      </c>
      <c r="P18" s="778">
        <f>P9</f>
        <v>11</v>
      </c>
    </row>
    <row r="19" spans="1:19" x14ac:dyDescent="0.25">
      <c r="A19" s="31" t="s">
        <v>1</v>
      </c>
      <c r="B19" s="778">
        <f>B10</f>
        <v>23</v>
      </c>
      <c r="C19" s="778">
        <f>C10</f>
        <v>16</v>
      </c>
      <c r="D19" s="778">
        <f>D10</f>
        <v>11</v>
      </c>
      <c r="E19" s="778">
        <f>E10</f>
        <v>50</v>
      </c>
      <c r="L19" s="31" t="s">
        <v>1</v>
      </c>
      <c r="M19" s="778">
        <f>M10</f>
        <v>23</v>
      </c>
      <c r="N19" s="778">
        <f>N10</f>
        <v>16</v>
      </c>
      <c r="O19" s="778">
        <f>O10</f>
        <v>11</v>
      </c>
      <c r="P19" s="778">
        <f>P10</f>
        <v>50</v>
      </c>
    </row>
    <row r="21" spans="1:19" x14ac:dyDescent="0.25">
      <c r="G21" t="s">
        <v>2137</v>
      </c>
      <c r="R21" t="s">
        <v>2137</v>
      </c>
    </row>
    <row r="23" spans="1:19" x14ac:dyDescent="0.25">
      <c r="G23" s="53" t="str">
        <f t="array" ref="G23:H26">[1]!WKAPPA(B7:D9,H7:J9,TRUE)</f>
        <v>kappa</v>
      </c>
      <c r="H23" s="1041">
        <v>0.50095057034220536</v>
      </c>
      <c r="R23" s="53" t="str">
        <f t="array" ref="R23:S26">[1]!WKAPPA(M7:O9,S7:U9,TRUE)</f>
        <v>kappa</v>
      </c>
      <c r="S23" s="1041">
        <v>0.49590422180214239</v>
      </c>
    </row>
    <row r="24" spans="1:19" x14ac:dyDescent="0.25">
      <c r="G24" t="str">
        <v>std err</v>
      </c>
      <c r="H24" s="503">
        <v>0.11437308747291849</v>
      </c>
      <c r="R24" t="str">
        <v>std err</v>
      </c>
      <c r="S24" s="503">
        <v>0.10615553946218627</v>
      </c>
    </row>
    <row r="25" spans="1:19" x14ac:dyDescent="0.25">
      <c r="G25" t="str">
        <v>lower</v>
      </c>
      <c r="H25" s="503">
        <v>0.2767834380946359</v>
      </c>
      <c r="R25" t="str">
        <v>lower</v>
      </c>
      <c r="S25" s="503">
        <v>0.28784318769683692</v>
      </c>
    </row>
    <row r="26" spans="1:19" x14ac:dyDescent="0.25">
      <c r="G26" t="str">
        <v>upper</v>
      </c>
      <c r="H26" s="420">
        <v>0.72511770258977482</v>
      </c>
      <c r="R26" t="str">
        <v>upper</v>
      </c>
      <c r="S26" s="420">
        <v>0.70396525590744785</v>
      </c>
    </row>
    <row r="28" spans="1:19" x14ac:dyDescent="0.25">
      <c r="G28" t="s">
        <v>1585</v>
      </c>
      <c r="R28" t="s">
        <v>1585</v>
      </c>
    </row>
    <row r="30" spans="1:19" x14ac:dyDescent="0.25">
      <c r="G30" t="s">
        <v>2155</v>
      </c>
      <c r="R30" t="s">
        <v>2155</v>
      </c>
    </row>
    <row r="32" spans="1:19" x14ac:dyDescent="0.25">
      <c r="G32" t="s">
        <v>34</v>
      </c>
      <c r="H32">
        <v>0.05</v>
      </c>
      <c r="R32" t="s">
        <v>34</v>
      </c>
      <c r="S32">
        <v>0.05</v>
      </c>
    </row>
    <row r="34" spans="7:19" x14ac:dyDescent="0.25">
      <c r="G34" t="str">
        <f t="array" ref="G34:H37">[1]!WKAPPA(B7:D9,H7:J9,TRUE,H32)</f>
        <v>kappa</v>
      </c>
      <c r="H34" s="1037">
        <v>0.50095057034220536</v>
      </c>
      <c r="R34" t="str">
        <f t="array" ref="R34:S37">[1]!WKAPPA(M7:O9,S7:U9,TRUE,S32)</f>
        <v>kappa</v>
      </c>
      <c r="S34" s="1037">
        <v>0.49590422180214239</v>
      </c>
    </row>
    <row r="35" spans="7:19" x14ac:dyDescent="0.25">
      <c r="G35" t="str">
        <v>std err</v>
      </c>
      <c r="H35" s="680">
        <v>0.11437308747291849</v>
      </c>
      <c r="R35" t="str">
        <v>std err</v>
      </c>
      <c r="S35" s="680">
        <v>0.10615553946218627</v>
      </c>
    </row>
    <row r="36" spans="7:19" x14ac:dyDescent="0.25">
      <c r="G36" t="str">
        <v>lower</v>
      </c>
      <c r="H36" s="680">
        <v>0.2767834380946359</v>
      </c>
      <c r="R36" t="str">
        <v>lower</v>
      </c>
      <c r="S36" s="680">
        <v>0.28784318769683692</v>
      </c>
    </row>
    <row r="37" spans="7:19" x14ac:dyDescent="0.25">
      <c r="G37" t="str">
        <v>upper</v>
      </c>
      <c r="H37" s="757">
        <v>0.72511770258977482</v>
      </c>
      <c r="R37" t="str">
        <v>upper</v>
      </c>
      <c r="S37" s="757">
        <v>0.70396525590744785</v>
      </c>
    </row>
    <row r="39" spans="7:19" x14ac:dyDescent="0.25">
      <c r="G39" t="s">
        <v>2392</v>
      </c>
      <c r="R39" t="s">
        <v>2392</v>
      </c>
    </row>
    <row r="41" spans="7:19" x14ac:dyDescent="0.25">
      <c r="G41" t="s">
        <v>2155</v>
      </c>
      <c r="R41" t="s">
        <v>2155</v>
      </c>
    </row>
    <row r="43" spans="7:19" x14ac:dyDescent="0.25">
      <c r="G43" t="s">
        <v>34</v>
      </c>
      <c r="H43">
        <v>0.05</v>
      </c>
      <c r="R43" t="s">
        <v>34</v>
      </c>
      <c r="S43">
        <v>0.05</v>
      </c>
    </row>
    <row r="45" spans="7:19" x14ac:dyDescent="0.25">
      <c r="G45" t="str">
        <f t="array" ref="G45:H48">[1]!WKAPPA(B7:D9,1,TRUE,H43)</f>
        <v>kappa</v>
      </c>
      <c r="H45" s="1037">
        <v>0.50095057034220536</v>
      </c>
      <c r="R45" t="str">
        <f t="array" ref="R45:S48">[1]!WKAPPA(M7:O9,0,TRUE,S43)</f>
        <v>kappa</v>
      </c>
      <c r="S45" s="1037">
        <v>0.49590422180214239</v>
      </c>
    </row>
    <row r="46" spans="7:19" x14ac:dyDescent="0.25">
      <c r="G46" t="str">
        <v>std err</v>
      </c>
      <c r="H46" s="680">
        <v>0.11437308747291849</v>
      </c>
      <c r="R46" t="str">
        <v>std err</v>
      </c>
      <c r="S46" s="680">
        <v>0.10624579391325582</v>
      </c>
    </row>
    <row r="47" spans="7:19" x14ac:dyDescent="0.25">
      <c r="G47" t="str">
        <v>lower</v>
      </c>
      <c r="H47" s="680">
        <v>0.2767834380946359</v>
      </c>
      <c r="R47" t="str">
        <v>lower</v>
      </c>
      <c r="S47" s="680">
        <v>0.28766629222329609</v>
      </c>
    </row>
    <row r="48" spans="7:19" x14ac:dyDescent="0.25">
      <c r="G48" t="str">
        <v>upper</v>
      </c>
      <c r="H48" s="757">
        <v>0.72511770258977482</v>
      </c>
      <c r="R48" t="str">
        <v>upper</v>
      </c>
      <c r="S48" s="757">
        <v>0.70414215138098868</v>
      </c>
    </row>
  </sheetData>
  <mergeCells count="6">
    <mergeCell ref="H5:J5"/>
    <mergeCell ref="B14:D14"/>
    <mergeCell ref="M5:O5"/>
    <mergeCell ref="S5:U5"/>
    <mergeCell ref="M14:O14"/>
    <mergeCell ref="B5:D5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3"/>
  <dimension ref="A1:AB49"/>
  <sheetViews>
    <sheetView workbookViewId="0"/>
  </sheetViews>
  <sheetFormatPr defaultRowHeight="15" x14ac:dyDescent="0.25"/>
  <cols>
    <col min="6" max="6" width="3.85546875" customWidth="1"/>
    <col min="17" max="17" width="4.85546875" customWidth="1"/>
  </cols>
  <sheetData>
    <row r="1" spans="1:28" x14ac:dyDescent="0.25">
      <c r="A1" s="1" t="s">
        <v>2387</v>
      </c>
      <c r="L1" t="s">
        <v>1686</v>
      </c>
      <c r="X1" t="s">
        <v>1585</v>
      </c>
    </row>
    <row r="3" spans="1:28" x14ac:dyDescent="0.25">
      <c r="A3" s="17" t="s">
        <v>81</v>
      </c>
      <c r="L3" s="17" t="s">
        <v>81</v>
      </c>
      <c r="X3" t="s">
        <v>2155</v>
      </c>
      <c r="AA3" t="s">
        <v>2155</v>
      </c>
    </row>
    <row r="5" spans="1:28" x14ac:dyDescent="0.25">
      <c r="B5" s="1309" t="s">
        <v>955</v>
      </c>
      <c r="C5" s="1309"/>
      <c r="D5" s="1309"/>
      <c r="H5" s="1309" t="s">
        <v>2388</v>
      </c>
      <c r="I5" s="1309"/>
      <c r="J5" s="1309"/>
      <c r="M5" s="1309" t="s">
        <v>955</v>
      </c>
      <c r="N5" s="1309"/>
      <c r="O5" s="1309"/>
      <c r="S5" s="1309" t="s">
        <v>2388</v>
      </c>
      <c r="T5" s="1309"/>
      <c r="U5" s="1309"/>
      <c r="X5" t="s">
        <v>34</v>
      </c>
      <c r="Y5">
        <v>0.05</v>
      </c>
      <c r="AA5" t="s">
        <v>34</v>
      </c>
      <c r="AB5">
        <v>0.05</v>
      </c>
    </row>
    <row r="6" spans="1:28" x14ac:dyDescent="0.25">
      <c r="A6" t="s">
        <v>956</v>
      </c>
      <c r="B6" s="1055" t="s">
        <v>958</v>
      </c>
      <c r="C6" s="1055" t="s">
        <v>957</v>
      </c>
      <c r="D6" s="1055" t="s">
        <v>959</v>
      </c>
      <c r="E6" s="1055" t="s">
        <v>1</v>
      </c>
      <c r="H6" s="1055" t="s">
        <v>958</v>
      </c>
      <c r="I6" s="1055" t="s">
        <v>957</v>
      </c>
      <c r="J6" s="1055" t="s">
        <v>959</v>
      </c>
      <c r="L6" t="s">
        <v>956</v>
      </c>
      <c r="M6" s="1055" t="s">
        <v>958</v>
      </c>
      <c r="N6" s="1055" t="s">
        <v>957</v>
      </c>
      <c r="O6" s="1055" t="s">
        <v>959</v>
      </c>
      <c r="P6" s="1055" t="s">
        <v>1</v>
      </c>
      <c r="S6" s="1055" t="s">
        <v>958</v>
      </c>
      <c r="T6" s="1055" t="s">
        <v>957</v>
      </c>
      <c r="U6" s="1055" t="s">
        <v>959</v>
      </c>
    </row>
    <row r="7" spans="1:28" x14ac:dyDescent="0.25">
      <c r="A7" s="53" t="s">
        <v>958</v>
      </c>
      <c r="B7" s="486">
        <v>16</v>
      </c>
      <c r="C7" s="439">
        <v>6</v>
      </c>
      <c r="D7" s="431">
        <v>2</v>
      </c>
      <c r="E7" s="1055">
        <f>SUM(B7:D7)</f>
        <v>24</v>
      </c>
      <c r="G7" s="53" t="s">
        <v>958</v>
      </c>
      <c r="H7" s="486">
        <v>0</v>
      </c>
      <c r="I7" s="439">
        <v>1</v>
      </c>
      <c r="J7" s="431">
        <v>2</v>
      </c>
      <c r="L7" s="53" t="s">
        <v>958</v>
      </c>
      <c r="M7" s="486">
        <v>16</v>
      </c>
      <c r="N7" s="439">
        <v>6</v>
      </c>
      <c r="O7" s="431">
        <v>2</v>
      </c>
      <c r="P7" s="1055">
        <f>SUM(M7:O7)</f>
        <v>24</v>
      </c>
      <c r="R7" s="53" t="s">
        <v>958</v>
      </c>
      <c r="S7" s="486">
        <v>0</v>
      </c>
      <c r="T7" s="439">
        <v>1</v>
      </c>
      <c r="U7" s="431">
        <v>1</v>
      </c>
      <c r="X7" t="str">
        <f t="array" ref="X7:Y10">[1]!WKAPPA(B7:D9,1,TRUE,Y5)</f>
        <v>kappa</v>
      </c>
      <c r="Y7" s="1037">
        <v>0.50095057034220536</v>
      </c>
      <c r="AA7" t="str">
        <f t="array" ref="AA7:AB10">[1]!WKAPPA(B7:D9,2,TRUE,AB5)</f>
        <v>kappa</v>
      </c>
      <c r="AB7" s="1037">
        <v>0.50605481198215418</v>
      </c>
    </row>
    <row r="8" spans="1:28" x14ac:dyDescent="0.25">
      <c r="A8" s="53" t="s">
        <v>957</v>
      </c>
      <c r="B8" s="256">
        <v>4</v>
      </c>
      <c r="C8" s="1057">
        <v>10</v>
      </c>
      <c r="D8" s="36">
        <v>1</v>
      </c>
      <c r="E8" s="1055">
        <f>SUM(B8:D8)</f>
        <v>15</v>
      </c>
      <c r="G8" s="53" t="s">
        <v>957</v>
      </c>
      <c r="H8" s="256">
        <v>1</v>
      </c>
      <c r="I8" s="1057">
        <v>0</v>
      </c>
      <c r="J8" s="36">
        <v>1</v>
      </c>
      <c r="L8" s="53" t="s">
        <v>957</v>
      </c>
      <c r="M8" s="256">
        <v>4</v>
      </c>
      <c r="N8" s="1057">
        <v>10</v>
      </c>
      <c r="O8" s="36">
        <v>1</v>
      </c>
      <c r="P8" s="1055">
        <f>SUM(M8:O8)</f>
        <v>15</v>
      </c>
      <c r="R8" s="53" t="s">
        <v>957</v>
      </c>
      <c r="S8" s="256">
        <v>1</v>
      </c>
      <c r="T8" s="1057">
        <v>0</v>
      </c>
      <c r="U8" s="36">
        <v>1</v>
      </c>
      <c r="X8" t="str">
        <v>std err</v>
      </c>
      <c r="Y8" s="680">
        <v>0.11437308747291849</v>
      </c>
      <c r="AA8" t="str">
        <v>std err</v>
      </c>
      <c r="AB8" s="680">
        <v>0.13564190292343151</v>
      </c>
    </row>
    <row r="9" spans="1:28" x14ac:dyDescent="0.25">
      <c r="A9" s="53" t="s">
        <v>959</v>
      </c>
      <c r="B9" s="436">
        <v>3</v>
      </c>
      <c r="C9" s="1056">
        <v>0</v>
      </c>
      <c r="D9" s="412">
        <v>8</v>
      </c>
      <c r="E9" s="1055">
        <f>SUM(B9:D9)</f>
        <v>11</v>
      </c>
      <c r="G9" s="53" t="s">
        <v>959</v>
      </c>
      <c r="H9" s="436">
        <v>2</v>
      </c>
      <c r="I9" s="1056">
        <v>1</v>
      </c>
      <c r="J9" s="412">
        <v>0</v>
      </c>
      <c r="L9" s="53" t="s">
        <v>959</v>
      </c>
      <c r="M9" s="436">
        <v>3</v>
      </c>
      <c r="N9" s="1056">
        <v>0</v>
      </c>
      <c r="O9" s="412">
        <v>8</v>
      </c>
      <c r="P9" s="1055">
        <f>SUM(M9:O9)</f>
        <v>11</v>
      </c>
      <c r="R9" s="53" t="s">
        <v>959</v>
      </c>
      <c r="S9" s="436">
        <v>1</v>
      </c>
      <c r="T9" s="1056">
        <v>1</v>
      </c>
      <c r="U9" s="412">
        <v>0</v>
      </c>
      <c r="X9" t="str">
        <v>lower</v>
      </c>
      <c r="Y9" s="680">
        <v>0.2767834380946359</v>
      </c>
      <c r="AA9" t="str">
        <v>lower</v>
      </c>
      <c r="AB9" s="680">
        <v>0.24020156745775023</v>
      </c>
    </row>
    <row r="10" spans="1:28" x14ac:dyDescent="0.25">
      <c r="A10" s="31" t="s">
        <v>1</v>
      </c>
      <c r="B10" s="1055">
        <f>SUM(B7:B9)</f>
        <v>23</v>
      </c>
      <c r="C10" s="1055">
        <f>SUM(C7:C9)</f>
        <v>16</v>
      </c>
      <c r="D10" s="1055">
        <f>SUM(D7:D9)</f>
        <v>11</v>
      </c>
      <c r="E10" s="1055">
        <f>SUM(E7:E9)</f>
        <v>50</v>
      </c>
      <c r="L10" s="31" t="s">
        <v>1</v>
      </c>
      <c r="M10" s="1055">
        <f>SUM(M7:M9)</f>
        <v>23</v>
      </c>
      <c r="N10" s="1055">
        <f>SUM(N7:N9)</f>
        <v>16</v>
      </c>
      <c r="O10" s="1055">
        <f>SUM(O7:O9)</f>
        <v>11</v>
      </c>
      <c r="P10" s="1055">
        <f>SUM(P7:P9)</f>
        <v>50</v>
      </c>
      <c r="X10" t="str">
        <v>upper</v>
      </c>
      <c r="Y10" s="757">
        <v>0.72511770258977482</v>
      </c>
      <c r="AA10" t="str">
        <v>upper</v>
      </c>
      <c r="AB10" s="757">
        <v>0.77190805650655814</v>
      </c>
    </row>
    <row r="11" spans="1:28" x14ac:dyDescent="0.25">
      <c r="A11" s="31"/>
      <c r="B11" s="1055"/>
      <c r="C11" s="1055"/>
      <c r="D11" s="1055"/>
      <c r="E11" s="1055"/>
      <c r="H11" s="1309" t="s">
        <v>2389</v>
      </c>
      <c r="I11" s="1309"/>
      <c r="J11" s="1309"/>
      <c r="L11" s="31"/>
      <c r="M11" s="1055"/>
      <c r="N11" s="1055"/>
      <c r="O11" s="1055"/>
      <c r="P11" s="1055"/>
      <c r="S11" s="1309" t="s">
        <v>2389</v>
      </c>
      <c r="T11" s="1309"/>
      <c r="U11" s="1309"/>
    </row>
    <row r="12" spans="1:28" x14ac:dyDescent="0.25">
      <c r="A12" s="31"/>
      <c r="B12" s="1055"/>
      <c r="C12" s="1055"/>
      <c r="D12" s="1055"/>
      <c r="E12" s="1055"/>
      <c r="H12" s="1055" t="s">
        <v>958</v>
      </c>
      <c r="I12" s="1055" t="s">
        <v>957</v>
      </c>
      <c r="J12" s="1055" t="s">
        <v>959</v>
      </c>
      <c r="L12" s="31"/>
      <c r="M12" s="1055"/>
      <c r="N12" s="1055"/>
      <c r="O12" s="1055"/>
      <c r="P12" s="1055"/>
      <c r="S12" s="1055" t="s">
        <v>958</v>
      </c>
      <c r="T12" s="1055" t="s">
        <v>957</v>
      </c>
      <c r="U12" s="1055" t="s">
        <v>959</v>
      </c>
    </row>
    <row r="13" spans="1:28" x14ac:dyDescent="0.25">
      <c r="A13" s="53" t="s">
        <v>860</v>
      </c>
      <c r="C13" s="1055"/>
      <c r="D13" s="1055"/>
      <c r="E13" s="1055"/>
      <c r="G13" s="53" t="s">
        <v>958</v>
      </c>
      <c r="H13" s="486">
        <f t="array" ref="H13:J15">1-H7:J9/MAX(H7:J9)</f>
        <v>1</v>
      </c>
      <c r="I13" s="439">
        <v>0.5</v>
      </c>
      <c r="J13" s="431">
        <v>0</v>
      </c>
      <c r="L13" s="53" t="s">
        <v>860</v>
      </c>
      <c r="N13" s="1055"/>
      <c r="O13" s="1055"/>
      <c r="P13" s="1055"/>
      <c r="R13" s="53" t="s">
        <v>958</v>
      </c>
      <c r="S13" s="486">
        <f t="array" ref="S13:U15">1-S7:U9/MAX(S7:U9)</f>
        <v>1</v>
      </c>
      <c r="T13" s="439">
        <v>0</v>
      </c>
      <c r="U13" s="431">
        <v>0</v>
      </c>
    </row>
    <row r="14" spans="1:28" x14ac:dyDescent="0.25">
      <c r="A14" s="31"/>
      <c r="B14" s="1055"/>
      <c r="C14" s="1055"/>
      <c r="D14" s="1055"/>
      <c r="E14" s="1055"/>
      <c r="G14" s="53" t="s">
        <v>957</v>
      </c>
      <c r="H14" s="256">
        <v>0.5</v>
      </c>
      <c r="I14" s="1057">
        <v>1</v>
      </c>
      <c r="J14" s="36">
        <v>0.5</v>
      </c>
      <c r="L14" s="31"/>
      <c r="M14" s="1055"/>
      <c r="N14" s="1055"/>
      <c r="O14" s="1055"/>
      <c r="P14" s="1055"/>
      <c r="R14" s="53" t="s">
        <v>957</v>
      </c>
      <c r="S14" s="256">
        <v>0</v>
      </c>
      <c r="T14" s="1057">
        <v>1</v>
      </c>
      <c r="U14" s="36">
        <v>0</v>
      </c>
    </row>
    <row r="15" spans="1:28" x14ac:dyDescent="0.25">
      <c r="A15" t="s">
        <v>956</v>
      </c>
      <c r="B15" s="1055" t="s">
        <v>958</v>
      </c>
      <c r="C15" s="1055" t="s">
        <v>957</v>
      </c>
      <c r="D15" s="1055" t="s">
        <v>959</v>
      </c>
      <c r="E15" s="1055" t="s">
        <v>1</v>
      </c>
      <c r="G15" s="53" t="s">
        <v>959</v>
      </c>
      <c r="H15" s="436">
        <v>0</v>
      </c>
      <c r="I15" s="1056">
        <v>0.5</v>
      </c>
      <c r="J15" s="412">
        <v>1</v>
      </c>
      <c r="L15" t="s">
        <v>956</v>
      </c>
      <c r="M15" s="1055" t="s">
        <v>958</v>
      </c>
      <c r="N15" s="1055" t="s">
        <v>957</v>
      </c>
      <c r="O15" s="1055" t="s">
        <v>959</v>
      </c>
      <c r="P15" s="1055" t="s">
        <v>1</v>
      </c>
      <c r="R15" s="53" t="s">
        <v>959</v>
      </c>
      <c r="S15" s="436">
        <v>0</v>
      </c>
      <c r="T15" s="1056">
        <v>0</v>
      </c>
      <c r="U15" s="412">
        <v>1</v>
      </c>
    </row>
    <row r="16" spans="1:28" x14ac:dyDescent="0.25">
      <c r="A16" s="53" t="s">
        <v>958</v>
      </c>
      <c r="B16" s="785">
        <f t="shared" ref="B16:D18" si="0">B$19*$P16/$P$19</f>
        <v>11.04</v>
      </c>
      <c r="C16" s="48">
        <f t="shared" si="0"/>
        <v>7.68</v>
      </c>
      <c r="D16" s="786">
        <f t="shared" si="0"/>
        <v>5.28</v>
      </c>
      <c r="E16" s="1055">
        <f>E7</f>
        <v>24</v>
      </c>
      <c r="L16" s="53" t="s">
        <v>958</v>
      </c>
      <c r="M16" s="785">
        <f t="shared" ref="M16:O18" si="1">M$19*$P16/$P$19</f>
        <v>11.04</v>
      </c>
      <c r="N16" s="48">
        <f t="shared" si="1"/>
        <v>7.68</v>
      </c>
      <c r="O16" s="786">
        <f t="shared" si="1"/>
        <v>5.28</v>
      </c>
      <c r="P16" s="1055">
        <f>P7</f>
        <v>24</v>
      </c>
    </row>
    <row r="17" spans="1:22" x14ac:dyDescent="0.25">
      <c r="A17" s="53" t="s">
        <v>957</v>
      </c>
      <c r="B17" s="540">
        <f t="shared" si="0"/>
        <v>6.9</v>
      </c>
      <c r="C17" s="1057">
        <f t="shared" si="0"/>
        <v>4.8</v>
      </c>
      <c r="D17" s="494">
        <f t="shared" si="0"/>
        <v>3.3</v>
      </c>
      <c r="E17" s="1055">
        <f>E8</f>
        <v>15</v>
      </c>
      <c r="G17" s="132" t="s">
        <v>2385</v>
      </c>
      <c r="H17" s="1041">
        <f>SUMPRODUCT(B16:D18,H13:J15)/E10</f>
        <v>0.57920000000000005</v>
      </c>
      <c r="L17" s="53" t="s">
        <v>957</v>
      </c>
      <c r="M17" s="540">
        <f t="shared" si="1"/>
        <v>6.9</v>
      </c>
      <c r="N17" s="1057">
        <f t="shared" si="1"/>
        <v>4.8</v>
      </c>
      <c r="O17" s="494">
        <f t="shared" si="1"/>
        <v>3.3</v>
      </c>
      <c r="P17" s="1055">
        <f>P8</f>
        <v>15</v>
      </c>
      <c r="R17" s="132" t="s">
        <v>2385</v>
      </c>
      <c r="S17" s="1041">
        <f>SUMPRODUCT(M16:O18,S13:U15)/P10</f>
        <v>0.36519999999999997</v>
      </c>
    </row>
    <row r="18" spans="1:22" x14ac:dyDescent="0.25">
      <c r="A18" s="53" t="s">
        <v>959</v>
      </c>
      <c r="B18" s="436">
        <f t="shared" si="0"/>
        <v>5.0599999999999996</v>
      </c>
      <c r="C18" s="860">
        <f t="shared" si="0"/>
        <v>3.52</v>
      </c>
      <c r="D18" s="412">
        <f t="shared" si="0"/>
        <v>2.42</v>
      </c>
      <c r="E18" s="1055">
        <f>E9</f>
        <v>11</v>
      </c>
      <c r="G18" s="132" t="s">
        <v>2386</v>
      </c>
      <c r="H18" s="503">
        <f>SUMPRODUCT(H13:J15,B7:D9)/E10</f>
        <v>0.79</v>
      </c>
      <c r="L18" s="53" t="s">
        <v>959</v>
      </c>
      <c r="M18" s="436">
        <f t="shared" si="1"/>
        <v>5.0599999999999996</v>
      </c>
      <c r="N18" s="860">
        <f t="shared" si="1"/>
        <v>3.52</v>
      </c>
      <c r="O18" s="412">
        <f t="shared" si="1"/>
        <v>2.42</v>
      </c>
      <c r="P18" s="1055">
        <f>P9</f>
        <v>11</v>
      </c>
      <c r="R18" s="132" t="s">
        <v>2386</v>
      </c>
      <c r="S18" s="503">
        <f>SUMPRODUCT(S13:U15,M7:O9)/P10</f>
        <v>0.68</v>
      </c>
    </row>
    <row r="19" spans="1:22" x14ac:dyDescent="0.25">
      <c r="A19" s="31" t="s">
        <v>1</v>
      </c>
      <c r="B19" s="1055">
        <f>B10</f>
        <v>23</v>
      </c>
      <c r="C19" s="1055">
        <f>C10</f>
        <v>16</v>
      </c>
      <c r="D19" s="1055">
        <f>D10</f>
        <v>11</v>
      </c>
      <c r="E19" s="1055">
        <f>E10</f>
        <v>50</v>
      </c>
      <c r="G19" s="132" t="s">
        <v>1629</v>
      </c>
      <c r="H19" s="420">
        <f>(H18-H17)/(1-H17)</f>
        <v>0.50095057034220536</v>
      </c>
      <c r="L19" s="31" t="s">
        <v>1</v>
      </c>
      <c r="M19" s="1055">
        <f>M10</f>
        <v>23</v>
      </c>
      <c r="N19" s="1055">
        <f>N10</f>
        <v>16</v>
      </c>
      <c r="O19" s="1055">
        <f>O10</f>
        <v>11</v>
      </c>
      <c r="P19" s="1055">
        <f>P10</f>
        <v>50</v>
      </c>
      <c r="R19" s="132" t="s">
        <v>1629</v>
      </c>
      <c r="S19" s="420">
        <f>(S18-S17)/(1-S17)</f>
        <v>0.4959042218021425</v>
      </c>
    </row>
    <row r="21" spans="1:22" x14ac:dyDescent="0.25">
      <c r="H21" s="1309" t="s">
        <v>2390</v>
      </c>
      <c r="I21" s="1309"/>
      <c r="J21" s="1309"/>
      <c r="S21" s="1309" t="s">
        <v>2390</v>
      </c>
      <c r="T21" s="1309"/>
      <c r="U21" s="1309"/>
    </row>
    <row r="22" spans="1:22" x14ac:dyDescent="0.25">
      <c r="H22" s="1055" t="s">
        <v>958</v>
      </c>
      <c r="I22" s="1055" t="s">
        <v>957</v>
      </c>
      <c r="J22" s="1055" t="s">
        <v>959</v>
      </c>
      <c r="S22" s="1055" t="s">
        <v>958</v>
      </c>
      <c r="T22" s="1055" t="s">
        <v>957</v>
      </c>
      <c r="U22" s="1055" t="s">
        <v>959</v>
      </c>
    </row>
    <row r="23" spans="1:22" x14ac:dyDescent="0.25">
      <c r="G23" s="53" t="s">
        <v>958</v>
      </c>
      <c r="H23" s="1023">
        <f>$K23+H$26</f>
        <v>1.25</v>
      </c>
      <c r="I23" s="864">
        <f t="shared" ref="I23:J25" si="2">$K23+I$26</f>
        <v>1.27</v>
      </c>
      <c r="J23" s="1018">
        <f t="shared" si="2"/>
        <v>0.99</v>
      </c>
      <c r="K23" s="1055">
        <f>SUMPRODUCT(B$19:D$19,H13:J13)/$E$19</f>
        <v>0.62</v>
      </c>
      <c r="R23" s="53" t="s">
        <v>958</v>
      </c>
      <c r="S23" s="1023">
        <f>$V23+S$26</f>
        <v>0.94</v>
      </c>
      <c r="T23" s="864">
        <f t="shared" ref="T23:U25" si="3">$V23+T$26</f>
        <v>0.76</v>
      </c>
      <c r="U23" s="1018">
        <f t="shared" si="3"/>
        <v>0.68</v>
      </c>
      <c r="V23" s="1055">
        <f>SUMPRODUCT(M$19:O$19,S13:U13)/$P$19</f>
        <v>0.46</v>
      </c>
    </row>
    <row r="24" spans="1:22" x14ac:dyDescent="0.25">
      <c r="G24" s="53" t="s">
        <v>957</v>
      </c>
      <c r="H24" s="540">
        <f>$K24+H$26</f>
        <v>1.29</v>
      </c>
      <c r="I24" s="1057">
        <f t="shared" si="2"/>
        <v>1.31</v>
      </c>
      <c r="J24" s="494">
        <f t="shared" si="2"/>
        <v>1.03</v>
      </c>
      <c r="K24" s="1055">
        <f>SUMPRODUCT(B$19:D$19,H14:J14)/$E$19</f>
        <v>0.66</v>
      </c>
      <c r="R24" s="53" t="s">
        <v>957</v>
      </c>
      <c r="S24" s="540">
        <f>$V24+S$26</f>
        <v>0.8</v>
      </c>
      <c r="T24" s="1057">
        <f t="shared" si="3"/>
        <v>0.62</v>
      </c>
      <c r="U24" s="494">
        <f t="shared" si="3"/>
        <v>0.54</v>
      </c>
      <c r="V24" s="1055">
        <f>SUMPRODUCT(M$19:O$19,S14:U14)/$P$19</f>
        <v>0.32</v>
      </c>
    </row>
    <row r="25" spans="1:22" x14ac:dyDescent="0.25">
      <c r="G25" s="53" t="s">
        <v>959</v>
      </c>
      <c r="H25" s="436">
        <f>$K25+H$26</f>
        <v>1.01</v>
      </c>
      <c r="I25" s="860">
        <f t="shared" si="2"/>
        <v>1.03</v>
      </c>
      <c r="J25" s="412">
        <f t="shared" si="2"/>
        <v>0.75</v>
      </c>
      <c r="K25" s="1055">
        <f>SUMPRODUCT(B$19:D$19,H15:J15)/$E$19</f>
        <v>0.38</v>
      </c>
      <c r="R25" s="53" t="s">
        <v>959</v>
      </c>
      <c r="S25" s="436">
        <f>$V25+S$26</f>
        <v>0.7</v>
      </c>
      <c r="T25" s="860">
        <f t="shared" si="3"/>
        <v>0.52</v>
      </c>
      <c r="U25" s="412">
        <f t="shared" si="3"/>
        <v>0.44</v>
      </c>
      <c r="V25" s="1055">
        <f>SUMPRODUCT(M$19:O$19,S15:U15)/$P$19</f>
        <v>0.22</v>
      </c>
    </row>
    <row r="26" spans="1:22" x14ac:dyDescent="0.25">
      <c r="H26" s="1055">
        <f>SUMPRODUCT($E16:$E18,H13:H15)/$E$19</f>
        <v>0.63</v>
      </c>
      <c r="I26" s="1055">
        <f>SUMPRODUCT($E16:$E18,I13:I15)/$E$19</f>
        <v>0.65</v>
      </c>
      <c r="J26" s="1055">
        <f>SUMPRODUCT($E16:$E18,J13:J15)/$E$19</f>
        <v>0.37</v>
      </c>
      <c r="S26" s="1055">
        <f>SUMPRODUCT($E16:$E18,S13:S15)/$P$19</f>
        <v>0.48</v>
      </c>
      <c r="T26" s="1055">
        <f>SUMPRODUCT($E16:$E18,T13:T15)/$P$19</f>
        <v>0.3</v>
      </c>
      <c r="U26" s="1055">
        <f>SUMPRODUCT($E16:$E18,U13:U15)/$P$19</f>
        <v>0.22</v>
      </c>
    </row>
    <row r="28" spans="1:22" x14ac:dyDescent="0.25">
      <c r="H28" s="1055" t="s">
        <v>958</v>
      </c>
      <c r="I28" s="1055" t="s">
        <v>957</v>
      </c>
      <c r="J28" s="1055" t="s">
        <v>959</v>
      </c>
      <c r="S28" s="1055" t="s">
        <v>958</v>
      </c>
      <c r="T28" s="1055" t="s">
        <v>957</v>
      </c>
      <c r="U28" s="1055" t="s">
        <v>959</v>
      </c>
    </row>
    <row r="29" spans="1:22" x14ac:dyDescent="0.25">
      <c r="G29" s="53" t="s">
        <v>958</v>
      </c>
      <c r="H29" s="1023">
        <f t="shared" ref="H29:J31" si="4">B7/$E$10*(H13-H23*(1-$H$19))^2</f>
        <v>4.5285622894649359E-2</v>
      </c>
      <c r="I29" s="864">
        <f t="shared" si="4"/>
        <v>2.1480608184302188E-3</v>
      </c>
      <c r="J29" s="1018">
        <f t="shared" si="4"/>
        <v>9.7637692644103567E-3</v>
      </c>
      <c r="R29" s="53" t="s">
        <v>958</v>
      </c>
      <c r="S29" s="1023">
        <f t="shared" ref="S29:U31" si="5">M7/$P$10*(S13-S23*(1-$S$19))^2</f>
        <v>8.8586812590800645E-2</v>
      </c>
      <c r="T29" s="864">
        <f t="shared" si="5"/>
        <v>1.7613049314908577E-2</v>
      </c>
      <c r="U29" s="1018">
        <f t="shared" si="5"/>
        <v>4.7000657913283273E-3</v>
      </c>
    </row>
    <row r="30" spans="1:22" x14ac:dyDescent="0.25">
      <c r="G30" s="53" t="s">
        <v>957</v>
      </c>
      <c r="H30" s="540">
        <f t="shared" si="4"/>
        <v>1.6536716231259671E-3</v>
      </c>
      <c r="I30" s="1057">
        <f t="shared" si="4"/>
        <v>2.3977154234555945E-2</v>
      </c>
      <c r="J30" s="494">
        <f t="shared" si="4"/>
        <v>3.9317197733088227E-6</v>
      </c>
      <c r="R30" s="53" t="s">
        <v>957</v>
      </c>
      <c r="S30" s="540">
        <f t="shared" si="5"/>
        <v>1.3010562744161463E-2</v>
      </c>
      <c r="T30" s="1057">
        <f t="shared" si="5"/>
        <v>9.4520420127461285E-2</v>
      </c>
      <c r="U30" s="494">
        <f t="shared" si="5"/>
        <v>1.4819844125771415E-3</v>
      </c>
    </row>
    <row r="31" spans="1:22" x14ac:dyDescent="0.25">
      <c r="G31" s="53" t="s">
        <v>959</v>
      </c>
      <c r="H31" s="436">
        <f t="shared" si="4"/>
        <v>1.524337469639578E-2</v>
      </c>
      <c r="I31" s="860">
        <f t="shared" si="4"/>
        <v>0</v>
      </c>
      <c r="J31" s="412">
        <f t="shared" si="4"/>
        <v>6.2642666873888586E-2</v>
      </c>
      <c r="R31" s="53" t="s">
        <v>959</v>
      </c>
      <c r="S31" s="436">
        <f t="shared" si="5"/>
        <v>7.4709090757489605E-3</v>
      </c>
      <c r="T31" s="860">
        <f t="shared" si="5"/>
        <v>0</v>
      </c>
      <c r="U31" s="412">
        <f t="shared" si="5"/>
        <v>9.6894704889959354E-2</v>
      </c>
    </row>
    <row r="33" spans="7:19" x14ac:dyDescent="0.25">
      <c r="G33" s="132" t="s">
        <v>425</v>
      </c>
      <c r="H33" s="1041">
        <f>SQRT((SUM(H29:J31)-(H19-H17*(1-H19))^2)/E19)/(1-H17)</f>
        <v>0.11437308747291849</v>
      </c>
      <c r="R33" s="132" t="s">
        <v>425</v>
      </c>
      <c r="S33" s="1041">
        <f>SQRT((SUM(S29:U31)-(S19-S17*(1-S19))^2)/P19)/(1-S17)</f>
        <v>0.10615553946218627</v>
      </c>
    </row>
    <row r="34" spans="7:19" x14ac:dyDescent="0.25">
      <c r="G34" s="132" t="s">
        <v>106</v>
      </c>
      <c r="H34" s="503">
        <v>0.05</v>
      </c>
      <c r="R34" s="132" t="s">
        <v>106</v>
      </c>
      <c r="S34" s="503">
        <v>0.05</v>
      </c>
    </row>
    <row r="35" spans="7:19" x14ac:dyDescent="0.25">
      <c r="G35" s="132" t="s">
        <v>211</v>
      </c>
      <c r="H35" s="503">
        <f>_xlfn.NORM.S.INV(1-H34/2)</f>
        <v>1.9599639845400536</v>
      </c>
      <c r="R35" s="132" t="s">
        <v>211</v>
      </c>
      <c r="S35" s="503">
        <f>_xlfn.NORM.S.INV(1-S34/2)</f>
        <v>1.9599639845400536</v>
      </c>
    </row>
    <row r="36" spans="7:19" x14ac:dyDescent="0.25">
      <c r="G36" s="132" t="s">
        <v>29</v>
      </c>
      <c r="H36" s="503">
        <f>H19-H33*H35</f>
        <v>0.2767834380946359</v>
      </c>
      <c r="R36" s="132" t="s">
        <v>29</v>
      </c>
      <c r="S36" s="503">
        <f>S19-S33*S35</f>
        <v>0.28784318769683703</v>
      </c>
    </row>
    <row r="37" spans="7:19" x14ac:dyDescent="0.25">
      <c r="G37" s="132" t="s">
        <v>30</v>
      </c>
      <c r="H37" s="420">
        <f>H19+H33*H35</f>
        <v>0.72511770258977482</v>
      </c>
      <c r="R37" s="132" t="s">
        <v>30</v>
      </c>
      <c r="S37" s="420">
        <f>S19+S33*S35</f>
        <v>0.70396525590744796</v>
      </c>
    </row>
    <row r="39" spans="7:19" x14ac:dyDescent="0.25">
      <c r="G39" s="132" t="s">
        <v>2137</v>
      </c>
      <c r="R39" s="132" t="s">
        <v>2137</v>
      </c>
    </row>
    <row r="41" spans="7:19" x14ac:dyDescent="0.25">
      <c r="G41" t="str">
        <f t="array" ref="G41:H44">[1]!WKAPPA(B7:D9,H7:J9,TRUE)</f>
        <v>kappa</v>
      </c>
      <c r="H41" s="1041">
        <v>0.50095057034220536</v>
      </c>
      <c r="R41" t="str">
        <f t="array" ref="R41:S44">[1]!WKAPPA(M7:O9,S7:U9,TRUE)</f>
        <v>kappa</v>
      </c>
      <c r="S41" s="1041">
        <v>0.49590422180214239</v>
      </c>
    </row>
    <row r="42" spans="7:19" x14ac:dyDescent="0.25">
      <c r="G42" t="str">
        <v>std err</v>
      </c>
      <c r="H42" s="503">
        <v>0.11437308747291849</v>
      </c>
      <c r="R42" t="str">
        <v>std err</v>
      </c>
      <c r="S42" s="503">
        <v>0.10615553946218627</v>
      </c>
    </row>
    <row r="43" spans="7:19" x14ac:dyDescent="0.25">
      <c r="G43" t="str">
        <v>lower</v>
      </c>
      <c r="H43" s="503">
        <v>0.2767834380946359</v>
      </c>
      <c r="R43" t="str">
        <v>lower</v>
      </c>
      <c r="S43" s="503">
        <v>0.28784318769683692</v>
      </c>
    </row>
    <row r="44" spans="7:19" x14ac:dyDescent="0.25">
      <c r="G44" t="str">
        <v>upper</v>
      </c>
      <c r="H44" s="420">
        <v>0.72511770258977482</v>
      </c>
      <c r="R44" t="str">
        <v>upper</v>
      </c>
      <c r="S44" s="420">
        <v>0.70396525590744785</v>
      </c>
    </row>
    <row r="46" spans="7:19" x14ac:dyDescent="0.25">
      <c r="G46" t="str">
        <f t="array" ref="G46:H49">[1]!WKAPPA(B7:D9,1,TRUE)</f>
        <v>kappa</v>
      </c>
      <c r="H46" s="1041">
        <v>0.50095057034220536</v>
      </c>
      <c r="R46" t="str">
        <f t="array" ref="R46:S49">[1]!WKAPPA(M7:O9,0,TRUE)</f>
        <v>kappa</v>
      </c>
      <c r="S46" s="1041">
        <v>0.49590422180214239</v>
      </c>
    </row>
    <row r="47" spans="7:19" x14ac:dyDescent="0.25">
      <c r="G47" t="str">
        <v>std err</v>
      </c>
      <c r="H47" s="503">
        <v>0.11437308747291849</v>
      </c>
      <c r="R47" t="str">
        <v>std err</v>
      </c>
      <c r="S47" s="503">
        <v>0.10624579391325582</v>
      </c>
    </row>
    <row r="48" spans="7:19" x14ac:dyDescent="0.25">
      <c r="G48" t="str">
        <v>lower</v>
      </c>
      <c r="H48" s="503">
        <v>0.2767834380946359</v>
      </c>
      <c r="R48" t="str">
        <v>lower</v>
      </c>
      <c r="S48" s="503">
        <v>0.28766629222329609</v>
      </c>
    </row>
    <row r="49" spans="7:19" x14ac:dyDescent="0.25">
      <c r="G49" t="str">
        <v>upper</v>
      </c>
      <c r="H49" s="420">
        <v>0.72511770258977482</v>
      </c>
      <c r="R49" t="str">
        <v>upper</v>
      </c>
      <c r="S49" s="420">
        <v>0.70414215138098868</v>
      </c>
    </row>
  </sheetData>
  <mergeCells count="8">
    <mergeCell ref="H11:J11"/>
    <mergeCell ref="S11:U11"/>
    <mergeCell ref="H21:J21"/>
    <mergeCell ref="S21:U21"/>
    <mergeCell ref="B5:D5"/>
    <mergeCell ref="H5:J5"/>
    <mergeCell ref="M5:O5"/>
    <mergeCell ref="S5:U5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/>
  <dimension ref="A1:AJ55"/>
  <sheetViews>
    <sheetView workbookViewId="0">
      <selection activeCell="J5" sqref="J5"/>
    </sheetView>
  </sheetViews>
  <sheetFormatPr defaultRowHeight="15" x14ac:dyDescent="0.25"/>
  <cols>
    <col min="1" max="1" width="4.42578125" customWidth="1"/>
    <col min="2" max="6" width="9.7109375" customWidth="1"/>
    <col min="7" max="7" width="8.85546875" customWidth="1"/>
    <col min="8" max="8" width="9.7109375" customWidth="1"/>
    <col min="9" max="9" width="2.7109375" customWidth="1"/>
    <col min="10" max="10" width="71.7109375" customWidth="1"/>
    <col min="13" max="16" width="9.85546875" customWidth="1"/>
    <col min="17" max="17" width="5" customWidth="1"/>
    <col min="22" max="32" width="5.28515625" customWidth="1"/>
    <col min="33" max="33" width="7.140625" customWidth="1"/>
  </cols>
  <sheetData>
    <row r="1" spans="1:36" x14ac:dyDescent="0.25">
      <c r="A1" s="1" t="s">
        <v>1627</v>
      </c>
      <c r="J1" s="16"/>
    </row>
    <row r="3" spans="1:36" ht="18" x14ac:dyDescent="0.35">
      <c r="B3" s="740" t="s">
        <v>952</v>
      </c>
      <c r="C3" s="740" t="s">
        <v>953</v>
      </c>
      <c r="D3" s="740" t="s">
        <v>1632</v>
      </c>
      <c r="E3" s="740" t="s">
        <v>126</v>
      </c>
      <c r="F3" s="740"/>
      <c r="G3" s="740"/>
      <c r="H3" s="740"/>
      <c r="I3" s="977"/>
      <c r="J3" s="977"/>
      <c r="M3" s="740" t="s">
        <v>952</v>
      </c>
      <c r="N3" s="740" t="s">
        <v>953</v>
      </c>
      <c r="O3" s="740" t="s">
        <v>954</v>
      </c>
      <c r="P3" s="13" t="s">
        <v>1631</v>
      </c>
      <c r="U3" s="740" t="s">
        <v>979</v>
      </c>
      <c r="V3">
        <v>0</v>
      </c>
      <c r="W3">
        <f>V3+1</f>
        <v>1</v>
      </c>
      <c r="X3">
        <f t="shared" ref="X3:AF3" si="0">W3+1</f>
        <v>2</v>
      </c>
      <c r="Y3">
        <f t="shared" si="0"/>
        <v>3</v>
      </c>
      <c r="Z3">
        <f t="shared" si="0"/>
        <v>4</v>
      </c>
      <c r="AA3">
        <f t="shared" si="0"/>
        <v>5</v>
      </c>
      <c r="AB3">
        <f t="shared" si="0"/>
        <v>6</v>
      </c>
      <c r="AC3">
        <f t="shared" si="0"/>
        <v>7</v>
      </c>
      <c r="AD3">
        <f t="shared" si="0"/>
        <v>8</v>
      </c>
      <c r="AE3">
        <f t="shared" si="0"/>
        <v>9</v>
      </c>
      <c r="AF3">
        <f t="shared" si="0"/>
        <v>10</v>
      </c>
      <c r="AG3" s="13" t="s">
        <v>1631</v>
      </c>
    </row>
    <row r="4" spans="1:36" x14ac:dyDescent="0.25">
      <c r="A4">
        <v>1</v>
      </c>
      <c r="B4" s="751">
        <v>4</v>
      </c>
      <c r="C4" s="752">
        <v>2</v>
      </c>
      <c r="D4" s="752"/>
      <c r="E4" s="755"/>
      <c r="G4" t="s">
        <v>573</v>
      </c>
      <c r="H4" s="853">
        <f>SUM(B4:E4)</f>
        <v>6</v>
      </c>
      <c r="I4" s="7"/>
      <c r="J4" s="7" t="str">
        <f>[1]!FTEXT(H4)</f>
        <v>=SUM(B4:E4)</v>
      </c>
      <c r="L4" s="740">
        <v>1</v>
      </c>
      <c r="M4" s="751">
        <v>2</v>
      </c>
      <c r="N4" s="752"/>
      <c r="O4" s="755"/>
      <c r="P4" s="756">
        <f>(SUMSQ(M4:O4)-$S$4)/$S$8</f>
        <v>1</v>
      </c>
      <c r="R4" t="s">
        <v>573</v>
      </c>
      <c r="S4" s="756">
        <f>SUM(M4:O4)</f>
        <v>2</v>
      </c>
      <c r="U4" s="740">
        <v>1</v>
      </c>
      <c r="V4" s="751">
        <v>1</v>
      </c>
      <c r="W4" s="752">
        <v>2</v>
      </c>
      <c r="X4" s="752">
        <v>1</v>
      </c>
      <c r="Y4" s="752"/>
      <c r="Z4" s="752"/>
      <c r="AA4" s="752"/>
      <c r="AB4" s="752"/>
      <c r="AC4" s="752"/>
      <c r="AD4" s="752"/>
      <c r="AE4" s="752"/>
      <c r="AF4" s="755"/>
      <c r="AG4" s="756">
        <f>(SUMSQ(V4:AF4)-$AJ$4)/$AJ$8</f>
        <v>0.16666666666666666</v>
      </c>
      <c r="AI4" t="s">
        <v>573</v>
      </c>
      <c r="AJ4" s="756">
        <f>SUM(V4:AF4)</f>
        <v>4</v>
      </c>
    </row>
    <row r="5" spans="1:36" x14ac:dyDescent="0.25">
      <c r="A5">
        <f>A4+1</f>
        <v>2</v>
      </c>
      <c r="B5" s="532">
        <v>1</v>
      </c>
      <c r="C5" s="7">
        <v>2</v>
      </c>
      <c r="D5" s="7">
        <v>3</v>
      </c>
      <c r="E5" s="533"/>
      <c r="G5" t="s">
        <v>31</v>
      </c>
      <c r="H5" s="503">
        <f>COUNTA(A4:A15)</f>
        <v>12</v>
      </c>
      <c r="I5" s="7"/>
      <c r="J5" s="7" t="str">
        <f>[1]!FTEXT(H5)</f>
        <v>=COUNTA(A4:A15)</v>
      </c>
      <c r="L5" s="740">
        <f>L4+1</f>
        <v>2</v>
      </c>
      <c r="M5" s="532">
        <v>2</v>
      </c>
      <c r="N5" s="7"/>
      <c r="O5" s="533"/>
      <c r="P5" s="503">
        <f t="shared" ref="P5:P53" si="1">(SUMSQ(M5:O5)-$S$4)/$S$8</f>
        <v>1</v>
      </c>
      <c r="R5" t="s">
        <v>31</v>
      </c>
      <c r="S5" s="503">
        <f>COUNTA(L4:L53)</f>
        <v>50</v>
      </c>
      <c r="U5" s="740">
        <f>U4+1</f>
        <v>2</v>
      </c>
      <c r="V5" s="532"/>
      <c r="W5" s="7">
        <v>1</v>
      </c>
      <c r="X5" s="7">
        <v>1</v>
      </c>
      <c r="Y5" s="7">
        <v>2</v>
      </c>
      <c r="Z5" s="7"/>
      <c r="AA5" s="7"/>
      <c r="AB5" s="7"/>
      <c r="AC5" s="7"/>
      <c r="AD5" s="7"/>
      <c r="AE5" s="7"/>
      <c r="AF5" s="533"/>
      <c r="AG5" s="503">
        <f t="shared" ref="AG5:AG11" si="2">(SUMSQ(V5:AF5)-$AJ$4)/$AJ$8</f>
        <v>0.16666666666666666</v>
      </c>
      <c r="AI5" t="s">
        <v>31</v>
      </c>
      <c r="AJ5" s="503">
        <f>COUNTA(U4:U11)</f>
        <v>8</v>
      </c>
    </row>
    <row r="6" spans="1:36" ht="18" x14ac:dyDescent="0.35">
      <c r="A6">
        <f t="shared" ref="A6:A15" si="3">A5+1</f>
        <v>3</v>
      </c>
      <c r="B6" s="532"/>
      <c r="C6" s="7">
        <v>1</v>
      </c>
      <c r="D6" s="7">
        <v>4</v>
      </c>
      <c r="E6" s="533">
        <v>1</v>
      </c>
      <c r="G6" t="s">
        <v>1631</v>
      </c>
      <c r="H6" s="503">
        <f>(SUMSQ(B4:E15)-H4*H5)/(H4*H5*(H4-1))</f>
        <v>0.48888888888888887</v>
      </c>
      <c r="I6" s="7"/>
      <c r="J6" s="7" t="str">
        <f>[1]!FTEXT(H6)</f>
        <v>=(SUMSQ(B4:E15)-H4*H5)/(H4*H5*(H4-1))</v>
      </c>
      <c r="L6" s="740">
        <f t="shared" ref="L6:L53" si="4">L5+1</f>
        <v>3</v>
      </c>
      <c r="M6" s="532">
        <v>2</v>
      </c>
      <c r="N6" s="7"/>
      <c r="O6" s="533"/>
      <c r="P6" s="503">
        <f t="shared" si="1"/>
        <v>1</v>
      </c>
      <c r="R6" t="s">
        <v>56</v>
      </c>
      <c r="S6" s="420">
        <f>COUNTA(M3:O3)</f>
        <v>3</v>
      </c>
      <c r="U6" s="740">
        <f t="shared" ref="U6:U11" si="5">U5+1</f>
        <v>3</v>
      </c>
      <c r="V6" s="532"/>
      <c r="W6" s="7">
        <v>1</v>
      </c>
      <c r="X6" s="7"/>
      <c r="Y6" s="7">
        <v>1</v>
      </c>
      <c r="Z6" s="7">
        <v>1</v>
      </c>
      <c r="AA6" s="7"/>
      <c r="AB6" s="7"/>
      <c r="AC6" s="7"/>
      <c r="AD6" s="7">
        <v>1</v>
      </c>
      <c r="AE6" s="7"/>
      <c r="AF6" s="533"/>
      <c r="AG6" s="503">
        <f t="shared" si="2"/>
        <v>0</v>
      </c>
      <c r="AI6" t="s">
        <v>56</v>
      </c>
      <c r="AJ6" s="420">
        <f>COUNTA(V3:AF3)</f>
        <v>11</v>
      </c>
    </row>
    <row r="7" spans="1:36" ht="18" x14ac:dyDescent="0.35">
      <c r="A7">
        <f t="shared" si="3"/>
        <v>4</v>
      </c>
      <c r="B7" s="532"/>
      <c r="C7" s="31">
        <v>1</v>
      </c>
      <c r="D7" s="7">
        <v>1</v>
      </c>
      <c r="E7" s="533">
        <v>4</v>
      </c>
      <c r="G7" t="s">
        <v>1630</v>
      </c>
      <c r="H7" s="420">
        <f>SUMSQ(B17:E17)</f>
        <v>0.27314814814814814</v>
      </c>
      <c r="I7" s="7"/>
      <c r="J7" s="7" t="str">
        <f>[1]!FTEXT(H7)</f>
        <v>=SUMSQ(B17:E17)</v>
      </c>
      <c r="L7" s="740">
        <f t="shared" si="4"/>
        <v>4</v>
      </c>
      <c r="M7" s="532">
        <v>2</v>
      </c>
      <c r="N7" s="7"/>
      <c r="O7" s="533"/>
      <c r="P7" s="503">
        <f t="shared" si="1"/>
        <v>1</v>
      </c>
      <c r="R7" t="s">
        <v>1633</v>
      </c>
      <c r="S7" s="756">
        <f>S4*S5</f>
        <v>100</v>
      </c>
      <c r="U7" s="740">
        <f t="shared" si="5"/>
        <v>4</v>
      </c>
      <c r="V7" s="532"/>
      <c r="W7" s="7"/>
      <c r="X7" s="7"/>
      <c r="Y7" s="7">
        <v>2</v>
      </c>
      <c r="Z7" s="7">
        <v>1</v>
      </c>
      <c r="AA7" s="7"/>
      <c r="AB7" s="7">
        <v>1</v>
      </c>
      <c r="AC7" s="7"/>
      <c r="AD7" s="7"/>
      <c r="AE7" s="7"/>
      <c r="AF7" s="533"/>
      <c r="AG7" s="503">
        <f t="shared" si="2"/>
        <v>0.16666666666666666</v>
      </c>
      <c r="AI7" t="s">
        <v>1633</v>
      </c>
      <c r="AJ7" s="756">
        <f>AJ4*AJ5</f>
        <v>32</v>
      </c>
    </row>
    <row r="8" spans="1:36" x14ac:dyDescent="0.25">
      <c r="A8">
        <f t="shared" si="3"/>
        <v>5</v>
      </c>
      <c r="B8" s="532">
        <v>1</v>
      </c>
      <c r="C8" s="7"/>
      <c r="D8" s="31">
        <v>5</v>
      </c>
      <c r="E8" s="533"/>
      <c r="G8" t="s">
        <v>1629</v>
      </c>
      <c r="H8" s="853">
        <f>(H6-H7)/(1-H7)</f>
        <v>0.29681528662420381</v>
      </c>
      <c r="I8" s="7"/>
      <c r="J8" s="7" t="str">
        <f>[1]!FTEXT(H8)</f>
        <v>=(H6-H7)/(1-H7)</v>
      </c>
      <c r="L8" s="740">
        <f t="shared" si="4"/>
        <v>5</v>
      </c>
      <c r="M8" s="532">
        <v>2</v>
      </c>
      <c r="N8" s="7"/>
      <c r="O8" s="533"/>
      <c r="P8" s="503">
        <f t="shared" si="1"/>
        <v>1</v>
      </c>
      <c r="R8" t="s">
        <v>1634</v>
      </c>
      <c r="S8" s="503">
        <f>S4*(S4-1)</f>
        <v>2</v>
      </c>
      <c r="U8" s="740">
        <f t="shared" si="5"/>
        <v>5</v>
      </c>
      <c r="V8" s="532"/>
      <c r="W8" s="7"/>
      <c r="X8" s="7"/>
      <c r="Y8" s="7"/>
      <c r="Z8" s="7"/>
      <c r="AA8" s="7">
        <v>2</v>
      </c>
      <c r="AB8" s="7">
        <v>2</v>
      </c>
      <c r="AC8" s="7"/>
      <c r="AD8" s="7"/>
      <c r="AE8" s="7"/>
      <c r="AF8" s="533"/>
      <c r="AG8" s="503">
        <f t="shared" si="2"/>
        <v>0.33333333333333331</v>
      </c>
      <c r="AI8" t="s">
        <v>1634</v>
      </c>
      <c r="AJ8" s="420">
        <f>AJ4*(AJ4-1)</f>
        <v>12</v>
      </c>
    </row>
    <row r="9" spans="1:36" ht="18" x14ac:dyDescent="0.35">
      <c r="A9">
        <f t="shared" si="3"/>
        <v>6</v>
      </c>
      <c r="B9" s="532"/>
      <c r="C9" s="7"/>
      <c r="D9" s="31">
        <v>1</v>
      </c>
      <c r="E9" s="533">
        <v>5</v>
      </c>
      <c r="G9" t="s">
        <v>1932</v>
      </c>
      <c r="H9" s="503">
        <f>B20*SQRT(SUM(B18:E18)^2-SUMPRODUCT(B18:E18,1-2*B17:E17))/SUM(B18:E18)</f>
        <v>4.431471412990922E-2</v>
      </c>
      <c r="I9" s="7"/>
      <c r="J9" s="7" t="str">
        <f>[1]!FTEXT(H9)</f>
        <v>=B20*SQRT(SUM(B18:E18)^2-SUMPRODUCT(B18:E18,1-2*B17:E17))/SUM(B18:E18)</v>
      </c>
      <c r="L9" s="740">
        <f t="shared" si="4"/>
        <v>6</v>
      </c>
      <c r="M9" s="532">
        <v>2</v>
      </c>
      <c r="N9" s="7"/>
      <c r="O9" s="533"/>
      <c r="P9" s="503">
        <f t="shared" si="1"/>
        <v>1</v>
      </c>
      <c r="R9" t="s">
        <v>1631</v>
      </c>
      <c r="S9" s="756">
        <f>SUM(P4:P53)/S5</f>
        <v>0.68</v>
      </c>
      <c r="U9" s="740">
        <f t="shared" si="5"/>
        <v>6</v>
      </c>
      <c r="V9" s="532"/>
      <c r="W9" s="7"/>
      <c r="X9" s="7">
        <v>1</v>
      </c>
      <c r="Y9" s="7"/>
      <c r="Z9" s="7"/>
      <c r="AA9" s="7">
        <v>1</v>
      </c>
      <c r="AB9" s="7">
        <v>1</v>
      </c>
      <c r="AC9" s="31">
        <v>1</v>
      </c>
      <c r="AD9" s="7"/>
      <c r="AE9" s="7"/>
      <c r="AF9" s="533"/>
      <c r="AG9" s="503">
        <f t="shared" si="2"/>
        <v>0</v>
      </c>
      <c r="AI9" t="s">
        <v>1631</v>
      </c>
      <c r="AJ9" s="756">
        <f>SUM(AG4:AG11)/AJ5</f>
        <v>0.1875</v>
      </c>
    </row>
    <row r="10" spans="1:36" ht="18" x14ac:dyDescent="0.35">
      <c r="A10">
        <f t="shared" si="3"/>
        <v>7</v>
      </c>
      <c r="B10" s="532">
        <v>2</v>
      </c>
      <c r="C10" s="31">
        <v>3</v>
      </c>
      <c r="D10" s="7"/>
      <c r="E10" s="533">
        <v>1</v>
      </c>
      <c r="G10" t="s">
        <v>35</v>
      </c>
      <c r="H10" s="503">
        <f>H8/H9</f>
        <v>6.6978946485829862</v>
      </c>
      <c r="I10" s="7"/>
      <c r="J10" s="7" t="str">
        <f>[1]!FTEXT(H10)</f>
        <v>=H8/H9</v>
      </c>
      <c r="L10" s="740">
        <f t="shared" si="4"/>
        <v>7</v>
      </c>
      <c r="M10" s="532">
        <v>2</v>
      </c>
      <c r="N10" s="7"/>
      <c r="O10" s="533"/>
      <c r="P10" s="503">
        <f t="shared" si="1"/>
        <v>1</v>
      </c>
      <c r="R10" t="s">
        <v>1630</v>
      </c>
      <c r="S10" s="420">
        <f>SUMSQ(M55:O55)</f>
        <v>0.3654</v>
      </c>
      <c r="U10" s="740">
        <f t="shared" si="5"/>
        <v>7</v>
      </c>
      <c r="V10" s="532"/>
      <c r="W10" s="7"/>
      <c r="X10" s="7"/>
      <c r="Y10" s="7"/>
      <c r="Z10" s="7"/>
      <c r="AA10" s="7"/>
      <c r="AB10" s="7"/>
      <c r="AC10" s="7">
        <v>2</v>
      </c>
      <c r="AD10" s="7">
        <v>1</v>
      </c>
      <c r="AE10" s="7">
        <v>1</v>
      </c>
      <c r="AF10" s="533"/>
      <c r="AG10" s="503">
        <f t="shared" si="2"/>
        <v>0.16666666666666666</v>
      </c>
      <c r="AI10" t="s">
        <v>1630</v>
      </c>
      <c r="AJ10" s="503">
        <f>SUMSQ(V13:AF13)</f>
        <v>0.111328125</v>
      </c>
    </row>
    <row r="11" spans="1:36" x14ac:dyDescent="0.25">
      <c r="A11">
        <f t="shared" si="3"/>
        <v>8</v>
      </c>
      <c r="B11" s="532"/>
      <c r="C11" s="31">
        <v>3</v>
      </c>
      <c r="D11" s="31">
        <v>3</v>
      </c>
      <c r="E11" s="533"/>
      <c r="G11" t="s">
        <v>67</v>
      </c>
      <c r="H11" s="420">
        <f>2*(1-NORMSDIST(H10))</f>
        <v>2.1144419548591031E-11</v>
      </c>
      <c r="I11" s="7"/>
      <c r="J11" s="7" t="str">
        <f>[1]!FTEXT(H11)</f>
        <v>=2*(1-NORMSDIST(H10))</v>
      </c>
      <c r="L11" s="740">
        <f t="shared" si="4"/>
        <v>8</v>
      </c>
      <c r="M11" s="532">
        <v>2</v>
      </c>
      <c r="N11" s="7"/>
      <c r="O11" s="533"/>
      <c r="P11" s="503">
        <f t="shared" si="1"/>
        <v>1</v>
      </c>
      <c r="R11" t="s">
        <v>1629</v>
      </c>
      <c r="S11" s="580">
        <f>(S9-S10)/(1-S10)</f>
        <v>0.49574535140245829</v>
      </c>
      <c r="U11" s="740">
        <f t="shared" si="5"/>
        <v>8</v>
      </c>
      <c r="V11" s="409"/>
      <c r="W11" s="410"/>
      <c r="X11" s="410"/>
      <c r="Y11" s="410"/>
      <c r="Z11" s="410"/>
      <c r="AA11" s="410"/>
      <c r="AB11" s="410"/>
      <c r="AC11" s="410"/>
      <c r="AD11" s="410">
        <v>1</v>
      </c>
      <c r="AE11" s="410">
        <v>3</v>
      </c>
      <c r="AF11" s="417"/>
      <c r="AG11" s="420">
        <f t="shared" si="2"/>
        <v>0.5</v>
      </c>
      <c r="AI11" t="s">
        <v>1629</v>
      </c>
      <c r="AJ11" s="580">
        <f>(AJ9-AJ10)/(1-AJ10)</f>
        <v>8.5714285714285715E-2</v>
      </c>
    </row>
    <row r="12" spans="1:36" x14ac:dyDescent="0.25">
      <c r="A12">
        <f t="shared" si="3"/>
        <v>9</v>
      </c>
      <c r="B12" s="532"/>
      <c r="C12" s="31">
        <v>2</v>
      </c>
      <c r="D12" s="31">
        <v>4</v>
      </c>
      <c r="E12" s="533"/>
      <c r="J12" s="7"/>
      <c r="L12" s="740">
        <f t="shared" si="4"/>
        <v>9</v>
      </c>
      <c r="M12" s="532">
        <v>2</v>
      </c>
      <c r="N12" s="7"/>
      <c r="O12" s="533"/>
      <c r="P12" s="503">
        <f t="shared" si="1"/>
        <v>1</v>
      </c>
      <c r="U12" s="740" t="s">
        <v>1628</v>
      </c>
      <c r="V12" s="751">
        <f>SUM(V4:V11)</f>
        <v>1</v>
      </c>
      <c r="W12" s="752">
        <f t="shared" ref="W12:AF12" si="6">SUM(W4:W11)</f>
        <v>4</v>
      </c>
      <c r="X12" s="752">
        <f t="shared" si="6"/>
        <v>3</v>
      </c>
      <c r="Y12" s="752">
        <f t="shared" si="6"/>
        <v>5</v>
      </c>
      <c r="Z12" s="752">
        <f t="shared" si="6"/>
        <v>2</v>
      </c>
      <c r="AA12" s="752">
        <f t="shared" si="6"/>
        <v>3</v>
      </c>
      <c r="AB12" s="752">
        <f t="shared" si="6"/>
        <v>4</v>
      </c>
      <c r="AC12" s="752">
        <f t="shared" si="6"/>
        <v>3</v>
      </c>
      <c r="AD12" s="752">
        <f t="shared" si="6"/>
        <v>3</v>
      </c>
      <c r="AE12" s="752">
        <f t="shared" si="6"/>
        <v>4</v>
      </c>
      <c r="AF12" s="755">
        <f t="shared" si="6"/>
        <v>0</v>
      </c>
    </row>
    <row r="13" spans="1:36" x14ac:dyDescent="0.25">
      <c r="A13">
        <f t="shared" si="3"/>
        <v>10</v>
      </c>
      <c r="B13" s="532"/>
      <c r="C13" s="7"/>
      <c r="D13" s="31">
        <v>3</v>
      </c>
      <c r="E13" s="533">
        <v>3</v>
      </c>
      <c r="G13" t="s">
        <v>106</v>
      </c>
      <c r="H13" s="853">
        <v>0.05</v>
      </c>
      <c r="I13" s="7"/>
      <c r="J13" s="7"/>
      <c r="L13" s="740">
        <f t="shared" si="4"/>
        <v>10</v>
      </c>
      <c r="M13" s="532">
        <v>2</v>
      </c>
      <c r="N13" s="7"/>
      <c r="O13" s="533"/>
      <c r="P13" s="503">
        <f t="shared" si="1"/>
        <v>1</v>
      </c>
      <c r="R13" t="s">
        <v>1629</v>
      </c>
      <c r="S13" s="580">
        <f>[1]!KAPPA(M4:O53)</f>
        <v>0.49574535140245829</v>
      </c>
      <c r="U13" s="740" t="s">
        <v>557</v>
      </c>
      <c r="V13" s="409">
        <f>V12/$AJ$7</f>
        <v>3.125E-2</v>
      </c>
      <c r="W13" s="410">
        <f t="shared" ref="W13:AF13" si="7">W12/$AJ$7</f>
        <v>0.125</v>
      </c>
      <c r="X13" s="410">
        <f t="shared" si="7"/>
        <v>9.375E-2</v>
      </c>
      <c r="Y13" s="410">
        <f t="shared" si="7"/>
        <v>0.15625</v>
      </c>
      <c r="Z13" s="410">
        <f t="shared" si="7"/>
        <v>6.25E-2</v>
      </c>
      <c r="AA13" s="410">
        <f t="shared" si="7"/>
        <v>9.375E-2</v>
      </c>
      <c r="AB13" s="410">
        <f t="shared" si="7"/>
        <v>0.125</v>
      </c>
      <c r="AC13" s="410">
        <f t="shared" si="7"/>
        <v>9.375E-2</v>
      </c>
      <c r="AD13" s="410">
        <f t="shared" si="7"/>
        <v>9.375E-2</v>
      </c>
      <c r="AE13" s="410">
        <f t="shared" si="7"/>
        <v>0.125</v>
      </c>
      <c r="AF13" s="417">
        <f t="shared" si="7"/>
        <v>0</v>
      </c>
      <c r="AI13" t="s">
        <v>1629</v>
      </c>
      <c r="AJ13" s="580">
        <f>[1]!KAPPA(V4:AF11)</f>
        <v>8.5714285714285715E-2</v>
      </c>
    </row>
    <row r="14" spans="1:36" x14ac:dyDescent="0.25">
      <c r="A14">
        <f t="shared" si="3"/>
        <v>11</v>
      </c>
      <c r="B14" s="532">
        <v>4</v>
      </c>
      <c r="C14" s="31"/>
      <c r="D14" s="31">
        <v>2</v>
      </c>
      <c r="E14" s="533"/>
      <c r="G14" t="s">
        <v>29</v>
      </c>
      <c r="H14" s="503">
        <f>H8+H9*NORMSINV(H13/2)</f>
        <v>0.20996004294439352</v>
      </c>
      <c r="I14" s="7"/>
      <c r="J14" s="7" t="str">
        <f>[1]!FTEXT(H14)</f>
        <v>=H8+H9*NORMSINV(H13/2)</v>
      </c>
      <c r="L14" s="740">
        <f t="shared" si="4"/>
        <v>11</v>
      </c>
      <c r="M14" s="532"/>
      <c r="N14" s="7">
        <v>2</v>
      </c>
      <c r="O14" s="533"/>
      <c r="P14" s="503">
        <f t="shared" si="1"/>
        <v>1</v>
      </c>
    </row>
    <row r="15" spans="1:36" x14ac:dyDescent="0.25">
      <c r="A15">
        <f t="shared" si="3"/>
        <v>12</v>
      </c>
      <c r="B15" s="409"/>
      <c r="C15" s="410">
        <v>6</v>
      </c>
      <c r="D15" s="410"/>
      <c r="E15" s="417"/>
      <c r="G15" t="s">
        <v>30</v>
      </c>
      <c r="H15" s="420">
        <f>H8-H9*NORMSINV(H13/2)</f>
        <v>0.3836705303040141</v>
      </c>
      <c r="I15" s="7"/>
      <c r="J15" s="7" t="str">
        <f>[1]!FTEXT(H15)</f>
        <v>=H8-H9*NORMSINV(H13/2)</v>
      </c>
      <c r="L15" s="740">
        <f t="shared" si="4"/>
        <v>12</v>
      </c>
      <c r="M15" s="532"/>
      <c r="N15" s="7">
        <v>2</v>
      </c>
      <c r="O15" s="533"/>
      <c r="P15" s="503">
        <f t="shared" si="1"/>
        <v>1</v>
      </c>
    </row>
    <row r="16" spans="1:36" x14ac:dyDescent="0.25">
      <c r="L16" s="740">
        <f t="shared" si="4"/>
        <v>13</v>
      </c>
      <c r="M16" s="532"/>
      <c r="N16" s="7">
        <v>2</v>
      </c>
      <c r="O16" s="533"/>
      <c r="P16" s="503">
        <f t="shared" si="1"/>
        <v>1</v>
      </c>
      <c r="U16" s="740" t="s">
        <v>979</v>
      </c>
      <c r="V16">
        <v>0</v>
      </c>
      <c r="W16">
        <f>V16+1</f>
        <v>1</v>
      </c>
      <c r="X16">
        <f t="shared" ref="X16:AF16" si="8">W16+1</f>
        <v>2</v>
      </c>
      <c r="Y16">
        <f t="shared" si="8"/>
        <v>3</v>
      </c>
      <c r="Z16">
        <f t="shared" si="8"/>
        <v>4</v>
      </c>
      <c r="AA16">
        <f t="shared" si="8"/>
        <v>5</v>
      </c>
      <c r="AB16">
        <f t="shared" si="8"/>
        <v>6</v>
      </c>
      <c r="AC16">
        <f t="shared" si="8"/>
        <v>7</v>
      </c>
      <c r="AD16">
        <f t="shared" si="8"/>
        <v>8</v>
      </c>
      <c r="AE16">
        <f t="shared" si="8"/>
        <v>9</v>
      </c>
      <c r="AF16">
        <f t="shared" si="8"/>
        <v>10</v>
      </c>
    </row>
    <row r="17" spans="1:36" x14ac:dyDescent="0.25">
      <c r="A17" s="13" t="s">
        <v>557</v>
      </c>
      <c r="B17" s="869">
        <f>SUM(B4:B15)/($H$4*$H$5)</f>
        <v>0.16666666666666666</v>
      </c>
      <c r="C17" s="867">
        <f>SUM(C4:C15)/($H$4*$H$5)</f>
        <v>0.27777777777777779</v>
      </c>
      <c r="D17" s="867">
        <f>SUM(D4:D15)/($H$4*$H$5)</f>
        <v>0.3611111111111111</v>
      </c>
      <c r="E17" s="870">
        <f>SUM(E4:E15)/($H$4*$H$5)</f>
        <v>0.19444444444444445</v>
      </c>
      <c r="J17" t="str">
        <f>[1]!FTEXT(B17)</f>
        <v>=SUM(B4:B15)/($H$4*$H$5)</v>
      </c>
      <c r="L17" s="740">
        <f t="shared" si="4"/>
        <v>14</v>
      </c>
      <c r="M17" s="532"/>
      <c r="N17" s="7">
        <v>2</v>
      </c>
      <c r="O17" s="533"/>
      <c r="P17" s="503">
        <f t="shared" si="1"/>
        <v>1</v>
      </c>
      <c r="U17" s="740">
        <v>1</v>
      </c>
      <c r="V17" s="751">
        <v>1</v>
      </c>
      <c r="W17" s="752">
        <v>2</v>
      </c>
      <c r="X17" s="752">
        <v>1</v>
      </c>
      <c r="Y17" s="752"/>
      <c r="Z17" s="752"/>
      <c r="AA17" s="752"/>
      <c r="AB17" s="752"/>
      <c r="AC17" s="752"/>
      <c r="AD17" s="752"/>
      <c r="AE17" s="752"/>
      <c r="AF17" s="755"/>
      <c r="AI17" t="s">
        <v>573</v>
      </c>
      <c r="AJ17" s="756">
        <f>SUM(V17:AF17)</f>
        <v>4</v>
      </c>
    </row>
    <row r="18" spans="1:36" x14ac:dyDescent="0.25">
      <c r="A18" s="13" t="s">
        <v>42</v>
      </c>
      <c r="B18" s="532">
        <f>B17*(1-B17)</f>
        <v>0.1388888888888889</v>
      </c>
      <c r="C18" s="7">
        <f>C17*(1-C17)</f>
        <v>0.20061728395061729</v>
      </c>
      <c r="D18" s="7">
        <f>D17*(1-D17)</f>
        <v>0.23070987654320985</v>
      </c>
      <c r="E18" s="533">
        <f>E17*(1-E17)</f>
        <v>0.1566358024691358</v>
      </c>
      <c r="J18" t="str">
        <f>[1]!FTEXT(B18)</f>
        <v>=B17*(1-B17)</v>
      </c>
      <c r="L18" s="740">
        <f t="shared" si="4"/>
        <v>15</v>
      </c>
      <c r="M18" s="532"/>
      <c r="N18" s="7">
        <v>2</v>
      </c>
      <c r="O18" s="533"/>
      <c r="P18" s="503">
        <f t="shared" si="1"/>
        <v>1</v>
      </c>
      <c r="U18" s="740">
        <f>U17+1</f>
        <v>2</v>
      </c>
      <c r="V18" s="532"/>
      <c r="W18" s="7">
        <v>1</v>
      </c>
      <c r="X18" s="7">
        <v>1</v>
      </c>
      <c r="Y18" s="7">
        <v>2</v>
      </c>
      <c r="Z18" s="7"/>
      <c r="AA18" s="7"/>
      <c r="AB18" s="7"/>
      <c r="AC18" s="7"/>
      <c r="AD18" s="7"/>
      <c r="AE18" s="7"/>
      <c r="AF18" s="533"/>
      <c r="AI18" t="s">
        <v>31</v>
      </c>
      <c r="AJ18" s="503">
        <f>COUNTA(U17:U24)</f>
        <v>8</v>
      </c>
    </row>
    <row r="19" spans="1:36" ht="18" x14ac:dyDescent="0.35">
      <c r="A19" s="40" t="s">
        <v>1635</v>
      </c>
      <c r="B19" s="532">
        <f>1-SUMPRODUCT(B4:B15,$H$4-B4:B15)/($H$4*$H$5*($H$4-1)*B17*(1-B17))</f>
        <v>0.31999999999999995</v>
      </c>
      <c r="C19" s="7">
        <f>1-SUMPRODUCT(C4:C15,$H$4-C4:C15)/($H$4*$H$5*($H$4-1)*C17*(1-C17))</f>
        <v>0.27999999999999992</v>
      </c>
      <c r="D19" s="7">
        <f>1-SUMPRODUCT(D4:D15,$H$4-D4:D15)/($H$4*$H$5*($H$4-1)*D17*(1-D17))</f>
        <v>0.20535117056856178</v>
      </c>
      <c r="E19" s="533">
        <f>1-SUMPRODUCT(E4:E15,$H$4-E4:E15)/($H$4*$H$5*($H$4-1)*E17*(1-E17))</f>
        <v>0.43251231527093603</v>
      </c>
      <c r="J19" t="str">
        <f>[1]!FTEXT(B19)</f>
        <v>=1-SUMPRODUCT(B4:B15,$H$4-B4:B15)/($H$4*$H$5*($H$4-1)*B17*(1-B17))</v>
      </c>
      <c r="L19" s="740">
        <f t="shared" si="4"/>
        <v>16</v>
      </c>
      <c r="M19" s="532"/>
      <c r="N19" s="7">
        <v>2</v>
      </c>
      <c r="O19" s="533"/>
      <c r="P19" s="503">
        <f t="shared" si="1"/>
        <v>1</v>
      </c>
      <c r="U19" s="740">
        <f t="shared" ref="U19:U24" si="9">U18+1</f>
        <v>3</v>
      </c>
      <c r="V19" s="532"/>
      <c r="W19" s="7">
        <v>1</v>
      </c>
      <c r="X19" s="7"/>
      <c r="Y19" s="7">
        <v>1</v>
      </c>
      <c r="Z19" s="7">
        <v>1</v>
      </c>
      <c r="AA19" s="7"/>
      <c r="AB19" s="7"/>
      <c r="AC19" s="7"/>
      <c r="AD19" s="7">
        <v>1</v>
      </c>
      <c r="AE19" s="7"/>
      <c r="AF19" s="533"/>
      <c r="AI19" t="s">
        <v>1631</v>
      </c>
      <c r="AJ19" s="756">
        <f>SUMSQ(V17:AF24)/(AJ17*(AJ17-1)*AJ18)-1/(AJ17-1)</f>
        <v>0.18750000000000006</v>
      </c>
    </row>
    <row r="20" spans="1:36" ht="18" x14ac:dyDescent="0.35">
      <c r="A20" s="854" t="s">
        <v>1932</v>
      </c>
      <c r="B20" s="532">
        <f>SQRT(2/(H4*(H4-1)*H5))</f>
        <v>7.4535599249992993E-2</v>
      </c>
      <c r="C20" s="7">
        <f>B20</f>
        <v>7.4535599249992993E-2</v>
      </c>
      <c r="D20" s="7">
        <f>C20</f>
        <v>7.4535599249992993E-2</v>
      </c>
      <c r="E20" s="533">
        <f>D20</f>
        <v>7.4535599249992993E-2</v>
      </c>
      <c r="I20" s="7"/>
      <c r="J20" t="str">
        <f>[1]!FTEXT(B20)</f>
        <v>=SQRT(2/(H4*(H4-1)*H5))</v>
      </c>
      <c r="L20" s="740">
        <f t="shared" si="4"/>
        <v>17</v>
      </c>
      <c r="M20" s="532"/>
      <c r="N20" s="7">
        <v>2</v>
      </c>
      <c r="O20" s="533"/>
      <c r="P20" s="503">
        <f t="shared" si="1"/>
        <v>1</v>
      </c>
      <c r="U20" s="740">
        <f t="shared" si="9"/>
        <v>4</v>
      </c>
      <c r="V20" s="532"/>
      <c r="W20" s="7"/>
      <c r="X20" s="7"/>
      <c r="Y20" s="7">
        <v>2</v>
      </c>
      <c r="Z20" s="7">
        <v>1</v>
      </c>
      <c r="AA20" s="7"/>
      <c r="AB20" s="7">
        <v>1</v>
      </c>
      <c r="AC20" s="7"/>
      <c r="AD20" s="7"/>
      <c r="AE20" s="7"/>
      <c r="AF20" s="533"/>
      <c r="AI20" t="s">
        <v>1630</v>
      </c>
      <c r="AJ20" s="503">
        <f>SUMSQ(V25:AF25)/(AJ17*AJ18)^2</f>
        <v>0.111328125</v>
      </c>
    </row>
    <row r="21" spans="1:36" x14ac:dyDescent="0.25">
      <c r="A21" s="854" t="s">
        <v>35</v>
      </c>
      <c r="B21" s="532">
        <f>B19/B20</f>
        <v>4.2932505167995956</v>
      </c>
      <c r="C21" s="7">
        <f>C19/C20</f>
        <v>3.7565942021996452</v>
      </c>
      <c r="D21" s="7">
        <f>D19/D20</f>
        <v>2.7550750599027496</v>
      </c>
      <c r="E21" s="533">
        <f>E19/E20</f>
        <v>5.8027616283098</v>
      </c>
      <c r="I21" s="7"/>
      <c r="J21" t="str">
        <f>[1]!FTEXT(B21)</f>
        <v>=B19/B20</v>
      </c>
      <c r="L21" s="740">
        <f t="shared" si="4"/>
        <v>18</v>
      </c>
      <c r="M21" s="532"/>
      <c r="N21" s="7">
        <v>2</v>
      </c>
      <c r="O21" s="533"/>
      <c r="P21" s="503">
        <f t="shared" si="1"/>
        <v>1</v>
      </c>
      <c r="U21" s="740">
        <f t="shared" si="9"/>
        <v>5</v>
      </c>
      <c r="V21" s="532"/>
      <c r="W21" s="7"/>
      <c r="X21" s="7"/>
      <c r="Y21" s="7"/>
      <c r="Z21" s="7"/>
      <c r="AA21" s="7">
        <v>2</v>
      </c>
      <c r="AB21" s="7">
        <v>2</v>
      </c>
      <c r="AC21" s="7"/>
      <c r="AD21" s="7"/>
      <c r="AE21" s="7"/>
      <c r="AF21" s="533"/>
      <c r="AI21" t="s">
        <v>1629</v>
      </c>
      <c r="AJ21" s="580">
        <f>(AJ19-AJ20)/(1-AJ20)</f>
        <v>8.5714285714285771E-2</v>
      </c>
    </row>
    <row r="22" spans="1:36" x14ac:dyDescent="0.25">
      <c r="A22" s="854" t="s">
        <v>103</v>
      </c>
      <c r="B22" s="409">
        <f>2*(1-NORMSDIST(B21))</f>
        <v>1.7607614403392091E-5</v>
      </c>
      <c r="C22" s="762">
        <f>2*(1-NORMSDIST(C21))</f>
        <v>1.7224145338756713E-4</v>
      </c>
      <c r="D22" s="762">
        <f>2*(1-NORMSDIST(D21))</f>
        <v>5.8678672211311955E-3</v>
      </c>
      <c r="E22" s="417">
        <f>2*(1-NORMSDIST(E21))</f>
        <v>6.5231495760542657E-9</v>
      </c>
      <c r="J22" t="str">
        <f>[1]!FTEXT(B22)</f>
        <v>=2*(1-NORMSDIST(B21))</v>
      </c>
      <c r="L22" s="740">
        <f t="shared" si="4"/>
        <v>19</v>
      </c>
      <c r="M22" s="532"/>
      <c r="N22" s="7">
        <v>2</v>
      </c>
      <c r="O22" s="533"/>
      <c r="P22" s="503">
        <f t="shared" si="1"/>
        <v>1</v>
      </c>
      <c r="U22" s="740">
        <f t="shared" si="9"/>
        <v>6</v>
      </c>
      <c r="V22" s="532"/>
      <c r="W22" s="7"/>
      <c r="X22" s="7">
        <v>1</v>
      </c>
      <c r="Y22" s="7"/>
      <c r="Z22" s="7"/>
      <c r="AA22" s="7">
        <v>1</v>
      </c>
      <c r="AB22" s="7">
        <v>1</v>
      </c>
      <c r="AC22" s="31">
        <v>1</v>
      </c>
      <c r="AD22" s="7"/>
      <c r="AE22" s="7"/>
      <c r="AF22" s="533"/>
    </row>
    <row r="23" spans="1:36" x14ac:dyDescent="0.25">
      <c r="L23" s="740">
        <f t="shared" si="4"/>
        <v>20</v>
      </c>
      <c r="M23" s="532"/>
      <c r="N23" s="7">
        <v>2</v>
      </c>
      <c r="O23" s="533"/>
      <c r="P23" s="503">
        <f t="shared" si="1"/>
        <v>1</v>
      </c>
      <c r="U23" s="740">
        <f t="shared" si="9"/>
        <v>7</v>
      </c>
      <c r="V23" s="532"/>
      <c r="W23" s="7"/>
      <c r="X23" s="7"/>
      <c r="Y23" s="7"/>
      <c r="Z23" s="7"/>
      <c r="AA23" s="7"/>
      <c r="AB23" s="7"/>
      <c r="AC23" s="7">
        <v>2</v>
      </c>
      <c r="AD23" s="7">
        <v>1</v>
      </c>
      <c r="AE23" s="7">
        <v>1</v>
      </c>
      <c r="AF23" s="533"/>
    </row>
    <row r="24" spans="1:36" x14ac:dyDescent="0.25">
      <c r="B24" t="s">
        <v>2156</v>
      </c>
      <c r="L24" s="740">
        <f t="shared" si="4"/>
        <v>21</v>
      </c>
      <c r="M24" s="532"/>
      <c r="N24" s="7">
        <v>2</v>
      </c>
      <c r="O24" s="533"/>
      <c r="P24" s="503">
        <f t="shared" si="1"/>
        <v>1</v>
      </c>
      <c r="U24" s="740">
        <f t="shared" si="9"/>
        <v>8</v>
      </c>
      <c r="V24" s="409"/>
      <c r="W24" s="410"/>
      <c r="X24" s="410"/>
      <c r="Y24" s="410"/>
      <c r="Z24" s="410"/>
      <c r="AA24" s="410"/>
      <c r="AB24" s="410"/>
      <c r="AC24" s="410"/>
      <c r="AD24" s="410">
        <v>1</v>
      </c>
      <c r="AE24" s="410">
        <v>3</v>
      </c>
      <c r="AF24" s="417"/>
    </row>
    <row r="25" spans="1:36" x14ac:dyDescent="0.25">
      <c r="L25" s="740">
        <f t="shared" si="4"/>
        <v>22</v>
      </c>
      <c r="M25" s="532"/>
      <c r="N25" s="7">
        <v>2</v>
      </c>
      <c r="O25" s="533"/>
      <c r="P25" s="503">
        <f t="shared" si="1"/>
        <v>1</v>
      </c>
      <c r="U25" s="740" t="s">
        <v>1628</v>
      </c>
      <c r="V25" s="751">
        <f t="shared" ref="V25:AF25" si="10">SUM(V17:V24)</f>
        <v>1</v>
      </c>
      <c r="W25" s="752">
        <f t="shared" si="10"/>
        <v>4</v>
      </c>
      <c r="X25" s="752">
        <f t="shared" si="10"/>
        <v>3</v>
      </c>
      <c r="Y25" s="752">
        <f t="shared" si="10"/>
        <v>5</v>
      </c>
      <c r="Z25" s="752">
        <f t="shared" si="10"/>
        <v>2</v>
      </c>
      <c r="AA25" s="752">
        <f t="shared" si="10"/>
        <v>3</v>
      </c>
      <c r="AB25" s="752">
        <f t="shared" si="10"/>
        <v>4</v>
      </c>
      <c r="AC25" s="752">
        <f t="shared" si="10"/>
        <v>3</v>
      </c>
      <c r="AD25" s="752">
        <f t="shared" si="10"/>
        <v>3</v>
      </c>
      <c r="AE25" s="752">
        <f t="shared" si="10"/>
        <v>4</v>
      </c>
      <c r="AF25" s="755">
        <f t="shared" si="10"/>
        <v>0</v>
      </c>
    </row>
    <row r="26" spans="1:36" ht="18" x14ac:dyDescent="0.35">
      <c r="B26" t="s">
        <v>106</v>
      </c>
      <c r="C26" s="970">
        <v>0.05</v>
      </c>
      <c r="L26" s="740">
        <f t="shared" si="4"/>
        <v>23</v>
      </c>
      <c r="M26" s="532"/>
      <c r="N26" s="7">
        <v>2</v>
      </c>
      <c r="O26" s="533"/>
      <c r="P26" s="503">
        <f t="shared" si="1"/>
        <v>1</v>
      </c>
      <c r="U26" s="740" t="s">
        <v>1630</v>
      </c>
      <c r="V26" s="409">
        <f t="shared" ref="V26:AF26" si="11">V25/$AJ$7</f>
        <v>3.125E-2</v>
      </c>
      <c r="W26" s="410">
        <f t="shared" si="11"/>
        <v>0.125</v>
      </c>
      <c r="X26" s="410">
        <f t="shared" si="11"/>
        <v>9.375E-2</v>
      </c>
      <c r="Y26" s="410">
        <f t="shared" si="11"/>
        <v>0.15625</v>
      </c>
      <c r="Z26" s="410">
        <f t="shared" si="11"/>
        <v>6.25E-2</v>
      </c>
      <c r="AA26" s="410">
        <f t="shared" si="11"/>
        <v>9.375E-2</v>
      </c>
      <c r="AB26" s="410">
        <f t="shared" si="11"/>
        <v>0.125</v>
      </c>
      <c r="AC26" s="410">
        <f t="shared" si="11"/>
        <v>9.375E-2</v>
      </c>
      <c r="AD26" s="410">
        <f t="shared" si="11"/>
        <v>9.375E-2</v>
      </c>
      <c r="AE26" s="410">
        <f t="shared" si="11"/>
        <v>0.125</v>
      </c>
      <c r="AF26" s="417">
        <f t="shared" si="11"/>
        <v>0</v>
      </c>
    </row>
    <row r="27" spans="1:36" x14ac:dyDescent="0.25">
      <c r="B27" t="s">
        <v>738</v>
      </c>
      <c r="C27" s="757">
        <v>2</v>
      </c>
      <c r="L27" s="740">
        <f t="shared" si="4"/>
        <v>24</v>
      </c>
      <c r="M27" s="532"/>
      <c r="N27" s="7">
        <v>2</v>
      </c>
      <c r="O27" s="533"/>
      <c r="P27" s="503">
        <f t="shared" si="1"/>
        <v>1</v>
      </c>
    </row>
    <row r="28" spans="1:36" x14ac:dyDescent="0.25">
      <c r="L28" s="740">
        <f t="shared" si="4"/>
        <v>25</v>
      </c>
      <c r="M28" s="532"/>
      <c r="N28" s="7">
        <v>2</v>
      </c>
      <c r="O28" s="533"/>
      <c r="P28" s="503">
        <f t="shared" si="1"/>
        <v>1</v>
      </c>
    </row>
    <row r="29" spans="1:36" x14ac:dyDescent="0.25">
      <c r="C29" s="976" t="s">
        <v>1</v>
      </c>
      <c r="D29" s="976" t="str">
        <f>B3</f>
        <v>Psychotic</v>
      </c>
      <c r="E29" s="976" t="str">
        <f>C3</f>
        <v>Borderline</v>
      </c>
      <c r="F29" s="976" t="str">
        <f>D3</f>
        <v>Bipolar</v>
      </c>
      <c r="G29" s="976" t="str">
        <f>E3</f>
        <v>None</v>
      </c>
      <c r="L29" s="740">
        <f t="shared" si="4"/>
        <v>26</v>
      </c>
      <c r="M29" s="532"/>
      <c r="N29" s="7">
        <v>2</v>
      </c>
      <c r="O29" s="533"/>
      <c r="P29" s="503">
        <f t="shared" si="1"/>
        <v>1</v>
      </c>
    </row>
    <row r="30" spans="1:36" x14ac:dyDescent="0.25">
      <c r="B30" t="str">
        <f t="array" ref="B30:C35">[1]!KAPPA(B4:E15,0,TRUE,C26,C27)</f>
        <v>kappa</v>
      </c>
      <c r="C30" s="970">
        <v>0.29681528662420381</v>
      </c>
      <c r="D30" s="865">
        <f t="array" ref="D30:D35">[1]!KAPPA(B4:E15, 1,,C26,C27)</f>
        <v>0.31999999999999995</v>
      </c>
      <c r="E30" s="798">
        <f t="array" ref="E30:E35">[1]!KAPPA(B4:E15, 2,,C26,C27)</f>
        <v>0.28000000000000003</v>
      </c>
      <c r="F30" s="798">
        <f t="array" ref="F30:F35">[1]!KAPPA(B4:E15, 3,,C26,C27)</f>
        <v>0.20535117056856186</v>
      </c>
      <c r="G30" s="866">
        <f t="array" ref="G30:G35">[1]!KAPPA(B4:E15, 4,,C26,C27)</f>
        <v>0.43251231527093598</v>
      </c>
      <c r="L30" s="740">
        <f t="shared" si="4"/>
        <v>27</v>
      </c>
      <c r="M30" s="532"/>
      <c r="N30" s="7"/>
      <c r="O30" s="533">
        <v>2</v>
      </c>
      <c r="P30" s="503">
        <f t="shared" si="1"/>
        <v>1</v>
      </c>
    </row>
    <row r="31" spans="1:36" x14ac:dyDescent="0.25">
      <c r="B31" t="str">
        <v>s.e.</v>
      </c>
      <c r="C31" s="680">
        <v>4.4314714129909234E-2</v>
      </c>
      <c r="D31" s="501">
        <v>7.4535599249992993E-2</v>
      </c>
      <c r="E31" s="7">
        <v>7.4535599249992993E-2</v>
      </c>
      <c r="F31" s="7">
        <v>7.4535599249992993E-2</v>
      </c>
      <c r="G31" s="57">
        <v>7.4535599249992993E-2</v>
      </c>
      <c r="L31" s="740">
        <f t="shared" si="4"/>
        <v>28</v>
      </c>
      <c r="M31" s="532"/>
      <c r="N31" s="7"/>
      <c r="O31" s="533">
        <v>2</v>
      </c>
      <c r="P31" s="503">
        <f t="shared" si="1"/>
        <v>1</v>
      </c>
    </row>
    <row r="32" spans="1:36" x14ac:dyDescent="0.25">
      <c r="B32" t="str">
        <v>z-stat</v>
      </c>
      <c r="C32" s="680">
        <v>6.6978946485829844</v>
      </c>
      <c r="D32" s="501">
        <v>4.2932505167995956</v>
      </c>
      <c r="E32" s="7">
        <v>3.756594202199647</v>
      </c>
      <c r="F32" s="7">
        <v>2.7550750599027505</v>
      </c>
      <c r="G32" s="57">
        <v>5.8027616283097991</v>
      </c>
      <c r="L32" s="740">
        <f t="shared" si="4"/>
        <v>29</v>
      </c>
      <c r="M32" s="532"/>
      <c r="N32" s="7"/>
      <c r="O32" s="533">
        <v>2</v>
      </c>
      <c r="P32" s="503">
        <f t="shared" si="1"/>
        <v>1</v>
      </c>
    </row>
    <row r="33" spans="2:16" x14ac:dyDescent="0.25">
      <c r="B33" t="str">
        <v>p-value</v>
      </c>
      <c r="C33" s="680">
        <v>2.1144419548591031E-11</v>
      </c>
      <c r="D33" s="501">
        <v>1.7607614403392091E-5</v>
      </c>
      <c r="E33" s="7">
        <v>1.7224145338756713E-4</v>
      </c>
      <c r="F33" s="7">
        <v>5.8678672211311955E-3</v>
      </c>
      <c r="G33" s="57">
        <v>6.5231495760542657E-9</v>
      </c>
      <c r="L33" s="740">
        <f t="shared" si="4"/>
        <v>30</v>
      </c>
      <c r="M33" s="532"/>
      <c r="N33" s="7"/>
      <c r="O33" s="533">
        <v>2</v>
      </c>
      <c r="P33" s="503">
        <f t="shared" si="1"/>
        <v>1</v>
      </c>
    </row>
    <row r="34" spans="2:16" x14ac:dyDescent="0.25">
      <c r="B34" t="str">
        <v>lower</v>
      </c>
      <c r="C34" s="680">
        <v>0.20996004294439349</v>
      </c>
      <c r="D34" s="501">
        <v>0.17391290990390307</v>
      </c>
      <c r="E34" s="7">
        <v>0.13391290990390314</v>
      </c>
      <c r="F34" s="7">
        <v>5.9264080472464967E-2</v>
      </c>
      <c r="G34" s="57">
        <v>0.28642522517483909</v>
      </c>
      <c r="L34" s="740">
        <f t="shared" si="4"/>
        <v>31</v>
      </c>
      <c r="M34" s="532"/>
      <c r="N34" s="7"/>
      <c r="O34" s="533">
        <v>2</v>
      </c>
      <c r="P34" s="503">
        <f t="shared" si="1"/>
        <v>1</v>
      </c>
    </row>
    <row r="35" spans="2:16" x14ac:dyDescent="0.25">
      <c r="B35" t="str">
        <v>upper</v>
      </c>
      <c r="C35" s="757">
        <v>0.3836705303040141</v>
      </c>
      <c r="D35" s="759">
        <v>0.46608709009609683</v>
      </c>
      <c r="E35" s="760">
        <v>0.42608709009609691</v>
      </c>
      <c r="F35" s="760">
        <v>0.35143826066465877</v>
      </c>
      <c r="G35" s="761">
        <v>0.57859940536703292</v>
      </c>
      <c r="L35" s="740">
        <f t="shared" si="4"/>
        <v>32</v>
      </c>
      <c r="M35" s="532"/>
      <c r="N35" s="7"/>
      <c r="O35" s="533">
        <v>2</v>
      </c>
      <c r="P35" s="503">
        <f t="shared" si="1"/>
        <v>1</v>
      </c>
    </row>
    <row r="36" spans="2:16" x14ac:dyDescent="0.25">
      <c r="L36" s="740">
        <f t="shared" si="4"/>
        <v>33</v>
      </c>
      <c r="M36" s="532"/>
      <c r="N36" s="7"/>
      <c r="O36" s="533">
        <v>2</v>
      </c>
      <c r="P36" s="503">
        <f t="shared" si="1"/>
        <v>1</v>
      </c>
    </row>
    <row r="37" spans="2:16" x14ac:dyDescent="0.25">
      <c r="B37" t="s">
        <v>2161</v>
      </c>
      <c r="F37" t="s">
        <v>2137</v>
      </c>
      <c r="L37" s="740">
        <f t="shared" si="4"/>
        <v>34</v>
      </c>
      <c r="M37" s="532"/>
      <c r="N37" s="7"/>
      <c r="O37" s="533">
        <v>2</v>
      </c>
      <c r="P37" s="503">
        <f t="shared" si="1"/>
        <v>1</v>
      </c>
    </row>
    <row r="38" spans="2:16" x14ac:dyDescent="0.25">
      <c r="L38" s="740">
        <f t="shared" si="4"/>
        <v>35</v>
      </c>
      <c r="M38" s="532">
        <v>1</v>
      </c>
      <c r="N38" s="7">
        <v>1</v>
      </c>
      <c r="O38" s="533"/>
      <c r="P38" s="503">
        <f t="shared" si="1"/>
        <v>0</v>
      </c>
    </row>
    <row r="39" spans="2:16" x14ac:dyDescent="0.25">
      <c r="B39" t="str">
        <f t="array" ref="B39:C44">[1]!KAPPA(B4:E15,0,TRUE)</f>
        <v>kappa</v>
      </c>
      <c r="C39" s="868">
        <v>0.29681528662420381</v>
      </c>
      <c r="F39" t="s">
        <v>1629</v>
      </c>
      <c r="G39" s="756">
        <f>[1]!KAPPA(B4:E15)</f>
        <v>0.29681528662420381</v>
      </c>
      <c r="L39" s="740">
        <f t="shared" si="4"/>
        <v>36</v>
      </c>
      <c r="M39" s="532">
        <v>1</v>
      </c>
      <c r="N39" s="7">
        <v>1</v>
      </c>
      <c r="O39" s="533"/>
      <c r="P39" s="503">
        <f t="shared" si="1"/>
        <v>0</v>
      </c>
    </row>
    <row r="40" spans="2:16" x14ac:dyDescent="0.25">
      <c r="B40" t="str">
        <v>s.e.</v>
      </c>
      <c r="C40" s="503">
        <v>4.4314714129909234E-2</v>
      </c>
      <c r="F40" t="s">
        <v>1636</v>
      </c>
      <c r="G40" s="420">
        <f>[1]!KAPPA(B4:E15,1)</f>
        <v>0.31999999999999995</v>
      </c>
      <c r="L40" s="740">
        <f t="shared" si="4"/>
        <v>37</v>
      </c>
      <c r="M40" s="532">
        <v>1</v>
      </c>
      <c r="N40" s="7">
        <v>1</v>
      </c>
      <c r="O40" s="533"/>
      <c r="P40" s="503">
        <f t="shared" si="1"/>
        <v>0</v>
      </c>
    </row>
    <row r="41" spans="2:16" x14ac:dyDescent="0.25">
      <c r="B41" t="str">
        <v>z-stat</v>
      </c>
      <c r="C41" s="503">
        <v>6.6978946485829844</v>
      </c>
      <c r="L41" s="740">
        <f t="shared" si="4"/>
        <v>38</v>
      </c>
      <c r="M41" s="532">
        <v>1</v>
      </c>
      <c r="N41" s="7">
        <v>1</v>
      </c>
      <c r="O41" s="533"/>
      <c r="P41" s="503">
        <f t="shared" si="1"/>
        <v>0</v>
      </c>
    </row>
    <row r="42" spans="2:16" x14ac:dyDescent="0.25">
      <c r="B42" t="str">
        <v>p-value</v>
      </c>
      <c r="C42" s="503">
        <v>2.1144419548591031E-11</v>
      </c>
      <c r="L42" s="740">
        <f t="shared" si="4"/>
        <v>39</v>
      </c>
      <c r="M42" s="532">
        <v>1</v>
      </c>
      <c r="N42" s="7">
        <v>1</v>
      </c>
      <c r="O42" s="533"/>
      <c r="P42" s="503">
        <f t="shared" si="1"/>
        <v>0</v>
      </c>
    </row>
    <row r="43" spans="2:16" x14ac:dyDescent="0.25">
      <c r="B43" t="str">
        <v>lower</v>
      </c>
      <c r="C43" s="503">
        <v>0.20996004294439349</v>
      </c>
      <c r="L43" s="740">
        <f t="shared" si="4"/>
        <v>40</v>
      </c>
      <c r="M43" s="532">
        <v>1</v>
      </c>
      <c r="N43" s="7">
        <v>1</v>
      </c>
      <c r="O43" s="533"/>
      <c r="P43" s="503">
        <f t="shared" si="1"/>
        <v>0</v>
      </c>
    </row>
    <row r="44" spans="2:16" x14ac:dyDescent="0.25">
      <c r="B44" t="str">
        <v>upper</v>
      </c>
      <c r="C44" s="420">
        <v>0.3836705303040141</v>
      </c>
      <c r="L44" s="740">
        <f t="shared" si="4"/>
        <v>41</v>
      </c>
      <c r="M44" s="532">
        <v>1</v>
      </c>
      <c r="N44" s="7">
        <v>1</v>
      </c>
      <c r="O44" s="533"/>
      <c r="P44" s="503">
        <f t="shared" si="1"/>
        <v>0</v>
      </c>
    </row>
    <row r="45" spans="2:16" x14ac:dyDescent="0.25">
      <c r="L45" s="740">
        <f t="shared" si="4"/>
        <v>42</v>
      </c>
      <c r="M45" s="532">
        <v>1</v>
      </c>
      <c r="N45" s="7">
        <v>1</v>
      </c>
      <c r="O45" s="533"/>
      <c r="P45" s="503">
        <f t="shared" si="1"/>
        <v>0</v>
      </c>
    </row>
    <row r="46" spans="2:16" x14ac:dyDescent="0.25">
      <c r="L46" s="740">
        <f t="shared" si="4"/>
        <v>43</v>
      </c>
      <c r="M46" s="532">
        <v>1</v>
      </c>
      <c r="N46" s="7">
        <v>1</v>
      </c>
      <c r="O46" s="533"/>
      <c r="P46" s="503">
        <f t="shared" si="1"/>
        <v>0</v>
      </c>
    </row>
    <row r="47" spans="2:16" x14ac:dyDescent="0.25">
      <c r="L47" s="740">
        <f t="shared" si="4"/>
        <v>44</v>
      </c>
      <c r="M47" s="532">
        <v>1</v>
      </c>
      <c r="N47" s="7">
        <v>1</v>
      </c>
      <c r="O47" s="533"/>
      <c r="P47" s="503">
        <f t="shared" si="1"/>
        <v>0</v>
      </c>
    </row>
    <row r="48" spans="2:16" x14ac:dyDescent="0.25">
      <c r="L48" s="740">
        <f t="shared" si="4"/>
        <v>45</v>
      </c>
      <c r="M48" s="532">
        <v>1</v>
      </c>
      <c r="N48" s="7"/>
      <c r="O48" s="533">
        <v>1</v>
      </c>
      <c r="P48" s="503">
        <f t="shared" si="1"/>
        <v>0</v>
      </c>
    </row>
    <row r="49" spans="12:16" x14ac:dyDescent="0.25">
      <c r="L49" s="740">
        <f t="shared" si="4"/>
        <v>46</v>
      </c>
      <c r="M49" s="532"/>
      <c r="N49" s="7">
        <v>1</v>
      </c>
      <c r="O49" s="533">
        <v>1</v>
      </c>
      <c r="P49" s="503">
        <f t="shared" si="1"/>
        <v>0</v>
      </c>
    </row>
    <row r="50" spans="12:16" x14ac:dyDescent="0.25">
      <c r="L50" s="740">
        <f t="shared" si="4"/>
        <v>47</v>
      </c>
      <c r="M50" s="532"/>
      <c r="N50" s="7">
        <v>1</v>
      </c>
      <c r="O50" s="533">
        <v>1</v>
      </c>
      <c r="P50" s="503">
        <f t="shared" si="1"/>
        <v>0</v>
      </c>
    </row>
    <row r="51" spans="12:16" x14ac:dyDescent="0.25">
      <c r="L51" s="740">
        <f t="shared" si="4"/>
        <v>48</v>
      </c>
      <c r="M51" s="532"/>
      <c r="N51" s="7">
        <v>1</v>
      </c>
      <c r="O51" s="533">
        <v>1</v>
      </c>
      <c r="P51" s="503">
        <f t="shared" si="1"/>
        <v>0</v>
      </c>
    </row>
    <row r="52" spans="12:16" x14ac:dyDescent="0.25">
      <c r="L52" s="740">
        <f t="shared" si="4"/>
        <v>49</v>
      </c>
      <c r="M52" s="532"/>
      <c r="N52" s="7">
        <v>1</v>
      </c>
      <c r="O52" s="533">
        <v>1</v>
      </c>
      <c r="P52" s="503">
        <f t="shared" si="1"/>
        <v>0</v>
      </c>
    </row>
    <row r="53" spans="12:16" x14ac:dyDescent="0.25">
      <c r="L53" s="740">
        <f t="shared" si="4"/>
        <v>50</v>
      </c>
      <c r="M53" s="409"/>
      <c r="N53" s="410">
        <v>1</v>
      </c>
      <c r="O53" s="417">
        <v>1</v>
      </c>
      <c r="P53" s="420">
        <f t="shared" si="1"/>
        <v>0</v>
      </c>
    </row>
    <row r="54" spans="12:16" x14ac:dyDescent="0.25">
      <c r="L54" s="740" t="s">
        <v>1628</v>
      </c>
      <c r="M54" s="751">
        <f>SUM(M4:M53)</f>
        <v>31</v>
      </c>
      <c r="N54" s="752">
        <f>SUM(N4:N53)</f>
        <v>47</v>
      </c>
      <c r="O54" s="755">
        <f>SUM(O4:O53)</f>
        <v>22</v>
      </c>
    </row>
    <row r="55" spans="12:16" ht="18" x14ac:dyDescent="0.35">
      <c r="L55" s="740" t="s">
        <v>1630</v>
      </c>
      <c r="M55" s="409">
        <f>M54/$S$7</f>
        <v>0.31</v>
      </c>
      <c r="N55" s="410">
        <f>N54/$S$7</f>
        <v>0.47</v>
      </c>
      <c r="O55" s="417">
        <f>O54/$S$7</f>
        <v>0.22</v>
      </c>
    </row>
  </sheetData>
  <pageMargins left="0.7" right="0.7" top="0.75" bottom="0.75" header="0.3" footer="0.3"/>
  <pageSetup paperSize="9" orientation="portrait" horizontalDpi="300" verticalDpi="300" r:id="rId1"/>
  <ignoredErrors>
    <ignoredError sqref="H4" formulaRange="1"/>
  </ignoredError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/>
  <dimension ref="A1:V49"/>
  <sheetViews>
    <sheetView topLeftCell="B1" zoomScaleNormal="100" workbookViewId="0">
      <selection activeCell="T7" sqref="T7"/>
    </sheetView>
  </sheetViews>
  <sheetFormatPr defaultRowHeight="15" x14ac:dyDescent="0.25"/>
  <cols>
    <col min="1" max="1" width="7.85546875" customWidth="1"/>
    <col min="2" max="5" width="5.85546875" customWidth="1"/>
    <col min="7" max="7" width="17.5703125" customWidth="1"/>
    <col min="10" max="11" width="9.140625" customWidth="1"/>
    <col min="15" max="22" width="8.42578125" customWidth="1"/>
  </cols>
  <sheetData>
    <row r="1" spans="1:22" x14ac:dyDescent="0.25">
      <c r="A1" s="1" t="s">
        <v>1868</v>
      </c>
      <c r="G1" t="s">
        <v>464</v>
      </c>
    </row>
    <row r="2" spans="1:22" x14ac:dyDescent="0.25">
      <c r="O2" t="s">
        <v>1870</v>
      </c>
    </row>
    <row r="3" spans="1:22" ht="15.75" thickBot="1" x14ac:dyDescent="0.3">
      <c r="B3" s="1309" t="s">
        <v>978</v>
      </c>
      <c r="C3" s="1309"/>
      <c r="D3" s="1309"/>
      <c r="E3" s="1309"/>
      <c r="G3" t="s">
        <v>62</v>
      </c>
    </row>
    <row r="4" spans="1:22" x14ac:dyDescent="0.25">
      <c r="A4" s="847" t="s">
        <v>979</v>
      </c>
      <c r="B4" s="101" t="s">
        <v>213</v>
      </c>
      <c r="C4" s="847" t="s">
        <v>131</v>
      </c>
      <c r="D4" s="847" t="s">
        <v>132</v>
      </c>
      <c r="E4" s="847" t="s">
        <v>133</v>
      </c>
      <c r="G4" s="850" t="s">
        <v>79</v>
      </c>
      <c r="H4" s="850" t="s">
        <v>22</v>
      </c>
      <c r="I4" s="850" t="s">
        <v>21</v>
      </c>
      <c r="J4" s="850" t="s">
        <v>465</v>
      </c>
      <c r="K4" s="850" t="s">
        <v>80</v>
      </c>
      <c r="O4" s="847">
        <v>1</v>
      </c>
      <c r="P4" s="847">
        <f t="shared" ref="P4:V4" si="0">O4+1</f>
        <v>2</v>
      </c>
      <c r="Q4" s="847">
        <f t="shared" si="0"/>
        <v>3</v>
      </c>
      <c r="R4" s="847">
        <f t="shared" si="0"/>
        <v>4</v>
      </c>
      <c r="S4" s="847">
        <f t="shared" si="0"/>
        <v>5</v>
      </c>
      <c r="T4" s="847">
        <f t="shared" si="0"/>
        <v>6</v>
      </c>
      <c r="U4" s="847">
        <f t="shared" si="0"/>
        <v>7</v>
      </c>
      <c r="V4" s="847">
        <f t="shared" si="0"/>
        <v>8</v>
      </c>
    </row>
    <row r="5" spans="1:22" x14ac:dyDescent="0.25">
      <c r="A5" s="847">
        <v>1</v>
      </c>
      <c r="B5" s="486">
        <v>1</v>
      </c>
      <c r="C5" s="492">
        <v>2</v>
      </c>
      <c r="D5" s="492">
        <v>0</v>
      </c>
      <c r="E5" s="493">
        <v>1</v>
      </c>
      <c r="G5" s="19">
        <v>1</v>
      </c>
      <c r="H5" s="19">
        <v>4</v>
      </c>
      <c r="I5" s="19">
        <v>4</v>
      </c>
      <c r="J5" s="19">
        <v>1</v>
      </c>
      <c r="K5" s="19">
        <v>0.66666666666666663</v>
      </c>
      <c r="O5" s="785">
        <v>1</v>
      </c>
      <c r="P5" s="852">
        <v>1</v>
      </c>
      <c r="Q5" s="852">
        <v>3</v>
      </c>
      <c r="R5" s="852">
        <v>6</v>
      </c>
      <c r="S5" s="852">
        <v>6</v>
      </c>
      <c r="T5" s="852">
        <v>7</v>
      </c>
      <c r="U5" s="852">
        <v>8</v>
      </c>
      <c r="V5" s="786">
        <v>9</v>
      </c>
    </row>
    <row r="6" spans="1:22" x14ac:dyDescent="0.25">
      <c r="A6" s="847">
        <f>A5+1</f>
        <v>2</v>
      </c>
      <c r="B6" s="256">
        <v>1</v>
      </c>
      <c r="C6" s="849">
        <v>3</v>
      </c>
      <c r="D6" s="849">
        <v>3</v>
      </c>
      <c r="E6" s="494">
        <v>2</v>
      </c>
      <c r="G6" s="19">
        <v>2</v>
      </c>
      <c r="H6" s="19">
        <v>4</v>
      </c>
      <c r="I6" s="19">
        <v>9</v>
      </c>
      <c r="J6" s="19">
        <v>2.25</v>
      </c>
      <c r="K6" s="19">
        <v>0.91666666666666663</v>
      </c>
      <c r="O6" s="540">
        <v>2</v>
      </c>
      <c r="P6" s="849">
        <v>3</v>
      </c>
      <c r="Q6" s="849">
        <v>8</v>
      </c>
      <c r="R6" s="849">
        <v>4</v>
      </c>
      <c r="S6" s="849">
        <v>5</v>
      </c>
      <c r="T6" s="849">
        <v>5</v>
      </c>
      <c r="U6" s="849">
        <v>7</v>
      </c>
      <c r="V6" s="494">
        <v>9</v>
      </c>
    </row>
    <row r="7" spans="1:22" x14ac:dyDescent="0.25">
      <c r="A7" s="847">
        <f t="shared" ref="A7:A12" si="1">A6+1</f>
        <v>3</v>
      </c>
      <c r="B7" s="35">
        <v>3</v>
      </c>
      <c r="C7" s="849">
        <v>8</v>
      </c>
      <c r="D7" s="849">
        <v>1</v>
      </c>
      <c r="E7" s="494">
        <v>4</v>
      </c>
      <c r="G7" s="19">
        <v>3</v>
      </c>
      <c r="H7" s="19">
        <v>4</v>
      </c>
      <c r="I7" s="19">
        <v>16</v>
      </c>
      <c r="J7" s="19">
        <v>4</v>
      </c>
      <c r="K7" s="19">
        <v>8.6666666666666661</v>
      </c>
      <c r="O7" s="540">
        <v>0</v>
      </c>
      <c r="P7" s="849">
        <v>3</v>
      </c>
      <c r="Q7" s="849">
        <v>1</v>
      </c>
      <c r="R7" s="849">
        <v>3</v>
      </c>
      <c r="S7" s="849">
        <v>5</v>
      </c>
      <c r="T7" s="849">
        <v>6</v>
      </c>
      <c r="U7" s="849">
        <v>7</v>
      </c>
      <c r="V7" s="494">
        <v>9</v>
      </c>
    </row>
    <row r="8" spans="1:22" x14ac:dyDescent="0.25">
      <c r="A8" s="847">
        <f t="shared" si="1"/>
        <v>4</v>
      </c>
      <c r="B8" s="35">
        <v>6</v>
      </c>
      <c r="C8" s="849">
        <v>4</v>
      </c>
      <c r="D8" s="849">
        <v>3</v>
      </c>
      <c r="E8" s="494">
        <v>3</v>
      </c>
      <c r="G8" s="19">
        <v>4</v>
      </c>
      <c r="H8" s="19">
        <v>4</v>
      </c>
      <c r="I8" s="19">
        <v>16</v>
      </c>
      <c r="J8" s="19">
        <v>4</v>
      </c>
      <c r="K8" s="19">
        <v>2</v>
      </c>
      <c r="O8" s="436">
        <v>1</v>
      </c>
      <c r="P8" s="787">
        <v>2</v>
      </c>
      <c r="Q8" s="787">
        <v>4</v>
      </c>
      <c r="R8" s="787">
        <v>3</v>
      </c>
      <c r="S8" s="787">
        <v>6</v>
      </c>
      <c r="T8" s="787">
        <v>2</v>
      </c>
      <c r="U8" s="787">
        <v>9</v>
      </c>
      <c r="V8" s="412">
        <v>8</v>
      </c>
    </row>
    <row r="9" spans="1:22" x14ac:dyDescent="0.25">
      <c r="A9" s="847">
        <f t="shared" si="1"/>
        <v>5</v>
      </c>
      <c r="B9" s="35">
        <v>6</v>
      </c>
      <c r="C9" s="849">
        <v>5</v>
      </c>
      <c r="D9" s="849">
        <v>5</v>
      </c>
      <c r="E9" s="494">
        <v>6</v>
      </c>
      <c r="G9" s="19">
        <v>5</v>
      </c>
      <c r="H9" s="19">
        <v>4</v>
      </c>
      <c r="I9" s="19">
        <v>22</v>
      </c>
      <c r="J9" s="19">
        <v>5.5</v>
      </c>
      <c r="K9" s="19">
        <v>0.33333333333333331</v>
      </c>
    </row>
    <row r="10" spans="1:22" x14ac:dyDescent="0.25">
      <c r="A10" s="847">
        <f t="shared" si="1"/>
        <v>6</v>
      </c>
      <c r="B10" s="35">
        <v>7</v>
      </c>
      <c r="C10" s="849">
        <v>5</v>
      </c>
      <c r="D10" s="849">
        <v>6</v>
      </c>
      <c r="E10" s="494">
        <v>2</v>
      </c>
      <c r="G10" s="19">
        <v>6</v>
      </c>
      <c r="H10" s="19">
        <v>4</v>
      </c>
      <c r="I10" s="19">
        <v>20</v>
      </c>
      <c r="J10" s="19">
        <v>5</v>
      </c>
      <c r="K10" s="19">
        <v>4.666666666666667</v>
      </c>
      <c r="O10" t="s">
        <v>2332</v>
      </c>
    </row>
    <row r="11" spans="1:22" x14ac:dyDescent="0.25">
      <c r="A11" s="847">
        <f t="shared" si="1"/>
        <v>7</v>
      </c>
      <c r="B11" s="35">
        <v>8</v>
      </c>
      <c r="C11" s="849">
        <v>7</v>
      </c>
      <c r="D11" s="849">
        <v>7</v>
      </c>
      <c r="E11" s="494">
        <v>9</v>
      </c>
      <c r="G11" s="19">
        <v>7</v>
      </c>
      <c r="H11" s="19">
        <v>4</v>
      </c>
      <c r="I11" s="19">
        <v>31</v>
      </c>
      <c r="J11" s="19">
        <v>7.75</v>
      </c>
      <c r="K11" s="19">
        <v>0.91666666666666663</v>
      </c>
    </row>
    <row r="12" spans="1:22" ht="15.75" thickBot="1" x14ac:dyDescent="0.3">
      <c r="A12" s="847">
        <f t="shared" si="1"/>
        <v>8</v>
      </c>
      <c r="B12" s="436">
        <v>9</v>
      </c>
      <c r="C12" s="848">
        <v>9</v>
      </c>
      <c r="D12" s="848">
        <v>9</v>
      </c>
      <c r="E12" s="412">
        <v>8</v>
      </c>
      <c r="G12" s="20">
        <v>8</v>
      </c>
      <c r="H12" s="20">
        <v>4</v>
      </c>
      <c r="I12" s="20">
        <v>35</v>
      </c>
      <c r="J12" s="20">
        <v>8.75</v>
      </c>
      <c r="K12" s="20">
        <v>0.25</v>
      </c>
      <c r="O12" t="s">
        <v>1760</v>
      </c>
      <c r="P12" s="580">
        <f>([1]!MSBet(O5:V8)-[1]!MSW(O5:V8))/([1]!MSBet(O5:V8)+(COUNTA(O5:O8)-1)*[1]!MSW(O5:V8))</f>
        <v>0.72752091589608103</v>
      </c>
    </row>
    <row r="14" spans="1:22" x14ac:dyDescent="0.25">
      <c r="O14" s="16" t="s">
        <v>1871</v>
      </c>
    </row>
    <row r="15" spans="1:22" ht="15.75" thickBot="1" x14ac:dyDescent="0.3">
      <c r="G15" t="s">
        <v>294</v>
      </c>
    </row>
    <row r="16" spans="1:22" x14ac:dyDescent="0.25">
      <c r="G16" s="850" t="s">
        <v>466</v>
      </c>
      <c r="H16" s="850" t="s">
        <v>219</v>
      </c>
      <c r="I16" s="850" t="s">
        <v>60</v>
      </c>
      <c r="J16" s="850" t="s">
        <v>240</v>
      </c>
      <c r="K16" s="850" t="s">
        <v>135</v>
      </c>
      <c r="L16" s="850" t="s">
        <v>119</v>
      </c>
      <c r="M16" s="850" t="s">
        <v>467</v>
      </c>
      <c r="O16" s="371" t="s">
        <v>1898</v>
      </c>
      <c r="P16" s="831">
        <f>[1]!MSBet(O5:V8)</f>
        <v>26.888392857142858</v>
      </c>
      <c r="R16" s="16" t="s">
        <v>1873</v>
      </c>
    </row>
    <row r="17" spans="7:18" x14ac:dyDescent="0.25">
      <c r="G17" s="19" t="s">
        <v>462</v>
      </c>
      <c r="H17" s="19">
        <v>188.21875</v>
      </c>
      <c r="I17" s="19">
        <v>7</v>
      </c>
      <c r="J17" s="19">
        <v>26.888392857142858</v>
      </c>
      <c r="K17" s="19">
        <v>11.680025856496444</v>
      </c>
      <c r="L17" s="19">
        <v>2.1813509548618397E-6</v>
      </c>
      <c r="M17" s="19">
        <v>2.4226285334209159</v>
      </c>
      <c r="O17" t="s">
        <v>486</v>
      </c>
      <c r="P17" s="503">
        <f>[1]!MSW(O5:V8)</f>
        <v>2.3020833333333335</v>
      </c>
      <c r="R17" s="16" t="s">
        <v>1874</v>
      </c>
    </row>
    <row r="18" spans="7:18" x14ac:dyDescent="0.25">
      <c r="G18" s="19" t="s">
        <v>463</v>
      </c>
      <c r="H18" s="19">
        <v>55.25</v>
      </c>
      <c r="I18" s="19">
        <v>24</v>
      </c>
      <c r="J18" s="19">
        <v>2.3020833333333335</v>
      </c>
      <c r="K18" s="19"/>
      <c r="L18" s="19"/>
      <c r="M18" s="19"/>
      <c r="O18" t="s">
        <v>56</v>
      </c>
      <c r="P18" s="503">
        <f>COUNTA(O5:O8)</f>
        <v>4</v>
      </c>
      <c r="R18" s="16" t="s">
        <v>1875</v>
      </c>
    </row>
    <row r="19" spans="7:18" x14ac:dyDescent="0.25">
      <c r="G19" s="19"/>
      <c r="H19" s="19"/>
      <c r="I19" s="19"/>
      <c r="J19" s="19"/>
      <c r="K19" s="19"/>
      <c r="L19" s="19"/>
      <c r="M19" s="19"/>
      <c r="O19" t="s">
        <v>1760</v>
      </c>
      <c r="P19" s="420">
        <f>(P16-P17)/(P16+(P18-1)*P17)</f>
        <v>0.72752091589608103</v>
      </c>
      <c r="R19" s="16" t="s">
        <v>1876</v>
      </c>
    </row>
    <row r="20" spans="7:18" ht="15.75" thickBot="1" x14ac:dyDescent="0.3">
      <c r="G20" s="20" t="s">
        <v>1</v>
      </c>
      <c r="H20" s="20">
        <v>243.46875</v>
      </c>
      <c r="I20" s="20">
        <v>31</v>
      </c>
      <c r="J20" s="20"/>
      <c r="K20" s="20"/>
      <c r="L20" s="20"/>
      <c r="M20" s="20"/>
    </row>
    <row r="21" spans="7:18" x14ac:dyDescent="0.25">
      <c r="O21" t="s">
        <v>268</v>
      </c>
    </row>
    <row r="22" spans="7:18" x14ac:dyDescent="0.25">
      <c r="H22" t="s">
        <v>1869</v>
      </c>
      <c r="I22" s="580">
        <f>(J17-J18)/(J17+((H5-1)*J18))</f>
        <v>0.72752091589608103</v>
      </c>
      <c r="K22" s="16" t="s">
        <v>1889</v>
      </c>
    </row>
    <row r="23" spans="7:18" x14ac:dyDescent="0.25">
      <c r="O23" t="s">
        <v>106</v>
      </c>
      <c r="P23" s="831">
        <v>0.05</v>
      </c>
    </row>
    <row r="24" spans="7:18" x14ac:dyDescent="0.25">
      <c r="H24" t="s">
        <v>106</v>
      </c>
      <c r="I24" s="831">
        <v>0.05</v>
      </c>
      <c r="O24" t="s">
        <v>56</v>
      </c>
      <c r="P24" s="503">
        <f>COUNTA(O5:O8)</f>
        <v>4</v>
      </c>
      <c r="R24" s="16" t="s">
        <v>1875</v>
      </c>
    </row>
    <row r="25" spans="7:18" x14ac:dyDescent="0.25">
      <c r="H25" t="s">
        <v>56</v>
      </c>
      <c r="I25" s="503">
        <f>H5</f>
        <v>4</v>
      </c>
      <c r="K25" s="16" t="s">
        <v>1893</v>
      </c>
      <c r="O25" t="s">
        <v>31</v>
      </c>
      <c r="P25" s="503">
        <f>COUNTA(O5:V5)</f>
        <v>8</v>
      </c>
      <c r="R25" s="16" t="s">
        <v>1879</v>
      </c>
    </row>
    <row r="26" spans="7:18" x14ac:dyDescent="0.25">
      <c r="H26" t="s">
        <v>563</v>
      </c>
      <c r="I26" s="503">
        <f>I17</f>
        <v>7</v>
      </c>
      <c r="K26" s="16" t="s">
        <v>1890</v>
      </c>
      <c r="O26" t="s">
        <v>1881</v>
      </c>
      <c r="P26" s="503">
        <f>P25-1</f>
        <v>7</v>
      </c>
      <c r="R26" s="16" t="s">
        <v>1883</v>
      </c>
    </row>
    <row r="27" spans="7:18" x14ac:dyDescent="0.25">
      <c r="H27" t="s">
        <v>564</v>
      </c>
      <c r="I27" s="503">
        <f>I18</f>
        <v>24</v>
      </c>
      <c r="K27" s="16" t="s">
        <v>1891</v>
      </c>
      <c r="O27" t="s">
        <v>1882</v>
      </c>
      <c r="P27" s="503">
        <f>P25*(P24-1)</f>
        <v>24</v>
      </c>
      <c r="R27" s="16" t="s">
        <v>1884</v>
      </c>
    </row>
    <row r="28" spans="7:18" x14ac:dyDescent="0.25">
      <c r="H28" t="s">
        <v>135</v>
      </c>
      <c r="I28" s="503">
        <f>K17</f>
        <v>11.680025856496444</v>
      </c>
      <c r="K28" s="16" t="s">
        <v>1892</v>
      </c>
      <c r="O28" t="s">
        <v>135</v>
      </c>
      <c r="P28" s="503">
        <f>[1]!ANOVA1(O5:V8)</f>
        <v>11.680025856496444</v>
      </c>
      <c r="R28" s="16" t="s">
        <v>1880</v>
      </c>
    </row>
    <row r="29" spans="7:18" x14ac:dyDescent="0.25">
      <c r="H29" t="s">
        <v>1877</v>
      </c>
      <c r="I29" s="503">
        <f>I28/FINV(I24/2,I26,I27)</f>
        <v>4.0643025185585042</v>
      </c>
      <c r="K29" s="16" t="s">
        <v>1894</v>
      </c>
      <c r="O29" t="s">
        <v>1877</v>
      </c>
      <c r="P29" s="503">
        <f>P28/FINV(P23/2,P26,P27)</f>
        <v>4.0643025185585042</v>
      </c>
      <c r="R29" s="16" t="s">
        <v>1885</v>
      </c>
    </row>
    <row r="30" spans="7:18" x14ac:dyDescent="0.25">
      <c r="H30" t="s">
        <v>1878</v>
      </c>
      <c r="I30" s="503">
        <f>I28*FINV(I24/2,I27,I26)</f>
        <v>51.567303236605973</v>
      </c>
      <c r="K30" s="16" t="s">
        <v>1895</v>
      </c>
      <c r="O30" t="s">
        <v>1878</v>
      </c>
      <c r="P30" s="503">
        <f>P28*FINV(P23/2,P27,P26)</f>
        <v>51.567303236605973</v>
      </c>
      <c r="R30" s="16" t="s">
        <v>1886</v>
      </c>
    </row>
    <row r="31" spans="7:18" x14ac:dyDescent="0.25">
      <c r="H31" t="s">
        <v>29</v>
      </c>
      <c r="I31" s="503">
        <f>(I29-1)/(I29+I25-1)</f>
        <v>0.43377283327098881</v>
      </c>
      <c r="K31" s="16" t="s">
        <v>1896</v>
      </c>
      <c r="O31" t="s">
        <v>29</v>
      </c>
      <c r="P31" s="503">
        <f>(P29-1)/(P29+P24-1)</f>
        <v>0.43377283327098881</v>
      </c>
      <c r="R31" s="16" t="s">
        <v>1887</v>
      </c>
    </row>
    <row r="32" spans="7:18" x14ac:dyDescent="0.25">
      <c r="H32" t="s">
        <v>30</v>
      </c>
      <c r="I32" s="420">
        <f>(I30-1)/(I30+I25-1)</f>
        <v>0.92669602925664396</v>
      </c>
      <c r="K32" s="16" t="s">
        <v>1897</v>
      </c>
      <c r="O32" t="s">
        <v>30</v>
      </c>
      <c r="P32" s="420">
        <f>(P30-1)/(P30+P24-1)</f>
        <v>0.92669602925664396</v>
      </c>
      <c r="R32" s="16" t="s">
        <v>1888</v>
      </c>
    </row>
    <row r="34" spans="7:11" x14ac:dyDescent="0.25">
      <c r="H34" t="s">
        <v>1910</v>
      </c>
      <c r="I34" s="853">
        <f>(J17-J18)/J17</f>
        <v>0.91438375117604742</v>
      </c>
      <c r="K34" s="16" t="s">
        <v>1906</v>
      </c>
    </row>
    <row r="35" spans="7:11" x14ac:dyDescent="0.25">
      <c r="H35" t="s">
        <v>29</v>
      </c>
      <c r="I35" s="503">
        <f>1-1/I29</f>
        <v>0.75395532310063562</v>
      </c>
      <c r="K35" s="16" t="s">
        <v>1907</v>
      </c>
    </row>
    <row r="36" spans="7:11" x14ac:dyDescent="0.25">
      <c r="H36" t="s">
        <v>30</v>
      </c>
      <c r="I36" s="420">
        <f>1-1/I30</f>
        <v>0.98060786705460035</v>
      </c>
      <c r="K36" s="16" t="s">
        <v>1908</v>
      </c>
    </row>
    <row r="38" spans="7:11" x14ac:dyDescent="0.25">
      <c r="G38" t="s">
        <v>2125</v>
      </c>
    </row>
    <row r="40" spans="7:11" x14ac:dyDescent="0.25">
      <c r="H40" t="s">
        <v>1869</v>
      </c>
      <c r="I40" s="853">
        <f>[1]!ICC(B5:E12,1,1)</f>
        <v>0.72752091589608103</v>
      </c>
      <c r="K40" s="16" t="s">
        <v>1922</v>
      </c>
    </row>
    <row r="41" spans="7:11" x14ac:dyDescent="0.25">
      <c r="H41" t="s">
        <v>1910</v>
      </c>
      <c r="I41" s="420">
        <f>[1]!ICC(B5:E12,1,4)</f>
        <v>0.91438375117604742</v>
      </c>
      <c r="K41" s="16" t="s">
        <v>1923</v>
      </c>
    </row>
    <row r="43" spans="7:11" x14ac:dyDescent="0.25">
      <c r="H43" t="str">
        <f t="array" ref="H43:I45">[1]!ICC(B5:E12,1,1,TRUE)</f>
        <v>ICC</v>
      </c>
      <c r="I43" s="868">
        <v>0.72752091589608103</v>
      </c>
      <c r="K43" t="str">
        <f>[1]!FTEXT(I43)</f>
        <v>=ICC(B5:E12,1,1,TRUE)</v>
      </c>
    </row>
    <row r="44" spans="7:11" x14ac:dyDescent="0.25">
      <c r="H44" t="str">
        <v>lower</v>
      </c>
      <c r="I44" s="503">
        <v>0.43377283327098881</v>
      </c>
    </row>
    <row r="45" spans="7:11" x14ac:dyDescent="0.25">
      <c r="H45" t="str">
        <v>upper</v>
      </c>
      <c r="I45" s="420">
        <v>0.92669602925664396</v>
      </c>
    </row>
    <row r="47" spans="7:11" x14ac:dyDescent="0.25">
      <c r="H47" t="str">
        <f t="array" ref="H47:I49">[1]!ICC(B5:E12,1,4,TRUE)</f>
        <v>ICC</v>
      </c>
      <c r="I47" s="868">
        <v>0.91438375117604742</v>
      </c>
      <c r="K47" t="str">
        <f>[1]!FTEXT(I47)</f>
        <v>=ICC(B5:E12,1,4,TRUE)</v>
      </c>
    </row>
    <row r="48" spans="7:11" x14ac:dyDescent="0.25">
      <c r="H48" t="str">
        <v>lower</v>
      </c>
      <c r="I48" s="503">
        <v>0.75395532310063562</v>
      </c>
    </row>
    <row r="49" spans="8:9" x14ac:dyDescent="0.25">
      <c r="H49" t="str">
        <v>upper</v>
      </c>
      <c r="I49" s="420">
        <v>0.98060786705460035</v>
      </c>
    </row>
  </sheetData>
  <mergeCells count="1">
    <mergeCell ref="B3:E3"/>
  </mergeCells>
  <pageMargins left="0.7" right="0.7" top="0.75" bottom="0.75" header="0.3" footer="0.3"/>
  <ignoredErrors>
    <ignoredError sqref="P18 P24" formulaRange="1"/>
  </ignoredError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/>
  <dimension ref="A1:G14"/>
  <sheetViews>
    <sheetView workbookViewId="0"/>
  </sheetViews>
  <sheetFormatPr defaultRowHeight="15" x14ac:dyDescent="0.25"/>
  <sheetData>
    <row r="1" spans="1:7" x14ac:dyDescent="0.25">
      <c r="A1" s="1" t="s">
        <v>2431</v>
      </c>
    </row>
    <row r="3" spans="1:7" x14ac:dyDescent="0.25">
      <c r="A3" t="s">
        <v>31</v>
      </c>
      <c r="B3" s="869">
        <v>50</v>
      </c>
      <c r="C3" s="867">
        <v>100</v>
      </c>
      <c r="D3" s="870">
        <v>100</v>
      </c>
      <c r="F3" t="s">
        <v>2432</v>
      </c>
      <c r="G3" s="1041">
        <v>0.2</v>
      </c>
    </row>
    <row r="4" spans="1:7" x14ac:dyDescent="0.25">
      <c r="A4" t="s">
        <v>56</v>
      </c>
      <c r="B4" s="532">
        <v>5</v>
      </c>
      <c r="C4" s="7">
        <v>10</v>
      </c>
      <c r="D4" s="533">
        <v>20</v>
      </c>
      <c r="F4" t="s">
        <v>2433</v>
      </c>
      <c r="G4" s="503">
        <v>0.3</v>
      </c>
    </row>
    <row r="5" spans="1:7" x14ac:dyDescent="0.25">
      <c r="A5" t="s">
        <v>563</v>
      </c>
      <c r="B5" s="532">
        <f>B3-1</f>
        <v>49</v>
      </c>
      <c r="C5" s="7">
        <f>C3-1</f>
        <v>99</v>
      </c>
      <c r="D5" s="533">
        <f>D3-1</f>
        <v>99</v>
      </c>
      <c r="F5" t="s">
        <v>56</v>
      </c>
      <c r="G5" s="503">
        <v>5</v>
      </c>
    </row>
    <row r="6" spans="1:7" x14ac:dyDescent="0.25">
      <c r="A6" t="s">
        <v>564</v>
      </c>
      <c r="B6" s="532">
        <f>B3*(B4-1)</f>
        <v>200</v>
      </c>
      <c r="C6" s="7">
        <f>C3*(C4-1)</f>
        <v>900</v>
      </c>
      <c r="D6" s="533">
        <f>D3*(D4-1)</f>
        <v>1900</v>
      </c>
      <c r="F6" t="s">
        <v>2126</v>
      </c>
      <c r="G6" s="503">
        <v>0.95</v>
      </c>
    </row>
    <row r="7" spans="1:7" x14ac:dyDescent="0.25">
      <c r="A7" t="s">
        <v>106</v>
      </c>
      <c r="B7" s="532">
        <v>0.05</v>
      </c>
      <c r="C7" s="7">
        <v>0.05</v>
      </c>
      <c r="D7" s="533">
        <v>0.05</v>
      </c>
      <c r="F7" t="s">
        <v>106</v>
      </c>
      <c r="G7" s="503">
        <v>0.05</v>
      </c>
    </row>
    <row r="8" spans="1:7" x14ac:dyDescent="0.25">
      <c r="A8" t="s">
        <v>2432</v>
      </c>
      <c r="B8" s="532">
        <v>0.2</v>
      </c>
      <c r="C8" s="7">
        <v>0.2</v>
      </c>
      <c r="D8" s="533">
        <v>0.2</v>
      </c>
      <c r="F8" t="s">
        <v>31</v>
      </c>
      <c r="G8" s="420">
        <f>[1]!ICC_SIZE(G3,G4,G5,G6,G7)</f>
        <v>244</v>
      </c>
    </row>
    <row r="9" spans="1:7" x14ac:dyDescent="0.25">
      <c r="A9" t="s">
        <v>2433</v>
      </c>
      <c r="B9" s="532">
        <v>0.3</v>
      </c>
      <c r="C9" s="7">
        <v>0.3</v>
      </c>
      <c r="D9" s="533">
        <v>0.3</v>
      </c>
    </row>
    <row r="10" spans="1:7" x14ac:dyDescent="0.25">
      <c r="A10" t="s">
        <v>43</v>
      </c>
      <c r="B10" s="532">
        <f>(1+B4*B8/(1-B8))/(1+B4*B9/(1-B9))</f>
        <v>0.71590909090909094</v>
      </c>
      <c r="C10" s="7">
        <f>(1+C4*C8/(1-C8))/(1+C4*C9/(1-C9))</f>
        <v>0.66216216216216217</v>
      </c>
      <c r="D10" s="533">
        <f>(1+D4*D8/(1-D8))/(1+D4*D9/(1-D9))</f>
        <v>0.62686567164179108</v>
      </c>
    </row>
    <row r="11" spans="1:7" x14ac:dyDescent="0.25">
      <c r="A11" t="s">
        <v>246</v>
      </c>
      <c r="B11" s="532">
        <f>FINV(B7,B5,B6)</f>
        <v>1.4180510679425447</v>
      </c>
      <c r="C11" s="7">
        <f>FINV(C7,C5,C6)</f>
        <v>1.2625626897379845</v>
      </c>
      <c r="D11" s="533">
        <f>FINV(D7,D5,D6)</f>
        <v>1.2532266035881876</v>
      </c>
    </row>
    <row r="12" spans="1:7" x14ac:dyDescent="0.25">
      <c r="A12" t="s">
        <v>2126</v>
      </c>
      <c r="B12" s="409">
        <f>FDIST(B10*B11,B5,B6)</f>
        <v>0.45522270324893632</v>
      </c>
      <c r="C12" s="762">
        <f>FDIST(C10*C11,C5,C6)</f>
        <v>0.87006932216253641</v>
      </c>
      <c r="D12" s="417">
        <f>FDIST(D10*D11,D5,D6)</f>
        <v>0.93966710976513512</v>
      </c>
    </row>
    <row r="14" spans="1:7" x14ac:dyDescent="0.25">
      <c r="A14" t="s">
        <v>2126</v>
      </c>
      <c r="B14" s="609">
        <f>[1]!ICC_POWER(B8,B9,B3,B4,B7)</f>
        <v>0.45522270324893632</v>
      </c>
      <c r="C14" s="590">
        <f>[1]!ICC_POWER(C8,C9,C3,C4,C7)</f>
        <v>0.87006932216253641</v>
      </c>
      <c r="D14" s="610">
        <f>[1]!ICC_POWER(D8,D9,D3,D4,D7)</f>
        <v>0.93966710976513512</v>
      </c>
    </row>
  </sheetData>
  <pageMargins left="0.7" right="0.7" top="0.75" bottom="0.75" header="0.3" footer="0.3"/>
  <pageSetup paperSize="9" orientation="portrait" verticalDpi="0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AG60"/>
  <sheetViews>
    <sheetView workbookViewId="0"/>
  </sheetViews>
  <sheetFormatPr defaultRowHeight="15" x14ac:dyDescent="0.25"/>
  <cols>
    <col min="1" max="1" width="7.85546875" customWidth="1"/>
    <col min="2" max="6" width="5.85546875" customWidth="1"/>
    <col min="7" max="7" width="18.28515625" customWidth="1"/>
    <col min="13" max="14" width="9.140625" customWidth="1"/>
    <col min="29" max="29" width="4.28515625" customWidth="1"/>
    <col min="30" max="30" width="77" customWidth="1"/>
    <col min="32" max="32" width="10.7109375" customWidth="1"/>
  </cols>
  <sheetData>
    <row r="1" spans="1:33" x14ac:dyDescent="0.25">
      <c r="A1" s="1" t="s">
        <v>1872</v>
      </c>
      <c r="P1" t="s">
        <v>2157</v>
      </c>
      <c r="AF1" t="s">
        <v>2158</v>
      </c>
    </row>
    <row r="3" spans="1:33" x14ac:dyDescent="0.25">
      <c r="B3" s="1309" t="s">
        <v>978</v>
      </c>
      <c r="C3" s="1309"/>
      <c r="D3" s="1309"/>
      <c r="E3" s="1309"/>
      <c r="G3" t="s">
        <v>587</v>
      </c>
      <c r="P3" t="s">
        <v>27</v>
      </c>
      <c r="W3" t="s">
        <v>1670</v>
      </c>
      <c r="AF3" t="s">
        <v>2365</v>
      </c>
    </row>
    <row r="4" spans="1:33" ht="15.75" thickBot="1" x14ac:dyDescent="0.3">
      <c r="A4" s="425" t="s">
        <v>979</v>
      </c>
      <c r="B4" s="101" t="s">
        <v>213</v>
      </c>
      <c r="C4" s="425" t="s">
        <v>131</v>
      </c>
      <c r="D4" s="425" t="s">
        <v>132</v>
      </c>
      <c r="E4" s="425" t="s">
        <v>133</v>
      </c>
    </row>
    <row r="5" spans="1:33" ht="15.75" thickBot="1" x14ac:dyDescent="0.3">
      <c r="A5" s="425">
        <v>1</v>
      </c>
      <c r="B5" s="486">
        <v>1</v>
      </c>
      <c r="C5" s="492">
        <v>2</v>
      </c>
      <c r="D5" s="492">
        <v>0</v>
      </c>
      <c r="E5" s="493">
        <v>1</v>
      </c>
      <c r="G5" s="426" t="s">
        <v>62</v>
      </c>
      <c r="H5" s="426" t="s">
        <v>22</v>
      </c>
      <c r="I5" s="426" t="s">
        <v>21</v>
      </c>
      <c r="J5" s="426" t="s">
        <v>465</v>
      </c>
      <c r="K5" s="426" t="s">
        <v>80</v>
      </c>
      <c r="P5" t="s">
        <v>1666</v>
      </c>
      <c r="W5" t="s">
        <v>294</v>
      </c>
      <c r="AA5" s="830" t="s">
        <v>34</v>
      </c>
      <c r="AB5" s="830">
        <v>0.05</v>
      </c>
      <c r="AF5" t="s">
        <v>2159</v>
      </c>
      <c r="AG5" s="970">
        <v>2</v>
      </c>
    </row>
    <row r="6" spans="1:33" ht="15.75" thickTop="1" x14ac:dyDescent="0.25">
      <c r="A6" s="425">
        <f>A5+1</f>
        <v>2</v>
      </c>
      <c r="B6" s="256">
        <v>1</v>
      </c>
      <c r="C6" s="50">
        <v>3</v>
      </c>
      <c r="D6" s="50">
        <v>3</v>
      </c>
      <c r="E6" s="494">
        <v>2</v>
      </c>
      <c r="G6" s="19">
        <v>1</v>
      </c>
      <c r="H6" s="19">
        <v>4</v>
      </c>
      <c r="I6" s="19">
        <v>4</v>
      </c>
      <c r="J6" s="19">
        <v>1</v>
      </c>
      <c r="K6" s="19">
        <v>0.66666666666666663</v>
      </c>
      <c r="Q6" s="830" t="str">
        <f>B4</f>
        <v>A</v>
      </c>
      <c r="R6" s="830" t="str">
        <f>C4</f>
        <v>B</v>
      </c>
      <c r="S6" s="830" t="str">
        <f>D4</f>
        <v>C</v>
      </c>
      <c r="T6" s="830" t="str">
        <f>E4</f>
        <v>D</v>
      </c>
      <c r="W6" s="826"/>
      <c r="X6" s="826" t="s">
        <v>219</v>
      </c>
      <c r="Y6" s="826" t="s">
        <v>60</v>
      </c>
      <c r="Z6" s="826" t="s">
        <v>240</v>
      </c>
      <c r="AA6" s="826" t="s">
        <v>135</v>
      </c>
      <c r="AB6" s="826" t="s">
        <v>67</v>
      </c>
      <c r="AC6" s="826" t="s">
        <v>527</v>
      </c>
      <c r="AF6" t="s">
        <v>2160</v>
      </c>
      <c r="AG6" s="680">
        <v>1</v>
      </c>
    </row>
    <row r="7" spans="1:33" x14ac:dyDescent="0.25">
      <c r="A7" s="425">
        <f t="shared" ref="A7:A12" si="0">A6+1</f>
        <v>3</v>
      </c>
      <c r="B7" s="35">
        <v>3</v>
      </c>
      <c r="C7" s="50">
        <v>8</v>
      </c>
      <c r="D7" s="50">
        <v>1</v>
      </c>
      <c r="E7" s="494">
        <v>4</v>
      </c>
      <c r="G7" s="19">
        <v>2</v>
      </c>
      <c r="H7" s="19">
        <v>4</v>
      </c>
      <c r="I7" s="19">
        <v>9</v>
      </c>
      <c r="J7" s="19">
        <v>2.25</v>
      </c>
      <c r="K7" s="19">
        <v>0.91666666666666663</v>
      </c>
      <c r="P7">
        <f t="shared" ref="P7:P14" si="1">A5</f>
        <v>1</v>
      </c>
      <c r="Q7" s="797">
        <f t="shared" ref="Q7:Q14" si="2">COUNT(B5)</f>
        <v>1</v>
      </c>
      <c r="R7" s="798">
        <f t="shared" ref="R7:T14" si="3">COUNT(C5)</f>
        <v>1</v>
      </c>
      <c r="S7" s="798">
        <f t="shared" si="3"/>
        <v>1</v>
      </c>
      <c r="T7" s="799">
        <f t="shared" si="3"/>
        <v>1</v>
      </c>
      <c r="U7">
        <f t="shared" ref="U7:U14" si="4">COUNT(B5:E5)</f>
        <v>4</v>
      </c>
      <c r="W7" t="s">
        <v>136</v>
      </c>
      <c r="X7">
        <f>DEVSQ(U19:U26)*U7</f>
        <v>188.21875</v>
      </c>
      <c r="Y7">
        <f>COUNT(U19:U26)-1</f>
        <v>7</v>
      </c>
      <c r="Z7">
        <f>X7/Y7</f>
        <v>26.888392857142858</v>
      </c>
      <c r="AA7">
        <f>Z7/Z9</f>
        <v>11.7866927592955</v>
      </c>
      <c r="AB7">
        <f>FDIST(AA7,Y7,Y9)</f>
        <v>5.0257154640603623E-6</v>
      </c>
      <c r="AC7" s="830" t="str">
        <f>IF(AB7&lt;AB5,"yes","no")</f>
        <v>yes</v>
      </c>
      <c r="AF7" t="s">
        <v>34</v>
      </c>
      <c r="AG7" s="757">
        <v>0.05</v>
      </c>
    </row>
    <row r="8" spans="1:33" x14ac:dyDescent="0.25">
      <c r="A8" s="425">
        <f t="shared" si="0"/>
        <v>4</v>
      </c>
      <c r="B8" s="35">
        <v>6</v>
      </c>
      <c r="C8" s="50">
        <v>4</v>
      </c>
      <c r="D8" s="50">
        <v>3</v>
      </c>
      <c r="E8" s="494">
        <v>3</v>
      </c>
      <c r="G8" s="19">
        <v>3</v>
      </c>
      <c r="H8" s="19">
        <v>4</v>
      </c>
      <c r="I8" s="19">
        <v>16</v>
      </c>
      <c r="J8" s="19">
        <v>4</v>
      </c>
      <c r="K8" s="19">
        <v>8.6666666666666661</v>
      </c>
      <c r="P8">
        <f t="shared" si="1"/>
        <v>2</v>
      </c>
      <c r="Q8" s="501">
        <f t="shared" si="2"/>
        <v>1</v>
      </c>
      <c r="R8" s="7">
        <f t="shared" si="3"/>
        <v>1</v>
      </c>
      <c r="S8" s="7">
        <f t="shared" si="3"/>
        <v>1</v>
      </c>
      <c r="T8" s="57">
        <f t="shared" si="3"/>
        <v>1</v>
      </c>
      <c r="U8">
        <f t="shared" si="4"/>
        <v>4</v>
      </c>
      <c r="W8" t="s">
        <v>589</v>
      </c>
      <c r="X8">
        <f>DEVSQ(Q27:T27)*Q15</f>
        <v>7.34375</v>
      </c>
      <c r="Y8">
        <f>COUNT(Q27:T27)-1</f>
        <v>3</v>
      </c>
      <c r="Z8">
        <f>X8/Y8</f>
        <v>2.4479166666666665</v>
      </c>
      <c r="AA8">
        <f>Z8/Z9</f>
        <v>1.0730593607305936</v>
      </c>
      <c r="AB8">
        <f>FDIST(AA8,Y8,Y9)</f>
        <v>0.3818394427683251</v>
      </c>
      <c r="AC8" s="830" t="str">
        <f>IF(AB8&lt;AB5,"yes","no")</f>
        <v>no</v>
      </c>
    </row>
    <row r="9" spans="1:33" x14ac:dyDescent="0.25">
      <c r="A9" s="425">
        <f t="shared" si="0"/>
        <v>5</v>
      </c>
      <c r="B9" s="35">
        <v>6</v>
      </c>
      <c r="C9" s="50">
        <v>5</v>
      </c>
      <c r="D9" s="50">
        <v>5</v>
      </c>
      <c r="E9" s="494">
        <v>6</v>
      </c>
      <c r="G9" s="19">
        <v>4</v>
      </c>
      <c r="H9" s="19">
        <v>4</v>
      </c>
      <c r="I9" s="19">
        <v>16</v>
      </c>
      <c r="J9" s="19">
        <v>4</v>
      </c>
      <c r="K9" s="19">
        <v>2</v>
      </c>
      <c r="P9">
        <f t="shared" si="1"/>
        <v>3</v>
      </c>
      <c r="Q9" s="501">
        <f t="shared" si="2"/>
        <v>1</v>
      </c>
      <c r="R9" s="7">
        <f t="shared" si="3"/>
        <v>1</v>
      </c>
      <c r="S9" s="7">
        <f t="shared" si="3"/>
        <v>1</v>
      </c>
      <c r="T9" s="57">
        <f t="shared" si="3"/>
        <v>1</v>
      </c>
      <c r="U9">
        <f t="shared" si="4"/>
        <v>4</v>
      </c>
      <c r="W9" t="s">
        <v>588</v>
      </c>
      <c r="X9">
        <f>X11-X7-X8</f>
        <v>47.90625</v>
      </c>
      <c r="Y9">
        <f>Y8*Y7</f>
        <v>21</v>
      </c>
      <c r="Z9">
        <f>X9/Y9</f>
        <v>2.28125</v>
      </c>
      <c r="AF9" t="str">
        <f t="array" ref="AF9:AG11">[1]!ICC(B5:E12,AG5,AG6,TRUE,AG7)</f>
        <v>ICC</v>
      </c>
      <c r="AG9" s="970">
        <v>0.72768878718535468</v>
      </c>
    </row>
    <row r="10" spans="1:33" x14ac:dyDescent="0.25">
      <c r="A10" s="425">
        <f t="shared" si="0"/>
        <v>6</v>
      </c>
      <c r="B10" s="35">
        <v>7</v>
      </c>
      <c r="C10" s="50">
        <v>5</v>
      </c>
      <c r="D10" s="50">
        <v>6</v>
      </c>
      <c r="E10" s="494">
        <v>2</v>
      </c>
      <c r="G10" s="19">
        <v>5</v>
      </c>
      <c r="H10" s="19">
        <v>4</v>
      </c>
      <c r="I10" s="19">
        <v>22</v>
      </c>
      <c r="J10" s="19">
        <v>5.5</v>
      </c>
      <c r="K10" s="19">
        <v>0.33333333333333331</v>
      </c>
      <c r="P10">
        <f t="shared" si="1"/>
        <v>4</v>
      </c>
      <c r="Q10" s="501">
        <f t="shared" si="2"/>
        <v>1</v>
      </c>
      <c r="R10" s="7">
        <f t="shared" si="3"/>
        <v>1</v>
      </c>
      <c r="S10" s="7">
        <f t="shared" si="3"/>
        <v>1</v>
      </c>
      <c r="T10" s="57">
        <f t="shared" si="3"/>
        <v>1</v>
      </c>
      <c r="U10">
        <f t="shared" si="4"/>
        <v>4</v>
      </c>
      <c r="AF10" t="str">
        <v>lower</v>
      </c>
      <c r="AG10" s="680">
        <v>0.43449727446116843</v>
      </c>
    </row>
    <row r="11" spans="1:33" x14ac:dyDescent="0.25">
      <c r="A11" s="425">
        <f t="shared" si="0"/>
        <v>7</v>
      </c>
      <c r="B11" s="35">
        <v>8</v>
      </c>
      <c r="C11" s="50">
        <v>7</v>
      </c>
      <c r="D11" s="50">
        <v>7</v>
      </c>
      <c r="E11" s="494">
        <v>9</v>
      </c>
      <c r="G11" s="19">
        <v>6</v>
      </c>
      <c r="H11" s="19">
        <v>4</v>
      </c>
      <c r="I11" s="19">
        <v>20</v>
      </c>
      <c r="J11" s="19">
        <v>5</v>
      </c>
      <c r="K11" s="19">
        <v>4.666666666666667</v>
      </c>
      <c r="P11">
        <f t="shared" si="1"/>
        <v>5</v>
      </c>
      <c r="Q11" s="501">
        <f t="shared" si="2"/>
        <v>1</v>
      </c>
      <c r="R11" s="7">
        <f t="shared" si="3"/>
        <v>1</v>
      </c>
      <c r="S11" s="7">
        <f t="shared" si="3"/>
        <v>1</v>
      </c>
      <c r="T11" s="57">
        <f t="shared" si="3"/>
        <v>1</v>
      </c>
      <c r="U11">
        <f t="shared" si="4"/>
        <v>4</v>
      </c>
      <c r="W11" s="762" t="s">
        <v>1</v>
      </c>
      <c r="X11" s="762">
        <f>Z11*Y11</f>
        <v>243.46875</v>
      </c>
      <c r="Y11" s="762">
        <f>U15-1</f>
        <v>31</v>
      </c>
      <c r="Z11" s="762">
        <f>U39</f>
        <v>7.85383064516129</v>
      </c>
      <c r="AA11" s="762"/>
      <c r="AB11" s="762"/>
      <c r="AC11" s="762"/>
      <c r="AF11" t="str">
        <v>upper</v>
      </c>
      <c r="AG11" s="757">
        <v>0.92670818441751546</v>
      </c>
    </row>
    <row r="12" spans="1:33" x14ac:dyDescent="0.25">
      <c r="A12" s="425">
        <f t="shared" si="0"/>
        <v>8</v>
      </c>
      <c r="B12" s="436">
        <v>9</v>
      </c>
      <c r="C12" s="487">
        <v>9</v>
      </c>
      <c r="D12" s="487">
        <v>9</v>
      </c>
      <c r="E12" s="412">
        <v>8</v>
      </c>
      <c r="G12" s="19">
        <v>7</v>
      </c>
      <c r="H12" s="19">
        <v>4</v>
      </c>
      <c r="I12" s="19">
        <v>31</v>
      </c>
      <c r="J12" s="19">
        <v>7.75</v>
      </c>
      <c r="K12" s="19">
        <v>0.91666666666666663</v>
      </c>
      <c r="P12">
        <f t="shared" si="1"/>
        <v>6</v>
      </c>
      <c r="Q12" s="501">
        <f t="shared" si="2"/>
        <v>1</v>
      </c>
      <c r="R12" s="7">
        <f t="shared" si="3"/>
        <v>1</v>
      </c>
      <c r="S12" s="7">
        <f t="shared" si="3"/>
        <v>1</v>
      </c>
      <c r="T12" s="57">
        <f t="shared" si="3"/>
        <v>1</v>
      </c>
      <c r="U12">
        <f t="shared" si="4"/>
        <v>4</v>
      </c>
    </row>
    <row r="13" spans="1:33" x14ac:dyDescent="0.25">
      <c r="G13" s="19">
        <v>8</v>
      </c>
      <c r="H13" s="19">
        <v>4</v>
      </c>
      <c r="I13" s="19">
        <v>35</v>
      </c>
      <c r="J13" s="19">
        <v>8.75</v>
      </c>
      <c r="K13" s="19">
        <v>0.25</v>
      </c>
      <c r="P13">
        <f t="shared" si="1"/>
        <v>7</v>
      </c>
      <c r="Q13" s="501">
        <f t="shared" si="2"/>
        <v>1</v>
      </c>
      <c r="R13" s="7">
        <f t="shared" si="3"/>
        <v>1</v>
      </c>
      <c r="S13" s="7">
        <f t="shared" si="3"/>
        <v>1</v>
      </c>
      <c r="T13" s="57">
        <f t="shared" si="3"/>
        <v>1</v>
      </c>
      <c r="U13">
        <f t="shared" si="4"/>
        <v>4</v>
      </c>
      <c r="W13" t="s">
        <v>1760</v>
      </c>
      <c r="Y13" s="580">
        <f>(Z7-Z9)/(Z7+Y8*Z9+(Y8+1)*(Z8-Z9)/(Y7+1))</f>
        <v>0.72768878718535457</v>
      </c>
    </row>
    <row r="14" spans="1:33" x14ac:dyDescent="0.25">
      <c r="G14" s="19"/>
      <c r="H14" s="19"/>
      <c r="I14" s="19"/>
      <c r="J14" s="19"/>
      <c r="K14" s="19"/>
      <c r="P14">
        <f t="shared" si="1"/>
        <v>8</v>
      </c>
      <c r="Q14" s="759">
        <f t="shared" si="2"/>
        <v>1</v>
      </c>
      <c r="R14" s="760">
        <f t="shared" si="3"/>
        <v>1</v>
      </c>
      <c r="S14" s="760">
        <f t="shared" si="3"/>
        <v>1</v>
      </c>
      <c r="T14" s="761">
        <f t="shared" si="3"/>
        <v>1</v>
      </c>
      <c r="U14">
        <f t="shared" si="4"/>
        <v>4</v>
      </c>
    </row>
    <row r="15" spans="1:33" x14ac:dyDescent="0.25">
      <c r="G15" s="19" t="s">
        <v>213</v>
      </c>
      <c r="H15" s="19">
        <v>8</v>
      </c>
      <c r="I15" s="19">
        <v>41</v>
      </c>
      <c r="J15" s="19">
        <v>5.125</v>
      </c>
      <c r="K15" s="19">
        <v>9.5535714285714288</v>
      </c>
      <c r="Q15">
        <f>COUNT(B5:B12)</f>
        <v>8</v>
      </c>
      <c r="R15">
        <f>COUNT(C5:C12)</f>
        <v>8</v>
      </c>
      <c r="S15">
        <f>COUNT(D5:D12)</f>
        <v>8</v>
      </c>
      <c r="T15">
        <f>COUNT(E5:E12)</f>
        <v>8</v>
      </c>
      <c r="U15">
        <f>COUNT(B5:E12)</f>
        <v>32</v>
      </c>
      <c r="AA15" t="s">
        <v>106</v>
      </c>
      <c r="AB15" s="831">
        <v>0.05</v>
      </c>
    </row>
    <row r="16" spans="1:33" x14ac:dyDescent="0.25">
      <c r="G16" s="19" t="s">
        <v>131</v>
      </c>
      <c r="H16" s="19">
        <v>8</v>
      </c>
      <c r="I16" s="19">
        <v>43</v>
      </c>
      <c r="J16" s="19">
        <v>5.375</v>
      </c>
      <c r="K16" s="19">
        <v>5.9821428571428568</v>
      </c>
      <c r="W16" t="s">
        <v>1849</v>
      </c>
      <c r="Y16" s="831">
        <f>Z7-Z9</f>
        <v>24.607142857142858</v>
      </c>
      <c r="AA16" s="53" t="s">
        <v>31</v>
      </c>
      <c r="AB16" s="503">
        <f>Y7+1</f>
        <v>8</v>
      </c>
      <c r="AD16" s="16" t="str">
        <f>[1]!FTEXT(AB16)</f>
        <v>=Y7+1</v>
      </c>
    </row>
    <row r="17" spans="7:30" x14ac:dyDescent="0.25">
      <c r="G17" s="19" t="s">
        <v>132</v>
      </c>
      <c r="H17" s="19">
        <v>8</v>
      </c>
      <c r="I17" s="19">
        <v>34</v>
      </c>
      <c r="J17" s="19">
        <v>4.25</v>
      </c>
      <c r="K17" s="19">
        <v>9.3571428571428577</v>
      </c>
      <c r="P17" t="s">
        <v>610</v>
      </c>
      <c r="W17" t="s">
        <v>1850</v>
      </c>
      <c r="Y17" s="503">
        <f>(Y8+1)*Z9</f>
        <v>9.125</v>
      </c>
      <c r="AA17" s="53" t="s">
        <v>56</v>
      </c>
      <c r="AB17" s="503">
        <f>Y8+1</f>
        <v>4</v>
      </c>
      <c r="AD17" s="16" t="str">
        <f>[1]!FTEXT(AB17)</f>
        <v>=Y8+1</v>
      </c>
    </row>
    <row r="18" spans="7:30" ht="15.75" thickBot="1" x14ac:dyDescent="0.3">
      <c r="G18" s="20" t="s">
        <v>133</v>
      </c>
      <c r="H18" s="20">
        <v>8</v>
      </c>
      <c r="I18" s="20">
        <v>35</v>
      </c>
      <c r="J18" s="20">
        <v>4.375</v>
      </c>
      <c r="K18" s="20">
        <v>8.8392857142857135</v>
      </c>
      <c r="Q18" s="830" t="str">
        <f>B4</f>
        <v>A</v>
      </c>
      <c r="R18" s="830" t="str">
        <f>C4</f>
        <v>B</v>
      </c>
      <c r="S18" s="830" t="str">
        <f>D4</f>
        <v>C</v>
      </c>
      <c r="T18" s="830" t="str">
        <f>E4</f>
        <v>D</v>
      </c>
      <c r="W18" t="s">
        <v>1851</v>
      </c>
      <c r="Y18" s="503">
        <f>(Y8+1)*(Z8-Z9)/(Y7+1)</f>
        <v>8.3333333333333259E-2</v>
      </c>
      <c r="AA18" t="s">
        <v>1564</v>
      </c>
      <c r="AB18" s="503">
        <f>AB16*(1+(AB17-1)*Y13)-AB17*Y13</f>
        <v>22.553775743707089</v>
      </c>
      <c r="AD18" s="16" t="str">
        <f>[1]!FTEXT(AB18)</f>
        <v>=AB16*(1+(AB17-1)*Y13)-AB17*Y13</v>
      </c>
    </row>
    <row r="19" spans="7:30" x14ac:dyDescent="0.25">
      <c r="P19">
        <f t="shared" ref="P19:P26" si="5">A5</f>
        <v>1</v>
      </c>
      <c r="Q19" s="797">
        <f t="shared" ref="Q19:Q26" si="6">AVERAGE(B5)</f>
        <v>1</v>
      </c>
      <c r="R19" s="798">
        <f t="shared" ref="R19:T26" si="7">AVERAGE(C5)</f>
        <v>2</v>
      </c>
      <c r="S19" s="798">
        <f t="shared" si="7"/>
        <v>0</v>
      </c>
      <c r="T19" s="799">
        <f t="shared" si="7"/>
        <v>1</v>
      </c>
      <c r="U19">
        <f t="shared" ref="U19:U26" si="8">AVERAGE(B5:E5)</f>
        <v>1</v>
      </c>
      <c r="W19" t="s">
        <v>1830</v>
      </c>
      <c r="Y19" s="503">
        <f>SUM(Y16:Y18)</f>
        <v>33.815476190476197</v>
      </c>
      <c r="AA19" t="s">
        <v>1852</v>
      </c>
      <c r="AB19" s="503">
        <f>AA8</f>
        <v>1.0730593607305936</v>
      </c>
      <c r="AD19" s="16" t="str">
        <f>[1]!FTEXT(AB19)</f>
        <v>=AA8</v>
      </c>
    </row>
    <row r="20" spans="7:30" x14ac:dyDescent="0.25">
      <c r="P20">
        <f t="shared" si="5"/>
        <v>2</v>
      </c>
      <c r="Q20" s="501">
        <f t="shared" si="6"/>
        <v>1</v>
      </c>
      <c r="R20" s="7">
        <f t="shared" si="7"/>
        <v>3</v>
      </c>
      <c r="S20" s="7">
        <f t="shared" si="7"/>
        <v>3</v>
      </c>
      <c r="T20" s="57">
        <f t="shared" si="7"/>
        <v>2</v>
      </c>
      <c r="U20">
        <f t="shared" si="8"/>
        <v>2.25</v>
      </c>
      <c r="W20" t="s">
        <v>1760</v>
      </c>
      <c r="Y20" s="420">
        <f>Y16/Y19</f>
        <v>0.72768878718535457</v>
      </c>
      <c r="AA20" t="s">
        <v>1853</v>
      </c>
      <c r="AB20" s="503">
        <f>AB17*Z8+(AB16*AB17-AB17-AB16)*Z9</f>
        <v>55.416666666666664</v>
      </c>
      <c r="AD20" s="16" t="str">
        <f>[1]!FTEXT(AB20)</f>
        <v>=AB17*Z8+(AB16*AB17-AB17-AB16)*Z9</v>
      </c>
    </row>
    <row r="21" spans="7:30" ht="15.75" thickBot="1" x14ac:dyDescent="0.3">
      <c r="G21" t="s">
        <v>294</v>
      </c>
      <c r="P21">
        <f t="shared" si="5"/>
        <v>3</v>
      </c>
      <c r="Q21" s="501">
        <f t="shared" si="6"/>
        <v>3</v>
      </c>
      <c r="R21" s="7">
        <f t="shared" si="7"/>
        <v>8</v>
      </c>
      <c r="S21" s="7">
        <f t="shared" si="7"/>
        <v>1</v>
      </c>
      <c r="T21" s="57">
        <f t="shared" si="7"/>
        <v>4</v>
      </c>
      <c r="U21">
        <f t="shared" si="8"/>
        <v>4</v>
      </c>
      <c r="AA21" t="s">
        <v>44</v>
      </c>
      <c r="AB21" s="503">
        <f>(AB17-1)*(AB16-1)*(AB17*Y13*AB19+AB18)^2/((AB16-1)*(AB17*Y13*AB19)^2+AB18^2)</f>
        <v>23.997525280220316</v>
      </c>
      <c r="AD21" s="16" t="str">
        <f>[1]!FTEXT(AB21)</f>
        <v>=(AB17-1)*(AB16-1)*(AB17*Y13*AB19+AB18)^2/((AB16-1)*(AB17*Y13*AB19)^2+AB18^2)</v>
      </c>
    </row>
    <row r="22" spans="7:30" x14ac:dyDescent="0.25">
      <c r="G22" s="426" t="s">
        <v>466</v>
      </c>
      <c r="H22" s="426" t="s">
        <v>219</v>
      </c>
      <c r="I22" s="426" t="s">
        <v>60</v>
      </c>
      <c r="J22" s="426" t="s">
        <v>240</v>
      </c>
      <c r="K22" s="426" t="s">
        <v>135</v>
      </c>
      <c r="L22" s="426" t="s">
        <v>119</v>
      </c>
      <c r="M22" s="426" t="s">
        <v>467</v>
      </c>
      <c r="P22">
        <f t="shared" si="5"/>
        <v>4</v>
      </c>
      <c r="Q22" s="501">
        <f t="shared" si="6"/>
        <v>6</v>
      </c>
      <c r="R22" s="7">
        <f t="shared" si="7"/>
        <v>4</v>
      </c>
      <c r="S22" s="7">
        <f t="shared" si="7"/>
        <v>3</v>
      </c>
      <c r="T22" s="57">
        <f t="shared" si="7"/>
        <v>3</v>
      </c>
      <c r="U22">
        <f t="shared" si="8"/>
        <v>4</v>
      </c>
      <c r="AA22" t="s">
        <v>1856</v>
      </c>
      <c r="AB22" s="503">
        <f>MAX(1,ROUND(AB21,0))</f>
        <v>24</v>
      </c>
      <c r="AD22" s="16" t="str">
        <f>[1]!FTEXT(AB22)</f>
        <v>=MAX(1,ROUND(AB21,0))</v>
      </c>
    </row>
    <row r="23" spans="7:30" x14ac:dyDescent="0.25">
      <c r="G23" s="19" t="s">
        <v>136</v>
      </c>
      <c r="H23" s="19">
        <v>188.21875</v>
      </c>
      <c r="I23" s="19">
        <v>7</v>
      </c>
      <c r="J23" s="19">
        <v>26.888392857142858</v>
      </c>
      <c r="K23" s="19">
        <v>11.7866927592955</v>
      </c>
      <c r="L23" s="19">
        <v>5.0257154640603623E-6</v>
      </c>
      <c r="M23" s="19">
        <v>2.487577703722041</v>
      </c>
      <c r="P23">
        <f t="shared" si="5"/>
        <v>5</v>
      </c>
      <c r="Q23" s="501">
        <f t="shared" si="6"/>
        <v>6</v>
      </c>
      <c r="R23" s="7">
        <f t="shared" si="7"/>
        <v>5</v>
      </c>
      <c r="S23" s="7">
        <f t="shared" si="7"/>
        <v>5</v>
      </c>
      <c r="T23" s="57">
        <f t="shared" si="7"/>
        <v>6</v>
      </c>
      <c r="U23">
        <f t="shared" si="8"/>
        <v>5.5</v>
      </c>
      <c r="AA23" t="s">
        <v>1854</v>
      </c>
      <c r="AB23" s="503">
        <f>FINV(AB15/2,AB16-1,AB22)</f>
        <v>2.8738081880378892</v>
      </c>
      <c r="AD23" s="16" t="str">
        <f>[1]!FTEXT(AB23)</f>
        <v>=FINV(AB15/2,AB16-1,AB22)</v>
      </c>
    </row>
    <row r="24" spans="7:30" x14ac:dyDescent="0.25">
      <c r="G24" s="19" t="s">
        <v>589</v>
      </c>
      <c r="H24" s="19">
        <v>7.34375</v>
      </c>
      <c r="I24" s="19">
        <v>3</v>
      </c>
      <c r="J24" s="19">
        <v>2.4479166666666665</v>
      </c>
      <c r="K24" s="19">
        <v>1.0730593607305936</v>
      </c>
      <c r="L24" s="19">
        <v>0.3818394427683251</v>
      </c>
      <c r="M24" s="19">
        <v>3.0724669863968779</v>
      </c>
      <c r="P24">
        <f t="shared" si="5"/>
        <v>6</v>
      </c>
      <c r="Q24" s="501">
        <f t="shared" si="6"/>
        <v>7</v>
      </c>
      <c r="R24" s="7">
        <f t="shared" si="7"/>
        <v>5</v>
      </c>
      <c r="S24" s="7">
        <f t="shared" si="7"/>
        <v>6</v>
      </c>
      <c r="T24" s="57">
        <f t="shared" si="7"/>
        <v>2</v>
      </c>
      <c r="U24">
        <f t="shared" si="8"/>
        <v>5</v>
      </c>
      <c r="AA24" t="s">
        <v>1855</v>
      </c>
      <c r="AB24" s="420">
        <f>FINV(AB15/2,AB22,AB16-1)</f>
        <v>4.4149990650854747</v>
      </c>
      <c r="AD24" s="16" t="str">
        <f>[1]!FTEXT(AB24)</f>
        <v>=FINV(AB15/2,AB22,AB16-1)</v>
      </c>
    </row>
    <row r="25" spans="7:30" x14ac:dyDescent="0.25">
      <c r="G25" s="19" t="s">
        <v>588</v>
      </c>
      <c r="H25" s="19">
        <v>47.90625</v>
      </c>
      <c r="I25" s="19">
        <v>21</v>
      </c>
      <c r="J25" s="19">
        <v>2.28125</v>
      </c>
      <c r="K25" s="19"/>
      <c r="L25" s="19"/>
      <c r="M25" s="19"/>
      <c r="P25">
        <f t="shared" si="5"/>
        <v>7</v>
      </c>
      <c r="Q25" s="501">
        <f t="shared" si="6"/>
        <v>8</v>
      </c>
      <c r="R25" s="7">
        <f t="shared" si="7"/>
        <v>7</v>
      </c>
      <c r="S25" s="7">
        <f t="shared" si="7"/>
        <v>7</v>
      </c>
      <c r="T25" s="57">
        <f t="shared" si="7"/>
        <v>9</v>
      </c>
      <c r="U25">
        <f t="shared" si="8"/>
        <v>7.75</v>
      </c>
      <c r="AD25" s="16"/>
    </row>
    <row r="26" spans="7:30" x14ac:dyDescent="0.25">
      <c r="G26" s="19"/>
      <c r="H26" s="19"/>
      <c r="I26" s="19"/>
      <c r="J26" s="19"/>
      <c r="K26" s="19"/>
      <c r="L26" s="19"/>
      <c r="M26" s="19"/>
      <c r="P26">
        <f t="shared" si="5"/>
        <v>8</v>
      </c>
      <c r="Q26" s="759">
        <f t="shared" si="6"/>
        <v>9</v>
      </c>
      <c r="R26" s="760">
        <f t="shared" si="7"/>
        <v>9</v>
      </c>
      <c r="S26" s="760">
        <f t="shared" si="7"/>
        <v>9</v>
      </c>
      <c r="T26" s="761">
        <f t="shared" si="7"/>
        <v>8</v>
      </c>
      <c r="U26">
        <f t="shared" si="8"/>
        <v>8.75</v>
      </c>
      <c r="AA26" t="s">
        <v>29</v>
      </c>
      <c r="AB26" s="831">
        <f>AB16*(Z7-AB23*Z9)/(AB23*AB20+AB16*Z7)</f>
        <v>0.43449727446116848</v>
      </c>
      <c r="AD26" s="16" t="str">
        <f>[1]!FTEXT(AB26)</f>
        <v>=AB16*(Z7-AB23*Z9)/(AB23*AB20+AB16*Z7)</v>
      </c>
    </row>
    <row r="27" spans="7:30" ht="15.75" thickBot="1" x14ac:dyDescent="0.3">
      <c r="G27" s="20" t="s">
        <v>1</v>
      </c>
      <c r="H27" s="20">
        <v>243.46875</v>
      </c>
      <c r="I27" s="20">
        <v>31</v>
      </c>
      <c r="J27" s="20"/>
      <c r="K27" s="20"/>
      <c r="L27" s="20"/>
      <c r="M27" s="20"/>
      <c r="Q27">
        <f>AVERAGE(B5:B12)</f>
        <v>5.125</v>
      </c>
      <c r="R27">
        <f>AVERAGE(C5:C12)</f>
        <v>5.375</v>
      </c>
      <c r="S27">
        <f>AVERAGE(D5:D12)</f>
        <v>4.25</v>
      </c>
      <c r="T27">
        <f>AVERAGE(E5:E12)</f>
        <v>4.375</v>
      </c>
      <c r="U27">
        <f>AVERAGE(B5:E12)</f>
        <v>4.78125</v>
      </c>
      <c r="AA27" t="s">
        <v>30</v>
      </c>
      <c r="AB27" s="420">
        <f>AB16*(AB24*Z7-Z9)/(AB20+AB16*AB24*Z7)</f>
        <v>0.92670818441751546</v>
      </c>
      <c r="AD27" s="16" t="str">
        <f>[1]!FTEXT(AB27)</f>
        <v>=AB16*(AB24*Z7-Z9)/(AB20+AB16*AB24*Z7)</v>
      </c>
    </row>
    <row r="28" spans="7:30" x14ac:dyDescent="0.25">
      <c r="AD28" s="16"/>
    </row>
    <row r="29" spans="7:30" x14ac:dyDescent="0.25">
      <c r="G29" t="s">
        <v>1637</v>
      </c>
      <c r="I29" s="580">
        <f>(J23-J25)/(J23+I24*J25+(I24+1)*(J24-J25)/(I23+1))</f>
        <v>0.72768878718535457</v>
      </c>
      <c r="P29" t="s">
        <v>1667</v>
      </c>
      <c r="AA29" t="s">
        <v>1909</v>
      </c>
      <c r="AB29" s="853">
        <f>(Z7-Z9)/(Z7+(Z8-Z9)/(Y7+1))</f>
        <v>0.91445003594536312</v>
      </c>
      <c r="AD29" s="16" t="str">
        <f>[1]!FTEXT(AB29)</f>
        <v>=(Z7-Z9)/(Z7+(Z8-Z9)/(Y7+1))</v>
      </c>
    </row>
    <row r="30" spans="7:30" x14ac:dyDescent="0.25">
      <c r="Q30" s="830" t="str">
        <f>B4</f>
        <v>A</v>
      </c>
      <c r="R30" s="830" t="str">
        <f>C4</f>
        <v>B</v>
      </c>
      <c r="S30" s="830" t="str">
        <f>D4</f>
        <v>C</v>
      </c>
      <c r="T30" s="830" t="str">
        <f>E4</f>
        <v>D</v>
      </c>
      <c r="AA30" t="s">
        <v>29</v>
      </c>
      <c r="AB30" s="503">
        <f>AB17*AB26/(1+Y8*AB26)</f>
        <v>0.75450196098018374</v>
      </c>
      <c r="AD30" s="16" t="str">
        <f>[1]!FTEXT(AB30)</f>
        <v>=AB17*AB26/(1+Y8*AB26)</v>
      </c>
    </row>
    <row r="31" spans="7:30" x14ac:dyDescent="0.25">
      <c r="G31" t="s">
        <v>2137</v>
      </c>
      <c r="I31" s="580">
        <f>[1]!ICC(B5:E12)</f>
        <v>0.72768878718535468</v>
      </c>
      <c r="K31" t="s">
        <v>106</v>
      </c>
      <c r="L31" s="831">
        <v>0.05</v>
      </c>
      <c r="P31">
        <f t="shared" ref="P31:P38" si="9">A5</f>
        <v>1</v>
      </c>
      <c r="Q31" s="797" t="e">
        <f t="shared" ref="Q31:Q38" si="10">VAR(B5)</f>
        <v>#DIV/0!</v>
      </c>
      <c r="R31" s="798" t="e">
        <f t="shared" ref="R31:T38" si="11">VAR(C5)</f>
        <v>#DIV/0!</v>
      </c>
      <c r="S31" s="798" t="e">
        <f t="shared" si="11"/>
        <v>#DIV/0!</v>
      </c>
      <c r="T31" s="799" t="e">
        <f t="shared" si="11"/>
        <v>#DIV/0!</v>
      </c>
      <c r="U31">
        <f t="shared" ref="U31:U38" si="12">VAR(B5:E5)</f>
        <v>0.66666666666666663</v>
      </c>
      <c r="AA31" t="s">
        <v>30</v>
      </c>
      <c r="AB31" s="420">
        <f>AB17*AB27/(1+Y8*AB27)</f>
        <v>0.98061126966850298</v>
      </c>
      <c r="AD31" s="16" t="str">
        <f>[1]!FTEXT(AB31)</f>
        <v>=AB17*AB27/(1+Y8*AB27)</v>
      </c>
    </row>
    <row r="32" spans="7:30" x14ac:dyDescent="0.25">
      <c r="K32" s="53" t="s">
        <v>31</v>
      </c>
      <c r="L32" s="503">
        <f>I23+1</f>
        <v>8</v>
      </c>
      <c r="N32" t="str">
        <f>[1]!FTEXT(L32)</f>
        <v>=I23+1</v>
      </c>
      <c r="P32">
        <f t="shared" si="9"/>
        <v>2</v>
      </c>
      <c r="Q32" s="501" t="e">
        <f t="shared" si="10"/>
        <v>#DIV/0!</v>
      </c>
      <c r="R32" s="7" t="e">
        <f t="shared" si="11"/>
        <v>#DIV/0!</v>
      </c>
      <c r="S32" s="7" t="e">
        <f t="shared" si="11"/>
        <v>#DIV/0!</v>
      </c>
      <c r="T32" s="57" t="e">
        <f t="shared" si="11"/>
        <v>#DIV/0!</v>
      </c>
      <c r="U32">
        <f t="shared" si="12"/>
        <v>0.91666666666666663</v>
      </c>
    </row>
    <row r="33" spans="11:30" x14ac:dyDescent="0.25">
      <c r="K33" s="53" t="s">
        <v>56</v>
      </c>
      <c r="L33" s="503">
        <f>I24+1</f>
        <v>4</v>
      </c>
      <c r="N33" t="str">
        <f>[1]!FTEXT(L33)</f>
        <v>=I24+1</v>
      </c>
      <c r="P33">
        <f t="shared" si="9"/>
        <v>3</v>
      </c>
      <c r="Q33" s="501" t="e">
        <f t="shared" si="10"/>
        <v>#DIV/0!</v>
      </c>
      <c r="R33" s="7" t="e">
        <f t="shared" si="11"/>
        <v>#DIV/0!</v>
      </c>
      <c r="S33" s="7" t="e">
        <f t="shared" si="11"/>
        <v>#DIV/0!</v>
      </c>
      <c r="T33" s="57" t="e">
        <f t="shared" si="11"/>
        <v>#DIV/0!</v>
      </c>
      <c r="U33">
        <f t="shared" si="12"/>
        <v>8.6666666666666661</v>
      </c>
      <c r="AA33" t="s">
        <v>2125</v>
      </c>
    </row>
    <row r="34" spans="11:30" x14ac:dyDescent="0.25">
      <c r="K34" t="s">
        <v>1564</v>
      </c>
      <c r="L34" s="503">
        <f>L32*(1+(L33-1)*I29)-L33*I29</f>
        <v>22.553775743707089</v>
      </c>
      <c r="N34" t="str">
        <f>[1]!FTEXT(L34)</f>
        <v>=L32*(1+(L33-1)*I29)-L33*I29</v>
      </c>
      <c r="P34">
        <f t="shared" si="9"/>
        <v>4</v>
      </c>
      <c r="Q34" s="501" t="e">
        <f t="shared" si="10"/>
        <v>#DIV/0!</v>
      </c>
      <c r="R34" s="7" t="e">
        <f t="shared" si="11"/>
        <v>#DIV/0!</v>
      </c>
      <c r="S34" s="7" t="e">
        <f t="shared" si="11"/>
        <v>#DIV/0!</v>
      </c>
      <c r="T34" s="57" t="e">
        <f t="shared" si="11"/>
        <v>#DIV/0!</v>
      </c>
      <c r="U34">
        <f t="shared" si="12"/>
        <v>2</v>
      </c>
    </row>
    <row r="35" spans="11:30" x14ac:dyDescent="0.25">
      <c r="K35" t="s">
        <v>1852</v>
      </c>
      <c r="L35" s="503">
        <f>K24</f>
        <v>1.0730593607305936</v>
      </c>
      <c r="N35" t="str">
        <f>[1]!FTEXT(L35)</f>
        <v>=K24</v>
      </c>
      <c r="P35">
        <f t="shared" si="9"/>
        <v>5</v>
      </c>
      <c r="Q35" s="501" t="e">
        <f t="shared" si="10"/>
        <v>#DIV/0!</v>
      </c>
      <c r="R35" s="7" t="e">
        <f t="shared" si="11"/>
        <v>#DIV/0!</v>
      </c>
      <c r="S35" s="7" t="e">
        <f t="shared" si="11"/>
        <v>#DIV/0!</v>
      </c>
      <c r="T35" s="57" t="e">
        <f t="shared" si="11"/>
        <v>#DIV/0!</v>
      </c>
      <c r="U35">
        <f t="shared" si="12"/>
        <v>0.33333333333333331</v>
      </c>
      <c r="AA35" t="s">
        <v>1924</v>
      </c>
      <c r="AB35" s="853">
        <f>[1]!ICC(B5:E12,2,1)</f>
        <v>0.72768878718535468</v>
      </c>
      <c r="AD35" s="16" t="s">
        <v>1925</v>
      </c>
    </row>
    <row r="36" spans="11:30" x14ac:dyDescent="0.25">
      <c r="K36" t="s">
        <v>1853</v>
      </c>
      <c r="L36" s="503">
        <f>L33*J24+(L32*L33-L33-L32)*J25</f>
        <v>55.416666666666664</v>
      </c>
      <c r="N36" t="str">
        <f>[1]!FTEXT(L36)</f>
        <v>=L33*J24+(L32*L33-L33-L32)*J25</v>
      </c>
      <c r="P36">
        <f t="shared" si="9"/>
        <v>6</v>
      </c>
      <c r="Q36" s="501" t="e">
        <f t="shared" si="10"/>
        <v>#DIV/0!</v>
      </c>
      <c r="R36" s="7" t="e">
        <f t="shared" si="11"/>
        <v>#DIV/0!</v>
      </c>
      <c r="S36" s="7" t="e">
        <f t="shared" si="11"/>
        <v>#DIV/0!</v>
      </c>
      <c r="T36" s="57" t="e">
        <f t="shared" si="11"/>
        <v>#DIV/0!</v>
      </c>
      <c r="U36">
        <f t="shared" si="12"/>
        <v>4.666666666666667</v>
      </c>
      <c r="AA36" t="s">
        <v>1909</v>
      </c>
      <c r="AB36" s="420">
        <f>[1]!ICC(B5:E12,2,4)</f>
        <v>0.914450035945363</v>
      </c>
      <c r="AD36" s="16" t="s">
        <v>1926</v>
      </c>
    </row>
    <row r="37" spans="11:30" x14ac:dyDescent="0.25">
      <c r="K37" t="s">
        <v>44</v>
      </c>
      <c r="L37" s="503">
        <f>(L33-1)*(L32-1)*(L33*I29*L35+L34)^2/((L32-1)*(L33*I29*L35)^2+L34^2)</f>
        <v>23.997525280220316</v>
      </c>
      <c r="N37" t="str">
        <f>[1]!FTEXT(L37)</f>
        <v>=(L33-1)*(L32-1)*(L33*I29*L35+L34)^2/((L32-1)*(L33*I29*L35)^2+L34^2)</v>
      </c>
      <c r="P37">
        <f t="shared" si="9"/>
        <v>7</v>
      </c>
      <c r="Q37" s="501" t="e">
        <f t="shared" si="10"/>
        <v>#DIV/0!</v>
      </c>
      <c r="R37" s="7" t="e">
        <f t="shared" si="11"/>
        <v>#DIV/0!</v>
      </c>
      <c r="S37" s="7" t="e">
        <f t="shared" si="11"/>
        <v>#DIV/0!</v>
      </c>
      <c r="T37" s="57" t="e">
        <f t="shared" si="11"/>
        <v>#DIV/0!</v>
      </c>
      <c r="U37">
        <f t="shared" si="12"/>
        <v>0.91666666666666663</v>
      </c>
    </row>
    <row r="38" spans="11:30" x14ac:dyDescent="0.25">
      <c r="K38" t="s">
        <v>1856</v>
      </c>
      <c r="L38" s="503">
        <f>MAX(1,ROUND(L37,0))</f>
        <v>24</v>
      </c>
      <c r="N38" t="str">
        <f>[1]!FTEXT(L38)</f>
        <v>=MAX(1,ROUND(L37,0))</v>
      </c>
      <c r="P38">
        <f t="shared" si="9"/>
        <v>8</v>
      </c>
      <c r="Q38" s="759" t="e">
        <f t="shared" si="10"/>
        <v>#DIV/0!</v>
      </c>
      <c r="R38" s="760" t="e">
        <f t="shared" si="11"/>
        <v>#DIV/0!</v>
      </c>
      <c r="S38" s="760" t="e">
        <f t="shared" si="11"/>
        <v>#DIV/0!</v>
      </c>
      <c r="T38" s="761" t="e">
        <f t="shared" si="11"/>
        <v>#DIV/0!</v>
      </c>
      <c r="U38">
        <f t="shared" si="12"/>
        <v>0.25</v>
      </c>
      <c r="AA38" t="str">
        <f t="array" ref="AA38:AB40">[1]!ICC(B5:E12,2,1,TRUE)</f>
        <v>ICC</v>
      </c>
      <c r="AB38" s="868">
        <v>0.72768878718535468</v>
      </c>
      <c r="AD38" t="str">
        <f>[1]!FTEXT(AB38)</f>
        <v>=ICC(B5:E12,2,1,TRUE)</v>
      </c>
    </row>
    <row r="39" spans="11:30" x14ac:dyDescent="0.25">
      <c r="K39" t="s">
        <v>1854</v>
      </c>
      <c r="L39" s="503">
        <f>FINV(L31/2,L32-1,L38)</f>
        <v>2.8738081880378892</v>
      </c>
      <c r="N39" t="str">
        <f>[1]!FTEXT(L39)</f>
        <v>=FINV(L31/2,L32-1,L38)</v>
      </c>
      <c r="Q39">
        <f>VAR(B5:B12)</f>
        <v>9.5535714285714288</v>
      </c>
      <c r="R39">
        <f>VAR(C5:C12)</f>
        <v>5.9821428571428568</v>
      </c>
      <c r="S39">
        <f>VAR(D5:D12)</f>
        <v>9.3571428571428577</v>
      </c>
      <c r="T39">
        <f>VAR(E5:E12)</f>
        <v>8.8392857142857135</v>
      </c>
      <c r="U39">
        <f>VAR(B5:E12)</f>
        <v>7.85383064516129</v>
      </c>
      <c r="AA39" t="str">
        <v>lower</v>
      </c>
      <c r="AB39" s="503">
        <v>0.43449727446116843</v>
      </c>
    </row>
    <row r="40" spans="11:30" x14ac:dyDescent="0.25">
      <c r="K40" t="s">
        <v>1855</v>
      </c>
      <c r="L40" s="420">
        <f>FINV(L31/2,L38,L32-1)</f>
        <v>4.4149990650854747</v>
      </c>
      <c r="N40" t="str">
        <f>[1]!FTEXT(L40)</f>
        <v>=FINV(L31/2,L38,L32-1)</v>
      </c>
      <c r="AA40" t="str">
        <v>upper</v>
      </c>
      <c r="AB40" s="420">
        <v>0.92670818441751546</v>
      </c>
    </row>
    <row r="41" spans="11:30" x14ac:dyDescent="0.25">
      <c r="N41" t="str">
        <f>[1]!FTEXT(L41)</f>
        <v/>
      </c>
    </row>
    <row r="42" spans="11:30" x14ac:dyDescent="0.25">
      <c r="K42" t="s">
        <v>29</v>
      </c>
      <c r="L42" s="831">
        <f>L32*(J23-L39*J25)/(L39*L36+L32*J23)</f>
        <v>0.43449727446116848</v>
      </c>
      <c r="N42" t="str">
        <f>[1]!FTEXT(L42)</f>
        <v>=L32*(J23-L39*J25)/(L39*L36+L32*J23)</v>
      </c>
      <c r="AA42" t="str">
        <f t="array" ref="AA42:AB44">[1]!ICC(B5:E12,2,4,TRUE)</f>
        <v>ICC</v>
      </c>
      <c r="AB42" s="868">
        <v>0.914450035945363</v>
      </c>
      <c r="AD42" t="str">
        <f>[1]!FTEXT(AB42)</f>
        <v>=ICC(B5:E12,2,4,TRUE)</v>
      </c>
    </row>
    <row r="43" spans="11:30" x14ac:dyDescent="0.25">
      <c r="K43" t="s">
        <v>30</v>
      </c>
      <c r="L43" s="420">
        <f>L32*(L40*J23-J25)/(L36+L32*L40*J23)</f>
        <v>0.92670818441751546</v>
      </c>
      <c r="N43" t="str">
        <f>[1]!FTEXT(L43)</f>
        <v>=L32*(L40*J23-J25)/(L36+L32*L40*J23)</v>
      </c>
      <c r="AA43" t="str">
        <v>lower</v>
      </c>
      <c r="AB43" s="503">
        <v>0.75450196098018363</v>
      </c>
    </row>
    <row r="44" spans="11:30" x14ac:dyDescent="0.25">
      <c r="AA44" t="str">
        <v>upper</v>
      </c>
      <c r="AB44" s="420">
        <v>0.98061126966850298</v>
      </c>
    </row>
    <row r="49" spans="30:30" x14ac:dyDescent="0.25">
      <c r="AD49" s="16" t="str">
        <f>[1]!FTEXT(AB49)</f>
        <v/>
      </c>
    </row>
    <row r="50" spans="30:30" x14ac:dyDescent="0.25">
      <c r="AD50" s="16" t="str">
        <f>[1]!FTEXT(AB50)</f>
        <v/>
      </c>
    </row>
    <row r="51" spans="30:30" x14ac:dyDescent="0.25">
      <c r="AD51" s="16" t="str">
        <f>[1]!FTEXT(AB51)</f>
        <v/>
      </c>
    </row>
    <row r="52" spans="30:30" x14ac:dyDescent="0.25">
      <c r="AD52" s="16" t="str">
        <f>[1]!FTEXT(AB52)</f>
        <v/>
      </c>
    </row>
    <row r="53" spans="30:30" x14ac:dyDescent="0.25">
      <c r="AD53" s="16" t="str">
        <f>[1]!FTEXT(AB53)</f>
        <v/>
      </c>
    </row>
    <row r="54" spans="30:30" x14ac:dyDescent="0.25">
      <c r="AD54" s="16" t="str">
        <f>[1]!FTEXT(AB54)</f>
        <v/>
      </c>
    </row>
    <row r="55" spans="30:30" x14ac:dyDescent="0.25">
      <c r="AD55" s="16" t="str">
        <f>[1]!FTEXT(AB55)</f>
        <v/>
      </c>
    </row>
    <row r="56" spans="30:30" x14ac:dyDescent="0.25">
      <c r="AD56" s="16" t="str">
        <f>[1]!FTEXT(AB56)</f>
        <v/>
      </c>
    </row>
    <row r="57" spans="30:30" x14ac:dyDescent="0.25">
      <c r="AD57" s="16" t="str">
        <f>[1]!FTEXT(AB57)</f>
        <v/>
      </c>
    </row>
    <row r="58" spans="30:30" x14ac:dyDescent="0.25">
      <c r="AD58" s="16"/>
    </row>
    <row r="59" spans="30:30" x14ac:dyDescent="0.25">
      <c r="AD59" s="16" t="str">
        <f>[1]!FTEXT(AB59)</f>
        <v/>
      </c>
    </row>
    <row r="60" spans="30:30" x14ac:dyDescent="0.25">
      <c r="AD60" s="16" t="str">
        <f>[1]!FTEXT(AB60)</f>
        <v/>
      </c>
    </row>
  </sheetData>
  <mergeCells count="1">
    <mergeCell ref="B3:E3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AD58"/>
  <sheetViews>
    <sheetView workbookViewId="0"/>
  </sheetViews>
  <sheetFormatPr defaultRowHeight="15" x14ac:dyDescent="0.25"/>
  <cols>
    <col min="1" max="1" width="7.85546875" customWidth="1"/>
    <col min="2" max="6" width="5.85546875" customWidth="1"/>
    <col min="7" max="7" width="18.28515625" customWidth="1"/>
    <col min="29" max="29" width="4.28515625" customWidth="1"/>
    <col min="30" max="30" width="76.7109375" customWidth="1"/>
  </cols>
  <sheetData>
    <row r="1" spans="1:30" x14ac:dyDescent="0.25">
      <c r="A1" s="1" t="s">
        <v>1899</v>
      </c>
      <c r="P1" t="s">
        <v>1585</v>
      </c>
    </row>
    <row r="3" spans="1:30" x14ac:dyDescent="0.25">
      <c r="B3" s="1309" t="s">
        <v>978</v>
      </c>
      <c r="C3" s="1309"/>
      <c r="D3" s="1309"/>
      <c r="E3" s="1309"/>
      <c r="G3" t="s">
        <v>587</v>
      </c>
      <c r="P3" t="s">
        <v>27</v>
      </c>
      <c r="W3" t="s">
        <v>1670</v>
      </c>
    </row>
    <row r="4" spans="1:30" ht="15.75" thickBot="1" x14ac:dyDescent="0.3">
      <c r="A4" s="847" t="s">
        <v>979</v>
      </c>
      <c r="B4" s="101" t="s">
        <v>213</v>
      </c>
      <c r="C4" s="847" t="s">
        <v>131</v>
      </c>
      <c r="D4" s="847" t="s">
        <v>132</v>
      </c>
      <c r="E4" s="847" t="s">
        <v>133</v>
      </c>
    </row>
    <row r="5" spans="1:30" ht="15.75" thickBot="1" x14ac:dyDescent="0.3">
      <c r="A5" s="847">
        <v>1</v>
      </c>
      <c r="B5" s="486">
        <v>1</v>
      </c>
      <c r="C5" s="492">
        <v>2</v>
      </c>
      <c r="D5" s="492">
        <v>0</v>
      </c>
      <c r="E5" s="493">
        <v>1</v>
      </c>
      <c r="G5" s="850" t="s">
        <v>62</v>
      </c>
      <c r="H5" s="850" t="s">
        <v>22</v>
      </c>
      <c r="I5" s="850" t="s">
        <v>21</v>
      </c>
      <c r="J5" s="850" t="s">
        <v>465</v>
      </c>
      <c r="K5" s="850" t="s">
        <v>80</v>
      </c>
      <c r="P5" t="s">
        <v>1666</v>
      </c>
      <c r="W5" t="s">
        <v>294</v>
      </c>
      <c r="AA5" s="847" t="s">
        <v>34</v>
      </c>
      <c r="AB5" s="847">
        <v>0.05</v>
      </c>
    </row>
    <row r="6" spans="1:30" ht="15.75" thickTop="1" x14ac:dyDescent="0.25">
      <c r="A6" s="847">
        <f>A5+1</f>
        <v>2</v>
      </c>
      <c r="B6" s="256">
        <v>1</v>
      </c>
      <c r="C6" s="849">
        <v>3</v>
      </c>
      <c r="D6" s="849">
        <v>3</v>
      </c>
      <c r="E6" s="494">
        <v>2</v>
      </c>
      <c r="G6" s="19">
        <v>1</v>
      </c>
      <c r="H6" s="19">
        <v>4</v>
      </c>
      <c r="I6" s="19">
        <v>4</v>
      </c>
      <c r="J6" s="19">
        <v>1</v>
      </c>
      <c r="K6" s="19">
        <v>0.66666666666666663</v>
      </c>
      <c r="Q6" s="847" t="str">
        <f>B4</f>
        <v>A</v>
      </c>
      <c r="R6" s="847" t="str">
        <f>C4</f>
        <v>B</v>
      </c>
      <c r="S6" s="847" t="str">
        <f>D4</f>
        <v>C</v>
      </c>
      <c r="T6" s="847" t="str">
        <f>E4</f>
        <v>D</v>
      </c>
      <c r="W6" s="826"/>
      <c r="X6" s="826" t="s">
        <v>219</v>
      </c>
      <c r="Y6" s="826" t="s">
        <v>60</v>
      </c>
      <c r="Z6" s="826" t="s">
        <v>240</v>
      </c>
      <c r="AA6" s="826" t="s">
        <v>135</v>
      </c>
      <c r="AB6" s="826" t="s">
        <v>67</v>
      </c>
      <c r="AC6" s="826" t="s">
        <v>527</v>
      </c>
    </row>
    <row r="7" spans="1:30" x14ac:dyDescent="0.25">
      <c r="A7" s="847">
        <f t="shared" ref="A7:A12" si="0">A6+1</f>
        <v>3</v>
      </c>
      <c r="B7" s="35">
        <v>3</v>
      </c>
      <c r="C7" s="849">
        <v>8</v>
      </c>
      <c r="D7" s="849">
        <v>1</v>
      </c>
      <c r="E7" s="494">
        <v>4</v>
      </c>
      <c r="G7" s="19">
        <v>2</v>
      </c>
      <c r="H7" s="19">
        <v>4</v>
      </c>
      <c r="I7" s="19">
        <v>9</v>
      </c>
      <c r="J7" s="19">
        <v>2.25</v>
      </c>
      <c r="K7" s="19">
        <v>0.91666666666666663</v>
      </c>
      <c r="P7">
        <f t="shared" ref="P7:P14" si="1">A5</f>
        <v>1</v>
      </c>
      <c r="Q7" s="797">
        <f t="shared" ref="Q7:T14" si="2">COUNT(B5)</f>
        <v>1</v>
      </c>
      <c r="R7" s="798">
        <f t="shared" si="2"/>
        <v>1</v>
      </c>
      <c r="S7" s="798">
        <f t="shared" si="2"/>
        <v>1</v>
      </c>
      <c r="T7" s="799">
        <f t="shared" si="2"/>
        <v>1</v>
      </c>
      <c r="U7">
        <f t="shared" ref="U7:U14" si="3">COUNT(B5:E5)</f>
        <v>4</v>
      </c>
      <c r="W7" t="s">
        <v>136</v>
      </c>
      <c r="X7">
        <f>DEVSQ(U19:U26)*U7</f>
        <v>188.21875</v>
      </c>
      <c r="Y7">
        <f>COUNT(U19:U26)-1</f>
        <v>7</v>
      </c>
      <c r="Z7">
        <f>X7/Y7</f>
        <v>26.888392857142858</v>
      </c>
      <c r="AA7">
        <f>Z7/Z9</f>
        <v>11.7866927592955</v>
      </c>
      <c r="AB7">
        <f>FDIST(AA7,Y7,Y9)</f>
        <v>5.0257154640603623E-6</v>
      </c>
      <c r="AC7" s="847" t="str">
        <f>IF(AB7&lt;AB5,"yes","no")</f>
        <v>yes</v>
      </c>
    </row>
    <row r="8" spans="1:30" x14ac:dyDescent="0.25">
      <c r="A8" s="847">
        <f t="shared" si="0"/>
        <v>4</v>
      </c>
      <c r="B8" s="35">
        <v>6</v>
      </c>
      <c r="C8" s="849">
        <v>4</v>
      </c>
      <c r="D8" s="849">
        <v>3</v>
      </c>
      <c r="E8" s="494">
        <v>3</v>
      </c>
      <c r="G8" s="19">
        <v>3</v>
      </c>
      <c r="H8" s="19">
        <v>4</v>
      </c>
      <c r="I8" s="19">
        <v>16</v>
      </c>
      <c r="J8" s="19">
        <v>4</v>
      </c>
      <c r="K8" s="19">
        <v>8.6666666666666661</v>
      </c>
      <c r="P8">
        <f t="shared" si="1"/>
        <v>2</v>
      </c>
      <c r="Q8" s="501">
        <f t="shared" si="2"/>
        <v>1</v>
      </c>
      <c r="R8" s="7">
        <f t="shared" si="2"/>
        <v>1</v>
      </c>
      <c r="S8" s="7">
        <f t="shared" si="2"/>
        <v>1</v>
      </c>
      <c r="T8" s="57">
        <f t="shared" si="2"/>
        <v>1</v>
      </c>
      <c r="U8">
        <f t="shared" si="3"/>
        <v>4</v>
      </c>
      <c r="W8" t="s">
        <v>589</v>
      </c>
      <c r="X8">
        <f>DEVSQ(Q27:T27)*Q15</f>
        <v>7.34375</v>
      </c>
      <c r="Y8">
        <f>COUNT(Q27:T27)-1</f>
        <v>3</v>
      </c>
      <c r="Z8">
        <f>X8/Y8</f>
        <v>2.4479166666666665</v>
      </c>
      <c r="AA8">
        <f>Z8/Z9</f>
        <v>1.0730593607305936</v>
      </c>
      <c r="AB8">
        <f>FDIST(AA8,Y8,Y9)</f>
        <v>0.3818394427683251</v>
      </c>
      <c r="AC8" s="847" t="str">
        <f>IF(AB8&lt;AB5,"yes","no")</f>
        <v>no</v>
      </c>
    </row>
    <row r="9" spans="1:30" x14ac:dyDescent="0.25">
      <c r="A9" s="847">
        <f t="shared" si="0"/>
        <v>5</v>
      </c>
      <c r="B9" s="35">
        <v>6</v>
      </c>
      <c r="C9" s="849">
        <v>5</v>
      </c>
      <c r="D9" s="849">
        <v>5</v>
      </c>
      <c r="E9" s="494">
        <v>6</v>
      </c>
      <c r="G9" s="19">
        <v>4</v>
      </c>
      <c r="H9" s="19">
        <v>4</v>
      </c>
      <c r="I9" s="19">
        <v>16</v>
      </c>
      <c r="J9" s="19">
        <v>4</v>
      </c>
      <c r="K9" s="19">
        <v>2</v>
      </c>
      <c r="P9">
        <f t="shared" si="1"/>
        <v>3</v>
      </c>
      <c r="Q9" s="501">
        <f t="shared" si="2"/>
        <v>1</v>
      </c>
      <c r="R9" s="7">
        <f t="shared" si="2"/>
        <v>1</v>
      </c>
      <c r="S9" s="7">
        <f t="shared" si="2"/>
        <v>1</v>
      </c>
      <c r="T9" s="57">
        <f t="shared" si="2"/>
        <v>1</v>
      </c>
      <c r="U9">
        <f t="shared" si="3"/>
        <v>4</v>
      </c>
      <c r="W9" t="s">
        <v>588</v>
      </c>
      <c r="X9">
        <f>X11-X7-X8</f>
        <v>47.90625</v>
      </c>
      <c r="Y9">
        <f>Y8*Y7</f>
        <v>21</v>
      </c>
      <c r="Z9">
        <f>X9/Y9</f>
        <v>2.28125</v>
      </c>
    </row>
    <row r="10" spans="1:30" x14ac:dyDescent="0.25">
      <c r="A10" s="847">
        <f t="shared" si="0"/>
        <v>6</v>
      </c>
      <c r="B10" s="35">
        <v>7</v>
      </c>
      <c r="C10" s="849">
        <v>5</v>
      </c>
      <c r="D10" s="849">
        <v>6</v>
      </c>
      <c r="E10" s="494">
        <v>2</v>
      </c>
      <c r="G10" s="19">
        <v>5</v>
      </c>
      <c r="H10" s="19">
        <v>4</v>
      </c>
      <c r="I10" s="19">
        <v>22</v>
      </c>
      <c r="J10" s="19">
        <v>5.5</v>
      </c>
      <c r="K10" s="19">
        <v>0.33333333333333331</v>
      </c>
      <c r="P10">
        <f t="shared" si="1"/>
        <v>4</v>
      </c>
      <c r="Q10" s="501">
        <f t="shared" si="2"/>
        <v>1</v>
      </c>
      <c r="R10" s="7">
        <f t="shared" si="2"/>
        <v>1</v>
      </c>
      <c r="S10" s="7">
        <f t="shared" si="2"/>
        <v>1</v>
      </c>
      <c r="T10" s="57">
        <f t="shared" si="2"/>
        <v>1</v>
      </c>
      <c r="U10">
        <f t="shared" si="3"/>
        <v>4</v>
      </c>
    </row>
    <row r="11" spans="1:30" x14ac:dyDescent="0.25">
      <c r="A11" s="847">
        <f t="shared" si="0"/>
        <v>7</v>
      </c>
      <c r="B11" s="35">
        <v>8</v>
      </c>
      <c r="C11" s="849">
        <v>7</v>
      </c>
      <c r="D11" s="849">
        <v>7</v>
      </c>
      <c r="E11" s="494">
        <v>9</v>
      </c>
      <c r="G11" s="19">
        <v>6</v>
      </c>
      <c r="H11" s="19">
        <v>4</v>
      </c>
      <c r="I11" s="19">
        <v>20</v>
      </c>
      <c r="J11" s="19">
        <v>5</v>
      </c>
      <c r="K11" s="19">
        <v>4.666666666666667</v>
      </c>
      <c r="P11">
        <f t="shared" si="1"/>
        <v>5</v>
      </c>
      <c r="Q11" s="501">
        <f t="shared" si="2"/>
        <v>1</v>
      </c>
      <c r="R11" s="7">
        <f t="shared" si="2"/>
        <v>1</v>
      </c>
      <c r="S11" s="7">
        <f t="shared" si="2"/>
        <v>1</v>
      </c>
      <c r="T11" s="57">
        <f t="shared" si="2"/>
        <v>1</v>
      </c>
      <c r="U11">
        <f t="shared" si="3"/>
        <v>4</v>
      </c>
      <c r="W11" s="762" t="s">
        <v>1</v>
      </c>
      <c r="X11" s="762">
        <f>Z11*Y11</f>
        <v>243.46875</v>
      </c>
      <c r="Y11" s="762">
        <f>U15-1</f>
        <v>31</v>
      </c>
      <c r="Z11" s="762">
        <f>U39</f>
        <v>7.85383064516129</v>
      </c>
      <c r="AA11" s="762"/>
      <c r="AB11" s="762"/>
      <c r="AC11" s="762"/>
    </row>
    <row r="12" spans="1:30" x14ac:dyDescent="0.25">
      <c r="A12" s="847">
        <f t="shared" si="0"/>
        <v>8</v>
      </c>
      <c r="B12" s="436">
        <v>9</v>
      </c>
      <c r="C12" s="848">
        <v>9</v>
      </c>
      <c r="D12" s="848">
        <v>9</v>
      </c>
      <c r="E12" s="412">
        <v>8</v>
      </c>
      <c r="G12" s="19">
        <v>7</v>
      </c>
      <c r="H12" s="19">
        <v>4</v>
      </c>
      <c r="I12" s="19">
        <v>31</v>
      </c>
      <c r="J12" s="19">
        <v>7.75</v>
      </c>
      <c r="K12" s="19">
        <v>0.91666666666666663</v>
      </c>
      <c r="P12">
        <f t="shared" si="1"/>
        <v>6</v>
      </c>
      <c r="Q12" s="501">
        <f t="shared" si="2"/>
        <v>1</v>
      </c>
      <c r="R12" s="7">
        <f t="shared" si="2"/>
        <v>1</v>
      </c>
      <c r="S12" s="7">
        <f t="shared" si="2"/>
        <v>1</v>
      </c>
      <c r="T12" s="57">
        <f t="shared" si="2"/>
        <v>1</v>
      </c>
      <c r="U12">
        <f t="shared" si="3"/>
        <v>4</v>
      </c>
    </row>
    <row r="13" spans="1:30" x14ac:dyDescent="0.25">
      <c r="G13" s="19">
        <v>8</v>
      </c>
      <c r="H13" s="19">
        <v>4</v>
      </c>
      <c r="I13" s="19">
        <v>35</v>
      </c>
      <c r="J13" s="19">
        <v>8.75</v>
      </c>
      <c r="K13" s="19">
        <v>0.25</v>
      </c>
      <c r="P13">
        <f t="shared" si="1"/>
        <v>7</v>
      </c>
      <c r="Q13" s="501">
        <f t="shared" si="2"/>
        <v>1</v>
      </c>
      <c r="R13" s="7">
        <f t="shared" si="2"/>
        <v>1</v>
      </c>
      <c r="S13" s="7">
        <f t="shared" si="2"/>
        <v>1</v>
      </c>
      <c r="T13" s="57">
        <f t="shared" si="2"/>
        <v>1</v>
      </c>
      <c r="U13">
        <f t="shared" si="3"/>
        <v>4</v>
      </c>
      <c r="W13" t="s">
        <v>1760</v>
      </c>
      <c r="Y13" s="580">
        <f>(Z7-Z9)/(Z7+Y8*Z9+(Y8+1)*(Z8-Z9)/(Y7+1))</f>
        <v>0.72768878718535457</v>
      </c>
    </row>
    <row r="14" spans="1:30" x14ac:dyDescent="0.25">
      <c r="G14" s="19"/>
      <c r="H14" s="19"/>
      <c r="I14" s="19"/>
      <c r="J14" s="19"/>
      <c r="K14" s="19"/>
      <c r="P14">
        <f t="shared" si="1"/>
        <v>8</v>
      </c>
      <c r="Q14" s="759">
        <f t="shared" si="2"/>
        <v>1</v>
      </c>
      <c r="R14" s="760">
        <f t="shared" si="2"/>
        <v>1</v>
      </c>
      <c r="S14" s="760">
        <f t="shared" si="2"/>
        <v>1</v>
      </c>
      <c r="T14" s="761">
        <f t="shared" si="2"/>
        <v>1</v>
      </c>
      <c r="U14">
        <f t="shared" si="3"/>
        <v>4</v>
      </c>
    </row>
    <row r="15" spans="1:30" x14ac:dyDescent="0.25">
      <c r="G15" s="19" t="s">
        <v>213</v>
      </c>
      <c r="H15" s="19">
        <v>8</v>
      </c>
      <c r="I15" s="19">
        <v>41</v>
      </c>
      <c r="J15" s="19">
        <v>5.125</v>
      </c>
      <c r="K15" s="19">
        <v>9.5535714285714288</v>
      </c>
      <c r="Q15">
        <f>COUNT(B5:B12)</f>
        <v>8</v>
      </c>
      <c r="R15">
        <f>COUNT(C5:C12)</f>
        <v>8</v>
      </c>
      <c r="S15">
        <f>COUNT(D5:D12)</f>
        <v>8</v>
      </c>
      <c r="T15">
        <f>COUNT(E5:E12)</f>
        <v>8</v>
      </c>
      <c r="U15">
        <f>COUNT(B5:E12)</f>
        <v>32</v>
      </c>
      <c r="AA15" t="s">
        <v>106</v>
      </c>
      <c r="AB15" s="831">
        <v>0.05</v>
      </c>
    </row>
    <row r="16" spans="1:30" x14ac:dyDescent="0.25">
      <c r="G16" s="19" t="s">
        <v>131</v>
      </c>
      <c r="H16" s="19">
        <v>8</v>
      </c>
      <c r="I16" s="19">
        <v>43</v>
      </c>
      <c r="J16" s="19">
        <v>5.375</v>
      </c>
      <c r="K16" s="19">
        <v>5.9821428571428568</v>
      </c>
      <c r="W16" t="s">
        <v>1849</v>
      </c>
      <c r="Y16" s="831">
        <f>Z7-Z9</f>
        <v>24.607142857142858</v>
      </c>
      <c r="AA16" s="53" t="s">
        <v>31</v>
      </c>
      <c r="AB16" s="503">
        <f>Y7+1</f>
        <v>8</v>
      </c>
      <c r="AD16" s="16" t="s">
        <v>1861</v>
      </c>
    </row>
    <row r="17" spans="7:30" x14ac:dyDescent="0.25">
      <c r="G17" s="19" t="s">
        <v>132</v>
      </c>
      <c r="H17" s="19">
        <v>8</v>
      </c>
      <c r="I17" s="19">
        <v>34</v>
      </c>
      <c r="J17" s="19">
        <v>4.25</v>
      </c>
      <c r="K17" s="19">
        <v>9.3571428571428577</v>
      </c>
      <c r="P17" t="s">
        <v>610</v>
      </c>
      <c r="W17" t="s">
        <v>1850</v>
      </c>
      <c r="Y17" s="503">
        <f>(Y8+1)*Z9</f>
        <v>9.125</v>
      </c>
      <c r="AA17" s="53" t="s">
        <v>56</v>
      </c>
      <c r="AB17" s="503">
        <f>Y8+1</f>
        <v>4</v>
      </c>
      <c r="AD17" s="16" t="s">
        <v>1862</v>
      </c>
    </row>
    <row r="18" spans="7:30" ht="15.75" thickBot="1" x14ac:dyDescent="0.3">
      <c r="G18" s="20" t="s">
        <v>133</v>
      </c>
      <c r="H18" s="20">
        <v>8</v>
      </c>
      <c r="I18" s="20">
        <v>35</v>
      </c>
      <c r="J18" s="20">
        <v>4.375</v>
      </c>
      <c r="K18" s="20">
        <v>8.8392857142857135</v>
      </c>
      <c r="Q18" s="847" t="str">
        <f>B4</f>
        <v>A</v>
      </c>
      <c r="R18" s="847" t="str">
        <f>C4</f>
        <v>B</v>
      </c>
      <c r="S18" s="847" t="str">
        <f>D4</f>
        <v>C</v>
      </c>
      <c r="T18" s="847" t="str">
        <f>E4</f>
        <v>D</v>
      </c>
      <c r="W18" t="s">
        <v>1851</v>
      </c>
      <c r="Y18" s="503">
        <f>(Y8+1)*(Z8-Z9)/(Y7+1)</f>
        <v>8.3333333333333259E-2</v>
      </c>
      <c r="AA18" t="s">
        <v>1564</v>
      </c>
      <c r="AB18" s="503">
        <f>AB16*(1+(AB17-1)*Y13)-AB17*Y13</f>
        <v>22.553775743707089</v>
      </c>
      <c r="AD18" s="16" t="s">
        <v>1864</v>
      </c>
    </row>
    <row r="19" spans="7:30" x14ac:dyDescent="0.25">
      <c r="P19">
        <f t="shared" ref="P19:P26" si="4">A5</f>
        <v>1</v>
      </c>
      <c r="Q19" s="797">
        <f t="shared" ref="Q19:T26" si="5">AVERAGE(B5)</f>
        <v>1</v>
      </c>
      <c r="R19" s="798">
        <f t="shared" si="5"/>
        <v>2</v>
      </c>
      <c r="S19" s="798">
        <f t="shared" si="5"/>
        <v>0</v>
      </c>
      <c r="T19" s="799">
        <f t="shared" si="5"/>
        <v>1</v>
      </c>
      <c r="U19">
        <f t="shared" ref="U19:U26" si="6">AVERAGE(B5:E5)</f>
        <v>1</v>
      </c>
      <c r="W19" t="s">
        <v>1830</v>
      </c>
      <c r="Y19" s="503">
        <f>SUM(Y16:Y18)</f>
        <v>33.815476190476197</v>
      </c>
      <c r="AA19" t="s">
        <v>1852</v>
      </c>
      <c r="AB19" s="503">
        <f>AA8</f>
        <v>1.0730593607305936</v>
      </c>
      <c r="AD19" s="16" t="s">
        <v>1857</v>
      </c>
    </row>
    <row r="20" spans="7:30" x14ac:dyDescent="0.25">
      <c r="P20">
        <f t="shared" si="4"/>
        <v>2</v>
      </c>
      <c r="Q20" s="501">
        <f t="shared" si="5"/>
        <v>1</v>
      </c>
      <c r="R20" s="7">
        <f t="shared" si="5"/>
        <v>3</v>
      </c>
      <c r="S20" s="7">
        <f t="shared" si="5"/>
        <v>3</v>
      </c>
      <c r="T20" s="57">
        <f t="shared" si="5"/>
        <v>2</v>
      </c>
      <c r="U20">
        <f t="shared" si="6"/>
        <v>2.25</v>
      </c>
      <c r="W20" t="s">
        <v>1760</v>
      </c>
      <c r="Y20" s="420">
        <f>Y16/Y19</f>
        <v>0.72768878718535457</v>
      </c>
      <c r="AA20" t="s">
        <v>1853</v>
      </c>
      <c r="AB20" s="503">
        <f>AB17*Z8+(AB16*AB17-AB17-AB16)*Z9</f>
        <v>55.416666666666664</v>
      </c>
      <c r="AD20" s="16" t="s">
        <v>1865</v>
      </c>
    </row>
    <row r="21" spans="7:30" ht="15.75" thickBot="1" x14ac:dyDescent="0.3">
      <c r="G21" t="s">
        <v>294</v>
      </c>
      <c r="P21">
        <f t="shared" si="4"/>
        <v>3</v>
      </c>
      <c r="Q21" s="501">
        <f t="shared" si="5"/>
        <v>3</v>
      </c>
      <c r="R21" s="7">
        <f t="shared" si="5"/>
        <v>8</v>
      </c>
      <c r="S21" s="7">
        <f t="shared" si="5"/>
        <v>1</v>
      </c>
      <c r="T21" s="57">
        <f t="shared" si="5"/>
        <v>4</v>
      </c>
      <c r="U21">
        <f t="shared" si="6"/>
        <v>4</v>
      </c>
      <c r="AA21" t="s">
        <v>44</v>
      </c>
      <c r="AB21" s="503">
        <f>(AB17-1)*(AB16-1)*(AB17*Y13*AB19+AB18)^2/((AB16-1)*(AB17*Y13*AB19)^2+AB18^2)</f>
        <v>23.997525280220316</v>
      </c>
      <c r="AD21" s="16" t="s">
        <v>1863</v>
      </c>
    </row>
    <row r="22" spans="7:30" x14ac:dyDescent="0.25">
      <c r="G22" s="850" t="s">
        <v>466</v>
      </c>
      <c r="H22" s="850" t="s">
        <v>219</v>
      </c>
      <c r="I22" s="850" t="s">
        <v>60</v>
      </c>
      <c r="J22" s="850" t="s">
        <v>240</v>
      </c>
      <c r="K22" s="850" t="s">
        <v>135</v>
      </c>
      <c r="L22" s="850" t="s">
        <v>119</v>
      </c>
      <c r="M22" s="850" t="s">
        <v>467</v>
      </c>
      <c r="P22">
        <f t="shared" si="4"/>
        <v>4</v>
      </c>
      <c r="Q22" s="501">
        <f t="shared" si="5"/>
        <v>6</v>
      </c>
      <c r="R22" s="7">
        <f t="shared" si="5"/>
        <v>4</v>
      </c>
      <c r="S22" s="7">
        <f t="shared" si="5"/>
        <v>3</v>
      </c>
      <c r="T22" s="57">
        <f t="shared" si="5"/>
        <v>3</v>
      </c>
      <c r="U22">
        <f t="shared" si="6"/>
        <v>4</v>
      </c>
      <c r="AA22" t="s">
        <v>1856</v>
      </c>
      <c r="AB22" s="503">
        <f>MAX(1,ROUND(AB21,0))</f>
        <v>24</v>
      </c>
      <c r="AD22" s="16" t="s">
        <v>1858</v>
      </c>
    </row>
    <row r="23" spans="7:30" x14ac:dyDescent="0.25">
      <c r="G23" s="19" t="s">
        <v>136</v>
      </c>
      <c r="H23" s="19">
        <v>188.21875</v>
      </c>
      <c r="I23" s="19">
        <v>7</v>
      </c>
      <c r="J23" s="19">
        <v>26.888392857142858</v>
      </c>
      <c r="K23" s="19">
        <v>11.7866927592955</v>
      </c>
      <c r="L23" s="19">
        <v>5.0257154640603623E-6</v>
      </c>
      <c r="M23" s="19">
        <v>2.487577703722041</v>
      </c>
      <c r="P23">
        <f t="shared" si="4"/>
        <v>5</v>
      </c>
      <c r="Q23" s="501">
        <f t="shared" si="5"/>
        <v>6</v>
      </c>
      <c r="R23" s="7">
        <f t="shared" si="5"/>
        <v>5</v>
      </c>
      <c r="S23" s="7">
        <f t="shared" si="5"/>
        <v>5</v>
      </c>
      <c r="T23" s="57">
        <f t="shared" si="5"/>
        <v>6</v>
      </c>
      <c r="U23">
        <f t="shared" si="6"/>
        <v>5.5</v>
      </c>
      <c r="AA23" t="s">
        <v>1854</v>
      </c>
      <c r="AB23" s="503">
        <f>FINV(AB15/2,AB16-1,AB22)</f>
        <v>2.8738081880378892</v>
      </c>
      <c r="AD23" s="16" t="s">
        <v>1859</v>
      </c>
    </row>
    <row r="24" spans="7:30" x14ac:dyDescent="0.25">
      <c r="G24" s="19" t="s">
        <v>589</v>
      </c>
      <c r="H24" s="19">
        <v>7.34375</v>
      </c>
      <c r="I24" s="19">
        <v>3</v>
      </c>
      <c r="J24" s="19">
        <v>2.4479166666666665</v>
      </c>
      <c r="K24" s="19">
        <v>1.0730593607305936</v>
      </c>
      <c r="L24" s="19">
        <v>0.3818394427683251</v>
      </c>
      <c r="M24" s="19">
        <v>3.0724669863968779</v>
      </c>
      <c r="P24">
        <f t="shared" si="4"/>
        <v>6</v>
      </c>
      <c r="Q24" s="501">
        <f t="shared" si="5"/>
        <v>7</v>
      </c>
      <c r="R24" s="7">
        <f t="shared" si="5"/>
        <v>5</v>
      </c>
      <c r="S24" s="7">
        <f t="shared" si="5"/>
        <v>6</v>
      </c>
      <c r="T24" s="57">
        <f t="shared" si="5"/>
        <v>2</v>
      </c>
      <c r="U24">
        <f t="shared" si="6"/>
        <v>5</v>
      </c>
      <c r="AA24" t="s">
        <v>1855</v>
      </c>
      <c r="AB24" s="420">
        <f>FINV(AB15/2,AB23,AB16-1)</f>
        <v>6.5415202970956496</v>
      </c>
      <c r="AD24" s="16" t="s">
        <v>1860</v>
      </c>
    </row>
    <row r="25" spans="7:30" x14ac:dyDescent="0.25">
      <c r="G25" s="19" t="s">
        <v>588</v>
      </c>
      <c r="H25" s="19">
        <v>47.90625</v>
      </c>
      <c r="I25" s="19">
        <v>21</v>
      </c>
      <c r="J25" s="19">
        <v>2.28125</v>
      </c>
      <c r="K25" s="19"/>
      <c r="L25" s="19"/>
      <c r="M25" s="19"/>
      <c r="P25">
        <f t="shared" si="4"/>
        <v>7</v>
      </c>
      <c r="Q25" s="501">
        <f t="shared" si="5"/>
        <v>8</v>
      </c>
      <c r="R25" s="7">
        <f t="shared" si="5"/>
        <v>7</v>
      </c>
      <c r="S25" s="7">
        <f t="shared" si="5"/>
        <v>7</v>
      </c>
      <c r="T25" s="57">
        <f t="shared" si="5"/>
        <v>9</v>
      </c>
      <c r="U25">
        <f t="shared" si="6"/>
        <v>7.75</v>
      </c>
    </row>
    <row r="26" spans="7:30" x14ac:dyDescent="0.25">
      <c r="G26" s="19"/>
      <c r="H26" s="19"/>
      <c r="I26" s="19"/>
      <c r="J26" s="19"/>
      <c r="K26" s="19"/>
      <c r="L26" s="19"/>
      <c r="M26" s="19"/>
      <c r="P26">
        <f t="shared" si="4"/>
        <v>8</v>
      </c>
      <c r="Q26" s="759">
        <f t="shared" si="5"/>
        <v>9</v>
      </c>
      <c r="R26" s="760">
        <f t="shared" si="5"/>
        <v>9</v>
      </c>
      <c r="S26" s="760">
        <f t="shared" si="5"/>
        <v>9</v>
      </c>
      <c r="T26" s="761">
        <f t="shared" si="5"/>
        <v>8</v>
      </c>
      <c r="U26">
        <f t="shared" si="6"/>
        <v>8.75</v>
      </c>
      <c r="AA26" t="s">
        <v>29</v>
      </c>
      <c r="AB26" s="831">
        <f>AB16*(Z7-AB23*Z9)/(AB21+AB23*AB20+AB16*Z7)</f>
        <v>0.40832291193154907</v>
      </c>
      <c r="AD26" s="16" t="s">
        <v>1866</v>
      </c>
    </row>
    <row r="27" spans="7:30" ht="15.75" thickBot="1" x14ac:dyDescent="0.3">
      <c r="G27" s="20" t="s">
        <v>1</v>
      </c>
      <c r="H27" s="20">
        <v>243.46875</v>
      </c>
      <c r="I27" s="20">
        <v>31</v>
      </c>
      <c r="J27" s="20"/>
      <c r="K27" s="20"/>
      <c r="L27" s="20"/>
      <c r="M27" s="20"/>
      <c r="Q27">
        <f>AVERAGE(B5:B12)</f>
        <v>5.125</v>
      </c>
      <c r="R27">
        <f>AVERAGE(C5:C12)</f>
        <v>5.375</v>
      </c>
      <c r="S27">
        <f>AVERAGE(D5:D12)</f>
        <v>4.25</v>
      </c>
      <c r="T27">
        <f>AVERAGE(E5:E12)</f>
        <v>4.375</v>
      </c>
      <c r="U27">
        <f>AVERAGE(B5:E12)</f>
        <v>4.78125</v>
      </c>
      <c r="AA27" t="s">
        <v>30</v>
      </c>
      <c r="AB27" s="420">
        <f>AB16*(AB24*Z7-Z9)/(AB20+AB16*AB24*Z7)</f>
        <v>0.94963115904175321</v>
      </c>
      <c r="AD27" s="16" t="s">
        <v>1867</v>
      </c>
    </row>
    <row r="29" spans="7:30" x14ac:dyDescent="0.25">
      <c r="H29" t="s">
        <v>1900</v>
      </c>
      <c r="I29" s="580">
        <f>(J23-J25)/(J23+((H12-1)*J25))</f>
        <v>0.72948650079407085</v>
      </c>
      <c r="K29" s="16" t="s">
        <v>1901</v>
      </c>
      <c r="P29" t="s">
        <v>1667</v>
      </c>
    </row>
    <row r="30" spans="7:30" x14ac:dyDescent="0.25">
      <c r="Q30" s="847" t="str">
        <f>B4</f>
        <v>A</v>
      </c>
      <c r="R30" s="847" t="str">
        <f>C4</f>
        <v>B</v>
      </c>
      <c r="S30" s="847" t="str">
        <f>D4</f>
        <v>C</v>
      </c>
      <c r="T30" s="847" t="str">
        <f>E4</f>
        <v>D</v>
      </c>
    </row>
    <row r="31" spans="7:30" x14ac:dyDescent="0.25">
      <c r="H31" t="s">
        <v>106</v>
      </c>
      <c r="I31" s="831">
        <v>0.05</v>
      </c>
      <c r="P31">
        <f t="shared" ref="P31:P38" si="7">A5</f>
        <v>1</v>
      </c>
      <c r="Q31" s="797" t="e">
        <f t="shared" ref="Q31:T38" si="8">VAR(B5)</f>
        <v>#DIV/0!</v>
      </c>
      <c r="R31" s="798" t="e">
        <f t="shared" si="8"/>
        <v>#DIV/0!</v>
      </c>
      <c r="S31" s="798" t="e">
        <f t="shared" si="8"/>
        <v>#DIV/0!</v>
      </c>
      <c r="T31" s="799" t="e">
        <f t="shared" si="8"/>
        <v>#DIV/0!</v>
      </c>
      <c r="U31">
        <f t="shared" ref="U31:U38" si="9">VAR(B5:E5)</f>
        <v>0.66666666666666663</v>
      </c>
    </row>
    <row r="32" spans="7:30" x14ac:dyDescent="0.25">
      <c r="H32" t="s">
        <v>56</v>
      </c>
      <c r="I32" s="503">
        <f>I24+1</f>
        <v>4</v>
      </c>
      <c r="K32" s="16" t="s">
        <v>1862</v>
      </c>
      <c r="P32">
        <f t="shared" si="7"/>
        <v>2</v>
      </c>
      <c r="Q32" s="501" t="e">
        <f t="shared" si="8"/>
        <v>#DIV/0!</v>
      </c>
      <c r="R32" s="7" t="e">
        <f t="shared" si="8"/>
        <v>#DIV/0!</v>
      </c>
      <c r="S32" s="7" t="e">
        <f t="shared" si="8"/>
        <v>#DIV/0!</v>
      </c>
      <c r="T32" s="57" t="e">
        <f t="shared" si="8"/>
        <v>#DIV/0!</v>
      </c>
      <c r="U32">
        <f t="shared" si="9"/>
        <v>0.91666666666666663</v>
      </c>
    </row>
    <row r="33" spans="8:21" x14ac:dyDescent="0.25">
      <c r="H33" t="s">
        <v>1902</v>
      </c>
      <c r="I33" s="503">
        <f>I23</f>
        <v>7</v>
      </c>
      <c r="K33" s="16" t="s">
        <v>1903</v>
      </c>
      <c r="P33">
        <f t="shared" si="7"/>
        <v>3</v>
      </c>
      <c r="Q33" s="501" t="e">
        <f t="shared" si="8"/>
        <v>#DIV/0!</v>
      </c>
      <c r="R33" s="7" t="e">
        <f t="shared" si="8"/>
        <v>#DIV/0!</v>
      </c>
      <c r="S33" s="7" t="e">
        <f t="shared" si="8"/>
        <v>#DIV/0!</v>
      </c>
      <c r="T33" s="57" t="e">
        <f t="shared" si="8"/>
        <v>#DIV/0!</v>
      </c>
      <c r="U33">
        <f t="shared" si="9"/>
        <v>8.6666666666666661</v>
      </c>
    </row>
    <row r="34" spans="8:21" x14ac:dyDescent="0.25">
      <c r="H34" t="s">
        <v>753</v>
      </c>
      <c r="I34" s="503">
        <f>I25</f>
        <v>21</v>
      </c>
      <c r="K34" s="16" t="s">
        <v>1904</v>
      </c>
      <c r="P34">
        <f t="shared" si="7"/>
        <v>4</v>
      </c>
      <c r="Q34" s="501" t="e">
        <f t="shared" si="8"/>
        <v>#DIV/0!</v>
      </c>
      <c r="R34" s="7" t="e">
        <f t="shared" si="8"/>
        <v>#DIV/0!</v>
      </c>
      <c r="S34" s="7" t="e">
        <f t="shared" si="8"/>
        <v>#DIV/0!</v>
      </c>
      <c r="T34" s="57" t="e">
        <f t="shared" si="8"/>
        <v>#DIV/0!</v>
      </c>
      <c r="U34">
        <f t="shared" si="9"/>
        <v>2</v>
      </c>
    </row>
    <row r="35" spans="8:21" x14ac:dyDescent="0.25">
      <c r="H35" t="s">
        <v>135</v>
      </c>
      <c r="I35" s="503">
        <f>K23</f>
        <v>11.7866927592955</v>
      </c>
      <c r="K35" s="16" t="s">
        <v>1905</v>
      </c>
      <c r="P35">
        <f t="shared" si="7"/>
        <v>5</v>
      </c>
      <c r="Q35" s="501" t="e">
        <f t="shared" si="8"/>
        <v>#DIV/0!</v>
      </c>
      <c r="R35" s="7" t="e">
        <f t="shared" si="8"/>
        <v>#DIV/0!</v>
      </c>
      <c r="S35" s="7" t="e">
        <f t="shared" si="8"/>
        <v>#DIV/0!</v>
      </c>
      <c r="T35" s="57" t="e">
        <f t="shared" si="8"/>
        <v>#DIV/0!</v>
      </c>
      <c r="U35">
        <f t="shared" si="9"/>
        <v>0.33333333333333331</v>
      </c>
    </row>
    <row r="36" spans="8:21" x14ac:dyDescent="0.25">
      <c r="H36" t="s">
        <v>1877</v>
      </c>
      <c r="I36" s="503">
        <f>I35/FINV(I31/2,I33,I34)</f>
        <v>3.9704144434180857</v>
      </c>
      <c r="K36" s="16" t="s">
        <v>2120</v>
      </c>
      <c r="P36">
        <f t="shared" si="7"/>
        <v>6</v>
      </c>
      <c r="Q36" s="501" t="e">
        <f t="shared" si="8"/>
        <v>#DIV/0!</v>
      </c>
      <c r="R36" s="7" t="e">
        <f t="shared" si="8"/>
        <v>#DIV/0!</v>
      </c>
      <c r="S36" s="7" t="e">
        <f t="shared" si="8"/>
        <v>#DIV/0!</v>
      </c>
      <c r="T36" s="57" t="e">
        <f t="shared" si="8"/>
        <v>#DIV/0!</v>
      </c>
      <c r="U36">
        <f t="shared" si="9"/>
        <v>4.666666666666667</v>
      </c>
    </row>
    <row r="37" spans="8:21" x14ac:dyDescent="0.25">
      <c r="H37" t="s">
        <v>1878</v>
      </c>
      <c r="I37" s="503">
        <f>I35*FINV(I31/2,I34,I33)</f>
        <v>52.47485618420589</v>
      </c>
      <c r="K37" s="16" t="s">
        <v>2121</v>
      </c>
      <c r="P37">
        <f t="shared" si="7"/>
        <v>7</v>
      </c>
      <c r="Q37" s="501" t="e">
        <f t="shared" si="8"/>
        <v>#DIV/0!</v>
      </c>
      <c r="R37" s="7" t="e">
        <f t="shared" si="8"/>
        <v>#DIV/0!</v>
      </c>
      <c r="S37" s="7" t="e">
        <f t="shared" si="8"/>
        <v>#DIV/0!</v>
      </c>
      <c r="T37" s="57" t="e">
        <f t="shared" si="8"/>
        <v>#DIV/0!</v>
      </c>
      <c r="U37">
        <f t="shared" si="9"/>
        <v>0.91666666666666663</v>
      </c>
    </row>
    <row r="38" spans="8:21" x14ac:dyDescent="0.25">
      <c r="H38" t="s">
        <v>29</v>
      </c>
      <c r="I38" s="503">
        <f>(I36-1)/(I36+I32-1)</f>
        <v>0.42614603012923313</v>
      </c>
      <c r="K38" s="16" t="s">
        <v>2122</v>
      </c>
      <c r="P38">
        <f t="shared" si="7"/>
        <v>8</v>
      </c>
      <c r="Q38" s="759" t="e">
        <f t="shared" si="8"/>
        <v>#DIV/0!</v>
      </c>
      <c r="R38" s="760" t="e">
        <f t="shared" si="8"/>
        <v>#DIV/0!</v>
      </c>
      <c r="S38" s="760" t="e">
        <f t="shared" si="8"/>
        <v>#DIV/0!</v>
      </c>
      <c r="T38" s="761" t="e">
        <f t="shared" si="8"/>
        <v>#DIV/0!</v>
      </c>
      <c r="U38">
        <f t="shared" si="9"/>
        <v>0.25</v>
      </c>
    </row>
    <row r="39" spans="8:21" x14ac:dyDescent="0.25">
      <c r="H39" t="s">
        <v>30</v>
      </c>
      <c r="I39" s="420">
        <f>(I37-1)/(I37+I32-1)</f>
        <v>0.92789526147273127</v>
      </c>
      <c r="K39" s="16" t="s">
        <v>2123</v>
      </c>
      <c r="Q39">
        <f>VAR(B5:B12)</f>
        <v>9.5535714285714288</v>
      </c>
      <c r="R39">
        <f>VAR(C5:C12)</f>
        <v>5.9821428571428568</v>
      </c>
      <c r="S39">
        <f>VAR(D5:D12)</f>
        <v>9.3571428571428577</v>
      </c>
      <c r="T39">
        <f>VAR(E5:E12)</f>
        <v>8.8392857142857135</v>
      </c>
      <c r="U39">
        <f>VAR(B5:E12)</f>
        <v>7.85383064516129</v>
      </c>
    </row>
    <row r="41" spans="8:21" x14ac:dyDescent="0.25">
      <c r="H41" t="s">
        <v>1914</v>
      </c>
      <c r="I41" s="853">
        <f>(J23-J25)/J23</f>
        <v>0.91515855885771213</v>
      </c>
      <c r="K41" s="16" t="s">
        <v>1911</v>
      </c>
    </row>
    <row r="42" spans="8:21" x14ac:dyDescent="0.25">
      <c r="H42" t="s">
        <v>29</v>
      </c>
      <c r="I42" s="503">
        <f>1-1/I36</f>
        <v>0.74813712415898048</v>
      </c>
      <c r="K42" s="16" t="s">
        <v>1912</v>
      </c>
    </row>
    <row r="43" spans="8:21" x14ac:dyDescent="0.25">
      <c r="H43" t="s">
        <v>30</v>
      </c>
      <c r="I43" s="420">
        <f>1-1/I37</f>
        <v>0.98094325410841265</v>
      </c>
      <c r="K43" s="16" t="s">
        <v>1913</v>
      </c>
    </row>
    <row r="45" spans="8:21" x14ac:dyDescent="0.25">
      <c r="H45" t="s">
        <v>1915</v>
      </c>
      <c r="I45" s="580">
        <f>[1]!CRONALPHA(B5:E12)</f>
        <v>0.91515855885771213</v>
      </c>
      <c r="K45" s="16" t="s">
        <v>1916</v>
      </c>
    </row>
    <row r="47" spans="8:21" x14ac:dyDescent="0.25">
      <c r="H47" t="s">
        <v>2125</v>
      </c>
    </row>
    <row r="49" spans="8:11" x14ac:dyDescent="0.25">
      <c r="H49" t="s">
        <v>1900</v>
      </c>
      <c r="I49" s="853">
        <f>[1]!ICC(B5:E12,3,1)</f>
        <v>0.72948650079407096</v>
      </c>
      <c r="K49" s="16" t="s">
        <v>1927</v>
      </c>
    </row>
    <row r="50" spans="8:11" x14ac:dyDescent="0.25">
      <c r="H50" t="s">
        <v>1914</v>
      </c>
      <c r="I50" s="420">
        <f>[1]!ICC(B5:E12,3,4)</f>
        <v>0.91515855885771213</v>
      </c>
      <c r="K50" s="16" t="s">
        <v>1928</v>
      </c>
    </row>
    <row r="52" spans="8:11" x14ac:dyDescent="0.25">
      <c r="H52" t="str">
        <f t="array" ref="H52:I54">[1]!ICC(B5:E12,3,1,TRUE)</f>
        <v>ICC</v>
      </c>
      <c r="I52" s="868">
        <v>0.72948650079407096</v>
      </c>
      <c r="K52" t="str">
        <f>[1]!FTEXT(I52)</f>
        <v>=ICC(B5:E12,3,1,TRUE)</v>
      </c>
    </row>
    <row r="53" spans="8:11" x14ac:dyDescent="0.25">
      <c r="H53" t="str">
        <v>lower</v>
      </c>
      <c r="I53" s="503">
        <v>0.42614603012923319</v>
      </c>
    </row>
    <row r="54" spans="8:11" x14ac:dyDescent="0.25">
      <c r="H54" t="str">
        <v>upper</v>
      </c>
      <c r="I54" s="420">
        <v>0.92789526147273127</v>
      </c>
    </row>
    <row r="56" spans="8:11" x14ac:dyDescent="0.25">
      <c r="H56" t="str">
        <f t="array" ref="H56:I58">[1]!ICC(B5:E12,3,4,TRUE)</f>
        <v>ICC</v>
      </c>
      <c r="I56" s="868">
        <v>0.91515855885771213</v>
      </c>
      <c r="K56" t="str">
        <f>[1]!FTEXT(I56)</f>
        <v>=ICC(B5:E12,3,4,TRUE)</v>
      </c>
    </row>
    <row r="57" spans="8:11" x14ac:dyDescent="0.25">
      <c r="H57" t="str">
        <v>lower</v>
      </c>
      <c r="I57" s="503">
        <v>0.74813712415898048</v>
      </c>
    </row>
    <row r="58" spans="8:11" x14ac:dyDescent="0.25">
      <c r="H58" t="str">
        <v>upper</v>
      </c>
      <c r="I58" s="420">
        <v>0.98094325410841265</v>
      </c>
    </row>
  </sheetData>
  <mergeCells count="1">
    <mergeCell ref="B3:E3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/>
  <dimension ref="A1:U31"/>
  <sheetViews>
    <sheetView workbookViewId="0"/>
  </sheetViews>
  <sheetFormatPr defaultRowHeight="15" x14ac:dyDescent="0.25"/>
  <cols>
    <col min="12" max="12" width="4.5703125" customWidth="1"/>
    <col min="14" max="14" width="9.140625" customWidth="1"/>
  </cols>
  <sheetData>
    <row r="1" spans="1:21" x14ac:dyDescent="0.25">
      <c r="A1" s="1" t="s">
        <v>1943</v>
      </c>
    </row>
    <row r="4" spans="1:21" x14ac:dyDescent="0.25">
      <c r="A4" s="862" t="s">
        <v>1951</v>
      </c>
      <c r="B4" s="862" t="s">
        <v>213</v>
      </c>
      <c r="C4" s="862" t="s">
        <v>131</v>
      </c>
      <c r="D4" s="862" t="s">
        <v>132</v>
      </c>
      <c r="E4" s="862" t="s">
        <v>133</v>
      </c>
      <c r="F4" s="862" t="s">
        <v>134</v>
      </c>
      <c r="G4" s="862" t="s">
        <v>135</v>
      </c>
      <c r="H4" s="862" t="s">
        <v>826</v>
      </c>
      <c r="I4" s="862" t="s">
        <v>1278</v>
      </c>
      <c r="M4" s="862" t="s">
        <v>1951</v>
      </c>
      <c r="N4" s="862" t="s">
        <v>213</v>
      </c>
      <c r="O4" s="862" t="s">
        <v>131</v>
      </c>
      <c r="P4" s="862" t="s">
        <v>132</v>
      </c>
      <c r="Q4" s="862" t="s">
        <v>133</v>
      </c>
      <c r="R4" s="862" t="s">
        <v>134</v>
      </c>
      <c r="S4" s="862" t="s">
        <v>135</v>
      </c>
      <c r="T4" s="862" t="s">
        <v>826</v>
      </c>
      <c r="U4" s="862" t="s">
        <v>1278</v>
      </c>
    </row>
    <row r="5" spans="1:21" x14ac:dyDescent="0.25">
      <c r="A5" s="862">
        <v>1</v>
      </c>
      <c r="B5" s="785">
        <v>7</v>
      </c>
      <c r="C5" s="864">
        <v>8</v>
      </c>
      <c r="D5" s="864">
        <v>6</v>
      </c>
      <c r="E5" s="864">
        <v>4</v>
      </c>
      <c r="F5" s="864">
        <v>5</v>
      </c>
      <c r="G5" s="864">
        <v>3</v>
      </c>
      <c r="H5" s="864">
        <v>2</v>
      </c>
      <c r="I5" s="786">
        <v>1</v>
      </c>
      <c r="J5">
        <f>SUM(B5:I5)</f>
        <v>36</v>
      </c>
      <c r="M5" s="862">
        <v>1</v>
      </c>
      <c r="N5" s="785">
        <v>7</v>
      </c>
      <c r="O5" s="864">
        <v>8</v>
      </c>
      <c r="P5" s="864">
        <v>6</v>
      </c>
      <c r="Q5" s="864">
        <v>4</v>
      </c>
      <c r="R5" s="864">
        <v>5</v>
      </c>
      <c r="S5" s="864">
        <v>3</v>
      </c>
      <c r="T5" s="864">
        <v>2</v>
      </c>
      <c r="U5" s="786">
        <v>1</v>
      </c>
    </row>
    <row r="6" spans="1:21" x14ac:dyDescent="0.25">
      <c r="A6" s="862">
        <v>2</v>
      </c>
      <c r="B6" s="540">
        <v>8</v>
      </c>
      <c r="C6" s="863">
        <v>7</v>
      </c>
      <c r="D6" s="863">
        <v>2</v>
      </c>
      <c r="E6" s="863">
        <v>6</v>
      </c>
      <c r="F6" s="863">
        <v>4.5</v>
      </c>
      <c r="G6" s="863">
        <v>4.5</v>
      </c>
      <c r="H6" s="863">
        <v>3</v>
      </c>
      <c r="I6" s="494">
        <v>1</v>
      </c>
      <c r="J6">
        <f t="shared" ref="J6:J11" si="0">SUM(B6:I6)</f>
        <v>36</v>
      </c>
      <c r="M6" s="862">
        <v>2</v>
      </c>
      <c r="N6" s="540">
        <v>8</v>
      </c>
      <c r="O6" s="863">
        <v>7</v>
      </c>
      <c r="P6" s="863">
        <v>2</v>
      </c>
      <c r="Q6" s="863">
        <v>6</v>
      </c>
      <c r="R6" s="863">
        <v>4.5</v>
      </c>
      <c r="S6" s="863">
        <v>4.5</v>
      </c>
      <c r="T6" s="863">
        <v>3</v>
      </c>
      <c r="U6" s="494">
        <v>1</v>
      </c>
    </row>
    <row r="7" spans="1:21" x14ac:dyDescent="0.25">
      <c r="A7" s="862">
        <v>3</v>
      </c>
      <c r="B7" s="540">
        <v>8</v>
      </c>
      <c r="C7" s="863">
        <v>5.5</v>
      </c>
      <c r="D7" s="863">
        <v>7</v>
      </c>
      <c r="E7" s="863">
        <v>5.5</v>
      </c>
      <c r="F7" s="863">
        <v>4</v>
      </c>
      <c r="G7" s="863">
        <v>3</v>
      </c>
      <c r="H7" s="863">
        <v>2</v>
      </c>
      <c r="I7" s="494">
        <v>1</v>
      </c>
      <c r="J7">
        <f t="shared" si="0"/>
        <v>36</v>
      </c>
      <c r="M7" s="862">
        <v>3</v>
      </c>
      <c r="N7" s="540">
        <v>8</v>
      </c>
      <c r="O7" s="863">
        <v>5.5</v>
      </c>
      <c r="P7" s="863">
        <v>7</v>
      </c>
      <c r="Q7" s="863">
        <v>5.5</v>
      </c>
      <c r="R7" s="863">
        <v>4</v>
      </c>
      <c r="S7" s="863">
        <v>3</v>
      </c>
      <c r="T7" s="863">
        <v>2</v>
      </c>
      <c r="U7" s="494">
        <v>1</v>
      </c>
    </row>
    <row r="8" spans="1:21" x14ac:dyDescent="0.25">
      <c r="A8" s="862">
        <v>4</v>
      </c>
      <c r="B8" s="540">
        <v>8</v>
      </c>
      <c r="C8" s="863">
        <v>6.5</v>
      </c>
      <c r="D8" s="863">
        <v>4</v>
      </c>
      <c r="E8" s="863">
        <v>5</v>
      </c>
      <c r="F8" s="863">
        <v>3</v>
      </c>
      <c r="G8" s="863">
        <v>6.5</v>
      </c>
      <c r="H8" s="863">
        <v>1</v>
      </c>
      <c r="I8" s="494">
        <v>2</v>
      </c>
      <c r="J8">
        <f t="shared" si="0"/>
        <v>36</v>
      </c>
      <c r="M8" s="862">
        <v>4</v>
      </c>
      <c r="N8" s="540">
        <v>8</v>
      </c>
      <c r="O8" s="863">
        <v>6.5</v>
      </c>
      <c r="P8" s="863">
        <v>4</v>
      </c>
      <c r="Q8" s="863">
        <v>5</v>
      </c>
      <c r="R8" s="863">
        <v>3</v>
      </c>
      <c r="S8" s="863">
        <v>6.5</v>
      </c>
      <c r="T8" s="863">
        <v>1</v>
      </c>
      <c r="U8" s="494">
        <v>2</v>
      </c>
    </row>
    <row r="9" spans="1:21" x14ac:dyDescent="0.25">
      <c r="A9" s="862">
        <v>5</v>
      </c>
      <c r="B9" s="540">
        <v>6</v>
      </c>
      <c r="C9" s="863">
        <v>4.5</v>
      </c>
      <c r="D9" s="863">
        <v>2</v>
      </c>
      <c r="E9" s="863">
        <v>7</v>
      </c>
      <c r="F9" s="863">
        <v>3</v>
      </c>
      <c r="G9" s="863">
        <v>8</v>
      </c>
      <c r="H9" s="863">
        <v>1</v>
      </c>
      <c r="I9" s="494">
        <v>4.5</v>
      </c>
      <c r="J9">
        <f t="shared" si="0"/>
        <v>36</v>
      </c>
      <c r="M9" s="862">
        <v>5</v>
      </c>
      <c r="N9" s="540">
        <v>6</v>
      </c>
      <c r="O9" s="863">
        <v>4.5</v>
      </c>
      <c r="P9" s="863">
        <v>2</v>
      </c>
      <c r="Q9" s="863">
        <v>7</v>
      </c>
      <c r="R9" s="863">
        <v>3</v>
      </c>
      <c r="S9" s="863">
        <v>8</v>
      </c>
      <c r="T9" s="863">
        <v>1</v>
      </c>
      <c r="U9" s="494">
        <v>4.5</v>
      </c>
    </row>
    <row r="10" spans="1:21" x14ac:dyDescent="0.25">
      <c r="A10" s="862">
        <v>6</v>
      </c>
      <c r="B10" s="540">
        <v>7.5</v>
      </c>
      <c r="C10" s="863">
        <v>6</v>
      </c>
      <c r="D10" s="863">
        <v>7.5</v>
      </c>
      <c r="E10" s="863">
        <v>2.5</v>
      </c>
      <c r="F10" s="863">
        <v>5</v>
      </c>
      <c r="G10" s="863">
        <v>4</v>
      </c>
      <c r="H10" s="863">
        <v>1</v>
      </c>
      <c r="I10" s="494">
        <v>2.5</v>
      </c>
      <c r="J10">
        <f t="shared" si="0"/>
        <v>36</v>
      </c>
      <c r="M10" s="862">
        <v>6</v>
      </c>
      <c r="N10" s="540">
        <v>7.5</v>
      </c>
      <c r="O10" s="863">
        <v>6</v>
      </c>
      <c r="P10" s="863">
        <v>7.5</v>
      </c>
      <c r="Q10" s="863">
        <v>2.5</v>
      </c>
      <c r="R10" s="863">
        <v>5</v>
      </c>
      <c r="S10" s="863">
        <v>4</v>
      </c>
      <c r="T10" s="863">
        <v>1</v>
      </c>
      <c r="U10" s="494">
        <v>2.5</v>
      </c>
    </row>
    <row r="11" spans="1:21" x14ac:dyDescent="0.25">
      <c r="A11" s="862">
        <v>7</v>
      </c>
      <c r="B11" s="436">
        <v>6</v>
      </c>
      <c r="C11" s="860">
        <v>7</v>
      </c>
      <c r="D11" s="860">
        <v>4</v>
      </c>
      <c r="E11" s="860">
        <v>8</v>
      </c>
      <c r="F11" s="860">
        <v>4</v>
      </c>
      <c r="G11" s="860">
        <v>4</v>
      </c>
      <c r="H11" s="860">
        <v>2</v>
      </c>
      <c r="I11" s="412">
        <v>1</v>
      </c>
      <c r="J11">
        <f t="shared" si="0"/>
        <v>36</v>
      </c>
      <c r="M11" s="862">
        <v>7</v>
      </c>
      <c r="N11" s="436">
        <v>6</v>
      </c>
      <c r="O11" s="860">
        <v>7</v>
      </c>
      <c r="P11" s="860">
        <v>4</v>
      </c>
      <c r="Q11" s="860">
        <v>8</v>
      </c>
      <c r="R11" s="860">
        <v>4</v>
      </c>
      <c r="S11" s="860">
        <v>4</v>
      </c>
      <c r="T11" s="860">
        <v>2</v>
      </c>
      <c r="U11" s="412">
        <v>1</v>
      </c>
    </row>
    <row r="12" spans="1:21" x14ac:dyDescent="0.25">
      <c r="B12" s="862">
        <f>SUM(B5:B11)</f>
        <v>50.5</v>
      </c>
      <c r="C12" s="862">
        <f t="shared" ref="C12:I12" si="1">SUM(C5:C11)</f>
        <v>44.5</v>
      </c>
      <c r="D12" s="862">
        <f t="shared" si="1"/>
        <v>32.5</v>
      </c>
      <c r="E12" s="862">
        <f t="shared" si="1"/>
        <v>38</v>
      </c>
      <c r="F12" s="862">
        <f t="shared" si="1"/>
        <v>28.5</v>
      </c>
      <c r="G12" s="862">
        <f t="shared" si="1"/>
        <v>33</v>
      </c>
      <c r="H12" s="862">
        <f t="shared" si="1"/>
        <v>12</v>
      </c>
      <c r="I12" s="862">
        <f t="shared" si="1"/>
        <v>13</v>
      </c>
    </row>
    <row r="14" spans="1:21" x14ac:dyDescent="0.25">
      <c r="B14" t="s">
        <v>56</v>
      </c>
      <c r="C14" s="853">
        <f>COUNTA(B5:I5)</f>
        <v>8</v>
      </c>
      <c r="E14" s="16" t="s">
        <v>1938</v>
      </c>
      <c r="M14" t="s">
        <v>2124</v>
      </c>
    </row>
    <row r="15" spans="1:21" x14ac:dyDescent="0.25">
      <c r="B15" t="s">
        <v>573</v>
      </c>
      <c r="C15" s="503">
        <f>COUNTA(A5:A11)</f>
        <v>7</v>
      </c>
      <c r="E15" s="16" t="s">
        <v>1939</v>
      </c>
    </row>
    <row r="16" spans="1:21" x14ac:dyDescent="0.25">
      <c r="B16" t="s">
        <v>1044</v>
      </c>
      <c r="C16" s="503">
        <f>12*DEVSQ(B12:I12)/(C15^2*(C14^3-C14))</f>
        <v>0.63508260447035958</v>
      </c>
      <c r="E16" s="16" t="s">
        <v>1945</v>
      </c>
      <c r="M16" t="str">
        <f t="array" ref="M16:N20">[1]!KendallW(B5:I11,TRUE)</f>
        <v>W</v>
      </c>
      <c r="N16" s="868">
        <v>0.64607019278299593</v>
      </c>
    </row>
    <row r="17" spans="2:14" x14ac:dyDescent="0.25">
      <c r="B17" t="s">
        <v>120</v>
      </c>
      <c r="C17" s="503">
        <f>(C15*C16-1)/(C15-1)</f>
        <v>0.57426303854875282</v>
      </c>
      <c r="E17" s="16" t="s">
        <v>1950</v>
      </c>
      <c r="M17" t="str">
        <v>r</v>
      </c>
      <c r="N17" s="503">
        <v>0.587081891580162</v>
      </c>
    </row>
    <row r="18" spans="2:14" x14ac:dyDescent="0.25">
      <c r="B18" s="30" t="s">
        <v>109</v>
      </c>
      <c r="C18" s="503">
        <f>C15*(C14-1)*C16</f>
        <v>31.11904761904762</v>
      </c>
      <c r="E18" s="16" t="s">
        <v>1948</v>
      </c>
      <c r="M18" t="str">
        <v>chi-sq</v>
      </c>
      <c r="N18" s="503">
        <v>31.657439446366801</v>
      </c>
    </row>
    <row r="19" spans="2:14" x14ac:dyDescent="0.25">
      <c r="B19" s="30" t="s">
        <v>60</v>
      </c>
      <c r="C19" s="503">
        <f>C14-1</f>
        <v>7</v>
      </c>
      <c r="E19" s="16" t="s">
        <v>1940</v>
      </c>
      <c r="M19" t="str">
        <v>df</v>
      </c>
      <c r="N19" s="503">
        <v>7</v>
      </c>
    </row>
    <row r="20" spans="2:14" x14ac:dyDescent="0.25">
      <c r="B20" s="30" t="s">
        <v>67</v>
      </c>
      <c r="C20" s="420">
        <f>CHIDIST(C18,C19)</f>
        <v>5.9107829694807225E-5</v>
      </c>
      <c r="E20" s="16" t="s">
        <v>1949</v>
      </c>
      <c r="M20" t="str">
        <v>p-value</v>
      </c>
      <c r="N20" s="420">
        <v>4.7005265136025027E-5</v>
      </c>
    </row>
    <row r="22" spans="2:14" x14ac:dyDescent="0.25">
      <c r="B22" t="s">
        <v>1044</v>
      </c>
      <c r="C22" s="853">
        <f>12*SUMSQ(B12:I12)/(C15^2*(C14^3-C14))-3*(C14+1)/(C14-1)</f>
        <v>0.63508260447035925</v>
      </c>
      <c r="E22" s="16" t="s">
        <v>1946</v>
      </c>
    </row>
    <row r="23" spans="2:14" x14ac:dyDescent="0.25">
      <c r="B23" t="s">
        <v>1044</v>
      </c>
      <c r="C23" s="420">
        <f>[1]!FRIEDMAN(B5:I11)/(C15*(C14-1))</f>
        <v>0.63508260447035958</v>
      </c>
      <c r="E23" s="16" t="s">
        <v>1947</v>
      </c>
      <c r="M23" t="s">
        <v>2153</v>
      </c>
    </row>
    <row r="25" spans="2:14" x14ac:dyDescent="0.25">
      <c r="M25" t="s">
        <v>1943</v>
      </c>
    </row>
    <row r="27" spans="2:14" x14ac:dyDescent="0.25">
      <c r="M27" t="s">
        <v>1044</v>
      </c>
      <c r="N27" s="970">
        <f>N29/(COUNT(B5:B11)*(COUNT(B5:I5)-1))</f>
        <v>0.63508260447035958</v>
      </c>
    </row>
    <row r="28" spans="2:14" x14ac:dyDescent="0.25">
      <c r="M28" t="s">
        <v>120</v>
      </c>
      <c r="N28" s="680">
        <f>(COUNT(B5:B11)*N27-1)/(COUNT(B5:B11)-1)</f>
        <v>0.57426303854875282</v>
      </c>
    </row>
    <row r="29" spans="2:14" x14ac:dyDescent="0.25">
      <c r="M29" t="s">
        <v>107</v>
      </c>
      <c r="N29" s="680">
        <f>[1]!FRIEDMAN(B5:I11)</f>
        <v>31.11904761904762</v>
      </c>
    </row>
    <row r="30" spans="2:14" x14ac:dyDescent="0.25">
      <c r="M30" t="s">
        <v>60</v>
      </c>
      <c r="N30" s="680">
        <f>COUNT(B5:I5)-1</f>
        <v>7</v>
      </c>
    </row>
    <row r="31" spans="2:14" x14ac:dyDescent="0.25">
      <c r="M31" t="s">
        <v>67</v>
      </c>
      <c r="N31" s="757">
        <f>CHIDIST(N29,N30)</f>
        <v>5.9107829694807225E-5</v>
      </c>
    </row>
  </sheetData>
  <pageMargins left="0.7" right="0.7" top="0.75" bottom="0.75" header="0.3" footer="0.3"/>
  <ignoredErrors>
    <ignoredError sqref="C14 J5:J11 N30" formulaRange="1"/>
  </ignoredError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/>
  <dimension ref="A1:Y21"/>
  <sheetViews>
    <sheetView workbookViewId="0"/>
  </sheetViews>
  <sheetFormatPr defaultRowHeight="15" x14ac:dyDescent="0.25"/>
  <cols>
    <col min="1" max="1" width="4.42578125" customWidth="1"/>
    <col min="2" max="9" width="8.140625" customWidth="1"/>
    <col min="10" max="10" width="7.140625" customWidth="1"/>
    <col min="11" max="11" width="7.5703125" customWidth="1"/>
    <col min="12" max="19" width="5.85546875" customWidth="1"/>
  </cols>
  <sheetData>
    <row r="1" spans="1:25" x14ac:dyDescent="0.25">
      <c r="A1" s="1" t="s">
        <v>2216</v>
      </c>
    </row>
    <row r="4" spans="1:25" x14ac:dyDescent="0.25">
      <c r="B4" s="862" t="s">
        <v>213</v>
      </c>
      <c r="C4" s="862" t="s">
        <v>131</v>
      </c>
      <c r="D4" s="862" t="s">
        <v>132</v>
      </c>
      <c r="E4" s="862" t="s">
        <v>133</v>
      </c>
      <c r="F4" s="862" t="s">
        <v>134</v>
      </c>
      <c r="G4" s="862" t="s">
        <v>135</v>
      </c>
      <c r="H4" s="862" t="s">
        <v>826</v>
      </c>
      <c r="I4" s="862" t="s">
        <v>1278</v>
      </c>
      <c r="K4" s="862" t="s">
        <v>1957</v>
      </c>
      <c r="L4" s="862" t="s">
        <v>213</v>
      </c>
      <c r="M4" s="862" t="s">
        <v>131</v>
      </c>
      <c r="N4" s="862" t="s">
        <v>132</v>
      </c>
      <c r="O4" s="862" t="s">
        <v>133</v>
      </c>
      <c r="P4" s="862" t="s">
        <v>134</v>
      </c>
      <c r="Q4" s="862" t="s">
        <v>135</v>
      </c>
      <c r="R4" s="862" t="s">
        <v>826</v>
      </c>
      <c r="S4" s="862" t="s">
        <v>1278</v>
      </c>
      <c r="U4" t="s">
        <v>2137</v>
      </c>
      <c r="X4" t="s">
        <v>1943</v>
      </c>
    </row>
    <row r="5" spans="1:25" x14ac:dyDescent="0.25">
      <c r="B5" s="785">
        <v>7</v>
      </c>
      <c r="C5" s="864">
        <v>8</v>
      </c>
      <c r="D5" s="864">
        <v>6</v>
      </c>
      <c r="E5" s="864">
        <v>4</v>
      </c>
      <c r="F5" s="864">
        <v>5</v>
      </c>
      <c r="G5" s="864">
        <v>3</v>
      </c>
      <c r="H5" s="864">
        <v>2</v>
      </c>
      <c r="I5" s="786">
        <v>1</v>
      </c>
      <c r="K5" s="862">
        <v>1</v>
      </c>
      <c r="L5" s="785">
        <f>IF(COUNTIF($A5:A5,B5)=0,COUNTIF(C5:$J5,B5),0)</f>
        <v>0</v>
      </c>
      <c r="M5" s="864">
        <f>IF(COUNTIF($A5:B5,C5)=0,COUNTIF(D5:$J5,C5),0)</f>
        <v>0</v>
      </c>
      <c r="N5" s="864">
        <f>IF(COUNTIF($A5:C5,D5)=0,COUNTIF(E5:$J5,D5),0)</f>
        <v>0</v>
      </c>
      <c r="O5" s="864">
        <f>IF(COUNTIF($A5:D5,E5)=0,COUNTIF(F5:$J5,E5),0)</f>
        <v>0</v>
      </c>
      <c r="P5" s="864">
        <f>IF(COUNTIF($A5:E5,F5)=0,COUNTIF(G5:$J5,F5),0)</f>
        <v>0</v>
      </c>
      <c r="Q5" s="864">
        <f>IF(COUNTIF($A5:F5,G5)=0,COUNTIF(H5:$J5,G5),0)</f>
        <v>0</v>
      </c>
      <c r="R5" s="864">
        <f>IF(COUNTIF($A5:G5,H5)=0,COUNTIF(I5:$J5,H5),0)</f>
        <v>0</v>
      </c>
      <c r="S5" s="786">
        <f>IF(COUNTIF($A5:H5,I5)=0,COUNTIF(J5:$J5,I5),0)</f>
        <v>0</v>
      </c>
    </row>
    <row r="6" spans="1:25" x14ac:dyDescent="0.25">
      <c r="B6" s="540">
        <v>8</v>
      </c>
      <c r="C6" s="863">
        <v>7</v>
      </c>
      <c r="D6" s="863">
        <v>2</v>
      </c>
      <c r="E6" s="863">
        <v>6</v>
      </c>
      <c r="F6" s="863">
        <v>4.5</v>
      </c>
      <c r="G6" s="863">
        <v>4.5</v>
      </c>
      <c r="H6" s="863">
        <v>3</v>
      </c>
      <c r="I6" s="494">
        <v>1</v>
      </c>
      <c r="K6" s="862">
        <v>2</v>
      </c>
      <c r="L6" s="540">
        <f>IF(COUNTIF($A6:A6,B6)=0,COUNTIF(C6:$J6,B6),0)</f>
        <v>0</v>
      </c>
      <c r="M6" s="863">
        <f>IF(COUNTIF($A6:B6,C6)=0,COUNTIF(D6:$J6,C6),0)</f>
        <v>0</v>
      </c>
      <c r="N6" s="863">
        <f>IF(COUNTIF($A6:C6,D6)=0,COUNTIF(E6:$J6,D6),0)</f>
        <v>0</v>
      </c>
      <c r="O6" s="863">
        <f>IF(COUNTIF($A6:D6,E6)=0,COUNTIF(F6:$J6,E6),0)</f>
        <v>0</v>
      </c>
      <c r="P6" s="863">
        <f>IF(COUNTIF($A6:E6,F6)=0,COUNTIF(G6:$J6,F6),0)</f>
        <v>1</v>
      </c>
      <c r="Q6" s="863">
        <f>IF(COUNTIF($A6:F6,G6)=0,COUNTIF(H6:$J6,G6),0)</f>
        <v>0</v>
      </c>
      <c r="R6" s="863">
        <f>IF(COUNTIF($A6:G6,H6)=0,COUNTIF(I6:$J6,H6),0)</f>
        <v>0</v>
      </c>
      <c r="S6" s="494">
        <f>IF(COUNTIF($A6:H6,I6)=0,COUNTIF(J6:$J6,I6),0)</f>
        <v>0</v>
      </c>
      <c r="U6" t="str">
        <f t="array" ref="U6:V10">[1]!KendallW(B5:I11,TRUE,TRUE)</f>
        <v>W</v>
      </c>
      <c r="V6" s="868">
        <v>0.64607019278299593</v>
      </c>
      <c r="X6" t="s">
        <v>1044</v>
      </c>
      <c r="Y6" s="970">
        <f t="array" ref="Y6:Y10">[1]!KendallW(B5:I11,,TRUE)</f>
        <v>0.64607019278299593</v>
      </c>
    </row>
    <row r="7" spans="1:25" x14ac:dyDescent="0.25">
      <c r="B7" s="540">
        <v>8</v>
      </c>
      <c r="C7" s="863">
        <v>5.5</v>
      </c>
      <c r="D7" s="863">
        <v>7</v>
      </c>
      <c r="E7" s="863">
        <v>5.5</v>
      </c>
      <c r="F7" s="863">
        <v>4</v>
      </c>
      <c r="G7" s="863">
        <v>3</v>
      </c>
      <c r="H7" s="863">
        <v>2</v>
      </c>
      <c r="I7" s="494">
        <v>1</v>
      </c>
      <c r="K7" s="862">
        <v>3</v>
      </c>
      <c r="L7" s="540">
        <f>IF(COUNTIF($A7:A7,B7)=0,COUNTIF(C7:$J7,B7),0)</f>
        <v>0</v>
      </c>
      <c r="M7" s="863">
        <f>IF(COUNTIF($A7:B7,C7)=0,COUNTIF(D7:$J7,C7),0)</f>
        <v>1</v>
      </c>
      <c r="N7" s="863">
        <f>IF(COUNTIF($A7:C7,D7)=0,COUNTIF(E7:$J7,D7),0)</f>
        <v>0</v>
      </c>
      <c r="O7" s="863">
        <f>IF(COUNTIF($A7:D7,E7)=0,COUNTIF(F7:$J7,E7),0)</f>
        <v>0</v>
      </c>
      <c r="P7" s="863">
        <f>IF(COUNTIF($A7:E7,F7)=0,COUNTIF(G7:$J7,F7),0)</f>
        <v>0</v>
      </c>
      <c r="Q7" s="863">
        <f>IF(COUNTIF($A7:F7,G7)=0,COUNTIF(H7:$J7,G7),0)</f>
        <v>0</v>
      </c>
      <c r="R7" s="863">
        <f>IF(COUNTIF($A7:G7,H7)=0,COUNTIF(I7:$J7,H7),0)</f>
        <v>0</v>
      </c>
      <c r="S7" s="494">
        <f>IF(COUNTIF($A7:H7,I7)=0,COUNTIF(J7:$J7,I7),0)</f>
        <v>0</v>
      </c>
      <c r="U7" t="str">
        <v>r</v>
      </c>
      <c r="V7" s="503">
        <v>0.587081891580162</v>
      </c>
      <c r="X7" t="s">
        <v>120</v>
      </c>
      <c r="Y7" s="680">
        <v>0.587081891580162</v>
      </c>
    </row>
    <row r="8" spans="1:25" x14ac:dyDescent="0.25">
      <c r="B8" s="540">
        <v>8</v>
      </c>
      <c r="C8" s="863">
        <v>6.5</v>
      </c>
      <c r="D8" s="863">
        <v>4</v>
      </c>
      <c r="E8" s="863">
        <v>5</v>
      </c>
      <c r="F8" s="863">
        <v>3</v>
      </c>
      <c r="G8" s="863">
        <v>6.5</v>
      </c>
      <c r="H8" s="863">
        <v>1</v>
      </c>
      <c r="I8" s="494">
        <v>2</v>
      </c>
      <c r="K8" s="862">
        <v>4</v>
      </c>
      <c r="L8" s="540">
        <f>IF(COUNTIF($A8:A8,B8)=0,COUNTIF(C8:$J8,B8),0)</f>
        <v>0</v>
      </c>
      <c r="M8" s="863">
        <f>IF(COUNTIF($A8:B8,C8)=0,COUNTIF(D8:$J8,C8),0)</f>
        <v>1</v>
      </c>
      <c r="N8" s="863">
        <f>IF(COUNTIF($A8:C8,D8)=0,COUNTIF(E8:$J8,D8),0)</f>
        <v>0</v>
      </c>
      <c r="O8" s="863">
        <f>IF(COUNTIF($A8:D8,E8)=0,COUNTIF(F8:$J8,E8),0)</f>
        <v>0</v>
      </c>
      <c r="P8" s="863">
        <f>IF(COUNTIF($A8:E8,F8)=0,COUNTIF(G8:$J8,F8),0)</f>
        <v>0</v>
      </c>
      <c r="Q8" s="863">
        <f>IF(COUNTIF($A8:F8,G8)=0,COUNTIF(H8:$J8,G8),0)</f>
        <v>0</v>
      </c>
      <c r="R8" s="863">
        <f>IF(COUNTIF($A8:G8,H8)=0,COUNTIF(I8:$J8,H8),0)</f>
        <v>0</v>
      </c>
      <c r="S8" s="494">
        <f>IF(COUNTIF($A8:H8,I8)=0,COUNTIF(J8:$J8,I8),0)</f>
        <v>0</v>
      </c>
      <c r="U8" t="str">
        <v>chi-sq</v>
      </c>
      <c r="V8" s="503">
        <v>31.657439446366801</v>
      </c>
      <c r="X8" t="s">
        <v>107</v>
      </c>
      <c r="Y8" s="680">
        <v>31.657439446366801</v>
      </c>
    </row>
    <row r="9" spans="1:25" x14ac:dyDescent="0.25">
      <c r="B9" s="540">
        <v>6</v>
      </c>
      <c r="C9" s="863">
        <v>4.5</v>
      </c>
      <c r="D9" s="863">
        <v>2</v>
      </c>
      <c r="E9" s="863">
        <v>7</v>
      </c>
      <c r="F9" s="863">
        <v>3</v>
      </c>
      <c r="G9" s="863">
        <v>8</v>
      </c>
      <c r="H9" s="863">
        <v>1</v>
      </c>
      <c r="I9" s="494">
        <v>4.5</v>
      </c>
      <c r="K9" s="862">
        <v>5</v>
      </c>
      <c r="L9" s="540">
        <f>IF(COUNTIF($A9:A9,B9)=0,COUNTIF(C9:$J9,B9),0)</f>
        <v>0</v>
      </c>
      <c r="M9" s="863">
        <f>IF(COUNTIF($A9:B9,C9)=0,COUNTIF(D9:$J9,C9),0)</f>
        <v>1</v>
      </c>
      <c r="N9" s="863">
        <f>IF(COUNTIF($A9:C9,D9)=0,COUNTIF(E9:$J9,D9),0)</f>
        <v>0</v>
      </c>
      <c r="O9" s="863">
        <f>IF(COUNTIF($A9:D9,E9)=0,COUNTIF(F9:$J9,E9),0)</f>
        <v>0</v>
      </c>
      <c r="P9" s="863">
        <f>IF(COUNTIF($A9:E9,F9)=0,COUNTIF(G9:$J9,F9),0)</f>
        <v>0</v>
      </c>
      <c r="Q9" s="863">
        <f>IF(COUNTIF($A9:F9,G9)=0,COUNTIF(H9:$J9,G9),0)</f>
        <v>0</v>
      </c>
      <c r="R9" s="863">
        <f>IF(COUNTIF($A9:G9,H9)=0,COUNTIF(I9:$J9,H9),0)</f>
        <v>0</v>
      </c>
      <c r="S9" s="494">
        <f>IF(COUNTIF($A9:H9,I9)=0,COUNTIF(J9:$J9,I9),0)</f>
        <v>0</v>
      </c>
      <c r="U9" t="str">
        <v>df</v>
      </c>
      <c r="V9" s="503">
        <v>7</v>
      </c>
      <c r="X9" t="s">
        <v>60</v>
      </c>
      <c r="Y9" s="680">
        <v>7</v>
      </c>
    </row>
    <row r="10" spans="1:25" x14ac:dyDescent="0.25">
      <c r="B10" s="540">
        <v>7.5</v>
      </c>
      <c r="C10" s="863">
        <v>6</v>
      </c>
      <c r="D10" s="863">
        <v>7.5</v>
      </c>
      <c r="E10" s="863">
        <v>2.5</v>
      </c>
      <c r="F10" s="863">
        <v>5</v>
      </c>
      <c r="G10" s="863">
        <v>4</v>
      </c>
      <c r="H10" s="863">
        <v>1</v>
      </c>
      <c r="I10" s="494">
        <v>2.5</v>
      </c>
      <c r="K10" s="862">
        <v>6</v>
      </c>
      <c r="L10" s="540">
        <f>IF(COUNTIF($A10:A10,B10)=0,COUNTIF(C10:$J10,B10),0)</f>
        <v>1</v>
      </c>
      <c r="M10" s="863">
        <f>IF(COUNTIF($A10:B10,C10)=0,COUNTIF(D10:$J10,C10),0)</f>
        <v>0</v>
      </c>
      <c r="N10" s="863">
        <f>IF(COUNTIF($A10:C10,D10)=0,COUNTIF(E10:$J10,D10),0)</f>
        <v>0</v>
      </c>
      <c r="O10" s="863">
        <f>IF(COUNTIF($A10:D10,E10)=0,COUNTIF(F10:$J10,E10),0)</f>
        <v>1</v>
      </c>
      <c r="P10" s="863">
        <f>IF(COUNTIF($A10:E10,F10)=0,COUNTIF(G10:$J10,F10),0)</f>
        <v>0</v>
      </c>
      <c r="Q10" s="863">
        <f>IF(COUNTIF($A10:F10,G10)=0,COUNTIF(H10:$J10,G10),0)</f>
        <v>0</v>
      </c>
      <c r="R10" s="863">
        <f>IF(COUNTIF($A10:G10,H10)=0,COUNTIF(I10:$J10,H10),0)</f>
        <v>0</v>
      </c>
      <c r="S10" s="494">
        <f>IF(COUNTIF($A10:H10,I10)=0,COUNTIF(J10:$J10,I10),0)</f>
        <v>0</v>
      </c>
      <c r="U10" t="str">
        <v>p-value</v>
      </c>
      <c r="V10" s="420">
        <v>4.7005265136025027E-5</v>
      </c>
      <c r="X10" t="s">
        <v>67</v>
      </c>
      <c r="Y10" s="757">
        <v>4.7005265136025027E-5</v>
      </c>
    </row>
    <row r="11" spans="1:25" x14ac:dyDescent="0.25">
      <c r="B11" s="436">
        <v>6</v>
      </c>
      <c r="C11" s="860">
        <v>7</v>
      </c>
      <c r="D11" s="860">
        <v>4</v>
      </c>
      <c r="E11" s="860">
        <v>8</v>
      </c>
      <c r="F11" s="860">
        <v>4</v>
      </c>
      <c r="G11" s="860">
        <v>4</v>
      </c>
      <c r="H11" s="860">
        <v>2</v>
      </c>
      <c r="I11" s="412">
        <v>1</v>
      </c>
      <c r="K11" s="862">
        <v>7</v>
      </c>
      <c r="L11" s="436">
        <f>IF(COUNTIF($A11:A11,B11)=0,COUNTIF(C11:$J11,B11),0)</f>
        <v>0</v>
      </c>
      <c r="M11" s="860">
        <f>IF(COUNTIF($A11:B11,C11)=0,COUNTIF(D11:$J11,C11),0)</f>
        <v>0</v>
      </c>
      <c r="N11" s="860">
        <f>IF(COUNTIF($A11:C11,D11)=0,COUNTIF(E11:$J11,D11),0)</f>
        <v>2</v>
      </c>
      <c r="O11" s="860">
        <f>IF(COUNTIF($A11:D11,E11)=0,COUNTIF(F11:$J11,E11),0)</f>
        <v>0</v>
      </c>
      <c r="P11" s="860">
        <f>IF(COUNTIF($A11:E11,F11)=0,COUNTIF(G11:$J11,F11),0)</f>
        <v>0</v>
      </c>
      <c r="Q11" s="860">
        <f>IF(COUNTIF($A11:F11,G11)=0,COUNTIF(H11:$J11,G11),0)</f>
        <v>0</v>
      </c>
      <c r="R11" s="860">
        <f>IF(COUNTIF($A11:G11,H11)=0,COUNTIF(I11:$J11,H11),0)</f>
        <v>0</v>
      </c>
      <c r="S11" s="412">
        <f>IF(COUNTIF($A11:H11,I11)=0,COUNTIF(J11:$J11,I11),0)</f>
        <v>0</v>
      </c>
    </row>
    <row r="12" spans="1:25" x14ac:dyDescent="0.25">
      <c r="B12" s="862">
        <f>SUM(B5:B11)</f>
        <v>50.5</v>
      </c>
      <c r="C12" s="862">
        <f t="shared" ref="C12:I12" si="0">SUM(C5:C11)</f>
        <v>44.5</v>
      </c>
      <c r="D12" s="862">
        <f t="shared" si="0"/>
        <v>32.5</v>
      </c>
      <c r="E12" s="862">
        <f t="shared" si="0"/>
        <v>38</v>
      </c>
      <c r="F12" s="862">
        <f t="shared" si="0"/>
        <v>28.5</v>
      </c>
      <c r="G12" s="862">
        <f t="shared" si="0"/>
        <v>33</v>
      </c>
      <c r="H12" s="862">
        <f t="shared" si="0"/>
        <v>12</v>
      </c>
      <c r="I12" s="862">
        <f t="shared" si="0"/>
        <v>13</v>
      </c>
    </row>
    <row r="14" spans="1:25" x14ac:dyDescent="0.25">
      <c r="B14" t="s">
        <v>56</v>
      </c>
      <c r="C14" s="853">
        <f>COUNTA(B5:I5)</f>
        <v>8</v>
      </c>
      <c r="E14" s="16" t="s">
        <v>1955</v>
      </c>
    </row>
    <row r="15" spans="1:25" x14ac:dyDescent="0.25">
      <c r="B15" t="s">
        <v>573</v>
      </c>
      <c r="C15" s="503">
        <f>COUNT(B5:B11)</f>
        <v>7</v>
      </c>
      <c r="E15" s="16" t="s">
        <v>1956</v>
      </c>
    </row>
    <row r="16" spans="1:25" x14ac:dyDescent="0.25">
      <c r="B16" t="s">
        <v>241</v>
      </c>
      <c r="C16" s="503">
        <f>SUMPRODUCT((L5:S11+1)^3-(L5:S11+1))</f>
        <v>60</v>
      </c>
      <c r="E16" s="16" t="s">
        <v>1952</v>
      </c>
    </row>
    <row r="17" spans="2:5" x14ac:dyDescent="0.25">
      <c r="B17" t="s">
        <v>1044</v>
      </c>
      <c r="C17" s="503">
        <f>(12*SUMSQ(B12:I12)-3*C15^2*C14*(C14+1)^2)/(C15^2*(C14^3-C14)-C15*C16)</f>
        <v>0.6460701927829956</v>
      </c>
      <c r="E17" s="16" t="s">
        <v>1953</v>
      </c>
    </row>
    <row r="18" spans="2:5" x14ac:dyDescent="0.25">
      <c r="B18" t="s">
        <v>120</v>
      </c>
      <c r="C18" s="503">
        <f>(C15*C17-1)/(C15-1)</f>
        <v>0.58708189158016155</v>
      </c>
      <c r="E18" s="16" t="s">
        <v>1954</v>
      </c>
    </row>
    <row r="19" spans="2:5" x14ac:dyDescent="0.25">
      <c r="B19" s="30" t="s">
        <v>109</v>
      </c>
      <c r="C19" s="503">
        <f>C15*(C14-1)*C17</f>
        <v>31.657439446366784</v>
      </c>
      <c r="E19" s="16" t="s">
        <v>1942</v>
      </c>
    </row>
    <row r="20" spans="2:5" x14ac:dyDescent="0.25">
      <c r="B20" s="30" t="s">
        <v>60</v>
      </c>
      <c r="C20" s="503">
        <f>C14-1</f>
        <v>7</v>
      </c>
      <c r="E20" s="16" t="s">
        <v>1940</v>
      </c>
    </row>
    <row r="21" spans="2:5" x14ac:dyDescent="0.25">
      <c r="B21" s="30" t="s">
        <v>67</v>
      </c>
      <c r="C21" s="420">
        <f>CHIDIST(C19,C20)</f>
        <v>4.7005265136025461E-5</v>
      </c>
      <c r="E21" s="16" t="s">
        <v>1941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V29"/>
  <sheetViews>
    <sheetView workbookViewId="0"/>
  </sheetViews>
  <sheetFormatPr defaultRowHeight="15" x14ac:dyDescent="0.25"/>
  <cols>
    <col min="1" max="2" width="5.85546875" style="667" customWidth="1"/>
    <col min="3" max="3" width="71.7109375" style="667" customWidth="1"/>
    <col min="4" max="4" width="9.140625" style="667"/>
    <col min="5" max="5" width="6.42578125" style="667" customWidth="1"/>
    <col min="6" max="6" width="5.7109375" style="667" customWidth="1"/>
    <col min="7" max="7" width="9.140625" style="667" customWidth="1"/>
    <col min="8" max="15" width="9.140625" style="667"/>
    <col min="16" max="16" width="8.28515625" style="667" customWidth="1"/>
    <col min="17" max="17" width="9.140625" style="667"/>
    <col min="18" max="18" width="3.140625" style="667" customWidth="1"/>
    <col min="19" max="19" width="29.140625" style="667" customWidth="1"/>
    <col min="20" max="20" width="3.140625" style="667" customWidth="1"/>
    <col min="21" max="21" width="7.28515625" style="667" customWidth="1"/>
    <col min="22" max="26" width="9.140625" style="667"/>
    <col min="27" max="27" width="17" style="667" customWidth="1"/>
    <col min="28" max="45" width="9.140625" style="667"/>
    <col min="46" max="46" width="3" style="667" customWidth="1"/>
    <col min="47" max="16384" width="9.140625" style="667"/>
  </cols>
  <sheetData>
    <row r="1" spans="1:48" x14ac:dyDescent="0.25">
      <c r="A1" s="922" t="s">
        <v>2694</v>
      </c>
      <c r="V1" s="1269" t="s">
        <v>4</v>
      </c>
      <c r="W1" s="1269" t="s">
        <v>7</v>
      </c>
      <c r="X1" s="1269" t="s">
        <v>29</v>
      </c>
      <c r="Y1" s="1269" t="s">
        <v>30</v>
      </c>
      <c r="AJ1" s="667" t="s">
        <v>27</v>
      </c>
      <c r="AM1" s="667" t="s">
        <v>1566</v>
      </c>
      <c r="AP1" s="667" t="s">
        <v>2702</v>
      </c>
      <c r="AU1" s="667" t="s">
        <v>1570</v>
      </c>
    </row>
    <row r="2" spans="1:48" x14ac:dyDescent="0.25">
      <c r="P2" s="667" t="s">
        <v>120</v>
      </c>
      <c r="Q2" s="1276">
        <f>CORREL(A4:A23,B4:B23)</f>
        <v>0.9397227006110801</v>
      </c>
      <c r="S2" s="667" t="str">
        <f>[1]!FTEXT(Q2)</f>
        <v>=CORREL(A4:A23,B4:B23)</v>
      </c>
      <c r="U2" s="667" t="s">
        <v>2695</v>
      </c>
      <c r="V2" s="1271">
        <v>30</v>
      </c>
      <c r="W2" s="1200">
        <f>V6</f>
        <v>1.5150000000000001</v>
      </c>
      <c r="X2" s="1200">
        <f>V7</f>
        <v>-6.3635150416767488</v>
      </c>
      <c r="Y2" s="1272">
        <f>V8</f>
        <v>9.3935150416767499</v>
      </c>
      <c r="AA2" s="667" t="s">
        <v>1593</v>
      </c>
    </row>
    <row r="3" spans="1:48" x14ac:dyDescent="0.25">
      <c r="A3" s="1268" t="s">
        <v>76</v>
      </c>
      <c r="B3" s="1268" t="s">
        <v>75</v>
      </c>
      <c r="C3" s="1275"/>
      <c r="E3" s="1268" t="s">
        <v>377</v>
      </c>
      <c r="F3" s="1268" t="s">
        <v>378</v>
      </c>
      <c r="P3" s="667" t="s">
        <v>31</v>
      </c>
      <c r="Q3" s="940">
        <f>COUNT(E4:E23)</f>
        <v>20</v>
      </c>
      <c r="S3" s="667" t="str">
        <f>[1]!FTEXT(Q3)</f>
        <v>=COUNT(E4:E23)</v>
      </c>
      <c r="U3" s="667" t="s">
        <v>2696</v>
      </c>
      <c r="V3" s="937">
        <v>80</v>
      </c>
      <c r="W3" s="1202">
        <f>W2</f>
        <v>1.5150000000000001</v>
      </c>
      <c r="X3" s="1202">
        <f>X2</f>
        <v>-6.3635150416767488</v>
      </c>
      <c r="Y3" s="938">
        <f>Y2</f>
        <v>9.3935150416767499</v>
      </c>
      <c r="AJ3" s="1280"/>
      <c r="AK3" s="1280" t="str">
        <f>F3</f>
        <v>Y</v>
      </c>
      <c r="AN3" s="1281" t="str">
        <f>F3</f>
        <v>Y</v>
      </c>
      <c r="AP3" s="667" t="s">
        <v>70</v>
      </c>
      <c r="AU3" s="1280"/>
      <c r="AV3" s="1280" t="str">
        <f>F3</f>
        <v>Y</v>
      </c>
    </row>
    <row r="4" spans="1:48" ht="15.75" thickBot="1" x14ac:dyDescent="0.3">
      <c r="A4" s="706">
        <v>38.799999999999997</v>
      </c>
      <c r="B4" s="706">
        <v>28.5</v>
      </c>
      <c r="C4" s="706"/>
      <c r="E4" s="667">
        <f>AVERAGE(A4:B4)</f>
        <v>33.65</v>
      </c>
      <c r="F4" s="667">
        <f>A4-B4</f>
        <v>10.299999999999997</v>
      </c>
      <c r="P4" s="667" t="s">
        <v>2697</v>
      </c>
      <c r="Q4" s="940">
        <f>AVERAGE(F4:F23)</f>
        <v>1.5150000000000001</v>
      </c>
      <c r="S4" s="667" t="str">
        <f>[1]!FTEXT(Q4)</f>
        <v>=AVERAGE(F4:F23)</v>
      </c>
      <c r="AA4" s="1270" t="s">
        <v>1598</v>
      </c>
      <c r="AB4" s="1270"/>
      <c r="AD4" s="1270"/>
      <c r="AE4" s="1270"/>
      <c r="AJ4" s="667" t="s">
        <v>10</v>
      </c>
      <c r="AK4" s="667">
        <f>AVERAGE(F4:F23)</f>
        <v>1.5150000000000001</v>
      </c>
      <c r="AM4" s="667" t="s">
        <v>50</v>
      </c>
      <c r="AN4" s="1282">
        <f>MIN(F4:F23)-$AN$10</f>
        <v>0</v>
      </c>
      <c r="AU4" s="667" t="s">
        <v>1044</v>
      </c>
      <c r="AV4" s="667">
        <f>[1]!SHAPIRO(F4:F23)</f>
        <v>0.97981471916466711</v>
      </c>
    </row>
    <row r="5" spans="1:48" ht="15" customHeight="1" thickTop="1" x14ac:dyDescent="0.35">
      <c r="A5" s="706">
        <v>43.7</v>
      </c>
      <c r="B5" s="706">
        <v>48.7</v>
      </c>
      <c r="C5" s="706"/>
      <c r="E5" s="667">
        <f t="shared" ref="E5:E23" si="0">AVERAGE(A5:B5)</f>
        <v>46.2</v>
      </c>
      <c r="F5" s="667">
        <f t="shared" ref="F5:F23" si="1">A5-B5</f>
        <v>-5</v>
      </c>
      <c r="P5" s="667" t="s">
        <v>2698</v>
      </c>
      <c r="Q5" s="940">
        <f>STDEV(F4:F23)</f>
        <v>4.0197243948467793</v>
      </c>
      <c r="S5" s="1279" t="s">
        <v>2701</v>
      </c>
      <c r="W5" s="1269" t="s">
        <v>425</v>
      </c>
      <c r="X5" s="1269" t="s">
        <v>29</v>
      </c>
      <c r="Y5" s="1269" t="s">
        <v>30</v>
      </c>
      <c r="AA5" s="667" t="s">
        <v>292</v>
      </c>
      <c r="AB5" s="667">
        <f>SQRT(AB6)</f>
        <v>0.25841131482633295</v>
      </c>
      <c r="AD5" s="667" t="s">
        <v>774</v>
      </c>
      <c r="AE5" s="667">
        <f>AB9*LN(AC14/AB9)+2*(AB13+1)</f>
        <v>57.240458623566688</v>
      </c>
      <c r="AJ5" s="667" t="s">
        <v>11</v>
      </c>
      <c r="AK5" s="667">
        <f>STDEV(F4:F23)/SQRT(COUNT(F4:F23))</f>
        <v>0.89883769976916039</v>
      </c>
      <c r="AM5" s="667" t="s">
        <v>51</v>
      </c>
      <c r="AN5" s="1283">
        <f>QUARTILE(F4:F23,1)-AN4-$AN$10</f>
        <v>4.1250000000000053</v>
      </c>
      <c r="AP5" s="667" t="s">
        <v>22</v>
      </c>
      <c r="AQ5" s="667">
        <f>COUNT(F4:F23)</f>
        <v>20</v>
      </c>
      <c r="AR5" s="667">
        <f>2*AQ5</f>
        <v>40</v>
      </c>
      <c r="AU5" s="667" t="s">
        <v>67</v>
      </c>
      <c r="AV5" s="667">
        <f>[1]!SWTEST(F4:F23)</f>
        <v>0.93168637723117609</v>
      </c>
    </row>
    <row r="6" spans="1:48" x14ac:dyDescent="0.25">
      <c r="A6" s="706">
        <v>45.8</v>
      </c>
      <c r="B6" s="706">
        <v>41.5</v>
      </c>
      <c r="C6" s="706"/>
      <c r="E6" s="667">
        <f t="shared" si="0"/>
        <v>43.65</v>
      </c>
      <c r="F6" s="667">
        <f t="shared" si="1"/>
        <v>4.2999999999999972</v>
      </c>
      <c r="P6" s="667" t="s">
        <v>29</v>
      </c>
      <c r="Q6" s="940">
        <f>V6-Q5*NORMSINV(0.975)</f>
        <v>-6.3635150416767488</v>
      </c>
      <c r="S6" s="1279" t="s">
        <v>2699</v>
      </c>
      <c r="U6" s="667" t="s">
        <v>7</v>
      </c>
      <c r="V6" s="1271">
        <f>AVERAGE(F4:F23)</f>
        <v>1.5150000000000001</v>
      </c>
      <c r="W6" s="1200">
        <f>Q5/SQRT(Q3)</f>
        <v>0.89883769976916039</v>
      </c>
      <c r="X6" s="1200">
        <f>V6-W6*TINV(0.05,Q3-1)</f>
        <v>-0.36628892662588686</v>
      </c>
      <c r="Y6" s="1272">
        <f>V6+W6*TINV(0.05,Q3-1)</f>
        <v>3.3962889266258873</v>
      </c>
      <c r="AA6" s="667" t="s">
        <v>285</v>
      </c>
      <c r="AB6" s="667">
        <f>AC13/AC15</f>
        <v>6.6776407630274162E-2</v>
      </c>
      <c r="AD6" s="667" t="s">
        <v>775</v>
      </c>
      <c r="AE6" s="667">
        <f>AE5+2*(AB13+2)*(AB13+3)/(AB9-AB13-3)</f>
        <v>58.740458623566688</v>
      </c>
      <c r="AJ6" s="667" t="s">
        <v>12</v>
      </c>
      <c r="AK6" s="667">
        <f>MEDIAN(F4:F23)</f>
        <v>1.6000000000000014</v>
      </c>
      <c r="AM6" s="667" t="s">
        <v>52</v>
      </c>
      <c r="AN6" s="1283">
        <f>MEDIAN(F4:F23)-QUARTILE(F4:F23,1)</f>
        <v>2.6749999999999989</v>
      </c>
      <c r="AP6" s="667" t="s">
        <v>10</v>
      </c>
      <c r="AQ6" s="667">
        <f>AVERAGE(F4:F23)</f>
        <v>1.5150000000000001</v>
      </c>
      <c r="AU6" s="667" t="s">
        <v>106</v>
      </c>
      <c r="AV6" s="667">
        <v>0.05</v>
      </c>
    </row>
    <row r="7" spans="1:48" x14ac:dyDescent="0.25">
      <c r="A7" s="706">
        <v>50.3</v>
      </c>
      <c r="B7" s="706">
        <v>55.5</v>
      </c>
      <c r="C7" s="706"/>
      <c r="E7" s="667">
        <f t="shared" si="0"/>
        <v>52.9</v>
      </c>
      <c r="F7" s="667">
        <f t="shared" si="1"/>
        <v>-5.2000000000000028</v>
      </c>
      <c r="P7" s="667" t="s">
        <v>30</v>
      </c>
      <c r="Q7" s="941">
        <f>V6+Q5*NORMSINV(0.975)</f>
        <v>9.3935150416767499</v>
      </c>
      <c r="S7" s="1279" t="s">
        <v>2700</v>
      </c>
      <c r="U7" s="667" t="s">
        <v>29</v>
      </c>
      <c r="V7" s="1277">
        <f>V6-Q5*NORMSINV(0.975)</f>
        <v>-6.3635150416767488</v>
      </c>
      <c r="W7" s="41">
        <f>SQRT((1/Q3)+NORMSINV(0.975)^2/(2*Q3-1))*Q5</f>
        <v>1.5490233355780874</v>
      </c>
      <c r="X7" s="41">
        <f>V7-W7*TINV(0.05,Q3-1)</f>
        <v>-9.605658143881481</v>
      </c>
      <c r="Y7" s="1278">
        <f>V7+W7*TINV(0.05,Q3-1)</f>
        <v>-3.121371939472017</v>
      </c>
      <c r="AA7" s="667" t="s">
        <v>293</v>
      </c>
      <c r="AB7" s="667">
        <f>1-(1-AB6)*(AB9-1)/(AB9-AB13-1)</f>
        <v>1.4930652498622687E-2</v>
      </c>
      <c r="AD7" s="1202" t="s">
        <v>2661</v>
      </c>
      <c r="AE7" s="1202">
        <f>AB9*LN(AC14/AB9)+(AB13+1)*LN(AB9)</f>
        <v>59.231923170674669</v>
      </c>
      <c r="AJ7" s="667" t="s">
        <v>13</v>
      </c>
      <c r="AK7" s="667" t="e">
        <f>MODE(F4:F23)</f>
        <v>#N/A</v>
      </c>
      <c r="AM7" s="667" t="s">
        <v>53</v>
      </c>
      <c r="AN7" s="1283">
        <f>QUARTILE(F4:F23,3)-MEDIAN(F4:F23)</f>
        <v>2.774999999999995</v>
      </c>
      <c r="AP7" s="667" t="s">
        <v>58</v>
      </c>
      <c r="AQ7" s="667">
        <f>STDEV(F4:F23)</f>
        <v>4.0197243948467793</v>
      </c>
      <c r="AU7" s="1202" t="s">
        <v>1571</v>
      </c>
      <c r="AV7" s="1285" t="str">
        <f>IF(AV5&lt;AV6,"no","yes")</f>
        <v>yes</v>
      </c>
    </row>
    <row r="8" spans="1:48" x14ac:dyDescent="0.25">
      <c r="A8" s="706">
        <v>56.5</v>
      </c>
      <c r="B8" s="706">
        <v>58.4</v>
      </c>
      <c r="C8" s="706"/>
      <c r="E8" s="667">
        <f t="shared" si="0"/>
        <v>57.45</v>
      </c>
      <c r="F8" s="667">
        <f t="shared" si="1"/>
        <v>-1.8999999999999986</v>
      </c>
      <c r="U8" s="667" t="s">
        <v>30</v>
      </c>
      <c r="V8" s="937">
        <f>V6+Q5*NORMSINV(0.975)</f>
        <v>9.3935150416767499</v>
      </c>
      <c r="W8" s="1202">
        <f>W7</f>
        <v>1.5490233355780874</v>
      </c>
      <c r="X8" s="1202">
        <f>V8-W8*TINV(0.05,Q3-1)</f>
        <v>6.1513719394720177</v>
      </c>
      <c r="Y8" s="938">
        <f>V8+W8*TINV(0.05,Q3-1)</f>
        <v>12.635658143881482</v>
      </c>
      <c r="AA8" s="667" t="s">
        <v>11</v>
      </c>
      <c r="AB8" s="667">
        <f>SQRT(AD14)</f>
        <v>3.9896029848933843</v>
      </c>
      <c r="AJ8" s="667" t="s">
        <v>14</v>
      </c>
      <c r="AK8" s="667">
        <f>STDEV(F4:F23)</f>
        <v>4.0197243948467793</v>
      </c>
      <c r="AM8" s="667" t="s">
        <v>54</v>
      </c>
      <c r="AN8" s="1284">
        <f>MAX(F4:F23)-QUARTILE(F4:F23,3)</f>
        <v>5.9250000000000007</v>
      </c>
    </row>
    <row r="9" spans="1:48" x14ac:dyDescent="0.25">
      <c r="A9" s="706">
        <v>61.5</v>
      </c>
      <c r="B9" s="706">
        <v>56.3</v>
      </c>
      <c r="C9" s="706"/>
      <c r="E9" s="667">
        <f t="shared" si="0"/>
        <v>58.9</v>
      </c>
      <c r="F9" s="667">
        <f t="shared" si="1"/>
        <v>5.2000000000000028</v>
      </c>
      <c r="AA9" s="1202" t="s">
        <v>81</v>
      </c>
      <c r="AB9" s="1202">
        <f>COUNT(F4:F23)</f>
        <v>20</v>
      </c>
      <c r="AJ9" s="667" t="s">
        <v>15</v>
      </c>
      <c r="AK9" s="667">
        <f>VAR(F4:F23)</f>
        <v>16.158184210526304</v>
      </c>
      <c r="AP9" s="667" t="s">
        <v>71</v>
      </c>
      <c r="AQ9" s="667" t="s">
        <v>72</v>
      </c>
      <c r="AR9" s="667" t="s">
        <v>217</v>
      </c>
      <c r="AS9" s="667" t="s">
        <v>73</v>
      </c>
    </row>
    <row r="10" spans="1:48" x14ac:dyDescent="0.25">
      <c r="A10" s="706">
        <v>62.2</v>
      </c>
      <c r="B10" s="706">
        <v>61.6</v>
      </c>
      <c r="C10" s="706"/>
      <c r="E10" s="667">
        <f t="shared" si="0"/>
        <v>61.900000000000006</v>
      </c>
      <c r="F10" s="667">
        <f t="shared" si="1"/>
        <v>0.60000000000000142</v>
      </c>
      <c r="AJ10" s="667" t="s">
        <v>16</v>
      </c>
      <c r="AK10" s="667">
        <f>KURT(F4:F23)</f>
        <v>-0.11791773413427409</v>
      </c>
      <c r="AM10" s="667" t="s">
        <v>2703</v>
      </c>
      <c r="AN10" s="1286">
        <f>MIN(F4:F23)</f>
        <v>-5.2000000000000028</v>
      </c>
      <c r="AP10" s="667">
        <v>1</v>
      </c>
      <c r="AQ10" s="667">
        <f t="array" ref="AQ10:AQ29">[1]!QSORT(F4:F23)</f>
        <v>-5.2000000000000028</v>
      </c>
      <c r="AR10" s="667">
        <f>NORMSINV(AP10/AR$5)</f>
        <v>-1.9599639845400538</v>
      </c>
      <c r="AS10" s="667">
        <f>STANDARDIZE(AQ10,AQ$6,AQ$7)</f>
        <v>-1.6705125377770982</v>
      </c>
    </row>
    <row r="11" spans="1:48" ht="15.75" thickBot="1" x14ac:dyDescent="0.3">
      <c r="A11" s="706">
        <v>62.8</v>
      </c>
      <c r="B11" s="706">
        <v>59.1</v>
      </c>
      <c r="C11" s="706"/>
      <c r="E11" s="667">
        <f t="shared" si="0"/>
        <v>60.95</v>
      </c>
      <c r="F11" s="667">
        <f t="shared" si="1"/>
        <v>3.6999999999999957</v>
      </c>
      <c r="AA11" s="667" t="s">
        <v>294</v>
      </c>
      <c r="AE11" s="1269" t="s">
        <v>34</v>
      </c>
      <c r="AF11" s="1269">
        <v>0.05</v>
      </c>
      <c r="AJ11" s="667" t="s">
        <v>17</v>
      </c>
      <c r="AK11" s="667">
        <f>SKEW(F4:F23)</f>
        <v>0.13632286760481688</v>
      </c>
      <c r="AP11" s="667">
        <f>AP10+2</f>
        <v>3</v>
      </c>
      <c r="AQ11" s="667">
        <v>-5</v>
      </c>
      <c r="AR11" s="667">
        <f t="shared" ref="AR11:AR29" si="2">NORMSINV(AP11/AR$5)</f>
        <v>-1.4395314709384572</v>
      </c>
      <c r="AS11" s="667">
        <f t="shared" ref="AS11:AS29" si="3">STANDARDIZE(AQ11,AQ$6,AQ$7)</f>
        <v>-1.6207578828917035</v>
      </c>
    </row>
    <row r="12" spans="1:48" ht="15" customHeight="1" thickTop="1" x14ac:dyDescent="0.25">
      <c r="A12" s="706">
        <v>63.7</v>
      </c>
      <c r="B12" s="706">
        <v>59.1</v>
      </c>
      <c r="C12" s="706"/>
      <c r="E12" s="667">
        <f t="shared" si="0"/>
        <v>61.400000000000006</v>
      </c>
      <c r="F12" s="667">
        <f t="shared" si="1"/>
        <v>4.6000000000000014</v>
      </c>
      <c r="AA12" s="1273"/>
      <c r="AB12" s="1273" t="s">
        <v>60</v>
      </c>
      <c r="AC12" s="1273" t="s">
        <v>219</v>
      </c>
      <c r="AD12" s="1273" t="s">
        <v>240</v>
      </c>
      <c r="AE12" s="1273" t="s">
        <v>135</v>
      </c>
      <c r="AF12" s="1273" t="s">
        <v>67</v>
      </c>
      <c r="AG12" s="1273" t="s">
        <v>527</v>
      </c>
      <c r="AJ12" s="667" t="s">
        <v>18</v>
      </c>
      <c r="AK12" s="667">
        <f>AK13-AK14</f>
        <v>15.5</v>
      </c>
      <c r="AP12" s="667">
        <f t="shared" ref="AP12:AP29" si="4">AP11+2</f>
        <v>5</v>
      </c>
      <c r="AQ12" s="667">
        <v>-3.5</v>
      </c>
      <c r="AR12" s="667">
        <f t="shared" si="2"/>
        <v>-1.1503493803760083</v>
      </c>
      <c r="AS12" s="667">
        <f t="shared" si="3"/>
        <v>-1.2475979712512499</v>
      </c>
    </row>
    <row r="13" spans="1:48" x14ac:dyDescent="0.25">
      <c r="A13" s="706">
        <v>64.5</v>
      </c>
      <c r="B13" s="706">
        <v>64.599999999999994</v>
      </c>
      <c r="C13" s="706"/>
      <c r="E13" s="667">
        <f t="shared" si="0"/>
        <v>64.55</v>
      </c>
      <c r="F13" s="667">
        <f t="shared" si="1"/>
        <v>-9.9999999999994316E-2</v>
      </c>
      <c r="AA13" s="667" t="s">
        <v>222</v>
      </c>
      <c r="AB13" s="667">
        <f>COUNT(E4)</f>
        <v>1</v>
      </c>
      <c r="AC13" s="667">
        <f>DEVSQ(MMULT([1]!DESIGN(E4:E23),AB18:AB19))</f>
        <v>20.500724412736119</v>
      </c>
      <c r="AD13" s="667">
        <f>AC13/AB13</f>
        <v>20.500724412736119</v>
      </c>
      <c r="AE13" s="667">
        <f>AD13/AD14</f>
        <v>1.2879821590159015</v>
      </c>
      <c r="AF13" s="667">
        <f>FDIST(AE13,AB13,AB14)</f>
        <v>0.27130747906756036</v>
      </c>
      <c r="AG13" s="1269" t="str">
        <f>IF(AF13&lt;AF11,"yes","no")</f>
        <v>no</v>
      </c>
      <c r="AJ13" s="667" t="s">
        <v>20</v>
      </c>
      <c r="AK13" s="667">
        <f>MAX(F4:F23)</f>
        <v>10.299999999999997</v>
      </c>
      <c r="AP13" s="667">
        <f t="shared" si="4"/>
        <v>7</v>
      </c>
      <c r="AQ13" s="667">
        <v>-2.7999999999999972</v>
      </c>
      <c r="AR13" s="667">
        <f t="shared" si="2"/>
        <v>-0.93458929107347943</v>
      </c>
      <c r="AS13" s="667">
        <f t="shared" si="3"/>
        <v>-1.073456679152371</v>
      </c>
    </row>
    <row r="14" spans="1:48" x14ac:dyDescent="0.25">
      <c r="A14" s="706">
        <v>66.2</v>
      </c>
      <c r="B14" s="706">
        <v>63.9</v>
      </c>
      <c r="C14" s="706"/>
      <c r="E14" s="667">
        <f t="shared" si="0"/>
        <v>65.05</v>
      </c>
      <c r="F14" s="667">
        <f t="shared" si="1"/>
        <v>2.3000000000000043</v>
      </c>
      <c r="AA14" s="667" t="s">
        <v>295</v>
      </c>
      <c r="AB14" s="667">
        <f>AB15-AB13</f>
        <v>18</v>
      </c>
      <c r="AC14" s="667">
        <f>AC15-AC13</f>
        <v>286.50477558726362</v>
      </c>
      <c r="AD14" s="667">
        <f>AC14/AB14</f>
        <v>15.916931977070201</v>
      </c>
      <c r="AJ14" s="667" t="s">
        <v>19</v>
      </c>
      <c r="AK14" s="667">
        <f>MIN(F4:F23)</f>
        <v>-5.2000000000000028</v>
      </c>
      <c r="AP14" s="667">
        <f t="shared" si="4"/>
        <v>9</v>
      </c>
      <c r="AQ14" s="667">
        <v>-1.8999999999999986</v>
      </c>
      <c r="AR14" s="667">
        <f t="shared" si="2"/>
        <v>-0.75541502636046909</v>
      </c>
      <c r="AS14" s="667">
        <f t="shared" si="3"/>
        <v>-0.84956073216809902</v>
      </c>
    </row>
    <row r="15" spans="1:48" x14ac:dyDescent="0.25">
      <c r="A15" s="706">
        <v>67.3</v>
      </c>
      <c r="B15" s="706">
        <v>66.099999999999994</v>
      </c>
      <c r="C15" s="706"/>
      <c r="E15" s="667">
        <f t="shared" si="0"/>
        <v>66.699999999999989</v>
      </c>
      <c r="F15" s="667">
        <f t="shared" si="1"/>
        <v>1.2000000000000028</v>
      </c>
      <c r="AA15" s="1202" t="s">
        <v>1</v>
      </c>
      <c r="AB15" s="1202">
        <f>AB9-1</f>
        <v>19</v>
      </c>
      <c r="AC15" s="1202">
        <f>DEVSQ(F4:F23)</f>
        <v>307.00549999999976</v>
      </c>
      <c r="AD15" s="1202"/>
      <c r="AE15" s="1202"/>
      <c r="AF15" s="1202"/>
      <c r="AG15" s="1202"/>
      <c r="AJ15" s="667" t="s">
        <v>21</v>
      </c>
      <c r="AK15" s="667">
        <f>SUM(F4:F23)</f>
        <v>30.300000000000004</v>
      </c>
      <c r="AP15" s="667">
        <f t="shared" si="4"/>
        <v>11</v>
      </c>
      <c r="AQ15" s="667">
        <v>-0.79999999999999716</v>
      </c>
      <c r="AR15" s="667">
        <f t="shared" si="2"/>
        <v>-0.59776012604247841</v>
      </c>
      <c r="AS15" s="667">
        <f t="shared" si="3"/>
        <v>-0.57591013029843274</v>
      </c>
    </row>
    <row r="16" spans="1:48" ht="15.75" thickBot="1" x14ac:dyDescent="0.3">
      <c r="A16" s="706">
        <v>68.3</v>
      </c>
      <c r="B16" s="706">
        <v>66.599999999999994</v>
      </c>
      <c r="C16" s="706"/>
      <c r="E16" s="667">
        <f t="shared" si="0"/>
        <v>67.449999999999989</v>
      </c>
      <c r="F16" s="667">
        <f t="shared" si="1"/>
        <v>1.7000000000000028</v>
      </c>
      <c r="AJ16" s="667" t="s">
        <v>22</v>
      </c>
      <c r="AK16" s="667">
        <f>COUNT(F4:F23)</f>
        <v>20</v>
      </c>
      <c r="AP16" s="667">
        <f t="shared" si="4"/>
        <v>13</v>
      </c>
      <c r="AQ16" s="667">
        <v>-9.9999999999994316E-2</v>
      </c>
      <c r="AR16" s="667">
        <f t="shared" si="2"/>
        <v>-0.45376219016987951</v>
      </c>
      <c r="AS16" s="667">
        <f t="shared" si="3"/>
        <v>-0.40176883819955367</v>
      </c>
    </row>
    <row r="17" spans="1:45" ht="15.75" thickTop="1" x14ac:dyDescent="0.25">
      <c r="A17" s="706">
        <v>68.400000000000006</v>
      </c>
      <c r="B17" s="706">
        <v>69.2</v>
      </c>
      <c r="C17" s="706"/>
      <c r="E17" s="667">
        <f t="shared" si="0"/>
        <v>68.800000000000011</v>
      </c>
      <c r="F17" s="667">
        <f t="shared" si="1"/>
        <v>-0.79999999999999716</v>
      </c>
      <c r="AA17" s="1273"/>
      <c r="AB17" s="1273" t="s">
        <v>1592</v>
      </c>
      <c r="AC17" s="1273" t="s">
        <v>1000</v>
      </c>
      <c r="AD17" s="1273" t="s">
        <v>61</v>
      </c>
      <c r="AE17" s="1273" t="s">
        <v>67</v>
      </c>
      <c r="AF17" s="1273" t="s">
        <v>29</v>
      </c>
      <c r="AG17" s="1273" t="s">
        <v>30</v>
      </c>
      <c r="AH17" s="1273" t="s">
        <v>2649</v>
      </c>
      <c r="AJ17" s="667" t="s">
        <v>6</v>
      </c>
      <c r="AK17" s="667" t="e">
        <f>GEOMEAN(F4:F23)</f>
        <v>#NUM!</v>
      </c>
      <c r="AP17" s="667">
        <f t="shared" si="4"/>
        <v>15</v>
      </c>
      <c r="AQ17" s="667">
        <v>0.60000000000000142</v>
      </c>
      <c r="AR17" s="667">
        <f t="shared" si="2"/>
        <v>-0.3186393639643752</v>
      </c>
      <c r="AS17" s="667">
        <f t="shared" si="3"/>
        <v>-0.22762754610067637</v>
      </c>
    </row>
    <row r="18" spans="1:45" x14ac:dyDescent="0.25">
      <c r="A18" s="706">
        <v>69.3</v>
      </c>
      <c r="B18" s="706">
        <v>64.7</v>
      </c>
      <c r="C18" s="706"/>
      <c r="E18" s="667">
        <f t="shared" si="0"/>
        <v>67</v>
      </c>
      <c r="F18" s="667">
        <f t="shared" si="1"/>
        <v>4.5999999999999943</v>
      </c>
      <c r="AA18" s="667" t="s">
        <v>296</v>
      </c>
      <c r="AB18" s="667">
        <f t="array" ref="AB18:AC19">[1]!RegCoeff(E4:E23,F4:F23)</f>
        <v>7.3574002568512267</v>
      </c>
      <c r="AC18" s="667">
        <v>5.224699759266823</v>
      </c>
      <c r="AD18" s="667">
        <f>AB18/AC18</f>
        <v>1.4081957999216559</v>
      </c>
      <c r="AE18" s="667">
        <f>TDIST(ABS(AD18),$AB$14,2)</f>
        <v>0.17611093921086285</v>
      </c>
      <c r="AF18" s="667">
        <f>AB18-TINV(AF$11,$AB$14)*AC18</f>
        <v>-3.6192866210344867</v>
      </c>
      <c r="AG18" s="667">
        <f>AB18+TINV(AF$11,$AB$14)*AC18</f>
        <v>18.33408713473694</v>
      </c>
      <c r="AJ18" s="667" t="s">
        <v>23</v>
      </c>
      <c r="AK18" s="667" t="e">
        <f>HARMEAN(F4:F23)</f>
        <v>#NUM!</v>
      </c>
      <c r="AP18" s="667">
        <f t="shared" si="4"/>
        <v>17</v>
      </c>
      <c r="AQ18" s="667">
        <v>1.2000000000000028</v>
      </c>
      <c r="AR18" s="667">
        <f t="shared" si="2"/>
        <v>-0.18911842627279254</v>
      </c>
      <c r="AS18" s="667">
        <f t="shared" si="3"/>
        <v>-7.8363581444494582E-2</v>
      </c>
    </row>
    <row r="19" spans="1:45" x14ac:dyDescent="0.25">
      <c r="A19" s="706">
        <v>69.5</v>
      </c>
      <c r="B19" s="706">
        <v>67</v>
      </c>
      <c r="C19" s="706"/>
      <c r="E19" s="667">
        <f t="shared" si="0"/>
        <v>68.25</v>
      </c>
      <c r="F19" s="667">
        <f t="shared" si="1"/>
        <v>2.5</v>
      </c>
      <c r="AA19" s="1202" t="str">
        <f t="array" ref="AA19">TRANSPOSE(E3)</f>
        <v>X</v>
      </c>
      <c r="AB19" s="1202">
        <v>-9.4107039131014814E-2</v>
      </c>
      <c r="AC19" s="1202">
        <v>8.2921506924963764E-2</v>
      </c>
      <c r="AD19" s="1202">
        <f>AB19/AC19</f>
        <v>-1.1348930165508559</v>
      </c>
      <c r="AE19" s="1202">
        <f>TDIST(ABS(AD19),$AB$14,2)</f>
        <v>0.27130747906756025</v>
      </c>
      <c r="AF19" s="1202">
        <f>AB19-TINV(AF$11,$AB$14)*AC19</f>
        <v>-0.26831866063967102</v>
      </c>
      <c r="AG19" s="1202">
        <f>AB19+TINV(AF$11,$AB$14)*AC19</f>
        <v>8.0104582377641398E-2</v>
      </c>
      <c r="AH19" s="1202" t="e">
        <f>[1]!VIF(E4:E23,1)</f>
        <v>#VALUE!</v>
      </c>
      <c r="AJ19" s="667" t="s">
        <v>24</v>
      </c>
      <c r="AK19" s="667">
        <f>AVEDEV(F4:F23)</f>
        <v>3.1149999999999989</v>
      </c>
      <c r="AP19" s="667">
        <f t="shared" si="4"/>
        <v>19</v>
      </c>
      <c r="AQ19" s="667">
        <v>1.5</v>
      </c>
      <c r="AR19" s="667">
        <f t="shared" si="2"/>
        <v>-6.2706777943213846E-2</v>
      </c>
      <c r="AS19" s="667">
        <f t="shared" si="3"/>
        <v>-3.7315991164045669E-3</v>
      </c>
    </row>
    <row r="20" spans="1:45" x14ac:dyDescent="0.25">
      <c r="A20" s="706">
        <v>72.5</v>
      </c>
      <c r="B20" s="706">
        <v>75.3</v>
      </c>
      <c r="C20" s="706"/>
      <c r="E20" s="667">
        <f t="shared" si="0"/>
        <v>73.900000000000006</v>
      </c>
      <c r="F20" s="667">
        <f t="shared" si="1"/>
        <v>-2.7999999999999972</v>
      </c>
      <c r="AJ20" s="667" t="s">
        <v>25</v>
      </c>
      <c r="AK20" s="667">
        <f>[1]!MAD(F4:F23)</f>
        <v>2.8499999999999943</v>
      </c>
      <c r="AP20" s="667">
        <f t="shared" si="4"/>
        <v>21</v>
      </c>
      <c r="AQ20" s="667">
        <v>1.7000000000000028</v>
      </c>
      <c r="AR20" s="667">
        <f t="shared" si="2"/>
        <v>6.2706777943213846E-2</v>
      </c>
      <c r="AS20" s="667">
        <f t="shared" si="3"/>
        <v>4.6023055768989955E-2</v>
      </c>
    </row>
    <row r="21" spans="1:45" x14ac:dyDescent="0.25">
      <c r="A21" s="706">
        <v>73</v>
      </c>
      <c r="B21" s="706">
        <v>65.900000000000006</v>
      </c>
      <c r="C21" s="706"/>
      <c r="E21" s="667">
        <f t="shared" si="0"/>
        <v>69.45</v>
      </c>
      <c r="F21" s="667">
        <f t="shared" si="1"/>
        <v>7.0999999999999943</v>
      </c>
      <c r="AJ21" s="1202" t="s">
        <v>26</v>
      </c>
      <c r="AK21" s="1202">
        <f>[1]!IQR(F4:F23,FALSE)</f>
        <v>5.449999999999994</v>
      </c>
      <c r="AP21" s="667">
        <f t="shared" si="4"/>
        <v>23</v>
      </c>
      <c r="AQ21" s="667">
        <v>2.3000000000000043</v>
      </c>
      <c r="AR21" s="667">
        <f t="shared" si="2"/>
        <v>0.18911842627279243</v>
      </c>
      <c r="AS21" s="667">
        <f t="shared" si="3"/>
        <v>0.19528702042517174</v>
      </c>
    </row>
    <row r="22" spans="1:45" x14ac:dyDescent="0.25">
      <c r="A22" s="706">
        <v>75.3</v>
      </c>
      <c r="B22" s="706">
        <v>78.8</v>
      </c>
      <c r="C22" s="706"/>
      <c r="E22" s="667">
        <f t="shared" si="0"/>
        <v>77.05</v>
      </c>
      <c r="F22" s="667">
        <f t="shared" si="1"/>
        <v>-3.5</v>
      </c>
      <c r="AP22" s="667">
        <f t="shared" si="4"/>
        <v>25</v>
      </c>
      <c r="AQ22" s="667">
        <v>2.5</v>
      </c>
      <c r="AR22" s="667">
        <f t="shared" si="2"/>
        <v>0.3186393639643752</v>
      </c>
      <c r="AS22" s="667">
        <f t="shared" si="3"/>
        <v>0.24504167531056451</v>
      </c>
    </row>
    <row r="23" spans="1:45" x14ac:dyDescent="0.25">
      <c r="A23" s="1274">
        <v>77.2</v>
      </c>
      <c r="B23" s="1274">
        <v>75.7</v>
      </c>
      <c r="C23" s="714"/>
      <c r="E23" s="1202">
        <f t="shared" si="0"/>
        <v>76.45</v>
      </c>
      <c r="F23" s="1202">
        <f t="shared" si="1"/>
        <v>1.5</v>
      </c>
      <c r="AP23" s="667">
        <f t="shared" si="4"/>
        <v>27</v>
      </c>
      <c r="AQ23" s="667">
        <v>3.6999999999999957</v>
      </c>
      <c r="AR23" s="667">
        <f t="shared" si="2"/>
        <v>0.45376219016987968</v>
      </c>
      <c r="AS23" s="667">
        <f t="shared" si="3"/>
        <v>0.54356960462292636</v>
      </c>
    </row>
    <row r="24" spans="1:45" x14ac:dyDescent="0.25">
      <c r="AP24" s="667">
        <f t="shared" si="4"/>
        <v>29</v>
      </c>
      <c r="AQ24" s="667">
        <v>4.2999999999999972</v>
      </c>
      <c r="AR24" s="667">
        <f t="shared" si="2"/>
        <v>0.59776012604247841</v>
      </c>
      <c r="AS24" s="667">
        <f t="shared" si="3"/>
        <v>0.69283356927910811</v>
      </c>
    </row>
    <row r="25" spans="1:45" x14ac:dyDescent="0.25">
      <c r="AP25" s="667">
        <f t="shared" si="4"/>
        <v>31</v>
      </c>
      <c r="AQ25" s="667">
        <v>4.5999999999999943</v>
      </c>
      <c r="AR25" s="667">
        <f t="shared" si="2"/>
        <v>0.75541502636046909</v>
      </c>
      <c r="AS25" s="667">
        <f t="shared" si="3"/>
        <v>0.76746555160719809</v>
      </c>
    </row>
    <row r="26" spans="1:45" x14ac:dyDescent="0.25">
      <c r="AP26" s="667">
        <f t="shared" si="4"/>
        <v>33</v>
      </c>
      <c r="AQ26" s="667">
        <v>4.6000000000000014</v>
      </c>
      <c r="AR26" s="667">
        <f t="shared" si="2"/>
        <v>0.9345892910734801</v>
      </c>
      <c r="AS26" s="667">
        <f t="shared" si="3"/>
        <v>0.76746555160719987</v>
      </c>
    </row>
    <row r="27" spans="1:45" x14ac:dyDescent="0.25">
      <c r="AP27" s="667">
        <f t="shared" si="4"/>
        <v>35</v>
      </c>
      <c r="AQ27" s="667">
        <v>5.2000000000000028</v>
      </c>
      <c r="AR27" s="667">
        <f t="shared" si="2"/>
        <v>1.1503493803760083</v>
      </c>
      <c r="AS27" s="667">
        <f t="shared" si="3"/>
        <v>0.91672951626338173</v>
      </c>
    </row>
    <row r="28" spans="1:45" x14ac:dyDescent="0.25">
      <c r="AP28" s="667">
        <f t="shared" si="4"/>
        <v>37</v>
      </c>
      <c r="AQ28" s="667">
        <v>7.0999999999999943</v>
      </c>
      <c r="AR28" s="667">
        <f t="shared" si="2"/>
        <v>1.4395314709384563</v>
      </c>
      <c r="AS28" s="667">
        <f t="shared" si="3"/>
        <v>1.3893987376746206</v>
      </c>
    </row>
    <row r="29" spans="1:45" x14ac:dyDescent="0.25">
      <c r="AP29" s="667">
        <f t="shared" si="4"/>
        <v>39</v>
      </c>
      <c r="AQ29" s="667">
        <v>10.299999999999997</v>
      </c>
      <c r="AR29" s="667">
        <f t="shared" si="2"/>
        <v>1.9599639845400536</v>
      </c>
      <c r="AS29" s="667">
        <f t="shared" si="3"/>
        <v>2.1854732158409225</v>
      </c>
    </row>
  </sheetData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:AK30"/>
  <sheetViews>
    <sheetView workbookViewId="0"/>
  </sheetViews>
  <sheetFormatPr defaultRowHeight="15" x14ac:dyDescent="0.25"/>
  <cols>
    <col min="1" max="1" width="6.7109375" customWidth="1"/>
    <col min="6" max="6" width="5.28515625" customWidth="1"/>
    <col min="9" max="9" width="4.42578125" customWidth="1"/>
    <col min="10" max="10" width="4.7109375" customWidth="1"/>
    <col min="13" max="13" width="4" customWidth="1"/>
    <col min="14" max="14" width="4.7109375" customWidth="1"/>
    <col min="32" max="32" width="14" customWidth="1"/>
  </cols>
  <sheetData>
    <row r="1" spans="1:37" x14ac:dyDescent="0.25">
      <c r="A1" s="1" t="s">
        <v>1658</v>
      </c>
      <c r="G1" s="742"/>
      <c r="Y1" t="s">
        <v>2146</v>
      </c>
      <c r="AF1" t="s">
        <v>2147</v>
      </c>
    </row>
    <row r="2" spans="1:37" x14ac:dyDescent="0.25">
      <c r="G2" s="1309" t="s">
        <v>55</v>
      </c>
      <c r="H2" s="1309"/>
      <c r="K2" s="1309" t="s">
        <v>929</v>
      </c>
      <c r="L2" s="1309"/>
      <c r="O2" s="1309" t="s">
        <v>930</v>
      </c>
      <c r="P2" s="1309"/>
    </row>
    <row r="3" spans="1:37" x14ac:dyDescent="0.25">
      <c r="B3" s="742" t="s">
        <v>55</v>
      </c>
      <c r="C3" s="742" t="s">
        <v>1</v>
      </c>
      <c r="G3" s="742" t="s">
        <v>1660</v>
      </c>
      <c r="H3" s="742" t="s">
        <v>1661</v>
      </c>
      <c r="K3" s="742" t="s">
        <v>1660</v>
      </c>
      <c r="L3" s="742" t="s">
        <v>1661</v>
      </c>
      <c r="O3" s="742" t="s">
        <v>1660</v>
      </c>
      <c r="P3" s="742" t="s">
        <v>1661</v>
      </c>
      <c r="T3" s="976" t="s">
        <v>55</v>
      </c>
      <c r="U3" s="976" t="s">
        <v>1</v>
      </c>
      <c r="Y3" s="976" t="s">
        <v>55</v>
      </c>
      <c r="Z3" s="976" t="s">
        <v>929</v>
      </c>
      <c r="AA3" s="976" t="s">
        <v>930</v>
      </c>
      <c r="AB3" s="976" t="s">
        <v>931</v>
      </c>
      <c r="AC3" s="976" t="s">
        <v>932</v>
      </c>
      <c r="AD3" s="976" t="s">
        <v>1</v>
      </c>
      <c r="AF3" t="s">
        <v>1658</v>
      </c>
    </row>
    <row r="4" spans="1:37" x14ac:dyDescent="0.25">
      <c r="A4">
        <v>1</v>
      </c>
      <c r="B4" s="751">
        <v>1</v>
      </c>
      <c r="C4" s="756">
        <v>20</v>
      </c>
      <c r="F4" t="s">
        <v>213</v>
      </c>
      <c r="G4" s="765">
        <v>5</v>
      </c>
      <c r="H4" s="753">
        <v>5</v>
      </c>
      <c r="J4" t="s">
        <v>213</v>
      </c>
      <c r="K4" s="763">
        <v>2</v>
      </c>
      <c r="L4" s="764">
        <v>4</v>
      </c>
      <c r="N4" t="s">
        <v>213</v>
      </c>
      <c r="O4" s="763">
        <v>4</v>
      </c>
      <c r="P4" s="764">
        <v>2</v>
      </c>
      <c r="S4">
        <v>1</v>
      </c>
      <c r="T4" s="751">
        <v>1</v>
      </c>
      <c r="U4" s="756">
        <v>20</v>
      </c>
      <c r="X4">
        <v>1</v>
      </c>
      <c r="Y4" s="869">
        <v>1</v>
      </c>
      <c r="Z4" s="964">
        <v>2</v>
      </c>
      <c r="AA4" s="964">
        <v>2</v>
      </c>
      <c r="AB4" s="964">
        <v>3</v>
      </c>
      <c r="AC4" s="962">
        <v>2</v>
      </c>
      <c r="AD4" s="868">
        <f>SUM(Y4:AC4)</f>
        <v>10</v>
      </c>
    </row>
    <row r="5" spans="1:37" x14ac:dyDescent="0.25">
      <c r="A5">
        <f>A4+1</f>
        <v>2</v>
      </c>
      <c r="B5" s="532">
        <v>0</v>
      </c>
      <c r="C5" s="503">
        <v>19</v>
      </c>
      <c r="F5" t="s">
        <v>131</v>
      </c>
      <c r="G5" s="532">
        <v>4</v>
      </c>
      <c r="H5" s="533">
        <v>5</v>
      </c>
      <c r="J5" t="s">
        <v>131</v>
      </c>
      <c r="K5" s="766">
        <v>12</v>
      </c>
      <c r="L5" s="767">
        <v>11</v>
      </c>
      <c r="N5" t="s">
        <v>131</v>
      </c>
      <c r="O5" s="766">
        <v>10</v>
      </c>
      <c r="P5" s="767">
        <v>14</v>
      </c>
      <c r="S5">
        <f>S4+1</f>
        <v>2</v>
      </c>
      <c r="T5" s="532">
        <v>0</v>
      </c>
      <c r="U5" s="503">
        <v>19</v>
      </c>
      <c r="X5">
        <f>X4+1</f>
        <v>2</v>
      </c>
      <c r="Y5" s="532">
        <v>0</v>
      </c>
      <c r="Z5" s="7">
        <v>2</v>
      </c>
      <c r="AA5" s="7">
        <v>2</v>
      </c>
      <c r="AB5" s="7">
        <v>3</v>
      </c>
      <c r="AC5" s="533">
        <v>2</v>
      </c>
      <c r="AD5" s="503">
        <f t="shared" ref="AD5:AD21" si="0">SUM(Y5:AC5)</f>
        <v>9</v>
      </c>
      <c r="AF5" t="s">
        <v>2148</v>
      </c>
      <c r="AG5">
        <v>0.33333332999999998</v>
      </c>
    </row>
    <row r="6" spans="1:37" x14ac:dyDescent="0.25">
      <c r="A6">
        <f t="shared" ref="A6:A21" si="1">A5+1</f>
        <v>3</v>
      </c>
      <c r="B6" s="532">
        <v>1</v>
      </c>
      <c r="C6" s="503">
        <v>18</v>
      </c>
      <c r="F6" t="s">
        <v>132</v>
      </c>
      <c r="G6" s="532">
        <v>6</v>
      </c>
      <c r="H6" s="533">
        <v>4</v>
      </c>
      <c r="J6" t="s">
        <v>132</v>
      </c>
      <c r="K6" s="532">
        <v>3</v>
      </c>
      <c r="L6" s="533">
        <v>1</v>
      </c>
      <c r="N6" t="s">
        <v>132</v>
      </c>
      <c r="O6" s="532">
        <v>3</v>
      </c>
      <c r="P6" s="533">
        <v>1</v>
      </c>
      <c r="S6">
        <f t="shared" ref="S6:S21" si="2">S5+1</f>
        <v>3</v>
      </c>
      <c r="T6" s="532">
        <v>1</v>
      </c>
      <c r="U6" s="503">
        <v>18</v>
      </c>
      <c r="X6">
        <f t="shared" ref="X6:X21" si="3">X5+1</f>
        <v>3</v>
      </c>
      <c r="Y6" s="532">
        <v>1</v>
      </c>
      <c r="Z6" s="7">
        <v>1</v>
      </c>
      <c r="AA6" s="7">
        <v>2</v>
      </c>
      <c r="AB6" s="7">
        <v>2</v>
      </c>
      <c r="AC6" s="533">
        <v>2</v>
      </c>
      <c r="AD6" s="503">
        <f t="shared" si="0"/>
        <v>8</v>
      </c>
    </row>
    <row r="7" spans="1:37" x14ac:dyDescent="0.25">
      <c r="A7">
        <f t="shared" si="1"/>
        <v>4</v>
      </c>
      <c r="B7" s="532">
        <v>1</v>
      </c>
      <c r="C7" s="503">
        <v>17</v>
      </c>
      <c r="F7" t="s">
        <v>133</v>
      </c>
      <c r="G7" s="532">
        <v>5</v>
      </c>
      <c r="H7" s="533">
        <v>6</v>
      </c>
      <c r="J7" t="s">
        <v>133</v>
      </c>
      <c r="K7" s="532">
        <v>3</v>
      </c>
      <c r="L7" s="533">
        <v>4</v>
      </c>
      <c r="N7" t="s">
        <v>133</v>
      </c>
      <c r="O7" s="532">
        <v>3</v>
      </c>
      <c r="P7" s="533">
        <v>3</v>
      </c>
      <c r="S7">
        <f t="shared" si="2"/>
        <v>4</v>
      </c>
      <c r="T7" s="532">
        <v>1</v>
      </c>
      <c r="U7" s="503">
        <v>17</v>
      </c>
      <c r="X7">
        <f t="shared" si="3"/>
        <v>4</v>
      </c>
      <c r="Y7" s="532">
        <v>0</v>
      </c>
      <c r="Z7" s="7">
        <v>2</v>
      </c>
      <c r="AA7" s="7">
        <v>1</v>
      </c>
      <c r="AB7" s="7">
        <v>3</v>
      </c>
      <c r="AC7" s="533">
        <v>2</v>
      </c>
      <c r="AD7" s="503">
        <f t="shared" si="0"/>
        <v>8</v>
      </c>
      <c r="AG7" s="976" t="str">
        <f>Y3</f>
        <v>Q1</v>
      </c>
      <c r="AH7" s="976" t="str">
        <f>Z3</f>
        <v>Q2</v>
      </c>
      <c r="AI7" s="976" t="str">
        <f>AA3</f>
        <v>Q3</v>
      </c>
      <c r="AJ7" s="976" t="str">
        <f>AB3</f>
        <v>Q4</v>
      </c>
      <c r="AK7" s="976" t="str">
        <f>AC3</f>
        <v>Q5</v>
      </c>
    </row>
    <row r="8" spans="1:37" x14ac:dyDescent="0.25">
      <c r="A8">
        <f t="shared" si="1"/>
        <v>5</v>
      </c>
      <c r="B8" s="532">
        <v>1</v>
      </c>
      <c r="C8" s="503">
        <v>17</v>
      </c>
      <c r="F8" s="16" t="s">
        <v>96</v>
      </c>
      <c r="G8" s="409">
        <v>0</v>
      </c>
      <c r="H8" s="417">
        <v>0</v>
      </c>
      <c r="J8" s="16" t="s">
        <v>96</v>
      </c>
      <c r="K8" s="409">
        <v>0</v>
      </c>
      <c r="L8" s="417">
        <v>0</v>
      </c>
      <c r="N8" s="16" t="s">
        <v>96</v>
      </c>
      <c r="O8" s="409">
        <v>0</v>
      </c>
      <c r="P8" s="417">
        <v>0</v>
      </c>
      <c r="S8">
        <f t="shared" si="2"/>
        <v>5</v>
      </c>
      <c r="T8" s="532">
        <v>1</v>
      </c>
      <c r="U8" s="503">
        <v>17</v>
      </c>
      <c r="X8">
        <f t="shared" si="3"/>
        <v>5</v>
      </c>
      <c r="Y8" s="532">
        <v>0</v>
      </c>
      <c r="Z8" s="7">
        <v>2</v>
      </c>
      <c r="AA8" s="7">
        <v>2</v>
      </c>
      <c r="AB8" s="7">
        <v>2</v>
      </c>
      <c r="AC8" s="533">
        <v>2</v>
      </c>
      <c r="AD8" s="503">
        <f t="shared" si="0"/>
        <v>8</v>
      </c>
      <c r="AF8" t="s">
        <v>2149</v>
      </c>
      <c r="AG8" s="865">
        <f>[1]!ITEMDIFF(Y4:Y21,Y22)</f>
        <v>0.5</v>
      </c>
      <c r="AH8" s="798">
        <f>[1]!ITEMDIFF(Z4:Z21,Z22)</f>
        <v>0.58333333333333337</v>
      </c>
      <c r="AI8" s="798">
        <f>[1]!ITEMDIFF(AA4:AA21,AA22)</f>
        <v>0.55555555555555558</v>
      </c>
      <c r="AJ8" s="798">
        <f>[1]!ITEMDIFF(AB4:AB21,AB22)</f>
        <v>0.66666666666666663</v>
      </c>
      <c r="AK8" s="866">
        <f>[1]!ITEMDIFF(AC4:AC21,AC22)</f>
        <v>0.5</v>
      </c>
    </row>
    <row r="9" spans="1:37" x14ac:dyDescent="0.25">
      <c r="A9">
        <f t="shared" si="1"/>
        <v>6</v>
      </c>
      <c r="B9" s="532">
        <v>1</v>
      </c>
      <c r="C9" s="503">
        <v>16</v>
      </c>
      <c r="G9">
        <f>SUM(G4:G8)</f>
        <v>20</v>
      </c>
      <c r="H9">
        <f>SUM(H4:H8)</f>
        <v>20</v>
      </c>
      <c r="K9">
        <f>SUM(K4:K8)</f>
        <v>20</v>
      </c>
      <c r="L9">
        <f>SUM(L4:L8)</f>
        <v>20</v>
      </c>
      <c r="O9">
        <f>SUM(O4:O8)</f>
        <v>20</v>
      </c>
      <c r="P9">
        <f>SUM(P4:P8)</f>
        <v>20</v>
      </c>
      <c r="S9">
        <f t="shared" si="2"/>
        <v>6</v>
      </c>
      <c r="T9" s="532">
        <v>0</v>
      </c>
      <c r="U9" s="503">
        <v>16</v>
      </c>
      <c r="X9">
        <f t="shared" si="3"/>
        <v>6</v>
      </c>
      <c r="Y9" s="532">
        <v>0</v>
      </c>
      <c r="Z9" s="7">
        <v>2</v>
      </c>
      <c r="AA9" s="7">
        <v>2</v>
      </c>
      <c r="AB9" s="7">
        <v>1</v>
      </c>
      <c r="AC9" s="533">
        <v>2</v>
      </c>
      <c r="AD9" s="503">
        <f t="shared" si="0"/>
        <v>7</v>
      </c>
      <c r="AF9" t="s">
        <v>2150</v>
      </c>
      <c r="AG9" s="501">
        <f>[1]!ITEMDISC(Y4:Y21,$AD4:$AD21,$AG5,Y22)</f>
        <v>-0.33333333333333331</v>
      </c>
      <c r="AH9" s="7">
        <f>[1]!ITEMDISC(Z4:Z21,$AD4:$AD21,$AG5,Z22)</f>
        <v>0.66666666666666663</v>
      </c>
      <c r="AI9" s="7">
        <f>[1]!ITEMDISC(AA4:AA21,$AD4:$AD21,$AG5,AA22)</f>
        <v>0.83333333333333337</v>
      </c>
      <c r="AJ9" s="7">
        <f>[1]!ITEMDISC(AB4:AB21,$AD4:$AD21,$AG5,AB22)</f>
        <v>0.1111111111111111</v>
      </c>
      <c r="AK9" s="57">
        <f>[1]!ITEMDISC(AC4:AC21,$AD4:$AD21,$AG5,AC22)</f>
        <v>0.91666666666666663</v>
      </c>
    </row>
    <row r="10" spans="1:37" x14ac:dyDescent="0.25">
      <c r="A10">
        <f t="shared" si="1"/>
        <v>7</v>
      </c>
      <c r="B10" s="532">
        <v>1</v>
      </c>
      <c r="C10" s="503">
        <v>16</v>
      </c>
      <c r="S10">
        <f t="shared" si="2"/>
        <v>7</v>
      </c>
      <c r="T10" s="532">
        <v>1</v>
      </c>
      <c r="U10" s="503">
        <v>16</v>
      </c>
      <c r="X10">
        <f t="shared" si="3"/>
        <v>7</v>
      </c>
      <c r="Y10" s="532">
        <v>1</v>
      </c>
      <c r="Z10" s="7">
        <v>2</v>
      </c>
      <c r="AA10" s="7">
        <v>2</v>
      </c>
      <c r="AB10" s="7">
        <v>0</v>
      </c>
      <c r="AC10" s="533">
        <v>1</v>
      </c>
      <c r="AD10" s="503">
        <f t="shared" si="0"/>
        <v>6</v>
      </c>
      <c r="AF10" t="s">
        <v>215</v>
      </c>
      <c r="AG10" s="759">
        <f>CORREL(Y4:Y21,$AD4:$AD21)</f>
        <v>-0.10468478451804281</v>
      </c>
      <c r="AH10" s="760">
        <f>CORREL(Z4:Z21,$AD4:$AD21)</f>
        <v>0.61764022865645229</v>
      </c>
      <c r="AI10" s="760">
        <f>CORREL(AA4:AA21,$AD4:$AD21)</f>
        <v>0.73122395108284544</v>
      </c>
      <c r="AJ10" s="760">
        <f>CORREL(AB4:AB21,$AD4:$AD21)</f>
        <v>0.35112344158839182</v>
      </c>
      <c r="AK10" s="761">
        <f>CORREL(AC4:AC21,$AD4:$AD21)</f>
        <v>0.86058506472071239</v>
      </c>
    </row>
    <row r="11" spans="1:37" x14ac:dyDescent="0.25">
      <c r="A11">
        <f t="shared" si="1"/>
        <v>8</v>
      </c>
      <c r="B11" s="532">
        <v>1</v>
      </c>
      <c r="C11" s="503">
        <v>15</v>
      </c>
      <c r="F11" t="s">
        <v>1659</v>
      </c>
      <c r="G11" s="756">
        <f>(G4+H4)/SUM(G4:H8)</f>
        <v>0.25</v>
      </c>
      <c r="J11" t="s">
        <v>1659</v>
      </c>
      <c r="K11" s="756">
        <f>(K5+L5)/SUM(K4:L8)</f>
        <v>0.57499999999999996</v>
      </c>
      <c r="N11" t="s">
        <v>1659</v>
      </c>
      <c r="O11" s="756">
        <f>(O5+P5)/SUM(O4:P8)</f>
        <v>0.6</v>
      </c>
      <c r="S11">
        <f t="shared" si="2"/>
        <v>8</v>
      </c>
      <c r="T11" s="532">
        <v>1</v>
      </c>
      <c r="U11" s="503">
        <v>15</v>
      </c>
      <c r="X11">
        <f t="shared" si="3"/>
        <v>8</v>
      </c>
      <c r="Y11" s="532">
        <v>0</v>
      </c>
      <c r="Z11" s="7">
        <v>0</v>
      </c>
      <c r="AA11" s="7">
        <v>2</v>
      </c>
      <c r="AB11" s="7">
        <v>2</v>
      </c>
      <c r="AC11" s="533">
        <v>2</v>
      </c>
      <c r="AD11" s="503">
        <f t="shared" si="0"/>
        <v>6</v>
      </c>
    </row>
    <row r="12" spans="1:37" x14ac:dyDescent="0.25">
      <c r="A12">
        <f t="shared" si="1"/>
        <v>9</v>
      </c>
      <c r="B12" s="532">
        <v>0</v>
      </c>
      <c r="C12" s="503">
        <v>15</v>
      </c>
      <c r="F12" t="s">
        <v>133</v>
      </c>
      <c r="G12" s="420">
        <f>G4/SUM(G4:G8)-H4/SUM(H4:H8)</f>
        <v>0</v>
      </c>
      <c r="J12" t="s">
        <v>133</v>
      </c>
      <c r="K12" s="420">
        <f>K5/SUM(K4:K8)-L5/SUM(L4:L8)</f>
        <v>4.9999999999999933E-2</v>
      </c>
      <c r="N12" t="s">
        <v>133</v>
      </c>
      <c r="O12" s="420">
        <f>O5/SUM(O4:O8)-P5/SUM(P4:P8)</f>
        <v>-0.19999999999999996</v>
      </c>
      <c r="S12">
        <f t="shared" si="2"/>
        <v>9</v>
      </c>
      <c r="T12" s="532">
        <v>0</v>
      </c>
      <c r="U12" s="503">
        <v>15</v>
      </c>
      <c r="X12">
        <f t="shared" si="3"/>
        <v>9</v>
      </c>
      <c r="Y12" s="532">
        <v>0</v>
      </c>
      <c r="Z12" s="7">
        <v>2</v>
      </c>
      <c r="AA12" s="7">
        <v>1</v>
      </c>
      <c r="AB12" s="7">
        <v>2</v>
      </c>
      <c r="AC12" s="533">
        <v>1</v>
      </c>
      <c r="AD12" s="503">
        <f t="shared" si="0"/>
        <v>6</v>
      </c>
    </row>
    <row r="13" spans="1:37" x14ac:dyDescent="0.25">
      <c r="A13">
        <f t="shared" si="1"/>
        <v>10</v>
      </c>
      <c r="B13" s="532">
        <v>1</v>
      </c>
      <c r="C13" s="503">
        <v>14</v>
      </c>
      <c r="S13">
        <f t="shared" si="2"/>
        <v>10</v>
      </c>
      <c r="T13" s="532">
        <v>0</v>
      </c>
      <c r="U13" s="503">
        <v>13</v>
      </c>
      <c r="X13">
        <f t="shared" si="3"/>
        <v>10</v>
      </c>
      <c r="Y13" s="532">
        <v>1</v>
      </c>
      <c r="Z13" s="7">
        <v>1</v>
      </c>
      <c r="AA13" s="7">
        <v>0</v>
      </c>
      <c r="AB13" s="7">
        <v>2</v>
      </c>
      <c r="AC13" s="533">
        <v>1</v>
      </c>
      <c r="AD13" s="503">
        <f t="shared" si="0"/>
        <v>5</v>
      </c>
    </row>
    <row r="14" spans="1:37" x14ac:dyDescent="0.25">
      <c r="A14">
        <f t="shared" si="1"/>
        <v>11</v>
      </c>
      <c r="B14" s="532">
        <v>0</v>
      </c>
      <c r="C14" s="503">
        <v>14</v>
      </c>
      <c r="G14" s="1309" t="s">
        <v>931</v>
      </c>
      <c r="H14" s="1309"/>
      <c r="K14" s="1309" t="s">
        <v>932</v>
      </c>
      <c r="L14" s="1309"/>
      <c r="O14" s="1309" t="s">
        <v>933</v>
      </c>
      <c r="P14" s="1309"/>
      <c r="S14">
        <f t="shared" si="2"/>
        <v>11</v>
      </c>
      <c r="T14" s="532">
        <v>0</v>
      </c>
      <c r="U14" s="503">
        <v>13</v>
      </c>
      <c r="X14">
        <f t="shared" si="3"/>
        <v>11</v>
      </c>
      <c r="Y14" s="532">
        <v>0</v>
      </c>
      <c r="Z14" s="7">
        <v>2</v>
      </c>
      <c r="AA14" s="7">
        <v>1</v>
      </c>
      <c r="AB14" s="7">
        <v>2</v>
      </c>
      <c r="AC14" s="533">
        <v>0</v>
      </c>
      <c r="AD14" s="503">
        <f t="shared" si="0"/>
        <v>5</v>
      </c>
    </row>
    <row r="15" spans="1:37" x14ac:dyDescent="0.25">
      <c r="A15">
        <f t="shared" si="1"/>
        <v>12</v>
      </c>
      <c r="B15" s="532">
        <v>1</v>
      </c>
      <c r="C15" s="503">
        <v>14</v>
      </c>
      <c r="G15" s="742" t="s">
        <v>1660</v>
      </c>
      <c r="H15" s="742" t="s">
        <v>1661</v>
      </c>
      <c r="K15" s="742" t="s">
        <v>1660</v>
      </c>
      <c r="L15" s="742" t="s">
        <v>1661</v>
      </c>
      <c r="O15" s="742" t="s">
        <v>1660</v>
      </c>
      <c r="P15" s="742" t="s">
        <v>1661</v>
      </c>
      <c r="S15">
        <f t="shared" si="2"/>
        <v>12</v>
      </c>
      <c r="T15" s="532">
        <v>0</v>
      </c>
      <c r="U15" s="503">
        <v>13</v>
      </c>
      <c r="X15">
        <f t="shared" si="3"/>
        <v>12</v>
      </c>
      <c r="Y15" s="532">
        <v>1</v>
      </c>
      <c r="Z15" s="7">
        <v>0</v>
      </c>
      <c r="AA15" s="7">
        <v>2</v>
      </c>
      <c r="AB15" s="7">
        <v>2</v>
      </c>
      <c r="AC15" s="533">
        <v>0</v>
      </c>
      <c r="AD15" s="503">
        <f t="shared" si="0"/>
        <v>5</v>
      </c>
    </row>
    <row r="16" spans="1:37" x14ac:dyDescent="0.25">
      <c r="A16">
        <f t="shared" si="1"/>
        <v>13</v>
      </c>
      <c r="B16" s="532">
        <v>0</v>
      </c>
      <c r="C16" s="503">
        <v>13</v>
      </c>
      <c r="F16" t="s">
        <v>213</v>
      </c>
      <c r="G16" s="763">
        <v>2</v>
      </c>
      <c r="H16" s="764">
        <v>2</v>
      </c>
      <c r="J16" t="s">
        <v>213</v>
      </c>
      <c r="K16" s="763">
        <v>0</v>
      </c>
      <c r="L16" s="764">
        <v>1</v>
      </c>
      <c r="N16" t="s">
        <v>213</v>
      </c>
      <c r="O16" s="765">
        <v>11</v>
      </c>
      <c r="P16" s="753">
        <v>9</v>
      </c>
      <c r="S16">
        <f t="shared" si="2"/>
        <v>13</v>
      </c>
      <c r="T16" s="532">
        <v>0</v>
      </c>
      <c r="U16" s="503">
        <v>13</v>
      </c>
      <c r="X16">
        <f t="shared" si="3"/>
        <v>13</v>
      </c>
      <c r="Y16" s="532">
        <v>1</v>
      </c>
      <c r="Z16" s="7">
        <v>1</v>
      </c>
      <c r="AA16" s="7">
        <v>0</v>
      </c>
      <c r="AB16" s="7">
        <v>2</v>
      </c>
      <c r="AC16" s="533">
        <v>0</v>
      </c>
      <c r="AD16" s="503">
        <f t="shared" si="0"/>
        <v>4</v>
      </c>
    </row>
    <row r="17" spans="1:32" x14ac:dyDescent="0.25">
      <c r="A17">
        <f t="shared" si="1"/>
        <v>14</v>
      </c>
      <c r="B17" s="532">
        <v>1</v>
      </c>
      <c r="C17" s="503">
        <v>12</v>
      </c>
      <c r="F17" t="s">
        <v>131</v>
      </c>
      <c r="G17" s="532">
        <v>1</v>
      </c>
      <c r="H17" s="533">
        <v>3</v>
      </c>
      <c r="J17" t="s">
        <v>131</v>
      </c>
      <c r="K17" s="768">
        <v>1</v>
      </c>
      <c r="L17" s="769">
        <v>1</v>
      </c>
      <c r="N17" t="s">
        <v>131</v>
      </c>
      <c r="O17" s="768">
        <v>0</v>
      </c>
      <c r="P17" s="769">
        <v>1</v>
      </c>
      <c r="S17">
        <f t="shared" si="2"/>
        <v>14</v>
      </c>
      <c r="T17" s="532">
        <v>1</v>
      </c>
      <c r="U17" s="503">
        <v>13</v>
      </c>
      <c r="X17">
        <f t="shared" si="3"/>
        <v>14</v>
      </c>
      <c r="Y17" s="532">
        <v>1</v>
      </c>
      <c r="Z17" s="7">
        <v>1</v>
      </c>
      <c r="AA17" s="7">
        <v>0</v>
      </c>
      <c r="AB17" s="7">
        <v>2</v>
      </c>
      <c r="AC17" s="533">
        <v>0</v>
      </c>
      <c r="AD17" s="503">
        <f t="shared" si="0"/>
        <v>4</v>
      </c>
    </row>
    <row r="18" spans="1:32" x14ac:dyDescent="0.25">
      <c r="A18">
        <f t="shared" si="1"/>
        <v>15</v>
      </c>
      <c r="B18" s="532">
        <v>0</v>
      </c>
      <c r="C18" s="503">
        <v>12</v>
      </c>
      <c r="F18" t="s">
        <v>132</v>
      </c>
      <c r="G18" s="532">
        <v>2</v>
      </c>
      <c r="H18" s="533">
        <v>3</v>
      </c>
      <c r="J18" t="s">
        <v>132</v>
      </c>
      <c r="K18" s="766">
        <v>19</v>
      </c>
      <c r="L18" s="767">
        <v>16</v>
      </c>
      <c r="N18" t="s">
        <v>132</v>
      </c>
      <c r="O18" s="532">
        <v>9</v>
      </c>
      <c r="P18" s="533">
        <v>9</v>
      </c>
      <c r="S18">
        <f t="shared" si="2"/>
        <v>15</v>
      </c>
      <c r="T18" s="532">
        <v>0</v>
      </c>
      <c r="U18" s="503">
        <v>12</v>
      </c>
      <c r="X18">
        <f t="shared" si="3"/>
        <v>15</v>
      </c>
      <c r="Y18" s="532">
        <v>1</v>
      </c>
      <c r="Z18" s="7">
        <v>0</v>
      </c>
      <c r="AA18" s="7">
        <v>0</v>
      </c>
      <c r="AB18" s="7">
        <v>2</v>
      </c>
      <c r="AC18" s="533">
        <v>1</v>
      </c>
      <c r="AD18" s="503">
        <f t="shared" si="0"/>
        <v>4</v>
      </c>
    </row>
    <row r="19" spans="1:32" x14ac:dyDescent="0.25">
      <c r="A19">
        <f t="shared" si="1"/>
        <v>16</v>
      </c>
      <c r="B19" s="532">
        <v>1</v>
      </c>
      <c r="C19" s="503">
        <v>10</v>
      </c>
      <c r="F19" t="s">
        <v>133</v>
      </c>
      <c r="G19" s="766">
        <v>12</v>
      </c>
      <c r="H19" s="767">
        <v>8</v>
      </c>
      <c r="J19" t="s">
        <v>133</v>
      </c>
      <c r="K19" s="532">
        <v>0</v>
      </c>
      <c r="L19" s="533">
        <v>2</v>
      </c>
      <c r="N19" t="s">
        <v>133</v>
      </c>
      <c r="O19" s="532">
        <v>0</v>
      </c>
      <c r="P19" s="533">
        <v>1</v>
      </c>
      <c r="S19">
        <f t="shared" si="2"/>
        <v>16</v>
      </c>
      <c r="T19" s="532">
        <v>1</v>
      </c>
      <c r="U19" s="503">
        <v>10</v>
      </c>
      <c r="X19">
        <f t="shared" si="3"/>
        <v>16</v>
      </c>
      <c r="Y19" s="532">
        <v>1</v>
      </c>
      <c r="Z19" s="7">
        <v>0</v>
      </c>
      <c r="AA19" s="7">
        <v>0</v>
      </c>
      <c r="AB19" s="7">
        <v>3</v>
      </c>
      <c r="AC19" s="533">
        <v>0</v>
      </c>
      <c r="AD19" s="503">
        <f t="shared" si="0"/>
        <v>4</v>
      </c>
    </row>
    <row r="20" spans="1:32" x14ac:dyDescent="0.25">
      <c r="A20">
        <f t="shared" si="1"/>
        <v>17</v>
      </c>
      <c r="B20" s="532">
        <v>0</v>
      </c>
      <c r="C20" s="503">
        <v>8</v>
      </c>
      <c r="F20" s="16" t="s">
        <v>96</v>
      </c>
      <c r="G20" s="409">
        <v>3</v>
      </c>
      <c r="H20" s="417">
        <v>4</v>
      </c>
      <c r="J20" s="16" t="s">
        <v>96</v>
      </c>
      <c r="K20" s="409">
        <v>0</v>
      </c>
      <c r="L20" s="417">
        <v>0</v>
      </c>
      <c r="N20" s="16" t="s">
        <v>96</v>
      </c>
      <c r="O20" s="409">
        <v>0</v>
      </c>
      <c r="P20" s="417">
        <v>0</v>
      </c>
      <c r="S20">
        <f t="shared" si="2"/>
        <v>17</v>
      </c>
      <c r="T20" s="532">
        <v>1</v>
      </c>
      <c r="U20" s="503">
        <v>8</v>
      </c>
      <c r="X20">
        <f t="shared" si="3"/>
        <v>17</v>
      </c>
      <c r="Y20" s="532">
        <v>0</v>
      </c>
      <c r="Z20" s="7">
        <v>0</v>
      </c>
      <c r="AA20" s="7">
        <v>1</v>
      </c>
      <c r="AB20" s="7">
        <v>2</v>
      </c>
      <c r="AC20" s="533">
        <v>0</v>
      </c>
      <c r="AD20" s="503">
        <f t="shared" si="0"/>
        <v>3</v>
      </c>
    </row>
    <row r="21" spans="1:32" x14ac:dyDescent="0.25">
      <c r="A21">
        <f t="shared" si="1"/>
        <v>18</v>
      </c>
      <c r="B21" s="409">
        <v>0</v>
      </c>
      <c r="C21" s="420">
        <v>5</v>
      </c>
      <c r="G21">
        <f>SUM(G16:G20)</f>
        <v>20</v>
      </c>
      <c r="H21">
        <f>SUM(H16:H20)</f>
        <v>20</v>
      </c>
      <c r="K21">
        <f>SUM(K16:K20)</f>
        <v>20</v>
      </c>
      <c r="L21">
        <f>SUM(L16:L20)</f>
        <v>20</v>
      </c>
      <c r="O21">
        <f>SUM(O16:O20)</f>
        <v>20</v>
      </c>
      <c r="P21">
        <f>SUM(P16:P20)</f>
        <v>20</v>
      </c>
      <c r="S21">
        <f t="shared" si="2"/>
        <v>18</v>
      </c>
      <c r="T21" s="409">
        <v>0</v>
      </c>
      <c r="U21" s="420">
        <v>5</v>
      </c>
      <c r="X21">
        <f t="shared" si="3"/>
        <v>18</v>
      </c>
      <c r="Y21" s="409">
        <v>0</v>
      </c>
      <c r="Z21" s="762">
        <v>1</v>
      </c>
      <c r="AA21" s="762">
        <v>0</v>
      </c>
      <c r="AB21" s="762">
        <v>1</v>
      </c>
      <c r="AC21" s="417">
        <v>0</v>
      </c>
      <c r="AD21" s="420">
        <f t="shared" si="0"/>
        <v>2</v>
      </c>
    </row>
    <row r="22" spans="1:32" x14ac:dyDescent="0.25">
      <c r="X22" s="13" t="s">
        <v>1990</v>
      </c>
      <c r="Y22" s="978">
        <v>1</v>
      </c>
      <c r="Z22" s="590">
        <v>2</v>
      </c>
      <c r="AA22" s="590">
        <v>2</v>
      </c>
      <c r="AB22" s="590">
        <v>3</v>
      </c>
      <c r="AC22" s="610">
        <v>2</v>
      </c>
      <c r="AD22" s="906">
        <f>SUM(Y22:AC22)</f>
        <v>10</v>
      </c>
    </row>
    <row r="23" spans="1:32" x14ac:dyDescent="0.25">
      <c r="A23" s="13" t="s">
        <v>1659</v>
      </c>
      <c r="B23" s="756">
        <f>COUNTIF(B4:B21,1)/COUNTA(B4:B21)</f>
        <v>0.61111111111111116</v>
      </c>
      <c r="F23" t="s">
        <v>1659</v>
      </c>
      <c r="G23" s="756">
        <f>(G19+H19)/SUM(G16:H20)</f>
        <v>0.5</v>
      </c>
      <c r="J23" t="s">
        <v>1659</v>
      </c>
      <c r="K23" s="756">
        <f>(K18+L18)/SUM(K16:L20)</f>
        <v>0.875</v>
      </c>
      <c r="N23" t="s">
        <v>1659</v>
      </c>
      <c r="O23" s="756">
        <f>(O16+P16)/SUM(O16:P20)</f>
        <v>0.5</v>
      </c>
      <c r="S23" s="13" t="s">
        <v>1659</v>
      </c>
      <c r="T23" s="756">
        <f>[1]!ITEMDIFF(T4:T21)</f>
        <v>0.5</v>
      </c>
    </row>
    <row r="24" spans="1:32" x14ac:dyDescent="0.25">
      <c r="A24" s="13" t="s">
        <v>133</v>
      </c>
      <c r="B24" s="503">
        <f>COUNTIF(B4:B9,1)/COUNT(B4:B9)-COUNTIF(B16:B21,1)/COUNT(B16:B21)</f>
        <v>0.5</v>
      </c>
      <c r="F24" t="s">
        <v>133</v>
      </c>
      <c r="G24" s="420">
        <f>G19/SUM(G16:G20)-H19/SUM(H16:H20)</f>
        <v>0.19999999999999996</v>
      </c>
      <c r="J24" t="s">
        <v>133</v>
      </c>
      <c r="K24" s="420">
        <f>K18/SUM(K16:K20)-L18/SUM(L16:L20)</f>
        <v>0.14999999999999991</v>
      </c>
      <c r="N24" t="s">
        <v>133</v>
      </c>
      <c r="O24" s="420">
        <f>O16/COUNT(O16:O20)-P16/COUNT(P16:P20)</f>
        <v>0.40000000000000013</v>
      </c>
      <c r="S24" s="13" t="s">
        <v>133</v>
      </c>
      <c r="T24" s="503">
        <f>[1]!ITEMDISC(T4:T21,U4:U21)</f>
        <v>0.34999999999999992</v>
      </c>
      <c r="X24" s="13" t="s">
        <v>1659</v>
      </c>
      <c r="Y24" s="869">
        <f>[1]!ITEMDIFF(Y4:Y21,Y22)</f>
        <v>0.5</v>
      </c>
      <c r="Z24" s="867">
        <f>[1]!ITEMDIFF(Z4:Z21,Z22)</f>
        <v>0.58333333333333337</v>
      </c>
      <c r="AA24" s="867">
        <f>[1]!ITEMDIFF(AA4:AA21,AA22)</f>
        <v>0.55555555555555558</v>
      </c>
      <c r="AB24" s="867">
        <f>[1]!ITEMDIFF(AB4:AB21,AB22)</f>
        <v>0.66666666666666663</v>
      </c>
      <c r="AC24" s="870">
        <f>[1]!ITEMDIFF(AC4:AC21,AC22)</f>
        <v>0.5</v>
      </c>
      <c r="AD24" s="580">
        <f>[1]!ITEMDIFF(AD4:AD21,AD22)</f>
        <v>0.57777777777777772</v>
      </c>
      <c r="AF24" t="s">
        <v>2151</v>
      </c>
    </row>
    <row r="25" spans="1:32" x14ac:dyDescent="0.25">
      <c r="A25" s="13" t="s">
        <v>103</v>
      </c>
      <c r="B25" s="420">
        <f>CORREL(B4:B21,C4:C21)</f>
        <v>0.4054695723995605</v>
      </c>
      <c r="S25" s="13" t="s">
        <v>103</v>
      </c>
      <c r="T25" s="420">
        <f>CORREL(T4:T21,U4:U21)</f>
        <v>0.2249859388182221</v>
      </c>
      <c r="X25" s="13" t="s">
        <v>133</v>
      </c>
      <c r="Y25" s="532">
        <f>[1]!ITEMDISC(Y4:Y21,$AD4:$AD21,,Y22)</f>
        <v>-0.33333333333333331</v>
      </c>
      <c r="Z25" s="7">
        <f>[1]!ITEMDISC(Z4:Z21,$AD4:$AD21,,Z22)</f>
        <v>0.66666666666666663</v>
      </c>
      <c r="AA25" s="7">
        <f>[1]!ITEMDISC(AA4:AA21,$AD4:$AD21,,AA22)</f>
        <v>0.83333333333333337</v>
      </c>
      <c r="AB25" s="7">
        <f>[1]!ITEMDISC(AB4:AB21,$AD4:$AD21,,AB22)</f>
        <v>0.1111111111111111</v>
      </c>
      <c r="AC25" s="533">
        <f>[1]!ITEMDISC(AC4:AC21,$AD4:$AD21,,AC22)</f>
        <v>0.91666666666666663</v>
      </c>
    </row>
    <row r="26" spans="1:32" x14ac:dyDescent="0.25">
      <c r="X26" s="13" t="s">
        <v>1960</v>
      </c>
      <c r="Y26" s="409">
        <f>CORREL(Y4:Y21,$AD4:$AD21)</f>
        <v>-0.10468478451804281</v>
      </c>
      <c r="Z26" s="762">
        <f>CORREL(Z4:Z21,$AD4:$AD21)</f>
        <v>0.61764022865645229</v>
      </c>
      <c r="AA26" s="762">
        <f>CORREL(AA4:AA21,$AD4:$AD21)</f>
        <v>0.73122395108284544</v>
      </c>
      <c r="AB26" s="762">
        <f>CORREL(AB4:AB21,$AD4:$AD21)</f>
        <v>0.35112344158839182</v>
      </c>
      <c r="AC26" s="417">
        <f>CORREL(AC4:AC21,$AD4:$AD21)</f>
        <v>0.86058506472071239</v>
      </c>
    </row>
    <row r="28" spans="1:32" x14ac:dyDescent="0.25">
      <c r="X28" s="13" t="s">
        <v>1659</v>
      </c>
      <c r="Y28" s="869">
        <f t="shared" ref="Y28:AD28" si="4">SUM(Y4:Y21)/(COUNT(Y4:Y21)*Y22)</f>
        <v>0.5</v>
      </c>
      <c r="Z28" s="867">
        <f t="shared" si="4"/>
        <v>0.58333333333333337</v>
      </c>
      <c r="AA28" s="867">
        <f t="shared" si="4"/>
        <v>0.55555555555555558</v>
      </c>
      <c r="AB28" s="867">
        <f t="shared" si="4"/>
        <v>0.66666666666666663</v>
      </c>
      <c r="AC28" s="870">
        <f t="shared" si="4"/>
        <v>0.5</v>
      </c>
      <c r="AD28" s="580">
        <f t="shared" si="4"/>
        <v>0.57777777777777772</v>
      </c>
      <c r="AF28" t="s">
        <v>2152</v>
      </c>
    </row>
    <row r="29" spans="1:32" x14ac:dyDescent="0.25">
      <c r="X29" s="13" t="s">
        <v>133</v>
      </c>
      <c r="Y29" s="532">
        <f>(SUM(Y4:Y9)-SUM(Y16:Y21))/(COUNT(Y4:Y9)*Y22)</f>
        <v>-0.33333333333333331</v>
      </c>
      <c r="Z29" s="7">
        <f>(SUM(Z4:Z9)-SUM(Z16:Z21))/(COUNT(Z4:Z9)*Z22)</f>
        <v>0.66666666666666663</v>
      </c>
      <c r="AA29" s="7">
        <f>(SUM(AA4:AA9)-SUM(AA16:AA21))/(COUNT(AA4:AA9)*AA22)</f>
        <v>0.83333333333333337</v>
      </c>
      <c r="AB29" s="7">
        <f>(SUM(AB4:AB9)-SUM(AB16:AB21))/(COUNT(AB4:AB9)*AB22)</f>
        <v>0.1111111111111111</v>
      </c>
      <c r="AC29" s="533">
        <f>(SUM(AC4:AC9)-SUM(AC16:AC21))/(COUNT(AC4:AC9)*AC22)</f>
        <v>0.91666666666666663</v>
      </c>
    </row>
    <row r="30" spans="1:32" x14ac:dyDescent="0.25">
      <c r="X30" s="13" t="s">
        <v>1960</v>
      </c>
      <c r="Y30" s="409">
        <f>CORREL(Y4:Y21,$AD4:$AD21)</f>
        <v>-0.10468478451804281</v>
      </c>
      <c r="Z30" s="762">
        <f>CORREL(Z4:Z21,$AD4:$AD21)</f>
        <v>0.61764022865645229</v>
      </c>
      <c r="AA30" s="762">
        <f>CORREL(AA4:AA21,$AD4:$AD21)</f>
        <v>0.73122395108284544</v>
      </c>
      <c r="AB30" s="762">
        <f>CORREL(AB4:AB21,$AD4:$AD21)</f>
        <v>0.35112344158839182</v>
      </c>
      <c r="AC30" s="417">
        <f>CORREL(AC4:AC21,$AD4:$AD21)</f>
        <v>0.86058506472071239</v>
      </c>
    </row>
  </sheetData>
  <mergeCells count="6">
    <mergeCell ref="G14:H14"/>
    <mergeCell ref="K14:L14"/>
    <mergeCell ref="O14:P14"/>
    <mergeCell ref="G2:H2"/>
    <mergeCell ref="K2:L2"/>
    <mergeCell ref="O2:P2"/>
  </mergeCells>
  <pageMargins left="0.7" right="0.7" top="0.75" bottom="0.75" header="0.3" footer="0.3"/>
  <pageSetup paperSize="9" orientation="portrait" horizontalDpi="300" verticalDpi="300" r:id="rId1"/>
  <ignoredErrors>
    <ignoredError sqref="AD4 Y26:AC26 AG10:AK10 Y30:AC30" formulaRange="1"/>
  </ignoredError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K50"/>
  <sheetViews>
    <sheetView workbookViewId="0"/>
  </sheetViews>
  <sheetFormatPr defaultRowHeight="15" x14ac:dyDescent="0.25"/>
  <sheetData>
    <row r="1" spans="1:11" x14ac:dyDescent="0.25">
      <c r="A1" s="1" t="s">
        <v>906</v>
      </c>
    </row>
    <row r="3" spans="1:11" x14ac:dyDescent="0.25">
      <c r="A3" t="s">
        <v>907</v>
      </c>
      <c r="G3" t="s">
        <v>865</v>
      </c>
    </row>
    <row r="5" spans="1:11" x14ac:dyDescent="0.25">
      <c r="A5" s="429">
        <v>8</v>
      </c>
      <c r="B5" s="433">
        <v>4</v>
      </c>
      <c r="C5" s="433">
        <v>6</v>
      </c>
      <c r="D5" s="428">
        <v>7</v>
      </c>
      <c r="E5" s="31">
        <v>20</v>
      </c>
      <c r="G5" s="429">
        <f t="shared" ref="G5:J7" si="0">A5</f>
        <v>8</v>
      </c>
      <c r="H5" s="433">
        <f t="shared" si="0"/>
        <v>4</v>
      </c>
      <c r="I5" s="433">
        <f t="shared" si="0"/>
        <v>6</v>
      </c>
      <c r="J5" s="428">
        <f t="shared" si="0"/>
        <v>7</v>
      </c>
      <c r="K5" s="31">
        <f>SUM(G5:J5)</f>
        <v>25</v>
      </c>
    </row>
    <row r="6" spans="1:11" x14ac:dyDescent="0.25">
      <c r="A6" s="6">
        <v>3</v>
      </c>
      <c r="B6" s="7">
        <v>6</v>
      </c>
      <c r="C6" s="7">
        <v>5</v>
      </c>
      <c r="D6" s="8">
        <v>2</v>
      </c>
      <c r="E6" s="31">
        <v>18</v>
      </c>
      <c r="G6" s="6">
        <f t="shared" si="0"/>
        <v>3</v>
      </c>
      <c r="H6" s="7">
        <f t="shared" si="0"/>
        <v>6</v>
      </c>
      <c r="I6" s="7">
        <f t="shared" si="0"/>
        <v>5</v>
      </c>
      <c r="J6" s="8">
        <f t="shared" si="0"/>
        <v>2</v>
      </c>
      <c r="K6" s="31">
        <f>SUM(G6:J6)</f>
        <v>16</v>
      </c>
    </row>
    <row r="7" spans="1:11" x14ac:dyDescent="0.25">
      <c r="A7" s="409">
        <v>9</v>
      </c>
      <c r="B7" s="10">
        <v>11</v>
      </c>
      <c r="C7" s="10">
        <v>3</v>
      </c>
      <c r="D7" s="11">
        <v>1</v>
      </c>
      <c r="E7" s="31">
        <v>22</v>
      </c>
      <c r="G7" s="409">
        <f t="shared" si="0"/>
        <v>9</v>
      </c>
      <c r="H7" s="10">
        <f t="shared" si="0"/>
        <v>11</v>
      </c>
      <c r="I7" s="10">
        <f t="shared" si="0"/>
        <v>3</v>
      </c>
      <c r="J7" s="11">
        <f t="shared" si="0"/>
        <v>1</v>
      </c>
      <c r="K7" s="31">
        <f>SUM(G7:J7)</f>
        <v>24</v>
      </c>
    </row>
    <row r="8" spans="1:11" x14ac:dyDescent="0.25">
      <c r="A8" s="31">
        <v>18</v>
      </c>
      <c r="B8" s="31">
        <v>16</v>
      </c>
      <c r="C8" s="31">
        <v>12</v>
      </c>
      <c r="D8" s="31">
        <v>14</v>
      </c>
      <c r="E8">
        <f>SUM(A8:D8)</f>
        <v>60</v>
      </c>
      <c r="G8" s="31">
        <f>SUM(G5:G7)</f>
        <v>20</v>
      </c>
      <c r="H8" s="31">
        <f>SUM(H5:H7)</f>
        <v>21</v>
      </c>
      <c r="I8" s="31">
        <f>SUM(I5:I7)</f>
        <v>14</v>
      </c>
      <c r="J8" s="31">
        <f>SUM(J5:J7)</f>
        <v>10</v>
      </c>
      <c r="K8" s="31">
        <f>SUM(G8:J8)</f>
        <v>65</v>
      </c>
    </row>
    <row r="10" spans="1:11" x14ac:dyDescent="0.25">
      <c r="A10" t="s">
        <v>908</v>
      </c>
      <c r="G10" t="s">
        <v>909</v>
      </c>
    </row>
    <row r="12" spans="1:11" x14ac:dyDescent="0.25">
      <c r="A12" s="429">
        <f t="shared" ref="A12:D14" si="1">G5*$E5/$K5</f>
        <v>6.4</v>
      </c>
      <c r="B12" s="433">
        <f t="shared" si="1"/>
        <v>3.2</v>
      </c>
      <c r="C12" s="433">
        <f t="shared" si="1"/>
        <v>4.8</v>
      </c>
      <c r="D12" s="428">
        <f t="shared" si="1"/>
        <v>5.6</v>
      </c>
      <c r="E12" s="31">
        <f>SUM(A12:D12)</f>
        <v>20</v>
      </c>
      <c r="G12" s="429">
        <f>A12*A$8/A15</f>
        <v>6.3911234396671297</v>
      </c>
      <c r="H12" s="433">
        <f>B12*B$8/B15</f>
        <v>2.5557404326123132</v>
      </c>
      <c r="I12" s="433">
        <f>C12*C$8/C15</f>
        <v>4.3719165085388987</v>
      </c>
      <c r="J12" s="428">
        <f>D12*D$8/D15</f>
        <v>8.9429657794676807</v>
      </c>
      <c r="K12" s="31">
        <f>SUM(G12:J12)</f>
        <v>22.261746160286023</v>
      </c>
    </row>
    <row r="13" spans="1:11" x14ac:dyDescent="0.25">
      <c r="A13" s="6">
        <f t="shared" si="1"/>
        <v>3.375</v>
      </c>
      <c r="B13" s="7">
        <f t="shared" si="1"/>
        <v>6.75</v>
      </c>
      <c r="C13" s="7">
        <f t="shared" si="1"/>
        <v>5.625</v>
      </c>
      <c r="D13" s="8">
        <f t="shared" si="1"/>
        <v>2.25</v>
      </c>
      <c r="E13" s="31">
        <f>SUM(A13:D13)</f>
        <v>18</v>
      </c>
      <c r="G13" s="6">
        <f>A13*A$8/A15</f>
        <v>3.3703190013869628</v>
      </c>
      <c r="H13" s="7">
        <f>B13*B$8/B15</f>
        <v>5.3910149750415979</v>
      </c>
      <c r="I13" s="7">
        <f>C13*C$8/C15</f>
        <v>5.1233396584440225</v>
      </c>
      <c r="J13" s="8">
        <f>D13*D$8/D15</f>
        <v>3.5931558935361219</v>
      </c>
      <c r="K13" s="31">
        <f>SUM(G13:J13)</f>
        <v>17.477829528408705</v>
      </c>
    </row>
    <row r="14" spans="1:11" x14ac:dyDescent="0.25">
      <c r="A14" s="409">
        <f t="shared" si="1"/>
        <v>8.25</v>
      </c>
      <c r="B14" s="10">
        <f t="shared" si="1"/>
        <v>10.083333333333334</v>
      </c>
      <c r="C14" s="10">
        <f t="shared" si="1"/>
        <v>2.75</v>
      </c>
      <c r="D14" s="11">
        <f t="shared" si="1"/>
        <v>0.91666666666666663</v>
      </c>
      <c r="E14" s="31">
        <f>SUM(A14:D14)</f>
        <v>22.000000000000004</v>
      </c>
      <c r="G14" s="409">
        <f>A14*A$8/A15</f>
        <v>8.2385575589459084</v>
      </c>
      <c r="H14" s="10">
        <f>B14*B$8/B15</f>
        <v>8.0532445923460916</v>
      </c>
      <c r="I14" s="10">
        <f>C14*C$8/C15</f>
        <v>2.5047438330170775</v>
      </c>
      <c r="J14" s="11">
        <f>D14*D$8/D15</f>
        <v>1.4638783269961977</v>
      </c>
      <c r="K14" s="31">
        <f>SUM(G14:J14)</f>
        <v>20.260424311305275</v>
      </c>
    </row>
    <row r="15" spans="1:11" x14ac:dyDescent="0.25">
      <c r="A15" s="31">
        <f>SUM(A12:A14)</f>
        <v>18.024999999999999</v>
      </c>
      <c r="B15" s="31">
        <f>SUM(B12:B14)</f>
        <v>20.033333333333331</v>
      </c>
      <c r="C15" s="31">
        <f>SUM(C12:C14)</f>
        <v>13.175000000000001</v>
      </c>
      <c r="D15" s="31">
        <f>SUM(D12:D14)</f>
        <v>8.7666666666666657</v>
      </c>
      <c r="E15" s="31">
        <f>SUM(A15:D15)</f>
        <v>60</v>
      </c>
      <c r="G15" s="31">
        <f>SUM(G12:G14)</f>
        <v>18</v>
      </c>
      <c r="H15" s="31">
        <f>SUM(H12:H14)</f>
        <v>16.000000000000004</v>
      </c>
      <c r="I15" s="31">
        <f>SUM(I12:I14)</f>
        <v>11.999999999999998</v>
      </c>
      <c r="J15" s="31">
        <f>SUM(J12:J14)</f>
        <v>14</v>
      </c>
      <c r="K15" s="31">
        <f>SUM(G15:J15)</f>
        <v>60</v>
      </c>
    </row>
    <row r="17" spans="1:11" x14ac:dyDescent="0.25">
      <c r="A17" s="429">
        <f t="shared" ref="A17:D19" si="2">G12*$E12/$K12</f>
        <v>5.7417988630816508</v>
      </c>
      <c r="B17" s="433">
        <f t="shared" si="2"/>
        <v>2.2960826291080814</v>
      </c>
      <c r="C17" s="433">
        <f t="shared" si="2"/>
        <v>3.9277390704761568</v>
      </c>
      <c r="D17" s="428">
        <f t="shared" si="2"/>
        <v>8.0343794373341115</v>
      </c>
      <c r="E17" s="31">
        <f>SUM(A17:D17)</f>
        <v>20</v>
      </c>
      <c r="G17" s="429">
        <f>A17*A$8/A20</f>
        <v>5.6916063135544244</v>
      </c>
      <c r="H17" s="433">
        <f>B17*B$8/B20</f>
        <v>2.2140436175448652</v>
      </c>
      <c r="I17" s="433">
        <f>C17*C$8/C20</f>
        <v>3.9527906950385421</v>
      </c>
      <c r="J17" s="428">
        <f>D17*D$8/D20</f>
        <v>8.4417207486815666</v>
      </c>
      <c r="K17" s="31">
        <f>SUM(G17:J17)</f>
        <v>20.300161374819396</v>
      </c>
    </row>
    <row r="18" spans="1:11" x14ac:dyDescent="0.25">
      <c r="A18" s="6">
        <f t="shared" si="2"/>
        <v>3.4710111988653054</v>
      </c>
      <c r="B18" s="7">
        <f t="shared" si="2"/>
        <v>5.552077813381886</v>
      </c>
      <c r="C18" s="7">
        <f t="shared" si="2"/>
        <v>5.2764053855827218</v>
      </c>
      <c r="D18" s="8">
        <f t="shared" si="2"/>
        <v>3.7005056021700877</v>
      </c>
      <c r="E18" s="31">
        <f>SUM(A18:D18)</f>
        <v>18</v>
      </c>
      <c r="G18" s="6">
        <f>A18*A$8/A20</f>
        <v>3.4406689828345787</v>
      </c>
      <c r="H18" s="7">
        <f>B18*B$8/B20</f>
        <v>5.3537021233446129</v>
      </c>
      <c r="I18" s="7">
        <f>C18*C$8/C20</f>
        <v>5.3100589772258502</v>
      </c>
      <c r="J18" s="8">
        <f>D18*D$8/D20</f>
        <v>3.8881204411745953</v>
      </c>
      <c r="K18" s="31">
        <f>SUM(G18:J18)</f>
        <v>17.992550524579638</v>
      </c>
    </row>
    <row r="19" spans="1:11" x14ac:dyDescent="0.25">
      <c r="A19" s="409">
        <f t="shared" si="2"/>
        <v>8.9459264777428107</v>
      </c>
      <c r="B19" s="10">
        <f t="shared" si="2"/>
        <v>8.7447023966202302</v>
      </c>
      <c r="C19" s="10">
        <f t="shared" si="2"/>
        <v>2.7198030741946306</v>
      </c>
      <c r="D19" s="11">
        <f t="shared" si="2"/>
        <v>1.5895680514423309</v>
      </c>
      <c r="E19" s="31">
        <f>SUM(A19:D19)</f>
        <v>22.000000000000004</v>
      </c>
      <c r="G19" s="409">
        <f>A19*A$8/A20</f>
        <v>8.8677247036109943</v>
      </c>
      <c r="H19" s="10">
        <f>B19*B$8/B20</f>
        <v>8.4322542591105236</v>
      </c>
      <c r="I19" s="10">
        <f>C19*C$8/C20</f>
        <v>2.7371503277356064</v>
      </c>
      <c r="J19" s="11">
        <f>D19*D$8/D20</f>
        <v>1.6701588101438374</v>
      </c>
      <c r="K19" s="31">
        <f>SUM(G19:J19)</f>
        <v>21.707288100600962</v>
      </c>
    </row>
    <row r="20" spans="1:11" x14ac:dyDescent="0.25">
      <c r="A20" s="31">
        <f>SUM(A17:A19)</f>
        <v>18.15873653968977</v>
      </c>
      <c r="B20" s="31">
        <f>SUM(B17:B19)</f>
        <v>16.592862839110197</v>
      </c>
      <c r="C20" s="31">
        <f>SUM(C17:C19)</f>
        <v>11.923947530253511</v>
      </c>
      <c r="D20" s="31">
        <f>SUM(D17:D19)</f>
        <v>13.32445309094653</v>
      </c>
      <c r="E20" s="31">
        <f>SUM(A20:D20)</f>
        <v>60.000000000000014</v>
      </c>
      <c r="G20" s="31">
        <f>SUM(G17:G19)</f>
        <v>18</v>
      </c>
      <c r="H20" s="31">
        <f>SUM(H17:H19)</f>
        <v>16</v>
      </c>
      <c r="I20" s="31">
        <f>SUM(I17:I19)</f>
        <v>12</v>
      </c>
      <c r="J20" s="31">
        <f>SUM(J17:J19)</f>
        <v>13.999999999999998</v>
      </c>
      <c r="K20" s="31">
        <f>SUM(G20:J20)</f>
        <v>60</v>
      </c>
    </row>
    <row r="22" spans="1:11" x14ac:dyDescent="0.25">
      <c r="A22" s="429">
        <f t="shared" ref="A22:D24" si="3">G17*$E17/$K17</f>
        <v>5.6074493285697447</v>
      </c>
      <c r="B22" s="433">
        <f t="shared" si="3"/>
        <v>2.1813064208358419</v>
      </c>
      <c r="C22" s="433">
        <f t="shared" si="3"/>
        <v>3.894344110920851</v>
      </c>
      <c r="D22" s="428">
        <f t="shared" si="3"/>
        <v>8.3169001396735656</v>
      </c>
      <c r="E22" s="31">
        <f>SUM(A22:D22)</f>
        <v>20.000000000000004</v>
      </c>
      <c r="G22" s="429">
        <f>A22*A$8/A25</f>
        <v>5.5959948302616116</v>
      </c>
      <c r="H22" s="433">
        <f>B22*B$8/B25</f>
        <v>2.1700244468481822</v>
      </c>
      <c r="I22" s="433">
        <f>C22*C$8/C25</f>
        <v>3.9006302868539762</v>
      </c>
      <c r="J22" s="428">
        <f>D22*D$8/D25</f>
        <v>8.3771495276477612</v>
      </c>
      <c r="K22" s="31">
        <f>SUM(G22:J22)</f>
        <v>20.043799091611533</v>
      </c>
    </row>
    <row r="23" spans="1:11" x14ac:dyDescent="0.25">
      <c r="A23" s="6">
        <f t="shared" si="3"/>
        <v>3.4420935267858219</v>
      </c>
      <c r="B23" s="7">
        <f t="shared" si="3"/>
        <v>5.3559187225044322</v>
      </c>
      <c r="C23" s="7">
        <f t="shared" si="3"/>
        <v>5.3122575067660325</v>
      </c>
      <c r="D23" s="8">
        <f t="shared" si="3"/>
        <v>3.8897302439437116</v>
      </c>
      <c r="E23" s="31">
        <f>SUM(A23:D23)</f>
        <v>18</v>
      </c>
      <c r="G23" s="6">
        <f>A23*A$8/A25</f>
        <v>3.4350622631633185</v>
      </c>
      <c r="H23" s="7">
        <f>B23*B$8/B25</f>
        <v>5.3282172794012848</v>
      </c>
      <c r="I23" s="7">
        <f>C23*C$8/C25</f>
        <v>5.3208324514392444</v>
      </c>
      <c r="J23" s="8">
        <f>D23*D$8/D25</f>
        <v>3.9179082745376346</v>
      </c>
      <c r="K23" s="31">
        <f>SUM(G23:J23)</f>
        <v>18.002020268541482</v>
      </c>
    </row>
    <row r="24" spans="1:11" x14ac:dyDescent="0.25">
      <c r="A24" s="409">
        <f t="shared" si="3"/>
        <v>8.9873015263496168</v>
      </c>
      <c r="B24" s="10">
        <f t="shared" si="3"/>
        <v>8.545958981181796</v>
      </c>
      <c r="C24" s="10">
        <f t="shared" si="3"/>
        <v>2.7740594279262476</v>
      </c>
      <c r="D24" s="11">
        <f t="shared" si="3"/>
        <v>1.692680064542341</v>
      </c>
      <c r="E24" s="31">
        <f>SUM(A24:D24)</f>
        <v>22</v>
      </c>
      <c r="G24" s="409">
        <f>A24*A$8/A25</f>
        <v>8.9689429065750694</v>
      </c>
      <c r="H24" s="10">
        <f>B24*B$8/B25</f>
        <v>8.5017582737505339</v>
      </c>
      <c r="I24" s="10">
        <f>C24*C$8/C25</f>
        <v>2.7785372617067781</v>
      </c>
      <c r="J24" s="11">
        <f>D24*D$8/D25</f>
        <v>1.704942197814606</v>
      </c>
      <c r="K24" s="31">
        <f>SUM(G24:J24)</f>
        <v>21.954180639846989</v>
      </c>
    </row>
    <row r="25" spans="1:11" x14ac:dyDescent="0.25">
      <c r="A25" s="31">
        <f>SUM(A22:A24)</f>
        <v>18.036844381705183</v>
      </c>
      <c r="B25" s="31">
        <f>SUM(B22:B24)</f>
        <v>16.08318412452207</v>
      </c>
      <c r="C25" s="31">
        <f>SUM(C22:C24)</f>
        <v>11.980661045613132</v>
      </c>
      <c r="D25" s="31">
        <f>SUM(D22:D24)</f>
        <v>13.899310448159618</v>
      </c>
      <c r="E25" s="31">
        <f>SUM(A25:D25)</f>
        <v>60.000000000000007</v>
      </c>
      <c r="G25" s="31">
        <f>SUM(G22:G24)</f>
        <v>18</v>
      </c>
      <c r="H25" s="31">
        <f>SUM(H22:H24)</f>
        <v>16</v>
      </c>
      <c r="I25" s="31">
        <f>SUM(I22:I24)</f>
        <v>12</v>
      </c>
      <c r="J25" s="31">
        <f>SUM(J22:J24)</f>
        <v>14.000000000000002</v>
      </c>
      <c r="K25" s="31">
        <f>SUM(G25:J25)</f>
        <v>60</v>
      </c>
    </row>
    <row r="27" spans="1:11" x14ac:dyDescent="0.25">
      <c r="A27" s="429">
        <f t="shared" ref="A27:D29" si="4">G22*$E22/$K22</f>
        <v>5.583766634942549</v>
      </c>
      <c r="B27" s="433">
        <f t="shared" si="4"/>
        <v>2.1652825763518582</v>
      </c>
      <c r="C27" s="433">
        <f t="shared" si="4"/>
        <v>3.8921067498490518</v>
      </c>
      <c r="D27" s="428">
        <f t="shared" si="4"/>
        <v>8.3588440388565424</v>
      </c>
      <c r="E27" s="31">
        <f>SUM(A27:D27)</f>
        <v>20</v>
      </c>
      <c r="G27" s="429">
        <f>A27*A$8/A30</f>
        <v>5.5818734827961372</v>
      </c>
      <c r="H27" s="433">
        <f>B27*B$8/B30</f>
        <v>2.1636052787140132</v>
      </c>
      <c r="I27" s="433">
        <f>C27*C$8/C30</f>
        <v>3.8931844264674336</v>
      </c>
      <c r="J27" s="428">
        <f>D27*D$8/D30</f>
        <v>8.3679213707207865</v>
      </c>
      <c r="K27" s="31">
        <f>SUM(G27:J27)</f>
        <v>20.006584558698371</v>
      </c>
    </row>
    <row r="28" spans="1:11" x14ac:dyDescent="0.25">
      <c r="A28" s="6">
        <f t="shared" si="4"/>
        <v>3.4346767648623064</v>
      </c>
      <c r="B28" s="7">
        <f t="shared" si="4"/>
        <v>5.3276193226391451</v>
      </c>
      <c r="C28" s="7">
        <f t="shared" si="4"/>
        <v>5.3202353234360658</v>
      </c>
      <c r="D28" s="8">
        <f t="shared" si="4"/>
        <v>3.9174685890624832</v>
      </c>
      <c r="E28" s="31">
        <f>SUM(A28:D28)</f>
        <v>18</v>
      </c>
      <c r="G28" s="6">
        <f>A28*A$8/A30</f>
        <v>3.4335122524256767</v>
      </c>
      <c r="H28" s="7">
        <f>B28*B$8/B30</f>
        <v>5.3234923770834959</v>
      </c>
      <c r="I28" s="7">
        <f>C28*C$8/C30</f>
        <v>5.3217084313390233</v>
      </c>
      <c r="J28" s="8">
        <f>D28*D$8/D30</f>
        <v>3.9217227852510197</v>
      </c>
      <c r="K28" s="31">
        <f>SUM(G28:J28)</f>
        <v>18.000435846099215</v>
      </c>
    </row>
    <row r="29" spans="1:11" x14ac:dyDescent="0.25">
      <c r="A29" s="409">
        <f t="shared" si="4"/>
        <v>8.9876614928876144</v>
      </c>
      <c r="B29" s="10">
        <f t="shared" si="4"/>
        <v>8.5195018247702325</v>
      </c>
      <c r="C29" s="10">
        <f t="shared" si="4"/>
        <v>2.7843361936542377</v>
      </c>
      <c r="D29" s="11">
        <f t="shared" si="4"/>
        <v>1.7085004886879147</v>
      </c>
      <c r="E29" s="31">
        <f>SUM(A29:D29)</f>
        <v>22</v>
      </c>
      <c r="G29" s="409">
        <f>A29*A$8/A30</f>
        <v>8.9846142647781857</v>
      </c>
      <c r="H29" s="10">
        <f>B29*B$8/B30</f>
        <v>8.5129023442024909</v>
      </c>
      <c r="I29" s="10">
        <f>C29*C$8/C30</f>
        <v>2.7851071421935432</v>
      </c>
      <c r="J29" s="11">
        <f>D29*D$8/D30</f>
        <v>1.710355844028193</v>
      </c>
      <c r="K29" s="31">
        <f>SUM(G29:J29)</f>
        <v>21.99297959520241</v>
      </c>
    </row>
    <row r="30" spans="1:11" x14ac:dyDescent="0.25">
      <c r="A30" s="31">
        <f>SUM(A27:A29)</f>
        <v>18.00610489269247</v>
      </c>
      <c r="B30" s="31">
        <f>SUM(B27:B29)</f>
        <v>16.012403723761235</v>
      </c>
      <c r="C30" s="31">
        <f>SUM(C27:C29)</f>
        <v>11.996678266939355</v>
      </c>
      <c r="D30" s="31">
        <f>SUM(D27:D29)</f>
        <v>13.98481311660694</v>
      </c>
      <c r="E30" s="31">
        <f>SUM(A30:D30)</f>
        <v>60</v>
      </c>
      <c r="G30" s="31">
        <f>SUM(G27:G29)</f>
        <v>18</v>
      </c>
      <c r="H30" s="31">
        <f>SUM(H27:H29)</f>
        <v>16</v>
      </c>
      <c r="I30" s="31">
        <f>SUM(I27:I29)</f>
        <v>12</v>
      </c>
      <c r="J30" s="31">
        <f>SUM(J27:J29)</f>
        <v>14</v>
      </c>
      <c r="K30" s="31">
        <f>SUM(G30:J30)</f>
        <v>60</v>
      </c>
    </row>
    <row r="32" spans="1:11" x14ac:dyDescent="0.25">
      <c r="A32" s="429">
        <f t="shared" ref="A32:D34" si="5">G27*$E27/$K27</f>
        <v>5.5800363789423271</v>
      </c>
      <c r="B32" s="433">
        <f t="shared" si="5"/>
        <v>2.1628931938543507</v>
      </c>
      <c r="C32" s="433">
        <f t="shared" si="5"/>
        <v>3.8919031032458493</v>
      </c>
      <c r="D32" s="428">
        <f t="shared" si="5"/>
        <v>8.365167323957472</v>
      </c>
      <c r="E32" s="31">
        <f>SUM(A32:D32)</f>
        <v>20</v>
      </c>
      <c r="G32" s="429">
        <f>A32*A$8/A35</f>
        <v>5.5797425901597508</v>
      </c>
      <c r="H32" s="433">
        <f>B32*B$8/B35</f>
        <v>2.1626395661768831</v>
      </c>
      <c r="I32" s="433">
        <f>C32*C$8/C35</f>
        <v>3.8920721297400767</v>
      </c>
      <c r="J32" s="428">
        <f>D32*D$8/D35</f>
        <v>8.3665436437414993</v>
      </c>
      <c r="K32" s="31">
        <f>SUM(G32:J32)</f>
        <v>20.000997929818212</v>
      </c>
    </row>
    <row r="33" spans="1:11" x14ac:dyDescent="0.25">
      <c r="A33" s="6">
        <f t="shared" si="5"/>
        <v>3.4334291164986013</v>
      </c>
      <c r="B33" s="7">
        <f t="shared" si="5"/>
        <v>5.3233634789053301</v>
      </c>
      <c r="C33" s="7">
        <f t="shared" si="5"/>
        <v>5.3215795763556892</v>
      </c>
      <c r="D33" s="8">
        <f t="shared" si="5"/>
        <v>3.9216278282403803</v>
      </c>
      <c r="E33" s="31">
        <f>SUM(A33:D33)</f>
        <v>18</v>
      </c>
      <c r="G33" s="6">
        <f>A33*A$8/A35</f>
        <v>3.4332483465373151</v>
      </c>
      <c r="H33" s="7">
        <f>B33*B$8/B35</f>
        <v>5.3227392445144197</v>
      </c>
      <c r="I33" s="7">
        <f>C33*C$8/C35</f>
        <v>5.3218106941188195</v>
      </c>
      <c r="J33" s="8">
        <f>D33*D$8/D35</f>
        <v>3.9222730531063719</v>
      </c>
      <c r="K33" s="31">
        <f>SUM(G33:J33)</f>
        <v>18.000071338276928</v>
      </c>
    </row>
    <row r="34" spans="1:11" x14ac:dyDescent="0.25">
      <c r="A34" s="409">
        <f t="shared" si="5"/>
        <v>8.9874822540297519</v>
      </c>
      <c r="B34" s="10">
        <f t="shared" si="5"/>
        <v>8.5156197577389321</v>
      </c>
      <c r="C34" s="10">
        <f t="shared" si="5"/>
        <v>2.785996179509211</v>
      </c>
      <c r="D34" s="11">
        <f t="shared" si="5"/>
        <v>1.7109018087221093</v>
      </c>
      <c r="E34" s="31">
        <f>SUM(A34:D34)</f>
        <v>22.000000000000004</v>
      </c>
      <c r="G34" s="409">
        <f>A34*A$8/A35</f>
        <v>8.9870090633029314</v>
      </c>
      <c r="H34" s="10">
        <f>B34*B$8/B35</f>
        <v>8.5146211893086985</v>
      </c>
      <c r="I34" s="10">
        <f>C34*C$8/C35</f>
        <v>2.7861171761411052</v>
      </c>
      <c r="J34" s="11">
        <f>D34*D$8/D35</f>
        <v>1.7111833031521284</v>
      </c>
      <c r="K34" s="31">
        <f>SUM(G34:J34)</f>
        <v>21.998930731904863</v>
      </c>
    </row>
    <row r="35" spans="1:11" x14ac:dyDescent="0.25">
      <c r="A35" s="31">
        <f>SUM(A32:A34)</f>
        <v>18.000947749470683</v>
      </c>
      <c r="B35" s="31">
        <f>SUM(B32:B34)</f>
        <v>16.001876430498612</v>
      </c>
      <c r="C35" s="31">
        <f>SUM(C32:C34)</f>
        <v>11.999478859110749</v>
      </c>
      <c r="D35" s="31">
        <f>SUM(D32:D34)</f>
        <v>13.997696960919962</v>
      </c>
      <c r="E35" s="31">
        <f>SUM(A35:D35)</f>
        <v>60.000000000000007</v>
      </c>
      <c r="G35" s="31">
        <f>SUM(G32:G34)</f>
        <v>17.999999999999996</v>
      </c>
      <c r="H35" s="31">
        <f>SUM(H32:H34)</f>
        <v>16</v>
      </c>
      <c r="I35" s="31">
        <f>SUM(I32:I34)</f>
        <v>12</v>
      </c>
      <c r="J35" s="31">
        <f>SUM(J32:J34)</f>
        <v>14</v>
      </c>
      <c r="K35" s="31">
        <f>SUM(G35:J35)</f>
        <v>60</v>
      </c>
    </row>
    <row r="37" spans="1:11" x14ac:dyDescent="0.25">
      <c r="A37" s="429">
        <f t="shared" ref="A37:D39" si="6">G32*$E32/$K32</f>
        <v>5.5794641944752854</v>
      </c>
      <c r="B37" s="433">
        <f t="shared" si="6"/>
        <v>2.1625316634353946</v>
      </c>
      <c r="C37" s="433">
        <f t="shared" si="6"/>
        <v>3.8918779386878839</v>
      </c>
      <c r="D37" s="428">
        <f t="shared" si="6"/>
        <v>8.3661262034014356</v>
      </c>
      <c r="E37" s="31">
        <f>SUM(A37:D37)</f>
        <v>20</v>
      </c>
      <c r="G37" s="429">
        <f>A37*A$8/A40</f>
        <v>5.5794193064107835</v>
      </c>
      <c r="H37" s="433">
        <f>B37*B$8/B40</f>
        <v>2.162493163066538</v>
      </c>
      <c r="I37" s="433">
        <f>C37*C$8/C40</f>
        <v>3.8919038399788324</v>
      </c>
      <c r="J37" s="428">
        <f>D37*D$8/D40</f>
        <v>8.3663352496325647</v>
      </c>
      <c r="K37" s="31">
        <f>SUM(G37:J37)</f>
        <v>20.000151559088721</v>
      </c>
    </row>
    <row r="38" spans="1:11" x14ac:dyDescent="0.25">
      <c r="A38" s="6">
        <f t="shared" si="6"/>
        <v>3.43323473981228</v>
      </c>
      <c r="B38" s="7">
        <f t="shared" si="6"/>
        <v>5.3227181493176783</v>
      </c>
      <c r="C38" s="7">
        <f t="shared" si="6"/>
        <v>5.321789602602129</v>
      </c>
      <c r="D38" s="8">
        <f t="shared" si="6"/>
        <v>3.9222575082679101</v>
      </c>
      <c r="E38" s="31">
        <f>SUM(A38:D38)</f>
        <v>17.999999999999996</v>
      </c>
      <c r="G38" s="6">
        <f>A38*A$8/A40</f>
        <v>3.4332071186542117</v>
      </c>
      <c r="H38" s="7">
        <f>B38*B$8/B40</f>
        <v>5.3226233869539481</v>
      </c>
      <c r="I38" s="7">
        <f>C38*C$8/C40</f>
        <v>5.3218250202650248</v>
      </c>
      <c r="J38" s="8">
        <f>D38*D$8/D40</f>
        <v>3.9223555145768856</v>
      </c>
      <c r="K38" s="31">
        <f>SUM(G38:J38)</f>
        <v>18.000011040450069</v>
      </c>
    </row>
    <row r="39" spans="1:11" x14ac:dyDescent="0.25">
      <c r="A39" s="409">
        <f t="shared" si="6"/>
        <v>8.9874458809909914</v>
      </c>
      <c r="B39" s="10">
        <f t="shared" si="6"/>
        <v>8.5150350463679754</v>
      </c>
      <c r="C39" s="10">
        <f t="shared" si="6"/>
        <v>2.7862525966414049</v>
      </c>
      <c r="D39" s="11">
        <f t="shared" si="6"/>
        <v>1.7112664759996314</v>
      </c>
      <c r="E39" s="31">
        <f>SUM(A39:D39)</f>
        <v>22.000000000000004</v>
      </c>
      <c r="G39" s="409">
        <f>A39*A$8/A40</f>
        <v>8.9873735749350061</v>
      </c>
      <c r="H39" s="10">
        <f>B39*B$8/B40</f>
        <v>8.5148834499795125</v>
      </c>
      <c r="I39" s="10">
        <f>C39*C$8/C40</f>
        <v>2.7862711397561428</v>
      </c>
      <c r="J39" s="11">
        <f>D39*D$8/D40</f>
        <v>1.7113092357905511</v>
      </c>
      <c r="K39" s="31">
        <f>SUM(G39:J39)</f>
        <v>21.999837400461214</v>
      </c>
    </row>
    <row r="40" spans="1:11" x14ac:dyDescent="0.25">
      <c r="A40" s="31">
        <f>SUM(A37:A39)</f>
        <v>18.000144815278556</v>
      </c>
      <c r="B40" s="31">
        <f>SUM(B37:B39)</f>
        <v>16.000284859121049</v>
      </c>
      <c r="C40" s="31">
        <f>SUM(C37:C39)</f>
        <v>11.999920137931419</v>
      </c>
      <c r="D40" s="31">
        <f>SUM(D37:D39)</f>
        <v>13.999650187668976</v>
      </c>
      <c r="E40" s="31">
        <f>SUM(A40:D40)</f>
        <v>60</v>
      </c>
      <c r="G40" s="31">
        <f>SUM(G37:G39)</f>
        <v>18</v>
      </c>
      <c r="H40" s="31">
        <f>SUM(H37:H39)</f>
        <v>15.999999999999998</v>
      </c>
      <c r="I40" s="31">
        <f>SUM(I37:I39)</f>
        <v>12</v>
      </c>
      <c r="J40" s="31">
        <f>SUM(J37:J39)</f>
        <v>14.000000000000002</v>
      </c>
      <c r="K40" s="31">
        <f>SUM(G40:J40)</f>
        <v>60</v>
      </c>
    </row>
    <row r="42" spans="1:11" x14ac:dyDescent="0.25">
      <c r="A42" s="429">
        <f t="shared" ref="A42:D44" si="7">G37*$E37/$K37</f>
        <v>5.5793770261458979</v>
      </c>
      <c r="B42" s="433">
        <f t="shared" si="7"/>
        <v>2.162476775916061</v>
      </c>
      <c r="C42" s="433">
        <f t="shared" si="7"/>
        <v>3.8918743475323554</v>
      </c>
      <c r="D42" s="428">
        <f t="shared" si="7"/>
        <v>8.366271850405683</v>
      </c>
      <c r="E42" s="31">
        <f>SUM(A42:D42)</f>
        <v>20</v>
      </c>
      <c r="G42" s="429">
        <f>A42*A$8/A45</f>
        <v>5.5793701947917551</v>
      </c>
      <c r="H42" s="433">
        <f>B42*B$8/B45</f>
        <v>2.1624709262710722</v>
      </c>
      <c r="I42" s="433">
        <f>C42*C$8/C45</f>
        <v>3.8918782924244306</v>
      </c>
      <c r="J42" s="428">
        <f>D42*D$8/D45</f>
        <v>8.366303616571054</v>
      </c>
      <c r="K42" s="31">
        <f>SUM(G42:J42)</f>
        <v>20.000023030058312</v>
      </c>
    </row>
    <row r="43" spans="1:11" x14ac:dyDescent="0.25">
      <c r="A43" s="6">
        <f t="shared" si="7"/>
        <v>3.4332050128692932</v>
      </c>
      <c r="B43" s="7">
        <f t="shared" si="7"/>
        <v>5.3226201222805196</v>
      </c>
      <c r="C43" s="7">
        <f t="shared" si="7"/>
        <v>5.3218217560812811</v>
      </c>
      <c r="D43" s="8">
        <f t="shared" si="7"/>
        <v>3.9223531087689043</v>
      </c>
      <c r="E43" s="31">
        <f>SUM(A43:D43)</f>
        <v>18</v>
      </c>
      <c r="G43" s="6">
        <f>A43*A$8/A45</f>
        <v>3.4332008092746666</v>
      </c>
      <c r="H43" s="7">
        <f>B43*B$8/B45</f>
        <v>5.3226057242354292</v>
      </c>
      <c r="I43" s="7">
        <f>C43*C$8/C45</f>
        <v>5.3218271504004688</v>
      </c>
      <c r="J43" s="8">
        <f>D43*D$8/D45</f>
        <v>3.9223680016769671</v>
      </c>
      <c r="K43" s="31">
        <f>SUM(G43:J43)</f>
        <v>18.000001685587534</v>
      </c>
    </row>
    <row r="44" spans="1:11" x14ac:dyDescent="0.25">
      <c r="A44" s="409">
        <f t="shared" si="7"/>
        <v>8.9874400000985926</v>
      </c>
      <c r="B44" s="10">
        <f t="shared" si="7"/>
        <v>8.5149463829956353</v>
      </c>
      <c r="C44" s="10">
        <f t="shared" si="7"/>
        <v>2.7862917329266295</v>
      </c>
      <c r="D44" s="11">
        <f t="shared" si="7"/>
        <v>1.7113218839791444</v>
      </c>
      <c r="E44" s="31">
        <f>SUM(A44:D44)</f>
        <v>22</v>
      </c>
      <c r="G44" s="409">
        <f>A44*A$8/A45</f>
        <v>8.9874289959335769</v>
      </c>
      <c r="H44" s="10">
        <f>B44*B$8/B45</f>
        <v>8.5149233494934986</v>
      </c>
      <c r="I44" s="10">
        <f>C44*C$8/C45</f>
        <v>2.7862945571751006</v>
      </c>
      <c r="J44" s="11">
        <f>D44*D$8/D45</f>
        <v>1.7113283817519804</v>
      </c>
      <c r="K44" s="31">
        <f>SUM(G44:J44)</f>
        <v>21.999975284354157</v>
      </c>
    </row>
    <row r="45" spans="1:11" x14ac:dyDescent="0.25">
      <c r="A45" s="31">
        <f>SUM(A42:A44)</f>
        <v>18.000022039113784</v>
      </c>
      <c r="B45" s="31">
        <f>SUM(B42:B44)</f>
        <v>16.000043281192216</v>
      </c>
      <c r="C45" s="31">
        <f>SUM(C42:C44)</f>
        <v>11.999987836540265</v>
      </c>
      <c r="D45" s="31">
        <f>SUM(D42:D44)</f>
        <v>13.999946843153731</v>
      </c>
      <c r="E45" s="31">
        <f>SUM(A45:D45)</f>
        <v>59.999999999999993</v>
      </c>
      <c r="G45" s="31">
        <f>SUM(G42:G44)</f>
        <v>18</v>
      </c>
      <c r="H45" s="31">
        <f>SUM(H42:H44)</f>
        <v>16</v>
      </c>
      <c r="I45" s="31">
        <f>SUM(I42:I44)</f>
        <v>12</v>
      </c>
      <c r="J45" s="31">
        <f>SUM(J42:J44)</f>
        <v>14.000000000000002</v>
      </c>
      <c r="K45" s="31">
        <f>SUM(G45:J45)</f>
        <v>60</v>
      </c>
    </row>
    <row r="47" spans="1:11" x14ac:dyDescent="0.25">
      <c r="A47" s="429">
        <f t="shared" ref="A47:D49" si="8">G42*$E42/$K42</f>
        <v>5.5793637701381069</v>
      </c>
      <c r="B47" s="433">
        <f t="shared" si="8"/>
        <v>2.1624684361823632</v>
      </c>
      <c r="C47" s="433">
        <f t="shared" si="8"/>
        <v>3.8918738109203899</v>
      </c>
      <c r="D47" s="428">
        <f t="shared" si="8"/>
        <v>8.3662939827591405</v>
      </c>
      <c r="E47" s="31">
        <f>SUM(A47:D47)</f>
        <v>20</v>
      </c>
      <c r="G47" s="429">
        <f>A47*A$8/A50</f>
        <v>5.5793627315449443</v>
      </c>
      <c r="H47" s="433">
        <f>B47*B$8/B50</f>
        <v>2.162467547207418</v>
      </c>
      <c r="I47" s="433">
        <f>C47*C$8/C50</f>
        <v>3.8918744107963681</v>
      </c>
      <c r="J47" s="428">
        <f>D47*D$8/D50</f>
        <v>8.3662988104379714</v>
      </c>
      <c r="K47" s="31">
        <f>SUM(G47:J47)</f>
        <v>20.0000034999867</v>
      </c>
    </row>
    <row r="48" spans="1:11" x14ac:dyDescent="0.25">
      <c r="A48" s="6">
        <f t="shared" si="8"/>
        <v>3.433200487776892</v>
      </c>
      <c r="B48" s="7">
        <f t="shared" si="8"/>
        <v>5.322605225806706</v>
      </c>
      <c r="C48" s="7">
        <f t="shared" si="8"/>
        <v>5.3218266520446535</v>
      </c>
      <c r="D48" s="8">
        <f t="shared" si="8"/>
        <v>3.9223676343717457</v>
      </c>
      <c r="E48" s="31">
        <f>SUM(A48:D48)</f>
        <v>17.999999999999996</v>
      </c>
      <c r="G48" s="6">
        <f>A48*A$8/A50</f>
        <v>3.433199848689946</v>
      </c>
      <c r="H48" s="7">
        <f>B48*B$8/B50</f>
        <v>5.3226030377226587</v>
      </c>
      <c r="I48" s="7">
        <f>C48*C$8/C50</f>
        <v>5.3218274723271515</v>
      </c>
      <c r="J48" s="8">
        <f>D48*D$8/D50</f>
        <v>3.9223698977312731</v>
      </c>
      <c r="K48" s="31">
        <f>SUM(G48:J48)</f>
        <v>18.000000256471029</v>
      </c>
    </row>
    <row r="49" spans="1:11" x14ac:dyDescent="0.25">
      <c r="A49" s="409">
        <f t="shared" si="8"/>
        <v>8.9874390927681969</v>
      </c>
      <c r="B49" s="10">
        <f t="shared" si="8"/>
        <v>8.5149329154965141</v>
      </c>
      <c r="C49" s="10">
        <f t="shared" si="8"/>
        <v>2.7862976874090486</v>
      </c>
      <c r="D49" s="11">
        <f t="shared" si="8"/>
        <v>1.7113303043262404</v>
      </c>
      <c r="E49" s="31">
        <f>SUM(A49:D49)</f>
        <v>22</v>
      </c>
      <c r="G49" s="409">
        <f>A49*A$8/A50</f>
        <v>8.9874374197651132</v>
      </c>
      <c r="H49" s="10">
        <f>B49*B$8/B50</f>
        <v>8.5149294150699202</v>
      </c>
      <c r="I49" s="10">
        <f>C49*C$8/C50</f>
        <v>2.7862981168764809</v>
      </c>
      <c r="J49" s="11">
        <f>D49*D$8/D50</f>
        <v>1.7113312918307555</v>
      </c>
      <c r="K49" s="31">
        <f>SUM(G49:J49)</f>
        <v>21.99999624354227</v>
      </c>
    </row>
    <row r="50" spans="1:11" x14ac:dyDescent="0.25">
      <c r="A50" s="31">
        <f>SUM(A47:A49)</f>
        <v>18.000003350683194</v>
      </c>
      <c r="B50" s="31">
        <f>SUM(B47:B49)</f>
        <v>16.000006577485586</v>
      </c>
      <c r="C50" s="31">
        <f>SUM(C47:C49)</f>
        <v>11.999998150374092</v>
      </c>
      <c r="D50" s="31">
        <f>SUM(D47:D49)</f>
        <v>13.999991921457127</v>
      </c>
      <c r="E50" s="31">
        <f>SUM(A50:D50)</f>
        <v>60</v>
      </c>
      <c r="G50" s="31">
        <f>SUM(G47:G49)</f>
        <v>18.000000000000004</v>
      </c>
      <c r="H50" s="31">
        <f>SUM(H47:H49)</f>
        <v>15.999999999999996</v>
      </c>
      <c r="I50" s="31">
        <f>SUM(I47:I49)</f>
        <v>12</v>
      </c>
      <c r="J50" s="31">
        <f>SUM(J47:J49)</f>
        <v>14</v>
      </c>
      <c r="K50" s="31">
        <f>SUM(G50:J50)</f>
        <v>60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/>
  <dimension ref="B1:L8"/>
  <sheetViews>
    <sheetView workbookViewId="0">
      <selection activeCell="B1" sqref="B1"/>
    </sheetView>
  </sheetViews>
  <sheetFormatPr defaultRowHeight="15" x14ac:dyDescent="0.25"/>
  <cols>
    <col min="1" max="1" width="1.5703125" customWidth="1"/>
  </cols>
  <sheetData>
    <row r="1" spans="2:12" x14ac:dyDescent="0.25">
      <c r="B1" s="1" t="s">
        <v>906</v>
      </c>
    </row>
    <row r="3" spans="2:12" x14ac:dyDescent="0.25">
      <c r="B3" t="s">
        <v>2420</v>
      </c>
    </row>
    <row r="5" spans="2:12" x14ac:dyDescent="0.25">
      <c r="B5" s="429">
        <v>8</v>
      </c>
      <c r="C5" s="433">
        <v>4</v>
      </c>
      <c r="D5" s="433">
        <v>6</v>
      </c>
      <c r="E5" s="428">
        <v>7</v>
      </c>
      <c r="F5" s="31">
        <v>20</v>
      </c>
      <c r="H5" s="869">
        <f t="array" ref="H5:K7">[1]!IPFP2(B5:F8)</f>
        <v>5.579361394022242</v>
      </c>
      <c r="I5" s="867">
        <v>2.1624669416368874</v>
      </c>
      <c r="J5" s="867">
        <v>3.8918737151853113</v>
      </c>
      <c r="K5" s="870">
        <v>8.3662979491555607</v>
      </c>
      <c r="L5">
        <f>SUM(H5:K5)</f>
        <v>20</v>
      </c>
    </row>
    <row r="6" spans="2:12" x14ac:dyDescent="0.25">
      <c r="B6" s="6">
        <v>3</v>
      </c>
      <c r="C6" s="7">
        <v>6</v>
      </c>
      <c r="D6" s="7">
        <v>5</v>
      </c>
      <c r="E6" s="8">
        <v>2</v>
      </c>
      <c r="F6" s="31">
        <v>18</v>
      </c>
      <c r="H6" s="532">
        <v>3.433199676455621</v>
      </c>
      <c r="I6" s="7">
        <v>5.3226025561477668</v>
      </c>
      <c r="J6" s="7">
        <v>5.3218275299375923</v>
      </c>
      <c r="K6" s="533">
        <v>3.9223702374590204</v>
      </c>
      <c r="L6">
        <f>SUM(H6:K6)</f>
        <v>18</v>
      </c>
    </row>
    <row r="7" spans="2:12" x14ac:dyDescent="0.25">
      <c r="B7" s="409">
        <v>9</v>
      </c>
      <c r="C7" s="10">
        <v>11</v>
      </c>
      <c r="D7" s="10">
        <v>3</v>
      </c>
      <c r="E7" s="11">
        <v>1</v>
      </c>
      <c r="F7" s="31">
        <v>22</v>
      </c>
      <c r="H7" s="409">
        <v>8.9874389295221366</v>
      </c>
      <c r="I7" s="762">
        <v>8.5149305022153463</v>
      </c>
      <c r="J7" s="762">
        <v>2.7862987548770959</v>
      </c>
      <c r="K7" s="417">
        <v>1.7113318133854194</v>
      </c>
      <c r="L7">
        <f>SUM(H7:K7)</f>
        <v>22</v>
      </c>
    </row>
    <row r="8" spans="2:12" x14ac:dyDescent="0.25">
      <c r="B8" s="31">
        <v>18</v>
      </c>
      <c r="C8" s="31">
        <v>16</v>
      </c>
      <c r="D8" s="31">
        <v>12</v>
      </c>
      <c r="E8" s="31">
        <v>14</v>
      </c>
      <c r="F8">
        <f>SUM(B8:E8)</f>
        <v>60</v>
      </c>
      <c r="H8">
        <f>SUM(H5:H7)</f>
        <v>18</v>
      </c>
      <c r="I8">
        <f>SUM(I5:I7)</f>
        <v>16</v>
      </c>
      <c r="J8">
        <f>SUM(J5:J7)</f>
        <v>12</v>
      </c>
      <c r="K8">
        <f>SUM(K5:K7)</f>
        <v>14</v>
      </c>
      <c r="L8">
        <f>SUM(H8:K8)</f>
        <v>60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K17"/>
  <sheetViews>
    <sheetView workbookViewId="0"/>
  </sheetViews>
  <sheetFormatPr defaultRowHeight="15" x14ac:dyDescent="0.25"/>
  <cols>
    <col min="1" max="1" width="12.5703125" customWidth="1"/>
    <col min="6" max="6" width="6.85546875" customWidth="1"/>
    <col min="7" max="7" width="12.85546875" customWidth="1"/>
  </cols>
  <sheetData>
    <row r="1" spans="1:11" x14ac:dyDescent="0.25">
      <c r="A1" s="1" t="s">
        <v>910</v>
      </c>
    </row>
    <row r="3" spans="1:11" x14ac:dyDescent="0.25">
      <c r="B3" t="s">
        <v>81</v>
      </c>
      <c r="H3" t="s">
        <v>865</v>
      </c>
    </row>
    <row r="5" spans="1:11" x14ac:dyDescent="0.25">
      <c r="B5" s="415" t="s">
        <v>125</v>
      </c>
      <c r="C5" s="415" t="s">
        <v>124</v>
      </c>
      <c r="D5" s="415" t="s">
        <v>126</v>
      </c>
      <c r="E5" s="415" t="s">
        <v>1</v>
      </c>
      <c r="F5" s="415"/>
      <c r="H5" s="415" t="s">
        <v>125</v>
      </c>
      <c r="I5" s="415" t="s">
        <v>124</v>
      </c>
      <c r="J5" s="415" t="s">
        <v>126</v>
      </c>
      <c r="K5" s="415" t="s">
        <v>1</v>
      </c>
    </row>
    <row r="6" spans="1:11" x14ac:dyDescent="0.25">
      <c r="A6" t="s">
        <v>121</v>
      </c>
      <c r="B6" s="33">
        <v>20</v>
      </c>
      <c r="C6" s="48">
        <v>15</v>
      </c>
      <c r="D6" s="34">
        <v>10</v>
      </c>
      <c r="E6" s="415">
        <f>SUM(B6:D6)</f>
        <v>45</v>
      </c>
      <c r="F6" s="415"/>
      <c r="G6" t="s">
        <v>121</v>
      </c>
      <c r="H6" s="429">
        <v>1</v>
      </c>
      <c r="I6" s="433">
        <v>1</v>
      </c>
      <c r="J6" s="428">
        <v>1</v>
      </c>
      <c r="K6" s="31">
        <f>SUM(H6:J6)</f>
        <v>3</v>
      </c>
    </row>
    <row r="7" spans="1:11" x14ac:dyDescent="0.25">
      <c r="A7" t="s">
        <v>122</v>
      </c>
      <c r="B7" s="35">
        <v>40</v>
      </c>
      <c r="C7" s="50">
        <v>25</v>
      </c>
      <c r="D7" s="36">
        <v>20</v>
      </c>
      <c r="E7" s="415">
        <f>SUM(B7:D7)</f>
        <v>85</v>
      </c>
      <c r="F7" s="415"/>
      <c r="G7" t="s">
        <v>122</v>
      </c>
      <c r="H7" s="6">
        <v>1</v>
      </c>
      <c r="I7" s="7">
        <v>1</v>
      </c>
      <c r="J7" s="8">
        <v>1</v>
      </c>
      <c r="K7" s="31">
        <f>SUM(H7:J7)</f>
        <v>3</v>
      </c>
    </row>
    <row r="8" spans="1:11" x14ac:dyDescent="0.25">
      <c r="A8" t="s">
        <v>123</v>
      </c>
      <c r="B8" s="37">
        <v>8</v>
      </c>
      <c r="C8" s="416">
        <v>14</v>
      </c>
      <c r="D8" s="38">
        <v>23</v>
      </c>
      <c r="E8" s="415">
        <f>SUM(B8:D8)</f>
        <v>45</v>
      </c>
      <c r="F8" s="415"/>
      <c r="G8" t="s">
        <v>123</v>
      </c>
      <c r="H8" s="409">
        <v>1</v>
      </c>
      <c r="I8" s="10">
        <v>1</v>
      </c>
      <c r="J8" s="11">
        <v>1</v>
      </c>
      <c r="K8" s="31">
        <f>SUM(H8:J8)</f>
        <v>3</v>
      </c>
    </row>
    <row r="9" spans="1:11" x14ac:dyDescent="0.25">
      <c r="A9" t="s">
        <v>1</v>
      </c>
      <c r="B9" s="415">
        <f>SUM(B6:B8)</f>
        <v>68</v>
      </c>
      <c r="C9" s="415">
        <f>SUM(C6:C8)</f>
        <v>54</v>
      </c>
      <c r="D9" s="415">
        <f>SUM(D6:D8)</f>
        <v>53</v>
      </c>
      <c r="E9" s="415">
        <f>SUM(B9:D9)</f>
        <v>175</v>
      </c>
      <c r="F9" s="415"/>
      <c r="G9" t="s">
        <v>1</v>
      </c>
      <c r="H9" s="31">
        <f>SUM(H6:H8)</f>
        <v>3</v>
      </c>
      <c r="I9" s="31">
        <f>SUM(I6:I8)</f>
        <v>3</v>
      </c>
      <c r="J9" s="31">
        <f>SUM(J6:J8)</f>
        <v>3</v>
      </c>
      <c r="K9" s="31">
        <f>SUM(H9:J9)</f>
        <v>9</v>
      </c>
    </row>
    <row r="11" spans="1:11" x14ac:dyDescent="0.25">
      <c r="B11" t="s">
        <v>908</v>
      </c>
      <c r="H11" t="s">
        <v>909</v>
      </c>
    </row>
    <row r="13" spans="1:11" x14ac:dyDescent="0.25">
      <c r="B13" s="415" t="s">
        <v>125</v>
      </c>
      <c r="C13" s="415" t="s">
        <v>124</v>
      </c>
      <c r="D13" s="415" t="s">
        <v>126</v>
      </c>
      <c r="E13" s="415" t="s">
        <v>1</v>
      </c>
      <c r="H13" s="415" t="s">
        <v>125</v>
      </c>
      <c r="I13" s="415" t="s">
        <v>124</v>
      </c>
      <c r="J13" s="415" t="s">
        <v>126</v>
      </c>
      <c r="K13" s="415" t="s">
        <v>1</v>
      </c>
    </row>
    <row r="14" spans="1:11" x14ac:dyDescent="0.25">
      <c r="A14" t="s">
        <v>121</v>
      </c>
      <c r="B14" s="429">
        <f t="shared" ref="B14:D16" si="0">H6*$E6/$K6</f>
        <v>15</v>
      </c>
      <c r="C14" s="433">
        <f t="shared" si="0"/>
        <v>15</v>
      </c>
      <c r="D14" s="428">
        <f t="shared" si="0"/>
        <v>15</v>
      </c>
      <c r="E14" s="31">
        <f>SUM(B14:D14)</f>
        <v>45</v>
      </c>
      <c r="F14" s="31"/>
      <c r="G14" t="s">
        <v>121</v>
      </c>
      <c r="H14" s="429">
        <f>B14*B$9/B17</f>
        <v>17.485714285714288</v>
      </c>
      <c r="I14" s="433">
        <f>C14*C$9/C17</f>
        <v>13.885714285714286</v>
      </c>
      <c r="J14" s="428">
        <f>D14*D$9/D17</f>
        <v>13.62857142857143</v>
      </c>
      <c r="K14" s="31">
        <f>SUM(H14:J14)</f>
        <v>45</v>
      </c>
    </row>
    <row r="15" spans="1:11" x14ac:dyDescent="0.25">
      <c r="A15" t="s">
        <v>122</v>
      </c>
      <c r="B15" s="6">
        <f t="shared" si="0"/>
        <v>28.333333333333332</v>
      </c>
      <c r="C15" s="7">
        <f t="shared" si="0"/>
        <v>28.333333333333332</v>
      </c>
      <c r="D15" s="8">
        <f t="shared" si="0"/>
        <v>28.333333333333332</v>
      </c>
      <c r="E15" s="31">
        <f>SUM(B15:D15)</f>
        <v>85</v>
      </c>
      <c r="F15" s="31"/>
      <c r="G15" t="s">
        <v>122</v>
      </c>
      <c r="H15" s="6">
        <f>B15*B$9/B17</f>
        <v>33.028571428571432</v>
      </c>
      <c r="I15" s="7">
        <f>C15*C$9/C17</f>
        <v>26.228571428571431</v>
      </c>
      <c r="J15" s="8">
        <f>D15*D$9/D17</f>
        <v>25.742857142857144</v>
      </c>
      <c r="K15" s="31">
        <f>SUM(H15:J15)</f>
        <v>85.000000000000014</v>
      </c>
    </row>
    <row r="16" spans="1:11" x14ac:dyDescent="0.25">
      <c r="A16" t="s">
        <v>123</v>
      </c>
      <c r="B16" s="409">
        <f t="shared" si="0"/>
        <v>15</v>
      </c>
      <c r="C16" s="10">
        <f t="shared" si="0"/>
        <v>15</v>
      </c>
      <c r="D16" s="11">
        <f t="shared" si="0"/>
        <v>15</v>
      </c>
      <c r="E16" s="31">
        <f>SUM(B16:D16)</f>
        <v>45</v>
      </c>
      <c r="F16" s="31"/>
      <c r="G16" t="s">
        <v>123</v>
      </c>
      <c r="H16" s="409">
        <f>B16*B$9/B17</f>
        <v>17.485714285714288</v>
      </c>
      <c r="I16" s="10">
        <f>C16*C$9/C17</f>
        <v>13.885714285714286</v>
      </c>
      <c r="J16" s="11">
        <f>D16*D$9/D17</f>
        <v>13.62857142857143</v>
      </c>
      <c r="K16" s="31">
        <f>SUM(H16:J16)</f>
        <v>45</v>
      </c>
    </row>
    <row r="17" spans="1:11" x14ac:dyDescent="0.25">
      <c r="A17" t="s">
        <v>1</v>
      </c>
      <c r="B17" s="31">
        <f>SUM(B14:B16)</f>
        <v>58.333333333333329</v>
      </c>
      <c r="C17" s="31">
        <f>SUM(C14:C16)</f>
        <v>58.333333333333329</v>
      </c>
      <c r="D17" s="31">
        <f>SUM(D14:D16)</f>
        <v>58.333333333333329</v>
      </c>
      <c r="E17" s="31">
        <f>SUM(B17:D17)</f>
        <v>175</v>
      </c>
      <c r="F17" s="31"/>
      <c r="G17" t="s">
        <v>1</v>
      </c>
      <c r="H17" s="31">
        <f>SUM(H14:H16)</f>
        <v>68</v>
      </c>
      <c r="I17" s="31">
        <f>SUM(I14:I16)</f>
        <v>54</v>
      </c>
      <c r="J17" s="31">
        <f>SUM(J14:J16)</f>
        <v>53</v>
      </c>
      <c r="K17" s="31">
        <f>SUM(H17:J17)</f>
        <v>175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O25"/>
  <sheetViews>
    <sheetView workbookViewId="0"/>
  </sheetViews>
  <sheetFormatPr defaultRowHeight="15" x14ac:dyDescent="0.25"/>
  <cols>
    <col min="1" max="15" width="7.7109375" customWidth="1"/>
    <col min="16" max="16" width="7.42578125" customWidth="1"/>
  </cols>
  <sheetData>
    <row r="1" spans="1:15" x14ac:dyDescent="0.25">
      <c r="A1" s="1" t="s">
        <v>915</v>
      </c>
      <c r="C1" s="1"/>
      <c r="I1" s="1"/>
      <c r="K1" s="1" t="s">
        <v>913</v>
      </c>
    </row>
    <row r="3" spans="1:15" x14ac:dyDescent="0.25">
      <c r="C3" s="1309" t="s">
        <v>912</v>
      </c>
      <c r="D3" s="1309"/>
      <c r="E3" s="1309"/>
      <c r="F3" s="1309"/>
      <c r="K3" s="1309" t="s">
        <v>912</v>
      </c>
      <c r="L3" s="1309"/>
      <c r="M3" s="1309"/>
      <c r="N3" s="1309"/>
    </row>
    <row r="4" spans="1:15" x14ac:dyDescent="0.25">
      <c r="A4" s="415" t="s">
        <v>37</v>
      </c>
      <c r="B4" s="415" t="s">
        <v>911</v>
      </c>
      <c r="C4">
        <v>1</v>
      </c>
      <c r="D4">
        <f>C4+1</f>
        <v>2</v>
      </c>
      <c r="E4">
        <f>D4+1</f>
        <v>3</v>
      </c>
      <c r="F4">
        <f>E4+1</f>
        <v>4</v>
      </c>
      <c r="I4" s="415" t="s">
        <v>37</v>
      </c>
      <c r="J4" s="415" t="s">
        <v>911</v>
      </c>
      <c r="K4">
        <v>1</v>
      </c>
      <c r="L4">
        <f>K4+1</f>
        <v>2</v>
      </c>
      <c r="M4">
        <f>L4+1</f>
        <v>3</v>
      </c>
      <c r="N4">
        <f>M4+1</f>
        <v>4</v>
      </c>
    </row>
    <row r="5" spans="1:15" x14ac:dyDescent="0.25">
      <c r="A5" s="415">
        <v>1</v>
      </c>
      <c r="B5" s="415">
        <v>1</v>
      </c>
      <c r="C5" s="452">
        <v>5</v>
      </c>
      <c r="D5" s="453">
        <v>4</v>
      </c>
      <c r="E5" s="453">
        <v>6</v>
      </c>
      <c r="F5" s="454">
        <v>7</v>
      </c>
      <c r="G5" s="367">
        <f t="shared" ref="G5:G10" si="0">SUM(C5:F5)</f>
        <v>22</v>
      </c>
      <c r="I5" s="415">
        <v>1</v>
      </c>
      <c r="J5" s="415">
        <v>1</v>
      </c>
      <c r="K5" s="452">
        <v>7</v>
      </c>
      <c r="L5" s="453">
        <v>8</v>
      </c>
      <c r="M5" s="453">
        <v>5</v>
      </c>
      <c r="N5" s="454">
        <v>8</v>
      </c>
      <c r="O5" s="367">
        <f t="shared" ref="O5:O10" si="1">SUM(K5:N5)</f>
        <v>28</v>
      </c>
    </row>
    <row r="6" spans="1:15" x14ac:dyDescent="0.25">
      <c r="A6" s="415">
        <v>1</v>
      </c>
      <c r="B6" s="415">
        <v>2</v>
      </c>
      <c r="C6" s="455">
        <v>3</v>
      </c>
      <c r="D6" s="456">
        <v>6</v>
      </c>
      <c r="E6" s="456">
        <v>5</v>
      </c>
      <c r="F6" s="457">
        <v>2</v>
      </c>
      <c r="G6" s="367">
        <f t="shared" si="0"/>
        <v>16</v>
      </c>
      <c r="I6" s="415">
        <v>1</v>
      </c>
      <c r="J6" s="415">
        <v>2</v>
      </c>
      <c r="K6" s="455">
        <v>5</v>
      </c>
      <c r="L6" s="456">
        <v>6</v>
      </c>
      <c r="M6" s="456">
        <v>7</v>
      </c>
      <c r="N6" s="457">
        <v>4</v>
      </c>
      <c r="O6" s="367">
        <f t="shared" si="1"/>
        <v>22</v>
      </c>
    </row>
    <row r="7" spans="1:15" x14ac:dyDescent="0.25">
      <c r="A7" s="415">
        <v>2</v>
      </c>
      <c r="B7" s="415">
        <v>1</v>
      </c>
      <c r="C7" s="455">
        <v>9</v>
      </c>
      <c r="D7" s="456">
        <v>11</v>
      </c>
      <c r="E7" s="456">
        <v>3</v>
      </c>
      <c r="F7" s="457">
        <v>1</v>
      </c>
      <c r="G7" s="367">
        <f t="shared" si="0"/>
        <v>24</v>
      </c>
      <c r="I7" s="415">
        <v>2</v>
      </c>
      <c r="J7" s="415">
        <v>1</v>
      </c>
      <c r="K7" s="455">
        <v>12</v>
      </c>
      <c r="L7" s="456">
        <v>10</v>
      </c>
      <c r="M7" s="456">
        <v>5</v>
      </c>
      <c r="N7" s="457">
        <v>2</v>
      </c>
      <c r="O7" s="367">
        <f t="shared" si="1"/>
        <v>29</v>
      </c>
    </row>
    <row r="8" spans="1:15" x14ac:dyDescent="0.25">
      <c r="A8" s="415">
        <v>2</v>
      </c>
      <c r="B8" s="415">
        <v>2</v>
      </c>
      <c r="C8" s="455">
        <v>2</v>
      </c>
      <c r="D8" s="456">
        <v>5</v>
      </c>
      <c r="E8" s="456">
        <v>7</v>
      </c>
      <c r="F8" s="457">
        <v>3</v>
      </c>
      <c r="G8" s="367">
        <f t="shared" si="0"/>
        <v>17</v>
      </c>
      <c r="I8" s="415">
        <v>2</v>
      </c>
      <c r="J8" s="415">
        <v>2</v>
      </c>
      <c r="K8" s="455">
        <v>3</v>
      </c>
      <c r="L8" s="456">
        <v>4</v>
      </c>
      <c r="M8" s="456">
        <v>8</v>
      </c>
      <c r="N8" s="457">
        <v>5</v>
      </c>
      <c r="O8" s="367">
        <f t="shared" si="1"/>
        <v>20</v>
      </c>
    </row>
    <row r="9" spans="1:15" x14ac:dyDescent="0.25">
      <c r="A9" s="415">
        <v>3</v>
      </c>
      <c r="B9" s="415">
        <v>1</v>
      </c>
      <c r="C9" s="455">
        <v>8</v>
      </c>
      <c r="D9" s="456">
        <v>4</v>
      </c>
      <c r="E9" s="456">
        <v>12</v>
      </c>
      <c r="F9" s="457">
        <v>6</v>
      </c>
      <c r="G9" s="367">
        <f t="shared" si="0"/>
        <v>30</v>
      </c>
      <c r="I9" s="415">
        <v>3</v>
      </c>
      <c r="J9" s="415">
        <v>1</v>
      </c>
      <c r="K9" s="455">
        <v>9</v>
      </c>
      <c r="L9" s="456">
        <v>6</v>
      </c>
      <c r="M9" s="456">
        <v>11</v>
      </c>
      <c r="N9" s="457">
        <v>7</v>
      </c>
      <c r="O9" s="367">
        <f t="shared" si="1"/>
        <v>33</v>
      </c>
    </row>
    <row r="10" spans="1:15" x14ac:dyDescent="0.25">
      <c r="A10" s="415">
        <v>3</v>
      </c>
      <c r="B10" s="415">
        <v>2</v>
      </c>
      <c r="C10" s="458">
        <v>13</v>
      </c>
      <c r="D10" s="459">
        <v>8</v>
      </c>
      <c r="E10" s="459">
        <v>2</v>
      </c>
      <c r="F10" s="460">
        <v>11</v>
      </c>
      <c r="G10" s="367">
        <f t="shared" si="0"/>
        <v>34</v>
      </c>
      <c r="I10" s="415">
        <v>3</v>
      </c>
      <c r="J10" s="415">
        <v>2</v>
      </c>
      <c r="K10" s="458">
        <v>15</v>
      </c>
      <c r="L10" s="459">
        <v>10</v>
      </c>
      <c r="M10" s="459">
        <v>5</v>
      </c>
      <c r="N10" s="460">
        <v>13</v>
      </c>
      <c r="O10" s="367">
        <f t="shared" si="1"/>
        <v>43</v>
      </c>
    </row>
    <row r="11" spans="1:15" x14ac:dyDescent="0.25">
      <c r="C11" s="461">
        <f>SUM(C5:C10)</f>
        <v>40</v>
      </c>
      <c r="D11" s="461">
        <f>SUM(D5:D10)</f>
        <v>38</v>
      </c>
      <c r="E11" s="461">
        <f>SUM(E5:E10)</f>
        <v>35</v>
      </c>
      <c r="F11" s="461">
        <f>SUM(F5:F10)</f>
        <v>30</v>
      </c>
      <c r="G11" s="463">
        <f>SUM(G5:G10)</f>
        <v>143</v>
      </c>
      <c r="K11" s="461">
        <f>SUM(K5:K10)</f>
        <v>51</v>
      </c>
      <c r="L11" s="461">
        <f>SUM(L5:L10)</f>
        <v>44</v>
      </c>
      <c r="M11" s="461">
        <f>SUM(M5:M10)</f>
        <v>41</v>
      </c>
      <c r="N11" s="461">
        <f>SUM(N5:N10)</f>
        <v>39</v>
      </c>
      <c r="O11" s="463">
        <f>SUM(O5:O10)</f>
        <v>175</v>
      </c>
    </row>
    <row r="12" spans="1:15" x14ac:dyDescent="0.25">
      <c r="O12" s="444"/>
    </row>
    <row r="13" spans="1:15" x14ac:dyDescent="0.25">
      <c r="A13" s="415">
        <v>1</v>
      </c>
      <c r="C13" s="445">
        <f>SUMIF(A5:A10,A13,C5:C10)</f>
        <v>8</v>
      </c>
      <c r="D13" s="446">
        <f>SUMIF(A5:A10,A13,D5:D10)</f>
        <v>10</v>
      </c>
      <c r="E13" s="446">
        <f>SUMIF(A5:A10,A13,E5:E10)</f>
        <v>11</v>
      </c>
      <c r="F13" s="447">
        <f>SUMIF(A5:A10,A13,F5:F10)</f>
        <v>9</v>
      </c>
      <c r="G13" s="462">
        <f>SUM(C13:F13)</f>
        <v>38</v>
      </c>
      <c r="I13" s="415">
        <v>1</v>
      </c>
      <c r="K13" s="445">
        <f>SUMIF(I5:I10,I13,K5:K10)</f>
        <v>12</v>
      </c>
      <c r="L13" s="446">
        <f>SUMIF(I5:I10,I13,L5:L10)</f>
        <v>14</v>
      </c>
      <c r="M13" s="446">
        <f>SUMIF(I5:I10,I13,M5:M10)</f>
        <v>12</v>
      </c>
      <c r="N13" s="447">
        <f>SUMIF(I5:I10,I13,N5:N10)</f>
        <v>12</v>
      </c>
      <c r="O13" s="462">
        <f>SUM(K13:N13)</f>
        <v>50</v>
      </c>
    </row>
    <row r="14" spans="1:15" x14ac:dyDescent="0.25">
      <c r="A14" s="415">
        <v>2</v>
      </c>
      <c r="C14" s="448">
        <f>SUMIF(A5:A10,A14,C5:C10)</f>
        <v>11</v>
      </c>
      <c r="D14" s="367">
        <f>SUMIF(A5:A10,A14,D5:D10)</f>
        <v>16</v>
      </c>
      <c r="E14" s="367">
        <f>SUMIF(A5:A10,A14,E5:E10)</f>
        <v>10</v>
      </c>
      <c r="F14" s="364">
        <f>SUMIF(A5:A10,A14,F5:F10)</f>
        <v>4</v>
      </c>
      <c r="G14" s="462">
        <f>SUM(C14:F14)</f>
        <v>41</v>
      </c>
      <c r="I14" s="415">
        <v>2</v>
      </c>
      <c r="K14" s="448">
        <f>SUMIF(I5:I10,I14,K5:K10)</f>
        <v>15</v>
      </c>
      <c r="L14" s="367">
        <f>SUMIF(I5:I10,I14,L5:L10)</f>
        <v>14</v>
      </c>
      <c r="M14" s="367">
        <f>SUMIF(I5:I10,I14,M5:M10)</f>
        <v>13</v>
      </c>
      <c r="N14" s="364">
        <f>SUMIF(I5:I10,I14,N5:N10)</f>
        <v>7</v>
      </c>
      <c r="O14" s="462">
        <f>SUM(K14:N14)</f>
        <v>49</v>
      </c>
    </row>
    <row r="15" spans="1:15" x14ac:dyDescent="0.25">
      <c r="A15" s="415">
        <v>3</v>
      </c>
      <c r="C15" s="449">
        <f>SUMIF(A5:A10,A15,C5:C10)</f>
        <v>21</v>
      </c>
      <c r="D15" s="450">
        <f>SUMIF(A5:A10,A15,D5:D10)</f>
        <v>12</v>
      </c>
      <c r="E15" s="450">
        <f>SUMIF(A5:A10,A15,E5:E10)</f>
        <v>14</v>
      </c>
      <c r="F15" s="451">
        <f>SUMIF(A5:A10,A15,F5:F10)</f>
        <v>17</v>
      </c>
      <c r="G15" s="462">
        <f>SUM(C15:F15)</f>
        <v>64</v>
      </c>
      <c r="I15" s="415">
        <v>3</v>
      </c>
      <c r="K15" s="449">
        <f>SUMIF(I5:I10,I15,K5:K10)</f>
        <v>24</v>
      </c>
      <c r="L15" s="450">
        <f>SUMIF(I5:I10,I15,L5:L10)</f>
        <v>16</v>
      </c>
      <c r="M15" s="450">
        <f>SUMIF(I5:I10,I15,M5:M10)</f>
        <v>16</v>
      </c>
      <c r="N15" s="451">
        <f>SUMIF(I5:I10,I15,N5:N10)</f>
        <v>20</v>
      </c>
      <c r="O15" s="462">
        <f>SUM(K15:N15)</f>
        <v>76</v>
      </c>
    </row>
    <row r="17" spans="2:15" x14ac:dyDescent="0.25">
      <c r="B17" s="415">
        <v>1</v>
      </c>
      <c r="C17" s="445">
        <f>SUMIF(B5:B10,B17,C5:C10)</f>
        <v>22</v>
      </c>
      <c r="D17" s="446">
        <f>SUMIF(B5:B10,B17,D5:D10)</f>
        <v>19</v>
      </c>
      <c r="E17" s="446">
        <f>SUMIF(B5:B10,B17,E5:E10)</f>
        <v>21</v>
      </c>
      <c r="F17" s="447">
        <f>SUMIF(B5:B10,B17,F5:F10)</f>
        <v>14</v>
      </c>
      <c r="G17" s="462">
        <f>SUM(C17:F17)</f>
        <v>76</v>
      </c>
      <c r="J17" s="415">
        <v>1</v>
      </c>
      <c r="K17" s="445">
        <f>SUMIF(J5:J10,J17,K5:K10)</f>
        <v>28</v>
      </c>
      <c r="L17" s="446">
        <f>SUMIF(J5:J10,J17,L5:L10)</f>
        <v>24</v>
      </c>
      <c r="M17" s="446">
        <f>SUMIF(J5:J10,J17,M5:M10)</f>
        <v>21</v>
      </c>
      <c r="N17" s="447">
        <f>SUMIF(J5:J10,J17,N5:N10)</f>
        <v>17</v>
      </c>
      <c r="O17" s="462">
        <f>SUM(K17:N17)</f>
        <v>90</v>
      </c>
    </row>
    <row r="18" spans="2:15" x14ac:dyDescent="0.25">
      <c r="B18" s="415">
        <v>2</v>
      </c>
      <c r="C18" s="449">
        <f>SUMIF(B5:B10,B18,C5:C10)</f>
        <v>18</v>
      </c>
      <c r="D18" s="450">
        <f>SUMIF(B5:B10,B18,D5:D10)</f>
        <v>19</v>
      </c>
      <c r="E18" s="450">
        <f>SUMIF(B5:B10,B18,E5:E10)</f>
        <v>14</v>
      </c>
      <c r="F18" s="451">
        <f>SUMIF(B5:B10,B18,F5:F10)</f>
        <v>16</v>
      </c>
      <c r="G18" s="462">
        <f>SUM(C18:F18)</f>
        <v>67</v>
      </c>
      <c r="J18" s="415">
        <v>2</v>
      </c>
      <c r="K18" s="449">
        <f>SUMIF(J5:J10,J18,K5:K10)</f>
        <v>23</v>
      </c>
      <c r="L18" s="450">
        <f>SUMIF(J5:J10,J18,L5:L10)</f>
        <v>20</v>
      </c>
      <c r="M18" s="450">
        <f>SUMIF(J5:J10,J18,M5:M10)</f>
        <v>20</v>
      </c>
      <c r="N18" s="451">
        <f>SUMIF(J5:J10,J18,N5:N10)</f>
        <v>22</v>
      </c>
      <c r="O18" s="462">
        <f>SUM(K18:N18)</f>
        <v>85</v>
      </c>
    </row>
    <row r="19" spans="2:15" x14ac:dyDescent="0.25">
      <c r="O19" s="444"/>
    </row>
    <row r="20" spans="2:15" x14ac:dyDescent="0.25">
      <c r="O20" s="444"/>
    </row>
    <row r="21" spans="2:15" x14ac:dyDescent="0.25">
      <c r="O21" s="444"/>
    </row>
    <row r="22" spans="2:15" x14ac:dyDescent="0.25">
      <c r="O22" s="444"/>
    </row>
    <row r="23" spans="2:15" x14ac:dyDescent="0.25">
      <c r="O23" s="444"/>
    </row>
    <row r="24" spans="2:15" x14ac:dyDescent="0.25">
      <c r="O24" s="444"/>
    </row>
    <row r="25" spans="2:15" x14ac:dyDescent="0.25">
      <c r="O25" s="444"/>
    </row>
  </sheetData>
  <mergeCells count="2">
    <mergeCell ref="K3:N3"/>
    <mergeCell ref="C3:F3"/>
  </mergeCells>
  <pageMargins left="0.7" right="0.7" top="0.75" bottom="0.75" header="0.3" footer="0.3"/>
  <ignoredErrors>
    <ignoredError sqref="G5:G10 C11 O5:O10 K11" formulaRange="1"/>
  </ignoredError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W325"/>
  <sheetViews>
    <sheetView zoomScaleNormal="100" workbookViewId="0"/>
  </sheetViews>
  <sheetFormatPr defaultRowHeight="15" x14ac:dyDescent="0.25"/>
  <cols>
    <col min="1" max="23" width="7.7109375" customWidth="1"/>
  </cols>
  <sheetData>
    <row r="1" spans="1:23" x14ac:dyDescent="0.25">
      <c r="A1" s="1" t="s">
        <v>906</v>
      </c>
    </row>
    <row r="2" spans="1:23" x14ac:dyDescent="0.25">
      <c r="C2" s="1"/>
      <c r="Q2" s="1"/>
      <c r="S2" s="1"/>
    </row>
    <row r="3" spans="1:23" x14ac:dyDescent="0.25">
      <c r="B3" t="s">
        <v>914</v>
      </c>
      <c r="R3" t="s">
        <v>865</v>
      </c>
    </row>
    <row r="4" spans="1:23" x14ac:dyDescent="0.25">
      <c r="C4" s="1309" t="s">
        <v>912</v>
      </c>
      <c r="D4" s="1309"/>
      <c r="E4" s="1309"/>
      <c r="F4" s="1309"/>
      <c r="S4" s="1309" t="s">
        <v>912</v>
      </c>
      <c r="T4" s="1309"/>
      <c r="U4" s="1309"/>
      <c r="V4" s="1309"/>
    </row>
    <row r="5" spans="1:23" x14ac:dyDescent="0.25">
      <c r="A5" s="415" t="s">
        <v>37</v>
      </c>
      <c r="B5" s="415" t="s">
        <v>911</v>
      </c>
      <c r="C5">
        <v>1</v>
      </c>
      <c r="D5">
        <f>C5+1</f>
        <v>2</v>
      </c>
      <c r="E5">
        <f>D5+1</f>
        <v>3</v>
      </c>
      <c r="F5">
        <f>E5+1</f>
        <v>4</v>
      </c>
      <c r="Q5" s="415" t="s">
        <v>37</v>
      </c>
      <c r="R5" s="415" t="s">
        <v>911</v>
      </c>
      <c r="S5">
        <v>1</v>
      </c>
      <c r="T5">
        <f>S5+1</f>
        <v>2</v>
      </c>
      <c r="U5">
        <f>T5+1</f>
        <v>3</v>
      </c>
      <c r="V5">
        <f>U5+1</f>
        <v>4</v>
      </c>
    </row>
    <row r="6" spans="1:23" x14ac:dyDescent="0.25">
      <c r="A6" s="415">
        <v>1</v>
      </c>
      <c r="B6" s="415">
        <v>1</v>
      </c>
      <c r="C6" s="452">
        <v>5</v>
      </c>
      <c r="D6" s="453">
        <v>4</v>
      </c>
      <c r="E6" s="453">
        <v>6</v>
      </c>
      <c r="F6" s="454">
        <v>7</v>
      </c>
      <c r="G6" s="367">
        <f>'IPFP 3.1'!O5</f>
        <v>28</v>
      </c>
      <c r="Q6" s="415">
        <v>1</v>
      </c>
      <c r="R6" s="415">
        <v>1</v>
      </c>
      <c r="S6" s="452">
        <f t="shared" ref="S6:V11" si="0">C6</f>
        <v>5</v>
      </c>
      <c r="T6" s="453">
        <f t="shared" si="0"/>
        <v>4</v>
      </c>
      <c r="U6" s="453">
        <f t="shared" si="0"/>
        <v>6</v>
      </c>
      <c r="V6" s="454">
        <f t="shared" si="0"/>
        <v>7</v>
      </c>
      <c r="W6" s="367">
        <f t="shared" ref="W6:W11" si="1">SUM(S6:V6)</f>
        <v>22</v>
      </c>
    </row>
    <row r="7" spans="1:23" x14ac:dyDescent="0.25">
      <c r="A7" s="415">
        <v>1</v>
      </c>
      <c r="B7" s="415">
        <v>2</v>
      </c>
      <c r="C7" s="455">
        <v>3</v>
      </c>
      <c r="D7" s="456">
        <v>6</v>
      </c>
      <c r="E7" s="456">
        <v>5</v>
      </c>
      <c r="F7" s="457">
        <v>2</v>
      </c>
      <c r="G7" s="367">
        <f>'IPFP 3.1'!O6</f>
        <v>22</v>
      </c>
      <c r="Q7" s="415">
        <v>1</v>
      </c>
      <c r="R7" s="415">
        <v>2</v>
      </c>
      <c r="S7" s="455">
        <f t="shared" si="0"/>
        <v>3</v>
      </c>
      <c r="T7" s="456">
        <f t="shared" si="0"/>
        <v>6</v>
      </c>
      <c r="U7" s="456">
        <f t="shared" si="0"/>
        <v>5</v>
      </c>
      <c r="V7" s="457">
        <f t="shared" si="0"/>
        <v>2</v>
      </c>
      <c r="W7" s="367">
        <f t="shared" si="1"/>
        <v>16</v>
      </c>
    </row>
    <row r="8" spans="1:23" x14ac:dyDescent="0.25">
      <c r="A8" s="415">
        <v>2</v>
      </c>
      <c r="B8" s="415">
        <v>1</v>
      </c>
      <c r="C8" s="455">
        <v>9</v>
      </c>
      <c r="D8" s="456">
        <v>11</v>
      </c>
      <c r="E8" s="456">
        <v>3</v>
      </c>
      <c r="F8" s="457">
        <v>1</v>
      </c>
      <c r="G8" s="367">
        <f>'IPFP 3.1'!O7</f>
        <v>29</v>
      </c>
      <c r="Q8" s="415">
        <v>2</v>
      </c>
      <c r="R8" s="415">
        <v>1</v>
      </c>
      <c r="S8" s="455">
        <f t="shared" si="0"/>
        <v>9</v>
      </c>
      <c r="T8" s="456">
        <f t="shared" si="0"/>
        <v>11</v>
      </c>
      <c r="U8" s="456">
        <f t="shared" si="0"/>
        <v>3</v>
      </c>
      <c r="V8" s="457">
        <f t="shared" si="0"/>
        <v>1</v>
      </c>
      <c r="W8" s="367">
        <f t="shared" si="1"/>
        <v>24</v>
      </c>
    </row>
    <row r="9" spans="1:23" x14ac:dyDescent="0.25">
      <c r="A9" s="415">
        <v>2</v>
      </c>
      <c r="B9" s="415">
        <v>2</v>
      </c>
      <c r="C9" s="455">
        <v>2</v>
      </c>
      <c r="D9" s="456">
        <v>5</v>
      </c>
      <c r="E9" s="456">
        <v>7</v>
      </c>
      <c r="F9" s="457">
        <v>3</v>
      </c>
      <c r="G9" s="367">
        <f>'IPFP 3.1'!O8</f>
        <v>20</v>
      </c>
      <c r="Q9" s="415">
        <v>2</v>
      </c>
      <c r="R9" s="415">
        <v>2</v>
      </c>
      <c r="S9" s="455">
        <f t="shared" si="0"/>
        <v>2</v>
      </c>
      <c r="T9" s="456">
        <f t="shared" si="0"/>
        <v>5</v>
      </c>
      <c r="U9" s="456">
        <f t="shared" si="0"/>
        <v>7</v>
      </c>
      <c r="V9" s="457">
        <f t="shared" si="0"/>
        <v>3</v>
      </c>
      <c r="W9" s="367">
        <f t="shared" si="1"/>
        <v>17</v>
      </c>
    </row>
    <row r="10" spans="1:23" x14ac:dyDescent="0.25">
      <c r="A10" s="415">
        <v>3</v>
      </c>
      <c r="B10" s="415">
        <v>1</v>
      </c>
      <c r="C10" s="455">
        <v>8</v>
      </c>
      <c r="D10" s="456">
        <v>4</v>
      </c>
      <c r="E10" s="456">
        <v>12</v>
      </c>
      <c r="F10" s="457">
        <v>6</v>
      </c>
      <c r="G10" s="367">
        <f>'IPFP 3.1'!O9</f>
        <v>33</v>
      </c>
      <c r="Q10" s="415">
        <v>3</v>
      </c>
      <c r="R10" s="415">
        <v>1</v>
      </c>
      <c r="S10" s="455">
        <f t="shared" si="0"/>
        <v>8</v>
      </c>
      <c r="T10" s="456">
        <f t="shared" si="0"/>
        <v>4</v>
      </c>
      <c r="U10" s="456">
        <f t="shared" si="0"/>
        <v>12</v>
      </c>
      <c r="V10" s="457">
        <f t="shared" si="0"/>
        <v>6</v>
      </c>
      <c r="W10" s="367">
        <f t="shared" si="1"/>
        <v>30</v>
      </c>
    </row>
    <row r="11" spans="1:23" x14ac:dyDescent="0.25">
      <c r="A11" s="415">
        <v>3</v>
      </c>
      <c r="B11" s="415">
        <v>2</v>
      </c>
      <c r="C11" s="458">
        <v>13</v>
      </c>
      <c r="D11" s="459">
        <v>8</v>
      </c>
      <c r="E11" s="459">
        <v>2</v>
      </c>
      <c r="F11" s="460">
        <v>11</v>
      </c>
      <c r="G11" s="367">
        <f>'IPFP 3.1'!O10</f>
        <v>43</v>
      </c>
      <c r="Q11" s="415">
        <v>3</v>
      </c>
      <c r="R11" s="415">
        <v>2</v>
      </c>
      <c r="S11" s="458">
        <f t="shared" si="0"/>
        <v>13</v>
      </c>
      <c r="T11" s="459">
        <f t="shared" si="0"/>
        <v>8</v>
      </c>
      <c r="U11" s="459">
        <f t="shared" si="0"/>
        <v>2</v>
      </c>
      <c r="V11" s="460">
        <f t="shared" si="0"/>
        <v>11</v>
      </c>
      <c r="W11" s="367">
        <f t="shared" si="1"/>
        <v>34</v>
      </c>
    </row>
    <row r="12" spans="1:23" x14ac:dyDescent="0.25">
      <c r="C12" s="461">
        <f>SUM(C14:C16)</f>
        <v>51</v>
      </c>
      <c r="D12" s="461">
        <f>SUM(D14:D16)</f>
        <v>44</v>
      </c>
      <c r="E12" s="461">
        <f>SUM(E14:E16)</f>
        <v>41</v>
      </c>
      <c r="F12" s="461">
        <f>SUM(F14:F16)</f>
        <v>39</v>
      </c>
      <c r="G12" s="463">
        <f>SUM(G6:G11)</f>
        <v>175</v>
      </c>
      <c r="S12" s="461">
        <f>SUM(S6:S11)</f>
        <v>40</v>
      </c>
      <c r="T12" s="461">
        <f>SUM(T6:T11)</f>
        <v>38</v>
      </c>
      <c r="U12" s="461">
        <f>SUM(U6:U11)</f>
        <v>35</v>
      </c>
      <c r="V12" s="461">
        <f>SUM(V6:V11)</f>
        <v>30</v>
      </c>
      <c r="W12" s="463">
        <f>SUM(W6:W11)</f>
        <v>143</v>
      </c>
    </row>
    <row r="14" spans="1:23" x14ac:dyDescent="0.25">
      <c r="A14" s="415">
        <v>1</v>
      </c>
      <c r="C14" s="445">
        <f>'IPFP 3.1'!K13</f>
        <v>12</v>
      </c>
      <c r="D14" s="446">
        <f>'IPFP 3.1'!L13</f>
        <v>14</v>
      </c>
      <c r="E14" s="446">
        <f>'IPFP 3.1'!M13</f>
        <v>12</v>
      </c>
      <c r="F14" s="447">
        <f>'IPFP 3.1'!N13</f>
        <v>12</v>
      </c>
      <c r="G14" s="462">
        <f>SUM(C14:F14)</f>
        <v>50</v>
      </c>
      <c r="Q14" s="415">
        <v>1</v>
      </c>
      <c r="S14" s="445">
        <f>SUMIF(Q6:Q11,Q14,S6:S11)</f>
        <v>8</v>
      </c>
      <c r="T14" s="446">
        <f>SUMIF(Q6:Q11,Q14,T6:T11)</f>
        <v>10</v>
      </c>
      <c r="U14" s="446">
        <f>SUMIF(Q6:Q11,Q14,U6:U11)</f>
        <v>11</v>
      </c>
      <c r="V14" s="447">
        <f>SUMIF(Q6:Q11,Q14,V6:V11)</f>
        <v>9</v>
      </c>
      <c r="W14" s="462">
        <f>SUM(S14:V14)</f>
        <v>38</v>
      </c>
    </row>
    <row r="15" spans="1:23" x14ac:dyDescent="0.25">
      <c r="A15" s="415">
        <v>2</v>
      </c>
      <c r="C15" s="448">
        <f>'IPFP 3.1'!K14</f>
        <v>15</v>
      </c>
      <c r="D15" s="367">
        <f>'IPFP 3.1'!L14</f>
        <v>14</v>
      </c>
      <c r="E15" s="367">
        <f>'IPFP 3.1'!M14</f>
        <v>13</v>
      </c>
      <c r="F15" s="364">
        <f>'IPFP 3.1'!N14</f>
        <v>7</v>
      </c>
      <c r="G15" s="462">
        <f>SUM(C15:F15)</f>
        <v>49</v>
      </c>
      <c r="Q15" s="415">
        <v>2</v>
      </c>
      <c r="S15" s="448">
        <f>SUMIF(Q6:Q11,Q15,S6:S11)</f>
        <v>11</v>
      </c>
      <c r="T15" s="367">
        <f>SUMIF(Q6:Q11,Q15,T6:T11)</f>
        <v>16</v>
      </c>
      <c r="U15" s="367">
        <f>SUMIF(Q6:Q11,Q15,U6:U11)</f>
        <v>10</v>
      </c>
      <c r="V15" s="364">
        <f>SUMIF(Q6:Q11,Q15,V6:V11)</f>
        <v>4</v>
      </c>
      <c r="W15" s="462">
        <f>SUM(S15:V15)</f>
        <v>41</v>
      </c>
    </row>
    <row r="16" spans="1:23" x14ac:dyDescent="0.25">
      <c r="A16" s="415">
        <v>3</v>
      </c>
      <c r="C16" s="449">
        <f>'IPFP 3.1'!K15</f>
        <v>24</v>
      </c>
      <c r="D16" s="450">
        <f>'IPFP 3.1'!L15</f>
        <v>16</v>
      </c>
      <c r="E16" s="450">
        <f>'IPFP 3.1'!M15</f>
        <v>16</v>
      </c>
      <c r="F16" s="451">
        <f>'IPFP 3.1'!N15</f>
        <v>20</v>
      </c>
      <c r="G16" s="462">
        <f>SUM(C16:F16)</f>
        <v>76</v>
      </c>
      <c r="Q16" s="415">
        <v>3</v>
      </c>
      <c r="S16" s="449">
        <f>SUMIF(Q6:Q11,Q16,S6:S11)</f>
        <v>21</v>
      </c>
      <c r="T16" s="450">
        <f>SUMIF(Q6:Q11,Q16,T6:T11)</f>
        <v>12</v>
      </c>
      <c r="U16" s="450">
        <f>SUMIF(Q6:Q11,Q16,U6:U11)</f>
        <v>14</v>
      </c>
      <c r="V16" s="451">
        <f>SUMIF(Q6:Q11,Q16,V6:V11)</f>
        <v>17</v>
      </c>
      <c r="W16" s="462">
        <f>SUM(S16:V16)</f>
        <v>64</v>
      </c>
    </row>
    <row r="18" spans="1:23" x14ac:dyDescent="0.25">
      <c r="B18" s="415">
        <v>1</v>
      </c>
      <c r="C18" s="445">
        <f>'IPFP 3.1'!K17</f>
        <v>28</v>
      </c>
      <c r="D18" s="446">
        <f>'IPFP 3.1'!L17</f>
        <v>24</v>
      </c>
      <c r="E18" s="446">
        <f>'IPFP 3.1'!M17</f>
        <v>21</v>
      </c>
      <c r="F18" s="447">
        <f>'IPFP 3.1'!N17</f>
        <v>17</v>
      </c>
      <c r="G18" s="462">
        <f>SUM(C18:F18)</f>
        <v>90</v>
      </c>
      <c r="R18" s="415">
        <v>1</v>
      </c>
      <c r="S18" s="445">
        <f>SUMIF(R6:R11,R18,S6:S11)</f>
        <v>22</v>
      </c>
      <c r="T18" s="446">
        <f>SUMIF(R6:R11,R18,T6:T11)</f>
        <v>19</v>
      </c>
      <c r="U18" s="446">
        <f>SUMIF(R6:R11,R18,U6:U11)</f>
        <v>21</v>
      </c>
      <c r="V18" s="447">
        <f>SUMIF(R6:R11,R18,V6:V11)</f>
        <v>14</v>
      </c>
      <c r="W18" s="462">
        <f>SUM(S18:V18)</f>
        <v>76</v>
      </c>
    </row>
    <row r="19" spans="1:23" x14ac:dyDescent="0.25">
      <c r="B19" s="415">
        <v>2</v>
      </c>
      <c r="C19" s="449">
        <f>'IPFP 3.1'!K18</f>
        <v>23</v>
      </c>
      <c r="D19" s="450">
        <f>'IPFP 3.1'!L18</f>
        <v>20</v>
      </c>
      <c r="E19" s="450">
        <f>'IPFP 3.1'!M18</f>
        <v>20</v>
      </c>
      <c r="F19" s="451">
        <f>'IPFP 3.1'!N18</f>
        <v>22</v>
      </c>
      <c r="G19" s="462">
        <f>SUM(C19:F19)</f>
        <v>85</v>
      </c>
      <c r="R19" s="415">
        <v>2</v>
      </c>
      <c r="S19" s="449">
        <f>SUMIF(R6:R11,R19,S6:S11)</f>
        <v>18</v>
      </c>
      <c r="T19" s="450">
        <f>SUMIF(R6:R11,R19,T6:T11)</f>
        <v>19</v>
      </c>
      <c r="U19" s="450">
        <f>SUMIF(R6:R11,R19,U6:U11)</f>
        <v>14</v>
      </c>
      <c r="V19" s="451">
        <f>SUMIF(R6:R11,R19,V6:V11)</f>
        <v>16</v>
      </c>
      <c r="W19" s="462">
        <f>SUM(S19:V19)</f>
        <v>67</v>
      </c>
    </row>
    <row r="21" spans="1:23" x14ac:dyDescent="0.25">
      <c r="C21" t="s">
        <v>916</v>
      </c>
      <c r="K21" t="s">
        <v>917</v>
      </c>
      <c r="S21" t="s">
        <v>918</v>
      </c>
    </row>
    <row r="23" spans="1:23" x14ac:dyDescent="0.25">
      <c r="A23" s="415" t="s">
        <v>37</v>
      </c>
      <c r="B23" s="415" t="s">
        <v>911</v>
      </c>
      <c r="C23">
        <v>1</v>
      </c>
      <c r="D23">
        <f>C23+1</f>
        <v>2</v>
      </c>
      <c r="E23">
        <f>D23+1</f>
        <v>3</v>
      </c>
      <c r="F23">
        <f>E23+1</f>
        <v>4</v>
      </c>
      <c r="I23" s="415" t="s">
        <v>37</v>
      </c>
      <c r="J23" s="415" t="s">
        <v>911</v>
      </c>
      <c r="K23">
        <v>1</v>
      </c>
      <c r="L23">
        <f>K23+1</f>
        <v>2</v>
      </c>
      <c r="M23">
        <f>L23+1</f>
        <v>3</v>
      </c>
      <c r="N23">
        <f>M23+1</f>
        <v>4</v>
      </c>
      <c r="Q23" s="415" t="s">
        <v>37</v>
      </c>
      <c r="R23" s="415" t="s">
        <v>911</v>
      </c>
      <c r="S23">
        <v>1</v>
      </c>
      <c r="T23">
        <f>S23+1</f>
        <v>2</v>
      </c>
      <c r="U23">
        <f>T23+1</f>
        <v>3</v>
      </c>
      <c r="V23">
        <f>U23+1</f>
        <v>4</v>
      </c>
    </row>
    <row r="24" spans="1:23" x14ac:dyDescent="0.25">
      <c r="A24" s="415">
        <v>1</v>
      </c>
      <c r="B24" s="415">
        <v>1</v>
      </c>
      <c r="C24" s="452">
        <f>S6*$G$6/$W6</f>
        <v>6.3636363636363633</v>
      </c>
      <c r="D24" s="453">
        <f>T6*$G$6/$W6</f>
        <v>5.0909090909090908</v>
      </c>
      <c r="E24" s="453">
        <f>U6*$G$6/$W6</f>
        <v>7.6363636363636367</v>
      </c>
      <c r="F24" s="454">
        <f>V6*$G$6/$W6</f>
        <v>8.9090909090909083</v>
      </c>
      <c r="G24" s="367">
        <f t="shared" ref="G24:G29" si="2">SUM(C24:F24)</f>
        <v>28</v>
      </c>
      <c r="I24" s="415">
        <v>1</v>
      </c>
      <c r="J24" s="415">
        <v>1</v>
      </c>
      <c r="K24" s="452">
        <f>C24*$C$14/C32</f>
        <v>7.2806067172264353</v>
      </c>
      <c r="L24" s="453">
        <f>D24*$D$14/D32</f>
        <v>5.3424190800681428</v>
      </c>
      <c r="M24" s="453">
        <f>E24*$E$14/E32</f>
        <v>6.3148003132341426</v>
      </c>
      <c r="N24" s="454">
        <f>F24*F14/F32</f>
        <v>9.1695906432748551</v>
      </c>
      <c r="O24" s="367">
        <f t="shared" ref="O24:O29" si="3">SUM(K24:N24)</f>
        <v>28.107416753803573</v>
      </c>
      <c r="Q24" s="415">
        <v>1</v>
      </c>
      <c r="R24" s="415">
        <v>1</v>
      </c>
      <c r="S24" s="452">
        <f>K24*$C$18/K36</f>
        <v>7.2858790655999295</v>
      </c>
      <c r="T24" s="453">
        <f>L24*$D$18/L36</f>
        <v>6.4441993454181441</v>
      </c>
      <c r="U24" s="453">
        <f>M24*$E$18/M36</f>
        <v>5.5918022607030737</v>
      </c>
      <c r="V24" s="454">
        <f>N24*$F$18/N36</f>
        <v>8.9638287565508747</v>
      </c>
      <c r="W24" s="367">
        <f t="shared" ref="W24:W29" si="4">SUM(S24:V24)</f>
        <v>28.285709428272021</v>
      </c>
    </row>
    <row r="25" spans="1:23" x14ac:dyDescent="0.25">
      <c r="A25" s="415">
        <v>1</v>
      </c>
      <c r="B25" s="415">
        <v>2</v>
      </c>
      <c r="C25" s="455">
        <f>S7*$G$7/$W7</f>
        <v>4.125</v>
      </c>
      <c r="D25" s="456">
        <f>T7*$G$7/$W7</f>
        <v>8.25</v>
      </c>
      <c r="E25" s="456">
        <f>U7*$G$7/$W7</f>
        <v>6.875</v>
      </c>
      <c r="F25" s="457">
        <f>V7*$G$7/$W7</f>
        <v>2.75</v>
      </c>
      <c r="G25" s="367">
        <f t="shared" si="2"/>
        <v>22</v>
      </c>
      <c r="I25" s="415">
        <v>1</v>
      </c>
      <c r="J25" s="415">
        <v>2</v>
      </c>
      <c r="K25" s="455">
        <f>C25*$C$14/C32</f>
        <v>4.7193932827735647</v>
      </c>
      <c r="L25" s="456">
        <f>D25*$D$14/D32</f>
        <v>8.6575809199318581</v>
      </c>
      <c r="M25" s="456">
        <f>E25*$E$14/E32</f>
        <v>5.6851996867658574</v>
      </c>
      <c r="N25" s="457">
        <f>F25*$F$14/F32</f>
        <v>2.8304093567251463</v>
      </c>
      <c r="O25" s="367">
        <f t="shared" si="3"/>
        <v>21.892583246196427</v>
      </c>
      <c r="Q25" s="415">
        <v>1</v>
      </c>
      <c r="R25" s="415">
        <v>2</v>
      </c>
      <c r="S25" s="455">
        <f>K25*$C$19/K37</f>
        <v>4.7152393823492478</v>
      </c>
      <c r="T25" s="456">
        <f>L25*$D$19/L37</f>
        <v>7.1837195444572535</v>
      </c>
      <c r="U25" s="456">
        <f>M25*$E$19/M37</f>
        <v>6.578271577283366</v>
      </c>
      <c r="V25" s="457">
        <f>N25*$F$19/N37</f>
        <v>2.8815209482098028</v>
      </c>
      <c r="W25" s="367">
        <f t="shared" si="4"/>
        <v>21.358751452299671</v>
      </c>
    </row>
    <row r="26" spans="1:23" x14ac:dyDescent="0.25">
      <c r="A26" s="415">
        <v>2</v>
      </c>
      <c r="B26" s="415">
        <v>1</v>
      </c>
      <c r="C26" s="455">
        <f>S8*$G$8/$W8</f>
        <v>10.875</v>
      </c>
      <c r="D26" s="456">
        <f>T8*$G$8/$W8</f>
        <v>13.291666666666666</v>
      </c>
      <c r="E26" s="456">
        <f>U8*$G$8/$W8</f>
        <v>3.625</v>
      </c>
      <c r="F26" s="457">
        <f>V8*$G$8/$W8</f>
        <v>1.2083333333333333</v>
      </c>
      <c r="G26" s="367">
        <f t="shared" si="2"/>
        <v>28.999999999999996</v>
      </c>
      <c r="I26" s="415">
        <v>2</v>
      </c>
      <c r="J26" s="415">
        <v>1</v>
      </c>
      <c r="K26" s="455">
        <f>C26*$C$15/C33</f>
        <v>12.331851028349082</v>
      </c>
      <c r="L26" s="456">
        <f>D26*$D$15/D33</f>
        <v>9.7049725169372358</v>
      </c>
      <c r="M26" s="456">
        <f>E26*$E$15/E33</f>
        <v>3.97334159950403</v>
      </c>
      <c r="N26" s="457">
        <f>F26*$F$15/F33</f>
        <v>1.785307811691671</v>
      </c>
      <c r="O26" s="367">
        <f t="shared" si="3"/>
        <v>27.795472956482019</v>
      </c>
      <c r="Q26" s="415">
        <v>2</v>
      </c>
      <c r="R26" s="415">
        <v>1</v>
      </c>
      <c r="S26" s="455">
        <f>K26*$C$18/K36</f>
        <v>12.340781302601865</v>
      </c>
      <c r="T26" s="456">
        <f>L26*$D$18/L36</f>
        <v>11.706452938946583</v>
      </c>
      <c r="U26" s="456">
        <f>M26*$E$18/M36</f>
        <v>3.5184232971055134</v>
      </c>
      <c r="V26" s="457">
        <f>N26*$F$18/N36</f>
        <v>1.745246230100113</v>
      </c>
      <c r="W26" s="367">
        <f t="shared" si="4"/>
        <v>29.310903768754073</v>
      </c>
    </row>
    <row r="27" spans="1:23" x14ac:dyDescent="0.25">
      <c r="A27" s="415">
        <v>2</v>
      </c>
      <c r="B27" s="415">
        <v>2</v>
      </c>
      <c r="C27" s="455">
        <f>S9*$G$9/$W9</f>
        <v>2.3529411764705883</v>
      </c>
      <c r="D27" s="456">
        <f>T9*$G$9/$W9</f>
        <v>5.882352941176471</v>
      </c>
      <c r="E27" s="456">
        <f>U9*$G$9/$W9</f>
        <v>8.235294117647058</v>
      </c>
      <c r="F27" s="457">
        <f>V9*$G$9/$W9</f>
        <v>3.5294117647058822</v>
      </c>
      <c r="G27" s="367">
        <f t="shared" si="2"/>
        <v>20</v>
      </c>
      <c r="I27" s="415">
        <v>2</v>
      </c>
      <c r="J27" s="415">
        <v>2</v>
      </c>
      <c r="K27" s="455">
        <f>C27*$C$15/C33</f>
        <v>2.6681489716509175</v>
      </c>
      <c r="L27" s="456">
        <f>D27*$D$15/D33</f>
        <v>4.2950274830627642</v>
      </c>
      <c r="M27" s="456">
        <f>E27*$E$15/E33</f>
        <v>9.02665840049597</v>
      </c>
      <c r="N27" s="457">
        <f>F27*$F$15/F33</f>
        <v>5.2146921883083293</v>
      </c>
      <c r="O27" s="367">
        <f t="shared" si="3"/>
        <v>21.204527043517981</v>
      </c>
      <c r="Q27" s="415">
        <v>2</v>
      </c>
      <c r="R27" s="415">
        <v>2</v>
      </c>
      <c r="S27" s="455">
        <f>K27*$C$19/K37</f>
        <v>2.6658005288572357</v>
      </c>
      <c r="T27" s="456">
        <f>L27*$D$19/L37</f>
        <v>3.5638445842331059</v>
      </c>
      <c r="U27" s="456">
        <f>M27*$E$19/M37</f>
        <v>10.444630561008173</v>
      </c>
      <c r="V27" s="457">
        <f>N27*$F$19/N37</f>
        <v>5.3088592091365214</v>
      </c>
      <c r="W27" s="367">
        <f t="shared" si="4"/>
        <v>21.983134883235039</v>
      </c>
    </row>
    <row r="28" spans="1:23" x14ac:dyDescent="0.25">
      <c r="A28" s="415">
        <v>3</v>
      </c>
      <c r="B28" s="415">
        <v>1</v>
      </c>
      <c r="C28" s="455">
        <f>S10*$G$10/$W10</f>
        <v>8.8000000000000007</v>
      </c>
      <c r="D28" s="456">
        <f>T10*$G$10/$W10</f>
        <v>4.4000000000000004</v>
      </c>
      <c r="E28" s="456">
        <f>U10*$G$10/$W10</f>
        <v>13.2</v>
      </c>
      <c r="F28" s="457">
        <f>V10*$G$10/$W10</f>
        <v>6.6</v>
      </c>
      <c r="G28" s="367">
        <f t="shared" si="2"/>
        <v>33</v>
      </c>
      <c r="I28" s="415">
        <v>3</v>
      </c>
      <c r="J28" s="415">
        <v>1</v>
      </c>
      <c r="K28" s="455">
        <f>C28*$C$16/C34</f>
        <v>8.3672803542297842</v>
      </c>
      <c r="L28" s="456">
        <f>D28*$D$16/D34</f>
        <v>4.8492706645056733</v>
      </c>
      <c r="M28" s="456">
        <f>E28*$E$16/E34</f>
        <v>13.427075542258788</v>
      </c>
      <c r="N28" s="457">
        <f>F28*$F$16/F34</f>
        <v>6.4353312302839116</v>
      </c>
      <c r="O28" s="367">
        <f t="shared" si="3"/>
        <v>33.078957791278157</v>
      </c>
      <c r="Q28" s="415">
        <v>3</v>
      </c>
      <c r="R28" s="415">
        <v>1</v>
      </c>
      <c r="S28" s="455">
        <f>K28*$C$18/K36</f>
        <v>8.3733396317982063</v>
      </c>
      <c r="T28" s="456">
        <f>L28*$D$18/L36</f>
        <v>5.8493477156352691</v>
      </c>
      <c r="U28" s="456">
        <f>M28*$E$18/M36</f>
        <v>11.889774442191412</v>
      </c>
      <c r="V28" s="457">
        <f>N28*$F$18/N36</f>
        <v>6.2909250133490113</v>
      </c>
      <c r="W28" s="367">
        <f t="shared" si="4"/>
        <v>32.403386802973898</v>
      </c>
    </row>
    <row r="29" spans="1:23" x14ac:dyDescent="0.25">
      <c r="A29" s="415">
        <v>3</v>
      </c>
      <c r="B29" s="415">
        <v>2</v>
      </c>
      <c r="C29" s="458">
        <f>S11*$G$11/$W11</f>
        <v>16.441176470588236</v>
      </c>
      <c r="D29" s="459">
        <f>T11*$G$11/$W11</f>
        <v>10.117647058823529</v>
      </c>
      <c r="E29" s="459">
        <f>U11*$G$11/$W11</f>
        <v>2.5294117647058822</v>
      </c>
      <c r="F29" s="460">
        <f>V11*$G$11/$W11</f>
        <v>13.911764705882353</v>
      </c>
      <c r="G29" s="367">
        <f t="shared" si="2"/>
        <v>43</v>
      </c>
      <c r="I29" s="415">
        <v>3</v>
      </c>
      <c r="J29" s="415">
        <v>2</v>
      </c>
      <c r="K29" s="458">
        <f>C29*$C$16/C34</f>
        <v>15.632719645770218</v>
      </c>
      <c r="L29" s="459">
        <f>D29*$D$16/D34</f>
        <v>11.150729335494328</v>
      </c>
      <c r="M29" s="459">
        <f>E29*$E$16/E34</f>
        <v>2.5729244577412116</v>
      </c>
      <c r="N29" s="460">
        <f>F29*$F$16/F34</f>
        <v>13.564668769716089</v>
      </c>
      <c r="O29" s="367">
        <f t="shared" si="3"/>
        <v>42.921042208721843</v>
      </c>
      <c r="Q29" s="415">
        <v>3</v>
      </c>
      <c r="R29" s="415">
        <v>2</v>
      </c>
      <c r="S29" s="458">
        <f>K29*$C$19/K37</f>
        <v>15.618960088793516</v>
      </c>
      <c r="T29" s="459">
        <f>L29*$D$19/L37</f>
        <v>9.2524358713096397</v>
      </c>
      <c r="U29" s="459">
        <f>M29*$E$19/M37</f>
        <v>2.9770978617084585</v>
      </c>
      <c r="V29" s="460">
        <f>N29*$F$19/N37</f>
        <v>13.809619842653678</v>
      </c>
      <c r="W29" s="367">
        <f t="shared" si="4"/>
        <v>41.65811366446529</v>
      </c>
    </row>
    <row r="30" spans="1:23" x14ac:dyDescent="0.25">
      <c r="C30" s="461">
        <f>SUM(C24:C29)</f>
        <v>48.957754010695183</v>
      </c>
      <c r="D30" s="461">
        <f>SUM(D24:D29)</f>
        <v>47.032575757575756</v>
      </c>
      <c r="E30" s="461">
        <f>SUM(E24:E29)</f>
        <v>42.101069518716578</v>
      </c>
      <c r="F30" s="461">
        <f>SUM(F24:F29)</f>
        <v>36.908600713012483</v>
      </c>
      <c r="G30" s="463">
        <f>SUM(G24:G29)</f>
        <v>175</v>
      </c>
      <c r="K30" s="461">
        <f>SUM(K24:K29)</f>
        <v>51</v>
      </c>
      <c r="L30" s="461">
        <f>SUM(L24:L29)</f>
        <v>44</v>
      </c>
      <c r="M30" s="461">
        <f>SUM(M24:M29)</f>
        <v>41</v>
      </c>
      <c r="N30" s="461">
        <f>SUM(N24:N29)</f>
        <v>39</v>
      </c>
      <c r="O30" s="463">
        <f>SUM(O24:O29)</f>
        <v>175</v>
      </c>
      <c r="S30" s="461">
        <f>SUM(S24:S29)</f>
        <v>51</v>
      </c>
      <c r="T30" s="461">
        <f>SUM(T24:T29)</f>
        <v>44</v>
      </c>
      <c r="U30" s="461">
        <f>SUM(U24:U29)</f>
        <v>40.999999999999993</v>
      </c>
      <c r="V30" s="461">
        <f>SUM(V24:V29)</f>
        <v>39</v>
      </c>
      <c r="W30" s="463">
        <f>SUM(W24:W29)</f>
        <v>175</v>
      </c>
    </row>
    <row r="32" spans="1:23" x14ac:dyDescent="0.25">
      <c r="A32" s="415">
        <v>1</v>
      </c>
      <c r="C32" s="445">
        <f>SUMIF(A24:A29,A32,C24:C29)</f>
        <v>10.488636363636363</v>
      </c>
      <c r="D32" s="446">
        <f>SUMIF(A24:A29,A32,D24:D29)</f>
        <v>13.34090909090909</v>
      </c>
      <c r="E32" s="446">
        <f>SUMIF(A24:A29,A32,E24:E29)</f>
        <v>14.511363636363637</v>
      </c>
      <c r="F32" s="447">
        <f>SUMIF(A24:A29,A32,F24:F29)</f>
        <v>11.659090909090908</v>
      </c>
      <c r="G32" s="462">
        <f>SUM(C32:F32)</f>
        <v>50</v>
      </c>
      <c r="I32" s="415">
        <v>1</v>
      </c>
      <c r="K32" s="445">
        <f>SUMIF(I24:I29,I32,K24:K29)</f>
        <v>12</v>
      </c>
      <c r="L32" s="446">
        <f>SUMIF(I24:I29,I32,L24:L29)</f>
        <v>14</v>
      </c>
      <c r="M32" s="446">
        <f>SUMIF(I24:I29,I32,M24:M29)</f>
        <v>12</v>
      </c>
      <c r="N32" s="447">
        <f>SUMIF(I24:I29,I32,N24:N29)</f>
        <v>12.000000000000002</v>
      </c>
      <c r="O32" s="462">
        <f>SUM(K32:N32)</f>
        <v>50</v>
      </c>
      <c r="Q32" s="415">
        <v>1</v>
      </c>
      <c r="S32" s="445">
        <f>SUMIF(Q24:Q29,Q32,S24:S29)</f>
        <v>12.001118447949178</v>
      </c>
      <c r="T32" s="446">
        <f>SUMIF(Q24:Q29,Q32,T24:T29)</f>
        <v>13.627918889875398</v>
      </c>
      <c r="U32" s="446">
        <f>SUMIF(Q24:Q29,Q32,U24:U29)</f>
        <v>12.17007383798644</v>
      </c>
      <c r="V32" s="447">
        <f>SUMIF(Q24:Q29,Q32,V24:V29)</f>
        <v>11.845349704760677</v>
      </c>
      <c r="W32" s="462">
        <f>SUM(S32:V32)</f>
        <v>49.6444608805717</v>
      </c>
    </row>
    <row r="33" spans="1:23" x14ac:dyDescent="0.25">
      <c r="A33" s="415">
        <v>2</v>
      </c>
      <c r="C33" s="448">
        <f>SUMIF(A24:A29,A33,C24:C29)</f>
        <v>13.227941176470589</v>
      </c>
      <c r="D33" s="367">
        <f>SUMIF(A24:A29,A33,D24:D29)</f>
        <v>19.174019607843135</v>
      </c>
      <c r="E33" s="367">
        <f>SUMIF(A24:A29,A33,E24:E29)</f>
        <v>11.860294117647058</v>
      </c>
      <c r="F33" s="364">
        <f>SUMIF(A24:A29,A33,F24:F29)</f>
        <v>4.7377450980392153</v>
      </c>
      <c r="G33" s="462">
        <f>SUM(C33:F33)</f>
        <v>48.999999999999993</v>
      </c>
      <c r="I33" s="415">
        <v>2</v>
      </c>
      <c r="K33" s="448">
        <f>SUMIF(I24:I29,I33,K24:K29)</f>
        <v>15</v>
      </c>
      <c r="L33" s="367">
        <f>SUMIF(I24:I29,I33,L24:L29)</f>
        <v>14</v>
      </c>
      <c r="M33" s="367">
        <f>SUMIF(I24:I29,I33,M24:M29)</f>
        <v>13</v>
      </c>
      <c r="N33" s="364">
        <f>SUMIF(I24:I29,I33,N24:N29)</f>
        <v>7</v>
      </c>
      <c r="O33" s="462">
        <f>SUM(K33:N33)</f>
        <v>49</v>
      </c>
      <c r="Q33" s="415">
        <v>2</v>
      </c>
      <c r="S33" s="448">
        <f>SUMIF(Q24:Q29,Q33,S24:S29)</f>
        <v>15.006581831459101</v>
      </c>
      <c r="T33" s="367">
        <f>SUMIF(Q24:Q29,Q33,T24:T29)</f>
        <v>15.270297523179689</v>
      </c>
      <c r="U33" s="367">
        <f>SUMIF(Q24:Q29,Q33,U24:U29)</f>
        <v>13.963053858113687</v>
      </c>
      <c r="V33" s="364">
        <f>SUMIF(Q24:Q29,Q33,V24:V29)</f>
        <v>7.0541054392366345</v>
      </c>
      <c r="W33" s="462">
        <f>SUM(S33:V33)</f>
        <v>51.294038651989112</v>
      </c>
    </row>
    <row r="34" spans="1:23" x14ac:dyDescent="0.25">
      <c r="A34" s="415">
        <v>3</v>
      </c>
      <c r="C34" s="449">
        <f>SUMIF(A24:A29,A34,C24:C29)</f>
        <v>25.241176470588236</v>
      </c>
      <c r="D34" s="450">
        <f>SUMIF(A24:A29,A34,D24:D29)</f>
        <v>14.517647058823529</v>
      </c>
      <c r="E34" s="450">
        <f>SUMIF(A24:A29,A34,E24:E29)</f>
        <v>15.729411764705882</v>
      </c>
      <c r="F34" s="451">
        <f>SUMIF(A24:A29,A34,F24:F29)</f>
        <v>20.511764705882353</v>
      </c>
      <c r="G34" s="462">
        <f>SUM(C34:F34)</f>
        <v>76</v>
      </c>
      <c r="I34" s="415">
        <v>3</v>
      </c>
      <c r="K34" s="449">
        <f>SUMIF(I24:I29,I34,K24:K29)</f>
        <v>24</v>
      </c>
      <c r="L34" s="450">
        <f>SUMIF(I24:I29,I34,L24:L29)</f>
        <v>16</v>
      </c>
      <c r="M34" s="450">
        <f>SUMIF(I24:I29,I34,M24:M29)</f>
        <v>16</v>
      </c>
      <c r="N34" s="451">
        <f>SUMIF(I24:I29,I34,N24:N29)</f>
        <v>20</v>
      </c>
      <c r="O34" s="462">
        <f>SUM(K34:N34)</f>
        <v>76</v>
      </c>
      <c r="Q34" s="415">
        <v>3</v>
      </c>
      <c r="S34" s="449">
        <f>SUMIF(Q24:Q29,Q34,S24:S29)</f>
        <v>23.992299720591724</v>
      </c>
      <c r="T34" s="450">
        <f>SUMIF(Q24:Q29,Q34,T24:T29)</f>
        <v>15.101783586944908</v>
      </c>
      <c r="U34" s="450">
        <f>SUMIF(Q24:Q29,Q34,U24:U29)</f>
        <v>14.86687230389987</v>
      </c>
      <c r="V34" s="451">
        <f>SUMIF(Q24:Q29,Q34,V24:V29)</f>
        <v>20.100544856002688</v>
      </c>
      <c r="W34" s="462">
        <f>SUM(S34:V34)</f>
        <v>74.061500467439188</v>
      </c>
    </row>
    <row r="36" spans="1:23" x14ac:dyDescent="0.25">
      <c r="B36" s="415">
        <v>1</v>
      </c>
      <c r="C36" s="445">
        <f>SUMIF(B24:B29,B36,C24:C29)</f>
        <v>26.038636363636364</v>
      </c>
      <c r="D36" s="446">
        <f>SUMIF(B24:B29,B36,D24:D29)</f>
        <v>22.782575757575756</v>
      </c>
      <c r="E36" s="446">
        <f>SUMIF(B24:B29,B36,E24:E29)</f>
        <v>24.461363636363636</v>
      </c>
      <c r="F36" s="447">
        <f>SUMIF(B24:B29,B36,F24:F29)</f>
        <v>16.717424242424244</v>
      </c>
      <c r="G36" s="462">
        <f>SUM(C36:F36)</f>
        <v>90</v>
      </c>
      <c r="J36" s="415">
        <v>1</v>
      </c>
      <c r="K36" s="445">
        <f>SUMIF(J24:J29,J36,K24:K29)</f>
        <v>27.979738099805303</v>
      </c>
      <c r="L36" s="446">
        <f>SUMIF(J24:J29,J36,L24:L29)</f>
        <v>19.896662261511054</v>
      </c>
      <c r="M36" s="446">
        <f>SUMIF(J24:J29,J36,M24:M29)</f>
        <v>23.71521745499696</v>
      </c>
      <c r="N36" s="447">
        <f>SUMIF(J24:J29,J36,N24:N29)</f>
        <v>17.390229685250439</v>
      </c>
      <c r="O36" s="462">
        <f>SUM(K36:N36)</f>
        <v>88.981847501563749</v>
      </c>
      <c r="R36" s="415">
        <v>1</v>
      </c>
      <c r="S36" s="445">
        <f>SUMIF(R24:R29,R36,S24:S29)</f>
        <v>28</v>
      </c>
      <c r="T36" s="446">
        <f>SUMIF(R24:R29,R36,T24:T29)</f>
        <v>23.999999999999996</v>
      </c>
      <c r="U36" s="446">
        <f>SUMIF(R24:R29,R36,U24:U29)</f>
        <v>21</v>
      </c>
      <c r="V36" s="447">
        <f>SUMIF(R24:R29,R36,V24:V29)</f>
        <v>17</v>
      </c>
      <c r="W36" s="462">
        <f>SUM(S36:V36)</f>
        <v>90</v>
      </c>
    </row>
    <row r="37" spans="1:23" x14ac:dyDescent="0.25">
      <c r="B37" s="415">
        <v>2</v>
      </c>
      <c r="C37" s="449">
        <f>SUMIF(B24:B29,B37,C24:C29)</f>
        <v>22.919117647058826</v>
      </c>
      <c r="D37" s="450">
        <f>SUMIF(B24:B29,B37,D24:D29)</f>
        <v>24.25</v>
      </c>
      <c r="E37" s="450">
        <f>SUMIF(B24:B29,B37,E24:E29)</f>
        <v>17.639705882352942</v>
      </c>
      <c r="F37" s="451">
        <f>SUMIF(B24:B29,B37,F24:F29)</f>
        <v>20.191176470588236</v>
      </c>
      <c r="G37" s="462">
        <f>SUM(C37:F37)</f>
        <v>85</v>
      </c>
      <c r="J37" s="415">
        <v>2</v>
      </c>
      <c r="K37" s="449">
        <f>SUMIF(J24:J29,J37,K24:K29)</f>
        <v>23.020261900194701</v>
      </c>
      <c r="L37" s="450">
        <f>SUMIF(J24:J29,J37,L24:L29)</f>
        <v>24.10333773848895</v>
      </c>
      <c r="M37" s="450">
        <f>SUMIF(J24:J29,J37,M24:M29)</f>
        <v>17.28478254500304</v>
      </c>
      <c r="N37" s="451">
        <f>SUMIF(J24:J29,J37,N24:N29)</f>
        <v>21.609770314749564</v>
      </c>
      <c r="O37" s="462">
        <f>SUM(K37:N37)</f>
        <v>86.018152498436251</v>
      </c>
      <c r="R37" s="415">
        <v>2</v>
      </c>
      <c r="S37" s="449">
        <f>SUMIF(R24:R29,R37,S24:S29)</f>
        <v>23</v>
      </c>
      <c r="T37" s="450">
        <f>SUMIF(R24:R29,R37,T24:T29)</f>
        <v>20</v>
      </c>
      <c r="U37" s="450">
        <f>SUMIF(R24:R29,R37,U24:U29)</f>
        <v>19.999999999999996</v>
      </c>
      <c r="V37" s="451">
        <f>SUMIF(R24:R29,R37,V24:V29)</f>
        <v>22</v>
      </c>
      <c r="W37" s="462">
        <f>SUM(S37:V37)</f>
        <v>85</v>
      </c>
    </row>
    <row r="39" spans="1:23" x14ac:dyDescent="0.25">
      <c r="A39" s="415" t="s">
        <v>37</v>
      </c>
      <c r="B39" s="415" t="s">
        <v>911</v>
      </c>
      <c r="C39">
        <v>1</v>
      </c>
      <c r="D39">
        <f>C39+1</f>
        <v>2</v>
      </c>
      <c r="E39">
        <f>D39+1</f>
        <v>3</v>
      </c>
      <c r="F39">
        <f>E39+1</f>
        <v>4</v>
      </c>
      <c r="I39" s="415" t="s">
        <v>37</v>
      </c>
      <c r="J39" s="415" t="s">
        <v>911</v>
      </c>
      <c r="K39">
        <v>1</v>
      </c>
      <c r="L39">
        <f>K39+1</f>
        <v>2</v>
      </c>
      <c r="M39">
        <f>L39+1</f>
        <v>3</v>
      </c>
      <c r="N39">
        <f>M39+1</f>
        <v>4</v>
      </c>
      <c r="Q39" s="415" t="s">
        <v>37</v>
      </c>
      <c r="R39" s="415" t="s">
        <v>911</v>
      </c>
      <c r="S39">
        <v>1</v>
      </c>
      <c r="T39">
        <f>S39+1</f>
        <v>2</v>
      </c>
      <c r="U39">
        <f>T39+1</f>
        <v>3</v>
      </c>
      <c r="V39">
        <f>U39+1</f>
        <v>4</v>
      </c>
    </row>
    <row r="40" spans="1:23" x14ac:dyDescent="0.25">
      <c r="A40" s="415">
        <v>1</v>
      </c>
      <c r="B40" s="415">
        <v>1</v>
      </c>
      <c r="C40" s="452">
        <f>S24*$G$6/$W24</f>
        <v>7.2122855661131888</v>
      </c>
      <c r="D40" s="453">
        <f>T24*$G$6/$W24</f>
        <v>6.3791075182069781</v>
      </c>
      <c r="E40" s="453">
        <f>U24*$G$6/$W24</f>
        <v>5.5353203601530092</v>
      </c>
      <c r="F40" s="454">
        <f>V24*$G$6/$W24</f>
        <v>8.8732865555268248</v>
      </c>
      <c r="G40" s="367">
        <f t="shared" ref="G40:G45" si="5">SUM(C40:F40)</f>
        <v>28</v>
      </c>
      <c r="I40" s="415">
        <v>1</v>
      </c>
      <c r="J40" s="415">
        <v>1</v>
      </c>
      <c r="K40" s="452">
        <f>C40*$C$14/C48</f>
        <v>7.1709988853993032</v>
      </c>
      <c r="L40" s="453">
        <f>D40*$D$14/D48</f>
        <v>6.4816555924291448</v>
      </c>
      <c r="M40" s="453">
        <f>E40*$E$14/E48</f>
        <v>5.3954479715885748</v>
      </c>
      <c r="N40" s="454">
        <f>F40*F32/F48</f>
        <v>8.7367342473175622</v>
      </c>
      <c r="O40" s="367">
        <f t="shared" ref="O40:O45" si="6">SUM(K40:N40)</f>
        <v>27.784836696734587</v>
      </c>
      <c r="Q40" s="415">
        <v>1</v>
      </c>
      <c r="R40" s="415">
        <v>1</v>
      </c>
      <c r="S40" s="452">
        <f>K40*$C$18/K52</f>
        <v>7.1740693667716027</v>
      </c>
      <c r="T40" s="453">
        <f>L40*$D$18/L52</f>
        <v>6.6010535437648361</v>
      </c>
      <c r="U40" s="453">
        <f>M40*$E$18/M52</f>
        <v>5.2353125708419261</v>
      </c>
      <c r="V40" s="454">
        <f>N40*$F$18/N52</f>
        <v>8.8502550578894468</v>
      </c>
      <c r="W40" s="367">
        <f t="shared" ref="W40:W45" si="7">SUM(S40:V40)</f>
        <v>27.860690539267814</v>
      </c>
    </row>
    <row r="41" spans="1:23" x14ac:dyDescent="0.25">
      <c r="A41" s="415">
        <v>1</v>
      </c>
      <c r="B41" s="415">
        <v>2</v>
      </c>
      <c r="C41" s="455">
        <f>S25*$G$7/$W25</f>
        <v>4.8568038559442295</v>
      </c>
      <c r="D41" s="456">
        <f>T25*$G$7/$W25</f>
        <v>7.3993945915337394</v>
      </c>
      <c r="E41" s="456">
        <f>U25*$G$7/$W25</f>
        <v>6.7757694087803069</v>
      </c>
      <c r="F41" s="457">
        <f>V25*$G$7/$W25</f>
        <v>2.9680321437417243</v>
      </c>
      <c r="G41" s="367">
        <f t="shared" si="5"/>
        <v>22</v>
      </c>
      <c r="I41" s="415">
        <v>1</v>
      </c>
      <c r="J41" s="415">
        <v>2</v>
      </c>
      <c r="K41" s="455">
        <f>C41*$C$14/C48</f>
        <v>4.8290011146006968</v>
      </c>
      <c r="L41" s="456">
        <f>D41*$D$14/D48</f>
        <v>7.5183444075708543</v>
      </c>
      <c r="M41" s="456">
        <f>E41*$E$14/E48</f>
        <v>6.6045520284114261</v>
      </c>
      <c r="N41" s="457">
        <f>F41*$F$14/F48</f>
        <v>3.0078056869713978</v>
      </c>
      <c r="O41" s="367">
        <f t="shared" si="6"/>
        <v>21.959703237554375</v>
      </c>
      <c r="Q41" s="415">
        <v>1</v>
      </c>
      <c r="R41" s="415">
        <v>2</v>
      </c>
      <c r="S41" s="455">
        <f>K41*$C$19/K53</f>
        <v>4.8264863220195044</v>
      </c>
      <c r="T41" s="456">
        <f>L41*$D$19/L53</f>
        <v>7.3586236153966356</v>
      </c>
      <c r="U41" s="456">
        <f>M41*$E$19/M53</f>
        <v>6.8237086044563418</v>
      </c>
      <c r="V41" s="457">
        <f>N41*$F$19/N53</f>
        <v>3.012928182027415</v>
      </c>
      <c r="W41" s="367">
        <f t="shared" si="7"/>
        <v>22.021746723899899</v>
      </c>
    </row>
    <row r="42" spans="1:23" x14ac:dyDescent="0.25">
      <c r="A42" s="415">
        <v>2</v>
      </c>
      <c r="B42" s="415">
        <v>1</v>
      </c>
      <c r="C42" s="455">
        <f>S26*$G$8/$W26</f>
        <v>12.209881366979996</v>
      </c>
      <c r="D42" s="456">
        <f>T26*$G$8/$W26</f>
        <v>11.582281389472202</v>
      </c>
      <c r="E42" s="456">
        <f>U26*$G$8/$W26</f>
        <v>3.481103019581067</v>
      </c>
      <c r="F42" s="457">
        <f>V26*$G$8/$W26</f>
        <v>1.7267342239667374</v>
      </c>
      <c r="G42" s="367">
        <f t="shared" si="5"/>
        <v>29.000000000000004</v>
      </c>
      <c r="I42" s="415">
        <v>2</v>
      </c>
      <c r="J42" s="415">
        <v>1</v>
      </c>
      <c r="K42" s="455">
        <f>C42*$C$15/C49</f>
        <v>12.514231113513453</v>
      </c>
      <c r="L42" s="456">
        <f>D42*$D$15/D49</f>
        <v>10.938012402353761</v>
      </c>
      <c r="M42" s="456">
        <f>E42*$E$15/E49</f>
        <v>3.4855252884383887</v>
      </c>
      <c r="N42" s="457">
        <f>F42*$F$15/F49</f>
        <v>1.8434868605587875</v>
      </c>
      <c r="O42" s="367">
        <f t="shared" si="6"/>
        <v>28.781255664864393</v>
      </c>
      <c r="Q42" s="415">
        <v>2</v>
      </c>
      <c r="R42" s="415">
        <v>1</v>
      </c>
      <c r="S42" s="455">
        <f>K42*$C$18/K52</f>
        <v>12.519589462348359</v>
      </c>
      <c r="T42" s="456">
        <f>L42*$D$18/L52</f>
        <v>11.139500471860394</v>
      </c>
      <c r="U42" s="456">
        <f>M42*$E$18/M52</f>
        <v>3.3820758636981623</v>
      </c>
      <c r="V42" s="457">
        <f>N42*$F$18/N52</f>
        <v>1.8674402185029764</v>
      </c>
      <c r="W42" s="367">
        <f t="shared" si="7"/>
        <v>28.908606016409891</v>
      </c>
    </row>
    <row r="43" spans="1:23" x14ac:dyDescent="0.25">
      <c r="A43" s="415">
        <v>2</v>
      </c>
      <c r="B43" s="415">
        <v>2</v>
      </c>
      <c r="C43" s="455">
        <f>S27*$G$9/$W27</f>
        <v>2.4253142629718849</v>
      </c>
      <c r="D43" s="456">
        <f>T27*$G$9/$W27</f>
        <v>3.2423442817984935</v>
      </c>
      <c r="E43" s="456">
        <f>U27*$G$9/$W27</f>
        <v>9.5024031981658315</v>
      </c>
      <c r="F43" s="457">
        <f>V27*$G$9/$W27</f>
        <v>4.8299382570637892</v>
      </c>
      <c r="G43" s="367">
        <f t="shared" si="5"/>
        <v>20</v>
      </c>
      <c r="I43" s="415">
        <v>2</v>
      </c>
      <c r="J43" s="415">
        <v>2</v>
      </c>
      <c r="K43" s="455">
        <f>C43*$C$15/C49</f>
        <v>2.4857688864865475</v>
      </c>
      <c r="L43" s="456">
        <f>D43*$D$15/D49</f>
        <v>3.0619875976462381</v>
      </c>
      <c r="M43" s="456">
        <f>E43*$E$15/E49</f>
        <v>9.5144747115616113</v>
      </c>
      <c r="N43" s="457">
        <f>F43*$F$15/F49</f>
        <v>5.1565131394412127</v>
      </c>
      <c r="O43" s="367">
        <f t="shared" si="6"/>
        <v>20.218744335135611</v>
      </c>
      <c r="Q43" s="415">
        <v>2</v>
      </c>
      <c r="R43" s="415">
        <v>2</v>
      </c>
      <c r="S43" s="455">
        <f>K43*$C$19/K53</f>
        <v>2.4844743758815708</v>
      </c>
      <c r="T43" s="456">
        <f>L43*$D$19/L53</f>
        <v>2.9969382918135326</v>
      </c>
      <c r="U43" s="456">
        <f>M43*$E$19/M53</f>
        <v>9.8301902501298368</v>
      </c>
      <c r="V43" s="457">
        <f>N43*$F$19/N53</f>
        <v>5.1652950275723137</v>
      </c>
      <c r="W43" s="367">
        <f t="shared" si="7"/>
        <v>20.476897945397255</v>
      </c>
    </row>
    <row r="44" spans="1:23" x14ac:dyDescent="0.25">
      <c r="A44" s="415">
        <v>3</v>
      </c>
      <c r="B44" s="415">
        <v>1</v>
      </c>
      <c r="C44" s="455">
        <f>S28*$G$10/$W28</f>
        <v>8.5275100880498353</v>
      </c>
      <c r="D44" s="456">
        <f>T28*$G$10/$W28</f>
        <v>5.9570462738866619</v>
      </c>
      <c r="E44" s="456">
        <f>U28*$G$10/$W28</f>
        <v>12.108689717468256</v>
      </c>
      <c r="F44" s="457">
        <f>V28*$G$10/$W28</f>
        <v>6.4067539205952491</v>
      </c>
      <c r="G44" s="367">
        <f t="shared" si="5"/>
        <v>33</v>
      </c>
      <c r="I44" s="415">
        <v>3</v>
      </c>
      <c r="J44" s="415">
        <v>1</v>
      </c>
      <c r="K44" s="455">
        <f>C44*$C$16/C50</f>
        <v>8.3027860803821287</v>
      </c>
      <c r="L44" s="456">
        <f>D44*$D$16/D50</f>
        <v>6.1462269319802161</v>
      </c>
      <c r="M44" s="456">
        <f>E44*$E$16/E50</f>
        <v>12.761365353031021</v>
      </c>
      <c r="N44" s="457">
        <f>F44*$F$16/F50</f>
        <v>6.2017226025479397</v>
      </c>
      <c r="O44" s="367">
        <f t="shared" si="6"/>
        <v>33.412100967941306</v>
      </c>
      <c r="Q44" s="415">
        <v>3</v>
      </c>
      <c r="R44" s="415">
        <v>1</v>
      </c>
      <c r="S44" s="455">
        <f>K44*$C$18/K52</f>
        <v>8.306341170880037</v>
      </c>
      <c r="T44" s="456">
        <f>L44*$D$18/L52</f>
        <v>6.2594459843747696</v>
      </c>
      <c r="U44" s="456">
        <f>M44*$E$18/M52</f>
        <v>12.382611565459912</v>
      </c>
      <c r="V44" s="457">
        <f>N44*$F$18/N52</f>
        <v>6.2823047236075764</v>
      </c>
      <c r="W44" s="367">
        <f t="shared" si="7"/>
        <v>33.230703444322295</v>
      </c>
    </row>
    <row r="45" spans="1:23" x14ac:dyDescent="0.25">
      <c r="A45" s="415">
        <v>3</v>
      </c>
      <c r="B45" s="415">
        <v>2</v>
      </c>
      <c r="C45" s="458">
        <f>S29*$G$11/$W29</f>
        <v>16.122076223317197</v>
      </c>
      <c r="D45" s="459">
        <f>T29*$G$11/$W29</f>
        <v>9.5504742646493828</v>
      </c>
      <c r="E45" s="459">
        <f>U29*$G$11/$W29</f>
        <v>3.0729957934379954</v>
      </c>
      <c r="F45" s="460">
        <f>V29*$G$11/$W29</f>
        <v>14.254453718595427</v>
      </c>
      <c r="G45" s="367">
        <f t="shared" si="5"/>
        <v>43.000000000000007</v>
      </c>
      <c r="I45" s="415">
        <v>3</v>
      </c>
      <c r="J45" s="415">
        <v>2</v>
      </c>
      <c r="K45" s="458">
        <f>C45*$C$16/C50</f>
        <v>15.697213919617875</v>
      </c>
      <c r="L45" s="459">
        <f>D45*$D$16/D50</f>
        <v>9.8537730680197821</v>
      </c>
      <c r="M45" s="459">
        <f>E45*$E$16/E50</f>
        <v>3.2386346469689791</v>
      </c>
      <c r="N45" s="460">
        <f>F45*$F$16/F50</f>
        <v>13.798277397452059</v>
      </c>
      <c r="O45" s="367">
        <f t="shared" si="6"/>
        <v>42.587899032058694</v>
      </c>
      <c r="Q45" s="415">
        <v>3</v>
      </c>
      <c r="R45" s="415">
        <v>2</v>
      </c>
      <c r="S45" s="458">
        <f>K45*$C$19/K53</f>
        <v>15.689039302098925</v>
      </c>
      <c r="T45" s="459">
        <f>L45*$D$19/L53</f>
        <v>9.6444380927898301</v>
      </c>
      <c r="U45" s="459">
        <f>M45*$E$19/M53</f>
        <v>3.3461011454138214</v>
      </c>
      <c r="V45" s="460">
        <f>N45*$F$19/N53</f>
        <v>13.82177679040027</v>
      </c>
      <c r="W45" s="367">
        <f t="shared" si="7"/>
        <v>42.501355330702843</v>
      </c>
    </row>
    <row r="46" spans="1:23" x14ac:dyDescent="0.25">
      <c r="C46" s="461">
        <f>SUM(C40:C45)</f>
        <v>51.353871363376328</v>
      </c>
      <c r="D46" s="461">
        <f>SUM(D40:D45)</f>
        <v>44.110648319547458</v>
      </c>
      <c r="E46" s="461">
        <f>SUM(E40:E45)</f>
        <v>40.47628149758647</v>
      </c>
      <c r="F46" s="461">
        <f>SUM(F40:F45)</f>
        <v>39.059198819489751</v>
      </c>
      <c r="G46" s="463">
        <f>SUM(G40:G45)</f>
        <v>175</v>
      </c>
      <c r="K46" s="461">
        <f>SUM(K40:K45)</f>
        <v>51</v>
      </c>
      <c r="L46" s="461">
        <f>SUM(L40:L45)</f>
        <v>44</v>
      </c>
      <c r="M46" s="461">
        <f>SUM(M40:M45)</f>
        <v>41</v>
      </c>
      <c r="N46" s="461">
        <f>SUM(N40:N45)</f>
        <v>38.744539934288959</v>
      </c>
      <c r="O46" s="463">
        <f>SUM(O40:O45)</f>
        <v>174.74453993428895</v>
      </c>
      <c r="S46" s="461">
        <f>SUM(S40:S45)</f>
        <v>51</v>
      </c>
      <c r="T46" s="461">
        <f>SUM(T40:T45)</f>
        <v>44</v>
      </c>
      <c r="U46" s="461">
        <f>SUM(U40:U45)</f>
        <v>41</v>
      </c>
      <c r="V46" s="461">
        <f>SUM(V40:V45)</f>
        <v>39</v>
      </c>
      <c r="W46" s="463">
        <f>SUM(W40:W45)</f>
        <v>175</v>
      </c>
    </row>
    <row r="48" spans="1:23" x14ac:dyDescent="0.25">
      <c r="A48" s="415">
        <v>1</v>
      </c>
      <c r="C48" s="445">
        <f>SUMIF(A40:A45,A48,C40:C45)</f>
        <v>12.069089422057418</v>
      </c>
      <c r="D48" s="446">
        <f>SUMIF(A40:A45,A48,D40:D45)</f>
        <v>13.778502109740717</v>
      </c>
      <c r="E48" s="446">
        <f>SUMIF(A40:A45,A48,E40:E45)</f>
        <v>12.311089768933316</v>
      </c>
      <c r="F48" s="447">
        <f>SUMIF(A40:A45,A48,F40:F45)</f>
        <v>11.841318699268548</v>
      </c>
      <c r="G48" s="462">
        <f>SUM(C48:F48)</f>
        <v>50</v>
      </c>
      <c r="I48" s="415">
        <v>1</v>
      </c>
      <c r="K48" s="445">
        <f>SUMIF(I40:I45,I48,K40:K45)</f>
        <v>12</v>
      </c>
      <c r="L48" s="446">
        <f>SUMIF(I40:I45,I48,L40:L45)</f>
        <v>14</v>
      </c>
      <c r="M48" s="446">
        <f>SUMIF(I40:I45,I48,M40:M45)</f>
        <v>12</v>
      </c>
      <c r="N48" s="447">
        <f>SUMIF(I40:I45,I48,N40:N45)</f>
        <v>11.74453993428896</v>
      </c>
      <c r="O48" s="462">
        <f>SUM(K48:N48)</f>
        <v>49.744539934288959</v>
      </c>
      <c r="Q48" s="415">
        <v>1</v>
      </c>
      <c r="S48" s="445">
        <f>SUMIF(Q40:Q45,Q48,S40:S45)</f>
        <v>12.000555688791106</v>
      </c>
      <c r="T48" s="446">
        <f>SUMIF(Q40:Q45,Q48,T40:T45)</f>
        <v>13.959677159161473</v>
      </c>
      <c r="U48" s="446">
        <f>SUMIF(Q40:Q45,Q48,U40:U45)</f>
        <v>12.059021175298268</v>
      </c>
      <c r="V48" s="447">
        <f>SUMIF(Q40:Q45,Q48,V40:V45)</f>
        <v>11.863183239916861</v>
      </c>
      <c r="W48" s="462">
        <f>SUM(S48:V48)</f>
        <v>49.882437263167702</v>
      </c>
    </row>
    <row r="49" spans="1:23" x14ac:dyDescent="0.25">
      <c r="A49" s="415">
        <v>2</v>
      </c>
      <c r="C49" s="448">
        <f>SUMIF(A40:A45,A49,C40:C45)</f>
        <v>14.63519562995188</v>
      </c>
      <c r="D49" s="367">
        <f>SUMIF(A40:A45,A49,D40:D45)</f>
        <v>14.824625671270695</v>
      </c>
      <c r="E49" s="367">
        <f>SUMIF(A40:A45,A49,E40:E45)</f>
        <v>12.983506217746898</v>
      </c>
      <c r="F49" s="364">
        <f>SUMIF(A40:A45,A49,F40:F45)</f>
        <v>6.5566724810305264</v>
      </c>
      <c r="G49" s="462">
        <f>SUM(C49:F49)</f>
        <v>49</v>
      </c>
      <c r="I49" s="415">
        <v>2</v>
      </c>
      <c r="K49" s="448">
        <f>SUMIF(I40:I45,I49,K40:K45)</f>
        <v>15</v>
      </c>
      <c r="L49" s="367">
        <f>SUMIF(I40:I45,I49,L40:L45)</f>
        <v>14</v>
      </c>
      <c r="M49" s="367">
        <f>SUMIF(I40:I45,I49,M40:M45)</f>
        <v>13</v>
      </c>
      <c r="N49" s="364">
        <f>SUMIF(I40:I45,I49,N40:N45)</f>
        <v>7</v>
      </c>
      <c r="O49" s="462">
        <f>SUM(K49:N49)</f>
        <v>49</v>
      </c>
      <c r="Q49" s="415">
        <v>2</v>
      </c>
      <c r="S49" s="448">
        <f>SUMIF(Q40:Q45,Q49,S40:S45)</f>
        <v>15.004063838229929</v>
      </c>
      <c r="T49" s="367">
        <f>SUMIF(Q40:Q45,Q49,T40:T45)</f>
        <v>14.136438763673926</v>
      </c>
      <c r="U49" s="367">
        <f>SUMIF(Q40:Q45,Q49,U40:U45)</f>
        <v>13.212266113827999</v>
      </c>
      <c r="V49" s="364">
        <f>SUMIF(Q40:Q45,Q49,V40:V45)</f>
        <v>7.0327352460752905</v>
      </c>
      <c r="W49" s="462">
        <f>SUM(S49:V49)</f>
        <v>49.385503961807146</v>
      </c>
    </row>
    <row r="50" spans="1:23" x14ac:dyDescent="0.25">
      <c r="A50" s="415">
        <v>3</v>
      </c>
      <c r="C50" s="449">
        <f>SUMIF(A40:A45,A50,C40:C45)</f>
        <v>24.649586311367031</v>
      </c>
      <c r="D50" s="450">
        <f>SUMIF(A40:A45,A50,D40:D45)</f>
        <v>15.507520538536046</v>
      </c>
      <c r="E50" s="450">
        <f>SUMIF(A40:A45,A50,E40:E45)</f>
        <v>15.181685510906251</v>
      </c>
      <c r="F50" s="451">
        <f>SUMIF(A40:A45,A50,F40:F45)</f>
        <v>20.661207639190675</v>
      </c>
      <c r="G50" s="462">
        <f>SUM(C50:F50)</f>
        <v>76</v>
      </c>
      <c r="I50" s="415">
        <v>3</v>
      </c>
      <c r="K50" s="449">
        <f>SUMIF(I40:I45,I50,K40:K45)</f>
        <v>24.000000000000004</v>
      </c>
      <c r="L50" s="450">
        <f>SUMIF(I40:I45,I50,L40:L45)</f>
        <v>15.999999999999998</v>
      </c>
      <c r="M50" s="450">
        <f>SUMIF(I40:I45,I50,M40:M45)</f>
        <v>16</v>
      </c>
      <c r="N50" s="451">
        <f>SUMIF(I40:I45,I50,N40:N45)</f>
        <v>20</v>
      </c>
      <c r="O50" s="462">
        <f>SUM(K50:N50)</f>
        <v>76</v>
      </c>
      <c r="Q50" s="415">
        <v>3</v>
      </c>
      <c r="S50" s="449">
        <f>SUMIF(Q40:Q45,Q50,S40:S45)</f>
        <v>23.995380472978962</v>
      </c>
      <c r="T50" s="450">
        <f>SUMIF(Q40:Q45,Q50,T40:T45)</f>
        <v>15.9038840771646</v>
      </c>
      <c r="U50" s="450">
        <f>SUMIF(Q40:Q45,Q50,U40:U45)</f>
        <v>15.728712710873733</v>
      </c>
      <c r="V50" s="451">
        <f>SUMIF(Q40:Q45,Q50,V40:V45)</f>
        <v>20.104081514007845</v>
      </c>
      <c r="W50" s="462">
        <f>SUM(S50:V50)</f>
        <v>75.732058775025138</v>
      </c>
    </row>
    <row r="52" spans="1:23" x14ac:dyDescent="0.25">
      <c r="B52" s="415">
        <v>1</v>
      </c>
      <c r="C52" s="445">
        <f>SUMIF(B40:B45,B52,C40:C45)</f>
        <v>27.949677021143017</v>
      </c>
      <c r="D52" s="446">
        <f>SUMIF(B40:B45,B52,D40:D45)</f>
        <v>23.91843518156584</v>
      </c>
      <c r="E52" s="446">
        <f>SUMIF(B40:B45,B52,E40:E45)</f>
        <v>21.12511309720233</v>
      </c>
      <c r="F52" s="447">
        <f>SUMIF(B40:B45,B52,F40:F45)</f>
        <v>17.006774700088812</v>
      </c>
      <c r="G52" s="462">
        <f>SUM(C52:F52)</f>
        <v>90</v>
      </c>
      <c r="J52" s="415">
        <v>1</v>
      </c>
      <c r="K52" s="445">
        <f>SUMIF(J40:J45,J52,K40:K45)</f>
        <v>27.988016079294887</v>
      </c>
      <c r="L52" s="446">
        <f>SUMIF(J40:J45,J52,L40:L45)</f>
        <v>23.565894926763121</v>
      </c>
      <c r="M52" s="446">
        <f>SUMIF(J40:J45,J52,M40:M45)</f>
        <v>21.642338613057984</v>
      </c>
      <c r="N52" s="447">
        <f>SUMIF(J40:J45,J52,N40:N45)</f>
        <v>16.78194371042429</v>
      </c>
      <c r="O52" s="462">
        <f>SUM(K52:N52)</f>
        <v>89.978193329540275</v>
      </c>
      <c r="R52" s="415">
        <v>1</v>
      </c>
      <c r="S52" s="445">
        <f>SUMIF(R40:R45,R52,S40:S45)</f>
        <v>28</v>
      </c>
      <c r="T52" s="446">
        <f>SUMIF(R40:R45,R52,T40:T45)</f>
        <v>24</v>
      </c>
      <c r="U52" s="446">
        <f>SUMIF(R40:R45,R52,U40:U45)</f>
        <v>21</v>
      </c>
      <c r="V52" s="447">
        <f>SUMIF(R40:R45,R52,V40:V45)</f>
        <v>17</v>
      </c>
      <c r="W52" s="462">
        <f>SUM(S52:V52)</f>
        <v>90</v>
      </c>
    </row>
    <row r="53" spans="1:23" x14ac:dyDescent="0.25">
      <c r="B53" s="415">
        <v>2</v>
      </c>
      <c r="C53" s="449">
        <f>SUMIF(B40:B45,B53,C40:C45)</f>
        <v>23.404194342233311</v>
      </c>
      <c r="D53" s="450">
        <f>SUMIF(B40:B45,B53,D40:D45)</f>
        <v>20.192213137981618</v>
      </c>
      <c r="E53" s="450">
        <f>SUMIF(B40:B45,B53,E40:E45)</f>
        <v>19.351168400384136</v>
      </c>
      <c r="F53" s="451">
        <f>SUMIF(B40:B45,B53,F40:F45)</f>
        <v>22.052424119400939</v>
      </c>
      <c r="G53" s="462">
        <f>SUM(C53:F53)</f>
        <v>85</v>
      </c>
      <c r="J53" s="415">
        <v>2</v>
      </c>
      <c r="K53" s="449">
        <f>SUMIF(J40:J45,J53,K40:K45)</f>
        <v>23.01198392070512</v>
      </c>
      <c r="L53" s="450">
        <f>SUMIF(J40:J45,J53,L40:L45)</f>
        <v>20.434105073236875</v>
      </c>
      <c r="M53" s="450">
        <f>SUMIF(J40:J45,J53,M40:M45)</f>
        <v>19.357661386942016</v>
      </c>
      <c r="N53" s="451">
        <f>SUMIF(J40:J45,J53,N40:N45)</f>
        <v>21.962596223864672</v>
      </c>
      <c r="O53" s="462">
        <f>SUM(K53:N53)</f>
        <v>84.766346604748691</v>
      </c>
      <c r="R53" s="415">
        <v>2</v>
      </c>
      <c r="S53" s="449">
        <f>SUMIF(R40:R45,R53,S40:S45)</f>
        <v>23</v>
      </c>
      <c r="T53" s="450">
        <f>SUMIF(R40:R45,R53,T40:T45)</f>
        <v>20</v>
      </c>
      <c r="U53" s="450">
        <f>SUMIF(R40:R45,R53,U40:U45)</f>
        <v>20</v>
      </c>
      <c r="V53" s="451">
        <f>SUMIF(R40:R45,R53,V40:V45)</f>
        <v>22</v>
      </c>
      <c r="W53" s="462">
        <f>SUM(S53:V53)</f>
        <v>85</v>
      </c>
    </row>
    <row r="55" spans="1:23" x14ac:dyDescent="0.25">
      <c r="A55" s="415" t="s">
        <v>37</v>
      </c>
      <c r="B55" s="415" t="s">
        <v>911</v>
      </c>
      <c r="C55">
        <v>1</v>
      </c>
      <c r="D55">
        <f>C55+1</f>
        <v>2</v>
      </c>
      <c r="E55">
        <f>D55+1</f>
        <v>3</v>
      </c>
      <c r="F55">
        <f>E55+1</f>
        <v>4</v>
      </c>
      <c r="I55" s="415" t="s">
        <v>37</v>
      </c>
      <c r="J55" s="415" t="s">
        <v>911</v>
      </c>
      <c r="K55">
        <v>1</v>
      </c>
      <c r="L55">
        <f>K55+1</f>
        <v>2</v>
      </c>
      <c r="M55">
        <f>L55+1</f>
        <v>3</v>
      </c>
      <c r="N55">
        <f>M55+1</f>
        <v>4</v>
      </c>
      <c r="Q55" s="415" t="s">
        <v>37</v>
      </c>
      <c r="R55" s="415" t="s">
        <v>911</v>
      </c>
      <c r="S55">
        <v>1</v>
      </c>
      <c r="T55">
        <f>S55+1</f>
        <v>2</v>
      </c>
      <c r="U55">
        <f>T55+1</f>
        <v>3</v>
      </c>
      <c r="V55">
        <f>U55+1</f>
        <v>4</v>
      </c>
    </row>
    <row r="56" spans="1:23" x14ac:dyDescent="0.25">
      <c r="A56" s="415">
        <v>1</v>
      </c>
      <c r="B56" s="415">
        <v>1</v>
      </c>
      <c r="C56" s="452">
        <f>S40*$G$6/$W40</f>
        <v>7.2099412606620872</v>
      </c>
      <c r="D56" s="453">
        <f>T40*$G$6/$W40</f>
        <v>6.634060234971936</v>
      </c>
      <c r="E56" s="453">
        <f>U40*$G$6/$W40</f>
        <v>5.261490262668354</v>
      </c>
      <c r="F56" s="454">
        <f>V40*$G$6/$W40</f>
        <v>8.8945082416976202</v>
      </c>
      <c r="G56" s="367">
        <f t="shared" ref="G56:G61" si="8">SUM(C56:F56)</f>
        <v>28</v>
      </c>
      <c r="I56" s="415">
        <v>1</v>
      </c>
      <c r="J56" s="415">
        <v>1</v>
      </c>
      <c r="K56" s="452">
        <f>C56*$C$14/C64</f>
        <v>7.1909682667004127</v>
      </c>
      <c r="L56" s="453">
        <f>D56*$D$14/D64</f>
        <v>6.6409777020291383</v>
      </c>
      <c r="M56" s="453">
        <f>E56*$E$14/E64</f>
        <v>5.2273121886039489</v>
      </c>
      <c r="N56" s="454">
        <f>F56*F48/F64</f>
        <v>8.8473309017780668</v>
      </c>
      <c r="O56" s="367">
        <f t="shared" ref="O56:O61" si="9">SUM(K56:N56)</f>
        <v>27.906589059111568</v>
      </c>
      <c r="Q56" s="415">
        <v>1</v>
      </c>
      <c r="R56" s="415">
        <v>1</v>
      </c>
      <c r="S56" s="452">
        <f>K56*$C$18/K68</f>
        <v>7.1989171372322742</v>
      </c>
      <c r="T56" s="453">
        <f>L56*$D$18/L68</f>
        <v>6.6517173283429498</v>
      </c>
      <c r="U56" s="453">
        <f>M56*$E$18/M68</f>
        <v>5.18591477013823</v>
      </c>
      <c r="V56" s="454">
        <f>N56*$F$18/N68</f>
        <v>8.8929491613329521</v>
      </c>
      <c r="W56" s="367">
        <f t="shared" ref="W56:W61" si="10">SUM(S56:V56)</f>
        <v>27.929498397046409</v>
      </c>
    </row>
    <row r="57" spans="1:23" x14ac:dyDescent="0.25">
      <c r="A57" s="415">
        <v>1</v>
      </c>
      <c r="B57" s="415">
        <v>2</v>
      </c>
      <c r="C57" s="455">
        <f>S41*$G$7/$W41</f>
        <v>4.8217201122012039</v>
      </c>
      <c r="D57" s="456">
        <f>T41*$G$7/$W41</f>
        <v>7.3513568913690799</v>
      </c>
      <c r="E57" s="456">
        <f>U41*$G$7/$W41</f>
        <v>6.8169701150506201</v>
      </c>
      <c r="F57" s="457">
        <f>V41*$G$7/$W41</f>
        <v>3.0099528813790943</v>
      </c>
      <c r="G57" s="367">
        <f t="shared" si="8"/>
        <v>22</v>
      </c>
      <c r="I57" s="415">
        <v>1</v>
      </c>
      <c r="J57" s="415">
        <v>2</v>
      </c>
      <c r="K57" s="455">
        <f>C57*$C$14/C64</f>
        <v>4.8090317332995882</v>
      </c>
      <c r="L57" s="456">
        <f>D57*$D$14/D64</f>
        <v>7.3590222979708626</v>
      </c>
      <c r="M57" s="456">
        <f>E57*$E$14/E64</f>
        <v>6.7726878113960511</v>
      </c>
      <c r="N57" s="457">
        <f>F57*$F$14/F64</f>
        <v>3.0341091632053687</v>
      </c>
      <c r="O57" s="367">
        <f t="shared" si="9"/>
        <v>21.974851005871869</v>
      </c>
      <c r="Q57" s="415">
        <v>1</v>
      </c>
      <c r="R57" s="415">
        <v>2</v>
      </c>
      <c r="S57" s="455">
        <f>K57*$C$19/K69</f>
        <v>4.8025760429035698</v>
      </c>
      <c r="T57" s="456">
        <f>L57*$D$19/L69</f>
        <v>7.3447919300605262</v>
      </c>
      <c r="U57" s="456">
        <f>M57*$E$19/M69</f>
        <v>6.829934945594581</v>
      </c>
      <c r="V57" s="457">
        <f>N57*$F$19/N69</f>
        <v>3.0384396091014572</v>
      </c>
      <c r="W57" s="367">
        <f t="shared" si="10"/>
        <v>22.015742527660134</v>
      </c>
    </row>
    <row r="58" spans="1:23" x14ac:dyDescent="0.25">
      <c r="A58" s="415">
        <v>2</v>
      </c>
      <c r="B58" s="415">
        <v>1</v>
      </c>
      <c r="C58" s="455">
        <f>S42*$G$8/$W42</f>
        <v>12.559169895705375</v>
      </c>
      <c r="D58" s="456">
        <f>T42*$G$8/$W42</f>
        <v>11.174717781292378</v>
      </c>
      <c r="E58" s="456">
        <f>U42*$G$8/$W42</f>
        <v>3.3927682293491341</v>
      </c>
      <c r="F58" s="457">
        <f>V42*$G$8/$W42</f>
        <v>1.8733440936531129</v>
      </c>
      <c r="G58" s="367">
        <f t="shared" si="8"/>
        <v>29</v>
      </c>
      <c r="I58" s="415">
        <v>2</v>
      </c>
      <c r="J58" s="415">
        <v>1</v>
      </c>
      <c r="K58" s="455">
        <f>C58*$C$15/C65</f>
        <v>12.571085645385825</v>
      </c>
      <c r="L58" s="456">
        <f>D58*$D$15/D65</f>
        <v>11.094002023521192</v>
      </c>
      <c r="M58" s="456">
        <f>E58*$E$15/E65</f>
        <v>3.3943302288821728</v>
      </c>
      <c r="N58" s="457">
        <f>F58*$F$15/F65</f>
        <v>1.8954554829511534</v>
      </c>
      <c r="O58" s="367">
        <f t="shared" si="9"/>
        <v>28.954873380740342</v>
      </c>
      <c r="Q58" s="415">
        <v>2</v>
      </c>
      <c r="R58" s="415">
        <v>1</v>
      </c>
      <c r="S58" s="455">
        <f>K58*$C$18/K68</f>
        <v>12.584981678372488</v>
      </c>
      <c r="T58" s="456">
        <f>L58*$D$18/L68</f>
        <v>11.111942971586849</v>
      </c>
      <c r="U58" s="456">
        <f>M58*$E$18/M68</f>
        <v>3.3674490127186898</v>
      </c>
      <c r="V58" s="457">
        <f>N58*$F$18/N68</f>
        <v>1.9052287559479417</v>
      </c>
      <c r="W58" s="367">
        <f t="shared" si="10"/>
        <v>28.969602418625968</v>
      </c>
    </row>
    <row r="59" spans="1:23" x14ac:dyDescent="0.25">
      <c r="A59" s="415">
        <v>2</v>
      </c>
      <c r="B59" s="415">
        <v>2</v>
      </c>
      <c r="C59" s="455">
        <f>S43*$G$9/$W43</f>
        <v>2.4266120605831558</v>
      </c>
      <c r="D59" s="456">
        <f>T43*$G$9/$W43</f>
        <v>2.9271409173450285</v>
      </c>
      <c r="E59" s="456">
        <f>U43*$G$9/$W43</f>
        <v>9.6012494434875499</v>
      </c>
      <c r="F59" s="457">
        <f>V43*$G$9/$W43</f>
        <v>5.0449975785842653</v>
      </c>
      <c r="G59" s="367">
        <f t="shared" si="8"/>
        <v>20</v>
      </c>
      <c r="I59" s="415">
        <v>2</v>
      </c>
      <c r="J59" s="415">
        <v>2</v>
      </c>
      <c r="K59" s="455">
        <f>C59*$C$15/C65</f>
        <v>2.4289143546141774</v>
      </c>
      <c r="L59" s="456">
        <f>D59*$D$15/D65</f>
        <v>2.9059979764788095</v>
      </c>
      <c r="M59" s="456">
        <f>E59*$E$15/E65</f>
        <v>9.6056697711178263</v>
      </c>
      <c r="N59" s="457">
        <f>F59*$F$15/F65</f>
        <v>5.1045445170488462</v>
      </c>
      <c r="O59" s="367">
        <f t="shared" si="9"/>
        <v>20.045126619259658</v>
      </c>
      <c r="Q59" s="415">
        <v>2</v>
      </c>
      <c r="R59" s="415">
        <v>2</v>
      </c>
      <c r="S59" s="455">
        <f>K59*$C$19/K69</f>
        <v>2.4256537566515441</v>
      </c>
      <c r="T59" s="456">
        <f>L59*$D$19/L69</f>
        <v>2.9003785587521653</v>
      </c>
      <c r="U59" s="456">
        <f>M59*$E$19/M69</f>
        <v>9.6868630996407585</v>
      </c>
      <c r="V59" s="457">
        <f>N59*$F$19/N69</f>
        <v>5.1118300010793227</v>
      </c>
      <c r="W59" s="367">
        <f t="shared" si="10"/>
        <v>20.124725416123791</v>
      </c>
    </row>
    <row r="60" spans="1:23" x14ac:dyDescent="0.25">
      <c r="A60" s="415">
        <v>3</v>
      </c>
      <c r="B60" s="415">
        <v>1</v>
      </c>
      <c r="C60" s="455">
        <f>S44*$G$10/$W44</f>
        <v>8.2486745758574891</v>
      </c>
      <c r="D60" s="456">
        <f>T44*$G$10/$W44</f>
        <v>6.2159899151836928</v>
      </c>
      <c r="E60" s="456">
        <f>U44*$G$10/$W44</f>
        <v>12.296645550848062</v>
      </c>
      <c r="F60" s="457">
        <f>V44*$G$10/$W44</f>
        <v>6.2386899581107569</v>
      </c>
      <c r="G60" s="367">
        <f t="shared" si="8"/>
        <v>33</v>
      </c>
      <c r="I60" s="415">
        <v>3</v>
      </c>
      <c r="J60" s="415">
        <v>1</v>
      </c>
      <c r="K60" s="455">
        <f>C60*$C$16/C66</f>
        <v>8.2070291637917983</v>
      </c>
      <c r="L60" s="456">
        <f>D60*$D$16/D66</f>
        <v>6.2262707277073215</v>
      </c>
      <c r="M60" s="456">
        <f>E60*$E$16/E66</f>
        <v>12.545993539970413</v>
      </c>
      <c r="N60" s="457">
        <f>F60*$F$16/F66</f>
        <v>6.1700085274687479</v>
      </c>
      <c r="O60" s="367">
        <f t="shared" si="9"/>
        <v>33.149301958938281</v>
      </c>
      <c r="Q60" s="415">
        <v>3</v>
      </c>
      <c r="R60" s="415">
        <v>1</v>
      </c>
      <c r="S60" s="455">
        <f>K60*$C$18/K68</f>
        <v>8.2161011843952387</v>
      </c>
      <c r="T60" s="456">
        <f>L60*$D$18/L68</f>
        <v>6.2363397000701966</v>
      </c>
      <c r="U60" s="456">
        <f>M60*$E$18/M68</f>
        <v>12.446636217143082</v>
      </c>
      <c r="V60" s="457">
        <f>N60*$F$18/N68</f>
        <v>6.2018220827191071</v>
      </c>
      <c r="W60" s="367">
        <f t="shared" si="10"/>
        <v>33.100899184327623</v>
      </c>
    </row>
    <row r="61" spans="1:23" x14ac:dyDescent="0.25">
      <c r="A61" s="415">
        <v>3</v>
      </c>
      <c r="B61" s="415">
        <v>2</v>
      </c>
      <c r="C61" s="458">
        <f>S45*$G$11/$W45</f>
        <v>15.87311003945571</v>
      </c>
      <c r="D61" s="459">
        <f>T45*$G$11/$W45</f>
        <v>9.7575908994689602</v>
      </c>
      <c r="E61" s="459">
        <f>U45*$G$11/$W45</f>
        <v>3.3853590816868411</v>
      </c>
      <c r="F61" s="460">
        <f>V45*$G$11/$W45</f>
        <v>13.98393997938849</v>
      </c>
      <c r="G61" s="367">
        <f t="shared" si="8"/>
        <v>43</v>
      </c>
      <c r="I61" s="415">
        <v>3</v>
      </c>
      <c r="J61" s="415">
        <v>2</v>
      </c>
      <c r="K61" s="458">
        <f>C61*$C$16/C66</f>
        <v>15.792970836208202</v>
      </c>
      <c r="L61" s="459">
        <f>D61*$D$16/D66</f>
        <v>9.7737292722926785</v>
      </c>
      <c r="M61" s="459">
        <f>E61*$E$16/E66</f>
        <v>3.4540064600295866</v>
      </c>
      <c r="N61" s="460">
        <f>F61*$F$16/F66</f>
        <v>13.829991472531253</v>
      </c>
      <c r="O61" s="367">
        <f t="shared" si="9"/>
        <v>42.850698041061719</v>
      </c>
      <c r="Q61" s="415">
        <v>3</v>
      </c>
      <c r="R61" s="415">
        <v>2</v>
      </c>
      <c r="S61" s="458">
        <f>K61*$C$19/K69</f>
        <v>15.771770200444887</v>
      </c>
      <c r="T61" s="459">
        <f>L61*$D$19/L69</f>
        <v>9.7548295111873067</v>
      </c>
      <c r="U61" s="459">
        <f>M61*$E$19/M69</f>
        <v>3.4832019547646591</v>
      </c>
      <c r="V61" s="460">
        <f>N61*$F$19/N69</f>
        <v>13.849730389819218</v>
      </c>
      <c r="W61" s="367">
        <f t="shared" si="10"/>
        <v>42.859532056216068</v>
      </c>
    </row>
    <row r="62" spans="1:23" x14ac:dyDescent="0.25">
      <c r="C62" s="461">
        <f>SUM(C56:C61)</f>
        <v>51.13922794446502</v>
      </c>
      <c r="D62" s="461">
        <f>SUM(D56:D61)</f>
        <v>44.060856639631069</v>
      </c>
      <c r="E62" s="461">
        <f>SUM(E56:E61)</f>
        <v>40.754482683090565</v>
      </c>
      <c r="F62" s="461">
        <f>SUM(F56:F61)</f>
        <v>39.045432732813339</v>
      </c>
      <c r="G62" s="463">
        <f>SUM(G56:G61)</f>
        <v>175</v>
      </c>
      <c r="K62" s="461">
        <f>SUM(K56:K61)</f>
        <v>51</v>
      </c>
      <c r="L62" s="461">
        <f>SUM(L56:L61)</f>
        <v>44</v>
      </c>
      <c r="M62" s="461">
        <f>SUM(M56:M61)</f>
        <v>41</v>
      </c>
      <c r="N62" s="461">
        <f>SUM(N56:N61)</f>
        <v>38.881440064983437</v>
      </c>
      <c r="O62" s="463">
        <f>SUM(O56:O61)</f>
        <v>174.88144006498345</v>
      </c>
      <c r="S62" s="461">
        <f>SUM(S56:S61)</f>
        <v>51</v>
      </c>
      <c r="T62" s="461">
        <f>SUM(T56:T61)</f>
        <v>44</v>
      </c>
      <c r="U62" s="461">
        <f>SUM(U56:U61)</f>
        <v>41</v>
      </c>
      <c r="V62" s="461">
        <f>SUM(V56:V61)</f>
        <v>39</v>
      </c>
      <c r="W62" s="463">
        <f>SUM(W56:W61)</f>
        <v>175</v>
      </c>
    </row>
    <row r="64" spans="1:23" x14ac:dyDescent="0.25">
      <c r="A64" s="415">
        <v>1</v>
      </c>
      <c r="C64" s="445">
        <f>SUMIF(A56:A61,A64,C56:C61)</f>
        <v>12.03166137286329</v>
      </c>
      <c r="D64" s="446">
        <f>SUMIF(A56:A61,A64,D56:D61)</f>
        <v>13.985417126341016</v>
      </c>
      <c r="E64" s="446">
        <f>SUMIF(A56:A61,A64,E56:E61)</f>
        <v>12.078460377718974</v>
      </c>
      <c r="F64" s="447">
        <f>SUMIF(A56:A61,A64,F56:F61)</f>
        <v>11.904461123076715</v>
      </c>
      <c r="G64" s="462">
        <f>SUM(C64:F64)</f>
        <v>49.999999999999993</v>
      </c>
      <c r="I64" s="415">
        <v>1</v>
      </c>
      <c r="K64" s="445">
        <f>SUMIF(I56:I61,I64,K56:K61)</f>
        <v>12</v>
      </c>
      <c r="L64" s="446">
        <f>SUMIF(I56:I61,I64,L56:L61)</f>
        <v>14</v>
      </c>
      <c r="M64" s="446">
        <f>SUMIF(I56:I61,I64,M56:M61)</f>
        <v>12</v>
      </c>
      <c r="N64" s="447">
        <f>SUMIF(I56:I61,I64,N56:N61)</f>
        <v>11.881440064983435</v>
      </c>
      <c r="O64" s="462">
        <f>SUM(K64:N64)</f>
        <v>49.881440064983437</v>
      </c>
      <c r="Q64" s="415">
        <v>1</v>
      </c>
      <c r="S64" s="445">
        <f>SUMIF(Q56:Q61,Q64,S56:S61)</f>
        <v>12.001493180135844</v>
      </c>
      <c r="T64" s="446">
        <f>SUMIF(Q56:Q61,Q64,T56:T61)</f>
        <v>13.996509258403476</v>
      </c>
      <c r="U64" s="446">
        <f>SUMIF(Q56:Q61,Q64,U56:U61)</f>
        <v>12.015849715732811</v>
      </c>
      <c r="V64" s="447">
        <f>SUMIF(Q56:Q61,Q64,V56:V61)</f>
        <v>11.93138877043441</v>
      </c>
      <c r="W64" s="462">
        <f>SUM(S64:V64)</f>
        <v>49.945240924706539</v>
      </c>
    </row>
    <row r="65" spans="1:23" x14ac:dyDescent="0.25">
      <c r="A65" s="415">
        <v>2</v>
      </c>
      <c r="C65" s="448">
        <f>SUMIF(A56:A61,A65,C56:C61)</f>
        <v>14.98578195628853</v>
      </c>
      <c r="D65" s="367">
        <f>SUMIF(A56:A61,A65,D56:D61)</f>
        <v>14.101858698637406</v>
      </c>
      <c r="E65" s="367">
        <f>SUMIF(A56:A61,A65,E56:E61)</f>
        <v>12.994017672836684</v>
      </c>
      <c r="F65" s="364">
        <f>SUMIF(A56:A61,A65,F56:F61)</f>
        <v>6.9183416722373785</v>
      </c>
      <c r="G65" s="462">
        <f>SUM(C65:F65)</f>
        <v>49</v>
      </c>
      <c r="I65" s="415">
        <v>2</v>
      </c>
      <c r="K65" s="448">
        <f>SUMIF(I56:I61,I65,K56:K61)</f>
        <v>15.000000000000002</v>
      </c>
      <c r="L65" s="367">
        <f>SUMIF(I56:I61,I65,L56:L61)</f>
        <v>14.000000000000002</v>
      </c>
      <c r="M65" s="367">
        <f>SUMIF(I56:I61,I65,M56:M61)</f>
        <v>13</v>
      </c>
      <c r="N65" s="364">
        <f>SUMIF(I56:I61,I65,N56:N61)</f>
        <v>7</v>
      </c>
      <c r="O65" s="462">
        <f>SUM(K65:N65)</f>
        <v>49</v>
      </c>
      <c r="Q65" s="415">
        <v>2</v>
      </c>
      <c r="S65" s="448">
        <f>SUMIF(Q56:Q61,Q65,S56:S61)</f>
        <v>15.010635435024032</v>
      </c>
      <c r="T65" s="367">
        <f>SUMIF(Q56:Q61,Q65,T56:T61)</f>
        <v>14.012321530339015</v>
      </c>
      <c r="U65" s="367">
        <f>SUMIF(Q56:Q61,Q65,U56:U61)</f>
        <v>13.054312112359447</v>
      </c>
      <c r="V65" s="364">
        <f>SUMIF(Q56:Q61,Q65,V56:V61)</f>
        <v>7.0170587570272644</v>
      </c>
      <c r="W65" s="462">
        <f>SUM(S65:V65)</f>
        <v>49.094327834749755</v>
      </c>
    </row>
    <row r="66" spans="1:23" x14ac:dyDescent="0.25">
      <c r="A66" s="415">
        <v>3</v>
      </c>
      <c r="C66" s="449">
        <f>SUMIF(A56:A61,A66,C56:C61)</f>
        <v>24.121784615313199</v>
      </c>
      <c r="D66" s="450">
        <f>SUMIF(A56:A61,A66,D56:D61)</f>
        <v>15.973580814652653</v>
      </c>
      <c r="E66" s="450">
        <f>SUMIF(A56:A61,A66,E56:E61)</f>
        <v>15.682004632534904</v>
      </c>
      <c r="F66" s="451">
        <f>SUMIF(A56:A61,A66,F56:F61)</f>
        <v>20.222629937499246</v>
      </c>
      <c r="G66" s="462">
        <f>SUM(C66:F66)</f>
        <v>76</v>
      </c>
      <c r="I66" s="415">
        <v>3</v>
      </c>
      <c r="K66" s="449">
        <f>SUMIF(I56:I61,I66,K56:K61)</f>
        <v>24</v>
      </c>
      <c r="L66" s="450">
        <f>SUMIF(I56:I61,I66,L56:L61)</f>
        <v>16</v>
      </c>
      <c r="M66" s="450">
        <f>SUMIF(I56:I61,I66,M56:M61)</f>
        <v>16</v>
      </c>
      <c r="N66" s="451">
        <f>SUMIF(I56:I61,I66,N56:N61)</f>
        <v>20</v>
      </c>
      <c r="O66" s="462">
        <f>SUM(K66:N66)</f>
        <v>76</v>
      </c>
      <c r="Q66" s="415">
        <v>3</v>
      </c>
      <c r="S66" s="449">
        <f>SUMIF(Q56:Q61,Q66,S56:S61)</f>
        <v>23.987871384840126</v>
      </c>
      <c r="T66" s="450">
        <f>SUMIF(Q56:Q61,Q66,T56:T61)</f>
        <v>15.991169211257503</v>
      </c>
      <c r="U66" s="450">
        <f>SUMIF(Q56:Q61,Q66,U56:U61)</f>
        <v>15.929838171907742</v>
      </c>
      <c r="V66" s="451">
        <f>SUMIF(Q56:Q61,Q66,V56:V61)</f>
        <v>20.051552472538326</v>
      </c>
      <c r="W66" s="462">
        <f>SUM(S66:V66)</f>
        <v>75.960431240543699</v>
      </c>
    </row>
    <row r="68" spans="1:23" x14ac:dyDescent="0.25">
      <c r="B68" s="415">
        <v>1</v>
      </c>
      <c r="C68" s="445">
        <f>SUMIF(B56:B61,B68,C56:C61)</f>
        <v>28.017785732224951</v>
      </c>
      <c r="D68" s="446">
        <f>SUMIF(B56:B61,B68,D56:D61)</f>
        <v>24.024767931448004</v>
      </c>
      <c r="E68" s="446">
        <f>SUMIF(B56:B61,B68,E56:E61)</f>
        <v>20.950904042865552</v>
      </c>
      <c r="F68" s="447">
        <f>SUMIF(B56:B61,B68,F56:F61)</f>
        <v>17.006542293461489</v>
      </c>
      <c r="G68" s="462">
        <f>SUM(C68:F68)</f>
        <v>90</v>
      </c>
      <c r="J68" s="415">
        <v>1</v>
      </c>
      <c r="K68" s="445">
        <f>SUMIF(J56:J61,J68,K56:K61)</f>
        <v>27.969083075878036</v>
      </c>
      <c r="L68" s="446">
        <f>SUMIF(J56:J61,J68,L56:L61)</f>
        <v>23.961250453257655</v>
      </c>
      <c r="M68" s="446">
        <f>SUMIF(J56:J61,J68,M56:M61)</f>
        <v>21.167635957456532</v>
      </c>
      <c r="N68" s="447">
        <f>SUMIF(J56:J61,J68,N56:N61)</f>
        <v>16.912794912197967</v>
      </c>
      <c r="O68" s="462">
        <f>SUM(K68:N68)</f>
        <v>90.010764398790201</v>
      </c>
      <c r="R68" s="415">
        <v>1</v>
      </c>
      <c r="S68" s="445">
        <f>SUMIF(R56:R61,R68,S56:S61)</f>
        <v>28</v>
      </c>
      <c r="T68" s="446">
        <f>SUMIF(R56:R61,R68,T56:T61)</f>
        <v>23.999999999999996</v>
      </c>
      <c r="U68" s="446">
        <f>SUMIF(R56:R61,R68,U56:U61)</f>
        <v>21</v>
      </c>
      <c r="V68" s="447">
        <f>SUMIF(R56:R61,R68,V56:V61)</f>
        <v>17</v>
      </c>
      <c r="W68" s="462">
        <f>SUM(S68:V68)</f>
        <v>90</v>
      </c>
    </row>
    <row r="69" spans="1:23" x14ac:dyDescent="0.25">
      <c r="B69" s="415">
        <v>2</v>
      </c>
      <c r="C69" s="449">
        <f>SUMIF(B56:B61,B69,C56:C61)</f>
        <v>23.121442212240069</v>
      </c>
      <c r="D69" s="450">
        <f>SUMIF(B56:B61,B69,D56:D61)</f>
        <v>20.036088708183069</v>
      </c>
      <c r="E69" s="450">
        <f>SUMIF(B56:B61,B69,E56:E61)</f>
        <v>19.803578640225009</v>
      </c>
      <c r="F69" s="451">
        <f>SUMIF(B56:B61,B69,F56:F61)</f>
        <v>22.038890439351849</v>
      </c>
      <c r="G69" s="462">
        <f>SUM(C69:F69)</f>
        <v>85</v>
      </c>
      <c r="J69" s="415">
        <v>2</v>
      </c>
      <c r="K69" s="449">
        <f>SUMIF(J56:J61,J69,K56:K61)</f>
        <v>23.030916924121968</v>
      </c>
      <c r="L69" s="450">
        <f>SUMIF(J56:J61,J69,L56:L61)</f>
        <v>20.038749546742352</v>
      </c>
      <c r="M69" s="450">
        <f>SUMIF(J56:J61,J69,M56:M61)</f>
        <v>19.832364042543464</v>
      </c>
      <c r="N69" s="451">
        <f>SUMIF(J56:J61,J69,N56:N61)</f>
        <v>21.96864515278547</v>
      </c>
      <c r="O69" s="462">
        <f>SUM(K69:N69)</f>
        <v>84.87067566619325</v>
      </c>
      <c r="R69" s="415">
        <v>2</v>
      </c>
      <c r="S69" s="449">
        <f>SUMIF(R56:R61,R69,S56:S61)</f>
        <v>23</v>
      </c>
      <c r="T69" s="450">
        <f>SUMIF(R56:R61,R69,T56:T61)</f>
        <v>20</v>
      </c>
      <c r="U69" s="450">
        <f>SUMIF(R56:R61,R69,U56:U61)</f>
        <v>20</v>
      </c>
      <c r="V69" s="451">
        <f>SUMIF(R56:R61,R69,V56:V61)</f>
        <v>22</v>
      </c>
      <c r="W69" s="462">
        <f>SUM(S69:V69)</f>
        <v>85</v>
      </c>
    </row>
    <row r="71" spans="1:23" x14ac:dyDescent="0.25">
      <c r="A71" s="415" t="s">
        <v>37</v>
      </c>
      <c r="B71" s="415" t="s">
        <v>911</v>
      </c>
      <c r="C71">
        <v>1</v>
      </c>
      <c r="D71">
        <f>C71+1</f>
        <v>2</v>
      </c>
      <c r="E71">
        <f>D71+1</f>
        <v>3</v>
      </c>
      <c r="F71">
        <f>E71+1</f>
        <v>4</v>
      </c>
      <c r="I71" s="415" t="s">
        <v>37</v>
      </c>
      <c r="J71" s="415" t="s">
        <v>911</v>
      </c>
      <c r="K71">
        <v>1</v>
      </c>
      <c r="L71">
        <f>K71+1</f>
        <v>2</v>
      </c>
      <c r="M71">
        <f>L71+1</f>
        <v>3</v>
      </c>
      <c r="N71">
        <f>M71+1</f>
        <v>4</v>
      </c>
      <c r="Q71" s="415" t="s">
        <v>37</v>
      </c>
      <c r="R71" s="415" t="s">
        <v>911</v>
      </c>
      <c r="S71">
        <v>1</v>
      </c>
      <c r="T71">
        <f>S71+1</f>
        <v>2</v>
      </c>
      <c r="U71">
        <f>T71+1</f>
        <v>3</v>
      </c>
      <c r="V71">
        <f>U71+1</f>
        <v>4</v>
      </c>
    </row>
    <row r="72" spans="1:23" x14ac:dyDescent="0.25">
      <c r="A72" s="415">
        <v>1</v>
      </c>
      <c r="B72" s="415">
        <v>1</v>
      </c>
      <c r="C72" s="452">
        <f>S56*$G$6/$W56</f>
        <v>7.2170891498652914</v>
      </c>
      <c r="D72" s="453">
        <f>T56*$G$6/$W56</f>
        <v>6.6685080607569613</v>
      </c>
      <c r="E72" s="453">
        <f>U56*$G$6/$W56</f>
        <v>5.1990054207069525</v>
      </c>
      <c r="F72" s="454">
        <f>V56*$G$6/$W56</f>
        <v>8.9153973686707921</v>
      </c>
      <c r="G72" s="367">
        <f t="shared" ref="G72:G77" si="11">SUM(C72:F72)</f>
        <v>27.999999999999996</v>
      </c>
      <c r="I72" s="415">
        <v>1</v>
      </c>
      <c r="J72" s="415">
        <v>1</v>
      </c>
      <c r="K72" s="452">
        <f>C72*$C$14/C80</f>
        <v>7.2073405769935857</v>
      </c>
      <c r="L72" s="453">
        <f>D72*$D$14/D80</f>
        <v>6.6646768045010329</v>
      </c>
      <c r="M72" s="453">
        <f>E72*$E$14/E80</f>
        <v>5.1886037539997645</v>
      </c>
      <c r="N72" s="454">
        <f>F72*F64/F80</f>
        <v>8.8801859346786483</v>
      </c>
      <c r="O72" s="367">
        <f t="shared" ref="O72:O77" si="12">SUM(K72:N72)</f>
        <v>27.94080707017303</v>
      </c>
      <c r="Q72" s="415">
        <v>1</v>
      </c>
      <c r="R72" s="415">
        <v>1</v>
      </c>
      <c r="S72" s="452">
        <f>K72*$C$18/K84</f>
        <v>7.2113996527352109</v>
      </c>
      <c r="T72" s="453">
        <f>L72*$D$18/L84</f>
        <v>6.6648892033524891</v>
      </c>
      <c r="U72" s="453">
        <f>M72*$E$18/M84</f>
        <v>5.1776836760511076</v>
      </c>
      <c r="V72" s="454">
        <f>N72*$F$18/N84</f>
        <v>8.9065150477306823</v>
      </c>
      <c r="W72" s="367">
        <f t="shared" ref="W72:W77" si="13">SUM(S72:V72)</f>
        <v>27.96048757986949</v>
      </c>
    </row>
    <row r="73" spans="1:23" x14ac:dyDescent="0.25">
      <c r="A73" s="415">
        <v>1</v>
      </c>
      <c r="B73" s="415">
        <v>2</v>
      </c>
      <c r="C73" s="455">
        <f>S57*$G$7/$W57</f>
        <v>4.7991419236091462</v>
      </c>
      <c r="D73" s="456">
        <f>T57*$G$7/$W57</f>
        <v>7.339539979554127</v>
      </c>
      <c r="E73" s="456">
        <f>U57*$G$7/$W57</f>
        <v>6.8250511475731033</v>
      </c>
      <c r="F73" s="457">
        <f>V57*$G$7/$W57</f>
        <v>3.0362669492636241</v>
      </c>
      <c r="G73" s="367">
        <f t="shared" si="11"/>
        <v>22</v>
      </c>
      <c r="I73" s="415">
        <v>1</v>
      </c>
      <c r="J73" s="415">
        <v>2</v>
      </c>
      <c r="K73" s="455">
        <f>C73*$C$14/C80</f>
        <v>4.7926594230064161</v>
      </c>
      <c r="L73" s="456">
        <f>D73*$D$14/D80</f>
        <v>7.3353231954989671</v>
      </c>
      <c r="M73" s="456">
        <f>E73*$E$14/E80</f>
        <v>6.8113962460002355</v>
      </c>
      <c r="N73" s="457">
        <f>F73*$F$14/F80</f>
        <v>3.0485464134471707</v>
      </c>
      <c r="O73" s="367">
        <f t="shared" si="12"/>
        <v>21.98792527795279</v>
      </c>
      <c r="Q73" s="415">
        <v>1</v>
      </c>
      <c r="R73" s="415">
        <v>2</v>
      </c>
      <c r="S73" s="455">
        <f>K73*$C$19/K85</f>
        <v>4.7893775870914972</v>
      </c>
      <c r="T73" s="456">
        <f>L73*$D$19/L85</f>
        <v>7.3350426888747817</v>
      </c>
      <c r="U73" s="456">
        <f>M73*$E$19/M85</f>
        <v>6.8265136941949063</v>
      </c>
      <c r="V73" s="457">
        <f>N73*$F$19/N85</f>
        <v>3.0514609575031537</v>
      </c>
      <c r="W73" s="367">
        <f t="shared" si="13"/>
        <v>22.002394927664341</v>
      </c>
    </row>
    <row r="74" spans="1:23" x14ac:dyDescent="0.25">
      <c r="A74" s="415">
        <v>2</v>
      </c>
      <c r="B74" s="415">
        <v>1</v>
      </c>
      <c r="C74" s="455">
        <f>S58*$G$8/$W58</f>
        <v>12.5981870030135</v>
      </c>
      <c r="D74" s="456">
        <f>T58*$G$8/$W58</f>
        <v>11.123602648023597</v>
      </c>
      <c r="E74" s="456">
        <f>U58*$G$8/$W58</f>
        <v>3.3709824511106925</v>
      </c>
      <c r="F74" s="457">
        <f>V58*$G$8/$W58</f>
        <v>1.9072278978522104</v>
      </c>
      <c r="G74" s="367">
        <f t="shared" si="11"/>
        <v>29</v>
      </c>
      <c r="I74" s="415">
        <v>2</v>
      </c>
      <c r="J74" s="415">
        <v>1</v>
      </c>
      <c r="K74" s="455">
        <f>C74*$C$15/C81</f>
        <v>12.590794127218595</v>
      </c>
      <c r="L74" s="456">
        <f>D74*$D$15/D81</f>
        <v>11.118832859022396</v>
      </c>
      <c r="M74" s="456">
        <f>E74*$E$15/E81</f>
        <v>3.3715504155275866</v>
      </c>
      <c r="N74" s="457">
        <f>F74*$F$15/F81</f>
        <v>1.9106734657627182</v>
      </c>
      <c r="O74" s="367">
        <f t="shared" si="12"/>
        <v>28.991850867531298</v>
      </c>
      <c r="Q74" s="415">
        <v>2</v>
      </c>
      <c r="R74" s="415">
        <v>1</v>
      </c>
      <c r="S74" s="455">
        <f>K74*$C$18/K84</f>
        <v>12.597885090447491</v>
      </c>
      <c r="T74" s="456">
        <f>L74*$D$18/L84</f>
        <v>11.119187208887825</v>
      </c>
      <c r="U74" s="456">
        <f>M74*$E$18/M84</f>
        <v>3.3644545579344909</v>
      </c>
      <c r="V74" s="457">
        <f>N74*$F$18/N84</f>
        <v>1.9163384752631536</v>
      </c>
      <c r="W74" s="367">
        <f t="shared" si="13"/>
        <v>28.997865332532957</v>
      </c>
    </row>
    <row r="75" spans="1:23" x14ac:dyDescent="0.25">
      <c r="A75" s="415">
        <v>2</v>
      </c>
      <c r="B75" s="415">
        <v>2</v>
      </c>
      <c r="C75" s="455">
        <f>S59*$G$9/$W59</f>
        <v>2.410620474561235</v>
      </c>
      <c r="D75" s="456">
        <f>T59*$G$9/$W59</f>
        <v>2.8824031123708176</v>
      </c>
      <c r="E75" s="456">
        <f>U59*$G$9/$W59</f>
        <v>9.6268275957491678</v>
      </c>
      <c r="F75" s="457">
        <f>V59*$G$9/$W59</f>
        <v>5.0801488173187792</v>
      </c>
      <c r="G75" s="367">
        <f t="shared" si="11"/>
        <v>20</v>
      </c>
      <c r="I75" s="415">
        <v>2</v>
      </c>
      <c r="J75" s="415">
        <v>2</v>
      </c>
      <c r="K75" s="455">
        <f>C75*$C$15/C81</f>
        <v>2.4092058727814054</v>
      </c>
      <c r="L75" s="456">
        <f>D75*$D$15/D81</f>
        <v>2.8811671409776052</v>
      </c>
      <c r="M75" s="456">
        <f>E75*$E$15/E81</f>
        <v>9.6284495844724134</v>
      </c>
      <c r="N75" s="457">
        <f>F75*$F$15/F81</f>
        <v>5.0893265342372818</v>
      </c>
      <c r="O75" s="367">
        <f t="shared" si="12"/>
        <v>20.008149132468706</v>
      </c>
      <c r="Q75" s="415">
        <v>2</v>
      </c>
      <c r="R75" s="415">
        <v>2</v>
      </c>
      <c r="S75" s="455">
        <f>K75*$C$19/K85</f>
        <v>2.4075561377049315</v>
      </c>
      <c r="T75" s="456">
        <f>L75*$D$19/L85</f>
        <v>2.8810569636279659</v>
      </c>
      <c r="U75" s="456">
        <f>M75*$E$19/M85</f>
        <v>9.6498192981891471</v>
      </c>
      <c r="V75" s="457">
        <f>N75*$F$19/N85</f>
        <v>5.0941921535809431</v>
      </c>
      <c r="W75" s="367">
        <f t="shared" si="13"/>
        <v>20.032624553102988</v>
      </c>
    </row>
    <row r="76" spans="1:23" x14ac:dyDescent="0.25">
      <c r="A76" s="415">
        <v>3</v>
      </c>
      <c r="B76" s="415">
        <v>1</v>
      </c>
      <c r="C76" s="455">
        <f>S60*$G$10/$W60</f>
        <v>8.1910566107344973</v>
      </c>
      <c r="D76" s="456">
        <f>T60*$G$10/$W60</f>
        <v>6.217329896577457</v>
      </c>
      <c r="E76" s="456">
        <f>U60*$G$10/$W60</f>
        <v>12.408695995793234</v>
      </c>
      <c r="F76" s="457">
        <f>V60*$G$10/$W60</f>
        <v>6.182917496894814</v>
      </c>
      <c r="G76" s="367">
        <f t="shared" si="11"/>
        <v>33.000000000000007</v>
      </c>
      <c r="I76" s="415">
        <v>3</v>
      </c>
      <c r="J76" s="415">
        <v>1</v>
      </c>
      <c r="K76" s="455">
        <f>C76*$C$16/C82</f>
        <v>8.1861049543508511</v>
      </c>
      <c r="L76" s="456">
        <f>D76*$D$16/D82</f>
        <v>6.2157254966901263</v>
      </c>
      <c r="M76" s="456">
        <f>E76*$E$16/E82</f>
        <v>12.48413622194297</v>
      </c>
      <c r="N76" s="457">
        <f>F76*$F$16/F82</f>
        <v>6.1588858231970747</v>
      </c>
      <c r="O76" s="367">
        <f t="shared" si="12"/>
        <v>33.044852496181022</v>
      </c>
      <c r="Q76" s="415">
        <v>3</v>
      </c>
      <c r="R76" s="415">
        <v>1</v>
      </c>
      <c r="S76" s="455">
        <f>K76*$C$18/K84</f>
        <v>8.1907152568172936</v>
      </c>
      <c r="T76" s="456">
        <f>L76*$D$18/L84</f>
        <v>6.2159235877596855</v>
      </c>
      <c r="U76" s="456">
        <f>M76*$E$18/M84</f>
        <v>12.457861766014405</v>
      </c>
      <c r="V76" s="457">
        <f>N76*$F$18/N84</f>
        <v>6.1771464770061648</v>
      </c>
      <c r="W76" s="367">
        <f t="shared" si="13"/>
        <v>33.041647087597553</v>
      </c>
    </row>
    <row r="77" spans="1:23" x14ac:dyDescent="0.25">
      <c r="A77" s="415">
        <v>3</v>
      </c>
      <c r="B77" s="415">
        <v>2</v>
      </c>
      <c r="C77" s="458">
        <f>S61*$G$11/$W61</f>
        <v>15.823460641838027</v>
      </c>
      <c r="D77" s="459">
        <f>T61*$G$11/$W61</f>
        <v>9.7868000152423225</v>
      </c>
      <c r="E77" s="459">
        <f>U61*$G$11/$W61</f>
        <v>3.4946178100691041</v>
      </c>
      <c r="F77" s="460">
        <f>V61*$G$11/$W61</f>
        <v>13.895121532850553</v>
      </c>
      <c r="G77" s="367">
        <f t="shared" si="11"/>
        <v>43.000000000000007</v>
      </c>
      <c r="I77" s="415">
        <v>3</v>
      </c>
      <c r="J77" s="415">
        <v>2</v>
      </c>
      <c r="K77" s="458">
        <f>C77*$C$16/C82</f>
        <v>15.813895045649149</v>
      </c>
      <c r="L77" s="459">
        <f>D77*$D$16/D82</f>
        <v>9.7842745033098719</v>
      </c>
      <c r="M77" s="459">
        <f>E77*$E$16/E82</f>
        <v>3.5158637780570285</v>
      </c>
      <c r="N77" s="460">
        <f>F77*$F$16/F82</f>
        <v>13.841114176802927</v>
      </c>
      <c r="O77" s="367">
        <f t="shared" si="12"/>
        <v>42.955147503818978</v>
      </c>
      <c r="Q77" s="415">
        <v>3</v>
      </c>
      <c r="R77" s="415">
        <v>2</v>
      </c>
      <c r="S77" s="458">
        <f>K77*$C$19/K85</f>
        <v>15.803066275203571</v>
      </c>
      <c r="T77" s="459">
        <f>L77*$D$19/L85</f>
        <v>9.783900347497255</v>
      </c>
      <c r="U77" s="459">
        <f>M77*$E$19/M85</f>
        <v>3.5236670076159475</v>
      </c>
      <c r="V77" s="460">
        <f>N77*$F$19/N85</f>
        <v>13.8543468889159</v>
      </c>
      <c r="W77" s="367">
        <f t="shared" si="13"/>
        <v>42.964980519232675</v>
      </c>
    </row>
    <row r="78" spans="1:23" x14ac:dyDescent="0.25">
      <c r="C78" s="461">
        <f>SUM(C72:C77)</f>
        <v>51.039555803621695</v>
      </c>
      <c r="D78" s="461">
        <f>SUM(D72:D77)</f>
        <v>44.018183712525286</v>
      </c>
      <c r="E78" s="461">
        <f>SUM(E72:E77)</f>
        <v>40.925180421002253</v>
      </c>
      <c r="F78" s="461">
        <f>SUM(F72:F77)</f>
        <v>39.017080062850766</v>
      </c>
      <c r="G78" s="463">
        <f>SUM(G72:G77)</f>
        <v>175</v>
      </c>
      <c r="K78" s="461">
        <f>SUM(K72:K77)</f>
        <v>51</v>
      </c>
      <c r="L78" s="461">
        <f>SUM(L72:L77)</f>
        <v>44</v>
      </c>
      <c r="M78" s="461">
        <f>SUM(M72:M77)</f>
        <v>41</v>
      </c>
      <c r="N78" s="461">
        <f>SUM(N72:N77)</f>
        <v>38.92873234812582</v>
      </c>
      <c r="O78" s="463">
        <f>SUM(O72:O77)</f>
        <v>174.92873234812583</v>
      </c>
      <c r="S78" s="461">
        <f>SUM(S72:S77)</f>
        <v>50.999999999999993</v>
      </c>
      <c r="T78" s="461">
        <f>SUM(T72:T77)</f>
        <v>44</v>
      </c>
      <c r="U78" s="461">
        <f>SUM(U72:U77)</f>
        <v>41.000000000000007</v>
      </c>
      <c r="V78" s="461">
        <f>SUM(V72:V77)</f>
        <v>39</v>
      </c>
      <c r="W78" s="463">
        <f>SUM(W72:W77)</f>
        <v>175.00000000000003</v>
      </c>
    </row>
    <row r="80" spans="1:23" x14ac:dyDescent="0.25">
      <c r="A80" s="415">
        <v>1</v>
      </c>
      <c r="C80" s="445">
        <f>SUMIF(A72:A77,A80,C72:C77)</f>
        <v>12.016231073474437</v>
      </c>
      <c r="D80" s="446">
        <f>SUMIF(A72:A77,A80,D72:D77)</f>
        <v>14.008048040311088</v>
      </c>
      <c r="E80" s="446">
        <f>SUMIF(A72:A77,A80,E72:E77)</f>
        <v>12.024056568280056</v>
      </c>
      <c r="F80" s="447">
        <f>SUMIF(A72:A77,A80,F72:F77)</f>
        <v>11.951664317934416</v>
      </c>
      <c r="G80" s="462">
        <f>SUM(C80:F80)</f>
        <v>50</v>
      </c>
      <c r="I80" s="415">
        <v>1</v>
      </c>
      <c r="K80" s="445">
        <f>SUMIF(I72:I77,I80,K72:K77)</f>
        <v>12.000000000000002</v>
      </c>
      <c r="L80" s="446">
        <f>SUMIF(I72:I77,I80,L72:L77)</f>
        <v>14</v>
      </c>
      <c r="M80" s="446">
        <f>SUMIF(I72:I77,I80,M72:M77)</f>
        <v>12</v>
      </c>
      <c r="N80" s="447">
        <f>SUMIF(I72:I77,I80,N72:N77)</f>
        <v>11.92873234812582</v>
      </c>
      <c r="O80" s="462">
        <f>SUM(K80:N80)</f>
        <v>49.92873234812582</v>
      </c>
      <c r="Q80" s="415">
        <v>1</v>
      </c>
      <c r="S80" s="445">
        <f>SUMIF(Q72:Q77,Q80,S72:S77)</f>
        <v>12.000777239826707</v>
      </c>
      <c r="T80" s="446">
        <f>SUMIF(Q72:Q77,Q80,T72:T77)</f>
        <v>13.99993189222727</v>
      </c>
      <c r="U80" s="446">
        <f>SUMIF(Q72:Q77,Q80,U72:U77)</f>
        <v>12.004197370246015</v>
      </c>
      <c r="V80" s="447">
        <f>SUMIF(Q72:Q77,Q80,V72:V77)</f>
        <v>11.957976005233835</v>
      </c>
      <c r="W80" s="462">
        <f>SUM(S80:V80)</f>
        <v>49.96288250753382</v>
      </c>
    </row>
    <row r="81" spans="1:23" x14ac:dyDescent="0.25">
      <c r="A81" s="415">
        <v>2</v>
      </c>
      <c r="C81" s="448">
        <f>SUMIF(A72:A77,A81,C72:C77)</f>
        <v>15.008807477574734</v>
      </c>
      <c r="D81" s="367">
        <f>SUMIF(A72:A77,A81,D72:D77)</f>
        <v>14.006005760394416</v>
      </c>
      <c r="E81" s="367">
        <f>SUMIF(A72:A77,A81,E72:E77)</f>
        <v>12.997810046859861</v>
      </c>
      <c r="F81" s="364">
        <f>SUMIF(A72:A77,A81,F72:F77)</f>
        <v>6.9873767151709893</v>
      </c>
      <c r="G81" s="462">
        <f>SUM(C81:F81)</f>
        <v>49</v>
      </c>
      <c r="I81" s="415">
        <v>2</v>
      </c>
      <c r="K81" s="448">
        <f>SUMIF(I72:I77,I81,K72:K77)</f>
        <v>15</v>
      </c>
      <c r="L81" s="367">
        <f>SUMIF(I72:I77,I81,L72:L77)</f>
        <v>14</v>
      </c>
      <c r="M81" s="367">
        <f>SUMIF(I72:I77,I81,M72:M77)</f>
        <v>13</v>
      </c>
      <c r="N81" s="364">
        <f>SUMIF(I72:I77,I81,N72:N77)</f>
        <v>7</v>
      </c>
      <c r="O81" s="462">
        <f>SUM(K81:N81)</f>
        <v>49</v>
      </c>
      <c r="Q81" s="415">
        <v>2</v>
      </c>
      <c r="S81" s="448">
        <f>SUMIF(Q72:Q77,Q81,S72:S77)</f>
        <v>15.005441228152423</v>
      </c>
      <c r="T81" s="367">
        <f>SUMIF(Q72:Q77,Q81,T72:T77)</f>
        <v>14.00024417251579</v>
      </c>
      <c r="U81" s="367">
        <f>SUMIF(Q72:Q77,Q81,U72:U77)</f>
        <v>13.014273856123637</v>
      </c>
      <c r="V81" s="364">
        <f>SUMIF(Q72:Q77,Q81,V72:V77)</f>
        <v>7.0105306288440969</v>
      </c>
      <c r="W81" s="462">
        <f>SUM(S81:V81)</f>
        <v>49.030489885635944</v>
      </c>
    </row>
    <row r="82" spans="1:23" x14ac:dyDescent="0.25">
      <c r="A82" s="415">
        <v>3</v>
      </c>
      <c r="C82" s="449">
        <f>SUMIF(A72:A77,A82,C72:C77)</f>
        <v>24.014517252572524</v>
      </c>
      <c r="D82" s="450">
        <f>SUMIF(A72:A77,A82,D72:D77)</f>
        <v>16.004129911819781</v>
      </c>
      <c r="E82" s="450">
        <f>SUMIF(A72:A77,A82,E72:E77)</f>
        <v>15.903313805862339</v>
      </c>
      <c r="F82" s="451">
        <f>SUMIF(A72:A77,A82,F72:F77)</f>
        <v>20.078039029745366</v>
      </c>
      <c r="G82" s="462">
        <f>SUM(C82:F82)</f>
        <v>76.000000000000014</v>
      </c>
      <c r="I82" s="415">
        <v>3</v>
      </c>
      <c r="K82" s="449">
        <f>SUMIF(I72:I77,I82,K72:K77)</f>
        <v>24</v>
      </c>
      <c r="L82" s="450">
        <f>SUMIF(I72:I77,I82,L72:L77)</f>
        <v>15.999999999999998</v>
      </c>
      <c r="M82" s="450">
        <f>SUMIF(I72:I77,I82,M72:M77)</f>
        <v>15.999999999999998</v>
      </c>
      <c r="N82" s="451">
        <f>SUMIF(I72:I77,I82,N72:N77)</f>
        <v>20</v>
      </c>
      <c r="O82" s="462">
        <f>SUM(K82:N82)</f>
        <v>76</v>
      </c>
      <c r="Q82" s="415">
        <v>3</v>
      </c>
      <c r="S82" s="449">
        <f>SUMIF(Q72:Q77,Q82,S72:S77)</f>
        <v>23.993781532020865</v>
      </c>
      <c r="T82" s="450">
        <f>SUMIF(Q72:Q77,Q82,T72:T77)</f>
        <v>15.999823935256941</v>
      </c>
      <c r="U82" s="450">
        <f>SUMIF(Q72:Q77,Q82,U72:U77)</f>
        <v>15.981528773630352</v>
      </c>
      <c r="V82" s="451">
        <f>SUMIF(Q72:Q77,Q82,V72:V77)</f>
        <v>20.031493365922067</v>
      </c>
      <c r="W82" s="462">
        <f>SUM(S82:V82)</f>
        <v>76.006627606830222</v>
      </c>
    </row>
    <row r="84" spans="1:23" x14ac:dyDescent="0.25">
      <c r="B84" s="415">
        <v>1</v>
      </c>
      <c r="C84" s="445">
        <f>SUMIF(B72:B77,B84,C72:C77)</f>
        <v>28.006332763613287</v>
      </c>
      <c r="D84" s="446">
        <f>SUMIF(B72:B77,B84,D72:D77)</f>
        <v>24.009440605358016</v>
      </c>
      <c r="E84" s="446">
        <f>SUMIF(B72:B77,B84,E72:E77)</f>
        <v>20.978683867610879</v>
      </c>
      <c r="F84" s="447">
        <f>SUMIF(B72:B77,B84,F72:F77)</f>
        <v>17.005542763417818</v>
      </c>
      <c r="G84" s="462">
        <f>SUM(C84:F84)</f>
        <v>90</v>
      </c>
      <c r="J84" s="415">
        <v>1</v>
      </c>
      <c r="K84" s="445">
        <f>SUMIF(J72:J77,J84,K72:K77)</f>
        <v>27.984239658563034</v>
      </c>
      <c r="L84" s="446">
        <f>SUMIF(J72:J77,J84,L72:L77)</f>
        <v>23.999235160213555</v>
      </c>
      <c r="M84" s="446">
        <f>SUMIF(J72:J77,J84,M72:M77)</f>
        <v>21.044290391470319</v>
      </c>
      <c r="N84" s="447">
        <f>SUMIF(J72:J77,J84,N72:N77)</f>
        <v>16.949745223638441</v>
      </c>
      <c r="O84" s="462">
        <f>SUM(K84:N84)</f>
        <v>89.977510433885357</v>
      </c>
      <c r="R84" s="415">
        <v>1</v>
      </c>
      <c r="S84" s="445">
        <f>SUMIF(R72:R77,R84,S72:S77)</f>
        <v>27.999999999999993</v>
      </c>
      <c r="T84" s="446">
        <f>SUMIF(R72:R77,R84,T72:T77)</f>
        <v>24</v>
      </c>
      <c r="U84" s="446">
        <f>SUMIF(R72:R77,R84,U72:U77)</f>
        <v>21.000000000000004</v>
      </c>
      <c r="V84" s="447">
        <f>SUMIF(R72:R77,R84,V72:V77)</f>
        <v>17</v>
      </c>
      <c r="W84" s="462">
        <f>SUM(S84:V84)</f>
        <v>90</v>
      </c>
    </row>
    <row r="85" spans="1:23" x14ac:dyDescent="0.25">
      <c r="B85" s="415">
        <v>2</v>
      </c>
      <c r="C85" s="449">
        <f>SUMIF(B72:B77,B85,C72:C77)</f>
        <v>23.033223040008409</v>
      </c>
      <c r="D85" s="450">
        <f>SUMIF(B72:B77,B85,D72:D77)</f>
        <v>20.00874310716727</v>
      </c>
      <c r="E85" s="450">
        <f>SUMIF(B72:B77,B85,E72:E77)</f>
        <v>19.946496553391377</v>
      </c>
      <c r="F85" s="451">
        <f>SUMIF(B72:B77,B85,F72:F77)</f>
        <v>22.011537299432955</v>
      </c>
      <c r="G85" s="462">
        <f>SUM(C85:F85)</f>
        <v>85.000000000000014</v>
      </c>
      <c r="J85" s="415">
        <v>2</v>
      </c>
      <c r="K85" s="449">
        <f>SUMIF(J72:J77,J85,K72:K77)</f>
        <v>23.01576034143697</v>
      </c>
      <c r="L85" s="450">
        <f>SUMIF(J72:J77,J85,L72:L77)</f>
        <v>20.000764839786441</v>
      </c>
      <c r="M85" s="450">
        <f>SUMIF(J72:J77,J85,M72:M77)</f>
        <v>19.955709608529677</v>
      </c>
      <c r="N85" s="451">
        <f>SUMIF(J72:J77,J85,N72:N77)</f>
        <v>21.978987124487382</v>
      </c>
      <c r="O85" s="462">
        <f>SUM(K85:N85)</f>
        <v>84.951221914240477</v>
      </c>
      <c r="R85" s="415">
        <v>2</v>
      </c>
      <c r="S85" s="449">
        <f>SUMIF(R72:R77,R85,S72:S77)</f>
        <v>23</v>
      </c>
      <c r="T85" s="450">
        <f>SUMIF(R72:R77,R85,T72:T77)</f>
        <v>20.000000000000004</v>
      </c>
      <c r="U85" s="450">
        <f>SUMIF(R72:R77,R85,U72:U77)</f>
        <v>20</v>
      </c>
      <c r="V85" s="451">
        <f>SUMIF(R72:R77,R85,V72:V77)</f>
        <v>22</v>
      </c>
      <c r="W85" s="462">
        <f>SUM(S85:V85)</f>
        <v>85</v>
      </c>
    </row>
    <row r="87" spans="1:23" x14ac:dyDescent="0.25">
      <c r="A87" s="415" t="s">
        <v>37</v>
      </c>
      <c r="B87" s="415" t="s">
        <v>911</v>
      </c>
      <c r="C87">
        <v>1</v>
      </c>
      <c r="D87">
        <f>C87+1</f>
        <v>2</v>
      </c>
      <c r="E87">
        <f>D87+1</f>
        <v>3</v>
      </c>
      <c r="F87">
        <f>E87+1</f>
        <v>4</v>
      </c>
      <c r="I87" s="415" t="s">
        <v>37</v>
      </c>
      <c r="J87" s="415" t="s">
        <v>911</v>
      </c>
      <c r="K87">
        <v>1</v>
      </c>
      <c r="L87">
        <f>K87+1</f>
        <v>2</v>
      </c>
      <c r="M87">
        <f>L87+1</f>
        <v>3</v>
      </c>
      <c r="N87">
        <f>M87+1</f>
        <v>4</v>
      </c>
      <c r="Q87" s="415" t="s">
        <v>37</v>
      </c>
      <c r="R87" s="415" t="s">
        <v>911</v>
      </c>
      <c r="S87">
        <v>1</v>
      </c>
      <c r="T87">
        <f>S87+1</f>
        <v>2</v>
      </c>
      <c r="U87">
        <f>T87+1</f>
        <v>3</v>
      </c>
      <c r="V87">
        <f>U87+1</f>
        <v>4</v>
      </c>
    </row>
    <row r="88" spans="1:23" x14ac:dyDescent="0.25">
      <c r="A88" s="415">
        <v>1</v>
      </c>
      <c r="B88" s="415">
        <v>1</v>
      </c>
      <c r="C88" s="452">
        <f>S72*$G$6/$W72</f>
        <v>7.2215904568831704</v>
      </c>
      <c r="D88" s="453">
        <f>T72*$G$6/$W72</f>
        <v>6.6743077051427004</v>
      </c>
      <c r="E88" s="453">
        <f>U72*$G$6/$W72</f>
        <v>5.1850005303129159</v>
      </c>
      <c r="F88" s="454">
        <f>V72*$G$6/$W72</f>
        <v>8.9191013076612151</v>
      </c>
      <c r="G88" s="367">
        <f t="shared" ref="G88:G93" si="14">SUM(C88:F88)</f>
        <v>28</v>
      </c>
      <c r="I88" s="415">
        <v>1</v>
      </c>
      <c r="J88" s="415">
        <v>1</v>
      </c>
      <c r="K88" s="452">
        <f>C88*$C$14/C96</f>
        <v>7.21530909294213</v>
      </c>
      <c r="L88" s="453">
        <f>D88*$D$14/D96</f>
        <v>6.670233152423533</v>
      </c>
      <c r="M88" s="453">
        <f>E88*$E$14/E96</f>
        <v>5.180350661055158</v>
      </c>
      <c r="N88" s="454">
        <f>F88*F80/F96</f>
        <v>8.9052678013742419</v>
      </c>
      <c r="O88" s="367">
        <f t="shared" ref="O88:O93" si="15">SUM(K88:N88)</f>
        <v>27.971160707795065</v>
      </c>
      <c r="Q88" s="415">
        <v>1</v>
      </c>
      <c r="R88" s="415">
        <v>1</v>
      </c>
      <c r="S88" s="452">
        <f>K88*$C$18/K100</f>
        <v>7.2169314488685128</v>
      </c>
      <c r="T88" s="453">
        <f>L88*$D$18/L100</f>
        <v>6.6698926518703709</v>
      </c>
      <c r="U88" s="453">
        <f>M88*$E$18/M100</f>
        <v>5.1774142750448586</v>
      </c>
      <c r="V88" s="454">
        <f>N88*$F$18/N100</f>
        <v>8.9159247831594612</v>
      </c>
      <c r="W88" s="367">
        <f t="shared" ref="W88:W93" si="16">SUM(S88:V88)</f>
        <v>27.980163158943206</v>
      </c>
    </row>
    <row r="89" spans="1:23" x14ac:dyDescent="0.25">
      <c r="A89" s="415">
        <v>1</v>
      </c>
      <c r="B89" s="415">
        <v>2</v>
      </c>
      <c r="C89" s="455">
        <f>S73*$G$7/$W73</f>
        <v>4.7888562705295499</v>
      </c>
      <c r="D89" s="456">
        <f>T73*$G$7/$W73</f>
        <v>7.3342442804873098</v>
      </c>
      <c r="E89" s="456">
        <f>U73*$G$7/$W73</f>
        <v>6.8257706384252508</v>
      </c>
      <c r="F89" s="457">
        <f>V73*$G$7/$W73</f>
        <v>3.0511288105578864</v>
      </c>
      <c r="G89" s="367">
        <f t="shared" si="14"/>
        <v>21.999999999999996</v>
      </c>
      <c r="I89" s="415">
        <v>1</v>
      </c>
      <c r="J89" s="415">
        <v>2</v>
      </c>
      <c r="K89" s="455">
        <f>C89*$C$14/C96</f>
        <v>4.78469090705787</v>
      </c>
      <c r="L89" s="456">
        <f>D89*$D$14/D96</f>
        <v>7.329766847576467</v>
      </c>
      <c r="M89" s="456">
        <f>E89*$E$14/E96</f>
        <v>6.819649338944842</v>
      </c>
      <c r="N89" s="457">
        <f>F89*$F$14/F96</f>
        <v>3.0587169473849602</v>
      </c>
      <c r="O89" s="367">
        <f t="shared" si="15"/>
        <v>21.992824040964138</v>
      </c>
      <c r="Q89" s="415">
        <v>1</v>
      </c>
      <c r="R89" s="415">
        <v>2</v>
      </c>
      <c r="S89" s="455">
        <f>K89*$C$19/K101</f>
        <v>4.7833818493082427</v>
      </c>
      <c r="T89" s="456">
        <f>L89*$D$19/L101</f>
        <v>7.3302158999433935</v>
      </c>
      <c r="U89" s="456">
        <f>M89*$E$19/M101</f>
        <v>6.8237129326299684</v>
      </c>
      <c r="V89" s="457">
        <f>N89*$F$19/N101</f>
        <v>3.0609007020012884</v>
      </c>
      <c r="W89" s="367">
        <f t="shared" si="16"/>
        <v>21.998211383882893</v>
      </c>
    </row>
    <row r="90" spans="1:23" x14ac:dyDescent="0.25">
      <c r="A90" s="415">
        <v>2</v>
      </c>
      <c r="B90" s="415">
        <v>1</v>
      </c>
      <c r="C90" s="455">
        <f>S74*$G$8/$W74</f>
        <v>12.598812479244831</v>
      </c>
      <c r="D90" s="456">
        <f>T74*$G$8/$W74</f>
        <v>11.120005743870403</v>
      </c>
      <c r="E90" s="456">
        <f>U74*$G$8/$W74</f>
        <v>3.3647022310513504</v>
      </c>
      <c r="F90" s="457">
        <f>V74*$G$8/$W74</f>
        <v>1.9164795458334207</v>
      </c>
      <c r="G90" s="367">
        <f t="shared" si="14"/>
        <v>29.000000000000007</v>
      </c>
      <c r="I90" s="415">
        <v>2</v>
      </c>
      <c r="J90" s="415">
        <v>1</v>
      </c>
      <c r="K90" s="455">
        <f>C90*$C$15/C97</f>
        <v>12.596756906325316</v>
      </c>
      <c r="L90" s="456">
        <f>D90*$D$15/D97</f>
        <v>11.122889192856496</v>
      </c>
      <c r="M90" s="456">
        <f>E90*$E$15/E97</f>
        <v>3.3650112652588233</v>
      </c>
      <c r="N90" s="457">
        <f>F90*$F$15/F97</f>
        <v>1.9158294103896898</v>
      </c>
      <c r="O90" s="367">
        <f t="shared" si="15"/>
        <v>29.000486774830325</v>
      </c>
      <c r="Q90" s="415">
        <v>2</v>
      </c>
      <c r="R90" s="415">
        <v>1</v>
      </c>
      <c r="S90" s="455">
        <f>K90*$C$18/K100</f>
        <v>12.599589276076484</v>
      </c>
      <c r="T90" s="456">
        <f>L90*$D$18/L100</f>
        <v>11.12232139412497</v>
      </c>
      <c r="U90" s="456">
        <f>M90*$E$18/M100</f>
        <v>3.3631038708273824</v>
      </c>
      <c r="V90" s="457">
        <f>N90*$F$18/N100</f>
        <v>1.9181220937301011</v>
      </c>
      <c r="W90" s="367">
        <f t="shared" si="16"/>
        <v>29.003136634758935</v>
      </c>
    </row>
    <row r="91" spans="1:23" x14ac:dyDescent="0.25">
      <c r="A91" s="415">
        <v>2</v>
      </c>
      <c r="B91" s="415">
        <v>2</v>
      </c>
      <c r="C91" s="455">
        <f>S75*$G$9/$W75</f>
        <v>2.4036352613936538</v>
      </c>
      <c r="D91" s="456">
        <f>T75*$G$9/$W75</f>
        <v>2.8763649575628869</v>
      </c>
      <c r="E91" s="456">
        <f>U75*$G$9/$W75</f>
        <v>9.6341038815050535</v>
      </c>
      <c r="F91" s="457">
        <f>V75*$G$9/$W75</f>
        <v>5.0858958995384045</v>
      </c>
      <c r="G91" s="367">
        <f t="shared" si="14"/>
        <v>20</v>
      </c>
      <c r="I91" s="415">
        <v>2</v>
      </c>
      <c r="J91" s="415">
        <v>2</v>
      </c>
      <c r="K91" s="455">
        <f>C91*$C$15/C97</f>
        <v>2.4032430936746842</v>
      </c>
      <c r="L91" s="456">
        <f>D91*$D$15/D97</f>
        <v>2.8771108071435036</v>
      </c>
      <c r="M91" s="456">
        <f>E91*$E$15/E97</f>
        <v>9.6349887347411762</v>
      </c>
      <c r="N91" s="457">
        <f>F91*$F$15/F97</f>
        <v>5.0841705896103093</v>
      </c>
      <c r="O91" s="367">
        <f t="shared" si="15"/>
        <v>19.999513225169672</v>
      </c>
      <c r="Q91" s="415">
        <v>2</v>
      </c>
      <c r="R91" s="415">
        <v>2</v>
      </c>
      <c r="S91" s="455">
        <f>K91*$C$19/K101</f>
        <v>2.4025855832822423</v>
      </c>
      <c r="T91" s="456">
        <f>L91*$D$19/L101</f>
        <v>2.8772870710608598</v>
      </c>
      <c r="U91" s="456">
        <f>M91*$E$19/M101</f>
        <v>9.6407298920108282</v>
      </c>
      <c r="V91" s="457">
        <f>N91*$F$19/N101</f>
        <v>5.0878004060288413</v>
      </c>
      <c r="W91" s="367">
        <f t="shared" si="16"/>
        <v>20.00840295238277</v>
      </c>
    </row>
    <row r="92" spans="1:23" x14ac:dyDescent="0.25">
      <c r="A92" s="415">
        <v>3</v>
      </c>
      <c r="B92" s="415">
        <v>1</v>
      </c>
      <c r="C92" s="455">
        <f>S76*$G$10/$W76</f>
        <v>8.1803913333493448</v>
      </c>
      <c r="D92" s="456">
        <f>T76*$G$10/$W76</f>
        <v>6.208088775122385</v>
      </c>
      <c r="E92" s="456">
        <f>U76*$G$10/$W76</f>
        <v>12.442159350851144</v>
      </c>
      <c r="F92" s="457">
        <f>V76*$G$10/$W76</f>
        <v>6.169360540677121</v>
      </c>
      <c r="G92" s="367">
        <f t="shared" si="14"/>
        <v>32.999999999999993</v>
      </c>
      <c r="I92" s="415">
        <v>3</v>
      </c>
      <c r="J92" s="415">
        <v>1</v>
      </c>
      <c r="K92" s="455">
        <f>C92*$C$16/C98</f>
        <v>8.1816396405518397</v>
      </c>
      <c r="L92" s="456">
        <f>D92*$D$16/D98</f>
        <v>6.2081028638353812</v>
      </c>
      <c r="M92" s="456">
        <f>E92*$E$16/E98</f>
        <v>12.466548286572307</v>
      </c>
      <c r="N92" s="457">
        <f>F92*$F$16/F98</f>
        <v>6.1585831136364231</v>
      </c>
      <c r="O92" s="367">
        <f t="shared" si="15"/>
        <v>33.014873904595952</v>
      </c>
      <c r="Q92" s="415">
        <v>3</v>
      </c>
      <c r="R92" s="415">
        <v>1</v>
      </c>
      <c r="S92" s="455">
        <f>K92*$C$18/K100</f>
        <v>8.1834792750550047</v>
      </c>
      <c r="T92" s="456">
        <f>L92*$D$18/L100</f>
        <v>6.2077859540046569</v>
      </c>
      <c r="U92" s="456">
        <f>M92*$E$18/M100</f>
        <v>12.459481854127759</v>
      </c>
      <c r="V92" s="457">
        <f>N92*$F$18/N100</f>
        <v>6.1659531231104401</v>
      </c>
      <c r="W92" s="367">
        <f t="shared" si="16"/>
        <v>33.016700206297863</v>
      </c>
    </row>
    <row r="93" spans="1:23" x14ac:dyDescent="0.25">
      <c r="A93" s="415">
        <v>3</v>
      </c>
      <c r="B93" s="415">
        <v>2</v>
      </c>
      <c r="C93" s="458">
        <f>S77*$G$11/$W77</f>
        <v>15.815946885617009</v>
      </c>
      <c r="D93" s="459">
        <f>T77*$G$11/$W77</f>
        <v>9.7918749143632926</v>
      </c>
      <c r="E93" s="459">
        <f>U77*$G$11/$W77</f>
        <v>3.5265390440398541</v>
      </c>
      <c r="F93" s="460">
        <f>V77*$G$11/$W77</f>
        <v>13.86563915597984</v>
      </c>
      <c r="G93" s="367">
        <f t="shared" si="14"/>
        <v>42.999999999999993</v>
      </c>
      <c r="I93" s="415">
        <v>3</v>
      </c>
      <c r="J93" s="415">
        <v>2</v>
      </c>
      <c r="K93" s="458">
        <f>C93*$C$16/C98</f>
        <v>15.81836035944816</v>
      </c>
      <c r="L93" s="459">
        <f>D93*$D$16/D98</f>
        <v>9.7918971361646179</v>
      </c>
      <c r="M93" s="459">
        <f>E93*$E$16/E98</f>
        <v>3.5334517134276942</v>
      </c>
      <c r="N93" s="460">
        <f>F93*$F$16/F98</f>
        <v>13.841416886363579</v>
      </c>
      <c r="O93" s="367">
        <f t="shared" si="15"/>
        <v>42.985126095404055</v>
      </c>
      <c r="Q93" s="415">
        <v>3</v>
      </c>
      <c r="R93" s="415">
        <v>2</v>
      </c>
      <c r="S93" s="458">
        <f>K93*$C$19/K101</f>
        <v>15.814032567409516</v>
      </c>
      <c r="T93" s="459">
        <f>L93*$D$19/L101</f>
        <v>9.7924970289957471</v>
      </c>
      <c r="U93" s="459">
        <f>M93*$E$19/M101</f>
        <v>3.5355571753592026</v>
      </c>
      <c r="V93" s="460">
        <f>N93*$F$19/N101</f>
        <v>13.851298891969869</v>
      </c>
      <c r="W93" s="367">
        <f t="shared" si="16"/>
        <v>42.99338566373433</v>
      </c>
    </row>
    <row r="94" spans="1:23" x14ac:dyDescent="0.25">
      <c r="C94" s="461">
        <f>SUM(C88:C93)</f>
        <v>51.009232687017558</v>
      </c>
      <c r="D94" s="461">
        <f>SUM(D88:D93)</f>
        <v>44.004886376548981</v>
      </c>
      <c r="E94" s="461">
        <f>SUM(E88:E93)</f>
        <v>40.978275676185561</v>
      </c>
      <c r="F94" s="461">
        <f>SUM(F88:F93)</f>
        <v>39.007605260247885</v>
      </c>
      <c r="G94" s="463">
        <f>SUM(G88:G93)</f>
        <v>175</v>
      </c>
      <c r="K94" s="461">
        <f>SUM(K88:K93)</f>
        <v>51</v>
      </c>
      <c r="L94" s="461">
        <f>SUM(L88:L93)</f>
        <v>44</v>
      </c>
      <c r="M94" s="461">
        <f>SUM(M88:M93)</f>
        <v>41</v>
      </c>
      <c r="N94" s="461">
        <f>SUM(N88:N93)</f>
        <v>38.963984748759202</v>
      </c>
      <c r="O94" s="463">
        <f>SUM(O88:O93)</f>
        <v>174.96398474875923</v>
      </c>
      <c r="S94" s="461">
        <f>SUM(S88:S93)</f>
        <v>51</v>
      </c>
      <c r="T94" s="461">
        <f>SUM(T88:T93)</f>
        <v>44</v>
      </c>
      <c r="U94" s="461">
        <f>SUM(U88:U93)</f>
        <v>41</v>
      </c>
      <c r="V94" s="461">
        <f>SUM(V88:V93)</f>
        <v>39</v>
      </c>
      <c r="W94" s="463">
        <f>SUM(W88:W93)</f>
        <v>175</v>
      </c>
    </row>
    <row r="96" spans="1:23" x14ac:dyDescent="0.25">
      <c r="A96" s="415">
        <v>1</v>
      </c>
      <c r="C96" s="445">
        <f>SUMIF(A88:A93,A96,C88:C93)</f>
        <v>12.01044672741272</v>
      </c>
      <c r="D96" s="446">
        <f>SUMIF(A88:A93,A96,D88:D93)</f>
        <v>14.00855198563001</v>
      </c>
      <c r="E96" s="446">
        <f>SUMIF(A88:A93,A96,E88:E93)</f>
        <v>12.010771168738167</v>
      </c>
      <c r="F96" s="447">
        <f>SUMIF(A88:A93,A96,F88:F93)</f>
        <v>11.970230118219101</v>
      </c>
      <c r="G96" s="462">
        <f>SUM(C96:F96)</f>
        <v>49.999999999999993</v>
      </c>
      <c r="I96" s="415">
        <v>1</v>
      </c>
      <c r="K96" s="445">
        <f>SUMIF(I88:I93,I96,K88:K93)</f>
        <v>12</v>
      </c>
      <c r="L96" s="446">
        <f>SUMIF(I88:I93,I96,L88:L93)</f>
        <v>14</v>
      </c>
      <c r="M96" s="446">
        <f>SUMIF(I88:I93,I96,M88:M93)</f>
        <v>12</v>
      </c>
      <c r="N96" s="447">
        <f>SUMIF(I88:I93,I96,N88:N93)</f>
        <v>11.963984748759202</v>
      </c>
      <c r="O96" s="462">
        <f>SUM(K96:N96)</f>
        <v>49.963984748759202</v>
      </c>
      <c r="Q96" s="415">
        <v>1</v>
      </c>
      <c r="S96" s="445">
        <f>SUMIF(Q88:Q93,Q96,S88:S93)</f>
        <v>12.000313298176756</v>
      </c>
      <c r="T96" s="446">
        <f>SUMIF(Q88:Q93,Q96,T88:T93)</f>
        <v>14.000108551813764</v>
      </c>
      <c r="U96" s="446">
        <f>SUMIF(Q88:Q93,Q96,U88:U93)</f>
        <v>12.001127207674827</v>
      </c>
      <c r="V96" s="447">
        <f>SUMIF(Q88:Q93,Q96,V88:V93)</f>
        <v>11.976825485160749</v>
      </c>
      <c r="W96" s="462">
        <f>SUM(S96:V96)</f>
        <v>49.978374542826089</v>
      </c>
    </row>
    <row r="97" spans="1:23" x14ac:dyDescent="0.25">
      <c r="A97" s="415">
        <v>2</v>
      </c>
      <c r="C97" s="448">
        <f>SUMIF(A88:A93,A97,C88:C93)</f>
        <v>15.002447740638484</v>
      </c>
      <c r="D97" s="367">
        <f>SUMIF(A88:A93,A97,D88:D93)</f>
        <v>13.996370701433289</v>
      </c>
      <c r="E97" s="367">
        <f>SUMIF(A88:A93,A97,E88:E93)</f>
        <v>12.998806112556403</v>
      </c>
      <c r="F97" s="364">
        <f>SUMIF(A88:A93,A97,F88:F93)</f>
        <v>7.0023754453718254</v>
      </c>
      <c r="G97" s="462">
        <f>SUM(C97:F97)</f>
        <v>49</v>
      </c>
      <c r="I97" s="415">
        <v>2</v>
      </c>
      <c r="K97" s="448">
        <f>SUMIF(I88:I93,I97,K88:K93)</f>
        <v>15</v>
      </c>
      <c r="L97" s="367">
        <f>SUMIF(I88:I93,I97,L88:L93)</f>
        <v>14</v>
      </c>
      <c r="M97" s="367">
        <f>SUMIF(I88:I93,I97,M88:M93)</f>
        <v>13</v>
      </c>
      <c r="N97" s="364">
        <f>SUMIF(I88:I93,I97,N88:N93)</f>
        <v>6.9999999999999991</v>
      </c>
      <c r="O97" s="462">
        <f>SUM(K97:N97)</f>
        <v>49</v>
      </c>
      <c r="Q97" s="415">
        <v>2</v>
      </c>
      <c r="S97" s="448">
        <f>SUMIF(Q88:Q93,Q97,S88:S93)</f>
        <v>15.002174859358727</v>
      </c>
      <c r="T97" s="367">
        <f>SUMIF(Q88:Q93,Q97,T88:T93)</f>
        <v>13.99960846518583</v>
      </c>
      <c r="U97" s="367">
        <f>SUMIF(Q88:Q93,Q97,U88:U93)</f>
        <v>13.003833762838211</v>
      </c>
      <c r="V97" s="364">
        <f>SUMIF(Q88:Q93,Q97,V88:V93)</f>
        <v>7.0059224997589427</v>
      </c>
      <c r="W97" s="462">
        <f>SUM(S97:V97)</f>
        <v>49.011539587141712</v>
      </c>
    </row>
    <row r="98" spans="1:23" x14ac:dyDescent="0.25">
      <c r="A98" s="415">
        <v>3</v>
      </c>
      <c r="C98" s="449">
        <f>SUMIF(A88:A93,A98,C88:C93)</f>
        <v>23.996338218966354</v>
      </c>
      <c r="D98" s="450">
        <f>SUMIF(A88:A93,A98,D88:D93)</f>
        <v>15.999963689485678</v>
      </c>
      <c r="E98" s="450">
        <f>SUMIF(A88:A93,A98,E88:E93)</f>
        <v>15.968698394890998</v>
      </c>
      <c r="F98" s="451">
        <f>SUMIF(A88:A93,A98,F88:F93)</f>
        <v>20.034999696656961</v>
      </c>
      <c r="G98" s="462">
        <f>SUM(C98:F98)</f>
        <v>76</v>
      </c>
      <c r="I98" s="415">
        <v>3</v>
      </c>
      <c r="K98" s="449">
        <f>SUMIF(I88:I93,I98,K88:K93)</f>
        <v>24</v>
      </c>
      <c r="L98" s="450">
        <f>SUMIF(I88:I93,I98,L88:L93)</f>
        <v>16</v>
      </c>
      <c r="M98" s="450">
        <f>SUMIF(I88:I93,I98,M88:M93)</f>
        <v>16</v>
      </c>
      <c r="N98" s="451">
        <f>SUMIF(I88:I93,I98,N88:N93)</f>
        <v>20</v>
      </c>
      <c r="O98" s="462">
        <f>SUM(K98:N98)</f>
        <v>76</v>
      </c>
      <c r="Q98" s="415">
        <v>3</v>
      </c>
      <c r="S98" s="449">
        <f>SUMIF(Q88:Q93,Q98,S88:S93)</f>
        <v>23.997511842464519</v>
      </c>
      <c r="T98" s="450">
        <f>SUMIF(Q88:Q93,Q98,T88:T93)</f>
        <v>16.000282983000403</v>
      </c>
      <c r="U98" s="450">
        <f>SUMIF(Q88:Q93,Q98,U88:U93)</f>
        <v>15.995039029486961</v>
      </c>
      <c r="V98" s="451">
        <f>SUMIF(Q88:Q93,Q98,V88:V93)</f>
        <v>20.017252015080309</v>
      </c>
      <c r="W98" s="462">
        <f>SUM(S98:V98)</f>
        <v>76.010085870032185</v>
      </c>
    </row>
    <row r="100" spans="1:23" x14ac:dyDescent="0.25">
      <c r="B100" s="415">
        <v>1</v>
      </c>
      <c r="C100" s="445">
        <f>SUMIF(B88:B93,B100,C88:C93)</f>
        <v>28.000794269477346</v>
      </c>
      <c r="D100" s="446">
        <f>SUMIF(B88:B93,B100,D88:D93)</f>
        <v>24.002402224135487</v>
      </c>
      <c r="E100" s="446">
        <f>SUMIF(B88:B93,B100,E88:E93)</f>
        <v>20.991862112215408</v>
      </c>
      <c r="F100" s="447">
        <f>SUMIF(B88:B93,B100,F88:F93)</f>
        <v>17.004941394171755</v>
      </c>
      <c r="G100" s="462">
        <f>SUM(C100:F100)</f>
        <v>89.999999999999986</v>
      </c>
      <c r="J100" s="415">
        <v>1</v>
      </c>
      <c r="K100" s="445">
        <f>SUMIF(J88:J93,J100,K88:K93)</f>
        <v>27.993705639819286</v>
      </c>
      <c r="L100" s="446">
        <f>SUMIF(J88:J93,J100,L88:L93)</f>
        <v>24.001225209115411</v>
      </c>
      <c r="M100" s="446">
        <f>SUMIF(J88:J93,J100,M88:M93)</f>
        <v>21.011910212886288</v>
      </c>
      <c r="N100" s="447">
        <f>SUMIF(J88:J93,J100,N88:N93)</f>
        <v>16.979680325400352</v>
      </c>
      <c r="O100" s="462">
        <f>SUM(K100:N100)</f>
        <v>89.986521387221345</v>
      </c>
      <c r="R100" s="415">
        <v>1</v>
      </c>
      <c r="S100" s="445">
        <f>SUMIF(R88:R93,R100,S88:S93)</f>
        <v>28</v>
      </c>
      <c r="T100" s="446">
        <f>SUMIF(R88:R93,R100,T88:T93)</f>
        <v>23.999999999999996</v>
      </c>
      <c r="U100" s="446">
        <f>SUMIF(R88:R93,R100,U88:U93)</f>
        <v>21</v>
      </c>
      <c r="V100" s="447">
        <f>SUMIF(R88:R93,R100,V88:V93)</f>
        <v>17.000000000000004</v>
      </c>
      <c r="W100" s="462">
        <f>SUM(S100:V100)</f>
        <v>90</v>
      </c>
    </row>
    <row r="101" spans="1:23" x14ac:dyDescent="0.25">
      <c r="B101" s="415">
        <v>2</v>
      </c>
      <c r="C101" s="449">
        <f>SUMIF(B88:B93,B101,C88:C93)</f>
        <v>23.008438417540212</v>
      </c>
      <c r="D101" s="450">
        <f>SUMIF(B88:B93,B101,D88:D93)</f>
        <v>20.002484152413487</v>
      </c>
      <c r="E101" s="450">
        <f>SUMIF(B88:B93,B101,E88:E93)</f>
        <v>19.986413563970157</v>
      </c>
      <c r="F101" s="451">
        <f>SUMIF(B88:B93,B101,F88:F93)</f>
        <v>22.002663866076134</v>
      </c>
      <c r="G101" s="462">
        <f>SUM(C101:F101)</f>
        <v>84.999999999999986</v>
      </c>
      <c r="J101" s="415">
        <v>2</v>
      </c>
      <c r="K101" s="449">
        <f>SUMIF(J88:J93,J101,K88:K93)</f>
        <v>23.006294360180714</v>
      </c>
      <c r="L101" s="450">
        <f>SUMIF(J88:J93,J101,L88:L93)</f>
        <v>19.998774790884589</v>
      </c>
      <c r="M101" s="450">
        <f>SUMIF(J88:J93,J101,M88:M93)</f>
        <v>19.988089787113715</v>
      </c>
      <c r="N101" s="451">
        <f>SUMIF(J88:J93,J101,N88:N93)</f>
        <v>21.98430442335885</v>
      </c>
      <c r="O101" s="462">
        <f>SUM(K101:N101)</f>
        <v>84.977463361537872</v>
      </c>
      <c r="R101" s="415">
        <v>2</v>
      </c>
      <c r="S101" s="449">
        <f>SUMIF(R88:R93,R101,S88:S93)</f>
        <v>23</v>
      </c>
      <c r="T101" s="450">
        <f>SUMIF(R88:R93,R101,T88:T93)</f>
        <v>20</v>
      </c>
      <c r="U101" s="450">
        <f>SUMIF(R88:R93,R101,U88:U93)</f>
        <v>20</v>
      </c>
      <c r="V101" s="451">
        <f>SUMIF(R88:R93,R101,V88:V93)</f>
        <v>22</v>
      </c>
      <c r="W101" s="462">
        <f>SUM(S101:V101)</f>
        <v>85</v>
      </c>
    </row>
    <row r="103" spans="1:23" x14ac:dyDescent="0.25">
      <c r="A103" s="415" t="s">
        <v>37</v>
      </c>
      <c r="B103" s="415" t="s">
        <v>911</v>
      </c>
      <c r="C103">
        <v>1</v>
      </c>
      <c r="D103">
        <f>C103+1</f>
        <v>2</v>
      </c>
      <c r="E103">
        <f>D103+1</f>
        <v>3</v>
      </c>
      <c r="F103">
        <f>E103+1</f>
        <v>4</v>
      </c>
      <c r="I103" s="415" t="s">
        <v>37</v>
      </c>
      <c r="J103" s="415" t="s">
        <v>911</v>
      </c>
      <c r="K103">
        <v>1</v>
      </c>
      <c r="L103">
        <f>K103+1</f>
        <v>2</v>
      </c>
      <c r="M103">
        <f>L103+1</f>
        <v>3</v>
      </c>
      <c r="N103">
        <f>M103+1</f>
        <v>4</v>
      </c>
      <c r="Q103" s="415" t="s">
        <v>37</v>
      </c>
      <c r="R103" s="415" t="s">
        <v>911</v>
      </c>
      <c r="S103">
        <v>1</v>
      </c>
      <c r="T103">
        <f>S103+1</f>
        <v>2</v>
      </c>
      <c r="U103">
        <f>T103+1</f>
        <v>3</v>
      </c>
      <c r="V103">
        <f>U103+1</f>
        <v>4</v>
      </c>
    </row>
    <row r="104" spans="1:23" x14ac:dyDescent="0.25">
      <c r="A104" s="415">
        <v>1</v>
      </c>
      <c r="B104" s="415">
        <v>1</v>
      </c>
      <c r="C104" s="452">
        <f>S88*$G$6/$W88</f>
        <v>7.2220479709293652</v>
      </c>
      <c r="D104" s="453">
        <f>T88*$G$6/$W88</f>
        <v>6.67462134482507</v>
      </c>
      <c r="E104" s="453">
        <f>U88*$G$6/$W88</f>
        <v>5.1810848592182177</v>
      </c>
      <c r="F104" s="454">
        <f>V88*$G$6/$W88</f>
        <v>8.9222458250273444</v>
      </c>
      <c r="G104" s="367">
        <f t="shared" ref="G104:G109" si="17">SUM(C104:F104)</f>
        <v>28</v>
      </c>
      <c r="I104" s="415">
        <v>1</v>
      </c>
      <c r="J104" s="415">
        <v>1</v>
      </c>
      <c r="K104" s="452">
        <f>C104*$C$14/C112</f>
        <v>7.218547730637229</v>
      </c>
      <c r="L104" s="453">
        <f>D104*$D$14/D112</f>
        <v>6.6720320030038209</v>
      </c>
      <c r="M104" s="453">
        <f>E104*$E$14/E112</f>
        <v>5.178774862454695</v>
      </c>
      <c r="N104" s="454">
        <f>F104*F96/F112</f>
        <v>8.9124436042872723</v>
      </c>
      <c r="O104" s="367">
        <f t="shared" ref="O104:O109" si="18">SUM(K104:N104)</f>
        <v>27.981798200383018</v>
      </c>
      <c r="Q104" s="415">
        <v>1</v>
      </c>
      <c r="R104" s="415">
        <v>1</v>
      </c>
      <c r="S104" s="452">
        <f>K104*$C$18/K116</f>
        <v>7.219138304661362</v>
      </c>
      <c r="T104" s="453">
        <f>L104*$D$18/L116</f>
        <v>6.6718799024809137</v>
      </c>
      <c r="U104" s="453">
        <f>M104*$E$18/M116</f>
        <v>5.1779875517329268</v>
      </c>
      <c r="V104" s="454">
        <f>N104*$F$18/N116</f>
        <v>8.9191565499525076</v>
      </c>
      <c r="W104" s="367">
        <f t="shared" ref="W104:W109" si="19">SUM(S104:V104)</f>
        <v>27.988162308827711</v>
      </c>
    </row>
    <row r="105" spans="1:23" x14ac:dyDescent="0.25">
      <c r="A105" s="415">
        <v>1</v>
      </c>
      <c r="B105" s="415">
        <v>2</v>
      </c>
      <c r="C105" s="455">
        <f>S89*$G$7/$W89</f>
        <v>4.7837707733766885</v>
      </c>
      <c r="D105" s="456">
        <f>T89*$G$7/$W89</f>
        <v>7.3308119003214109</v>
      </c>
      <c r="E105" s="456">
        <f>U89*$G$7/$W89</f>
        <v>6.8242677505975218</v>
      </c>
      <c r="F105" s="457">
        <f>V89*$G$7/$W89</f>
        <v>3.0611495757043783</v>
      </c>
      <c r="G105" s="367">
        <f t="shared" si="17"/>
        <v>21.999999999999996</v>
      </c>
      <c r="I105" s="415">
        <v>1</v>
      </c>
      <c r="J105" s="415">
        <v>2</v>
      </c>
      <c r="K105" s="455">
        <f>C105*$C$14/C112</f>
        <v>4.7814522693627701</v>
      </c>
      <c r="L105" s="456">
        <f>D105*$D$14/D112</f>
        <v>7.32796799699618</v>
      </c>
      <c r="M105" s="456">
        <f>E105*$E$14/E112</f>
        <v>6.8212251375453059</v>
      </c>
      <c r="N105" s="457">
        <f>F105*$F$14/F112</f>
        <v>3.0653912084224078</v>
      </c>
      <c r="O105" s="367">
        <f t="shared" si="18"/>
        <v>21.996036612326662</v>
      </c>
      <c r="Q105" s="415">
        <v>1</v>
      </c>
      <c r="R105" s="415">
        <v>2</v>
      </c>
      <c r="S105" s="455">
        <f>K105*$C$19/K117</f>
        <v>4.7809761281767225</v>
      </c>
      <c r="T105" s="456">
        <f>L105*$D$19/L117</f>
        <v>7.3281684715142026</v>
      </c>
      <c r="U105" s="456">
        <f>M105*$E$19/M117</f>
        <v>6.8223143339226899</v>
      </c>
      <c r="V105" s="457">
        <f>N105*$F$19/N117</f>
        <v>3.0666973771323476</v>
      </c>
      <c r="W105" s="367">
        <f t="shared" si="19"/>
        <v>21.998156310745962</v>
      </c>
    </row>
    <row r="106" spans="1:23" x14ac:dyDescent="0.25">
      <c r="A106" s="415">
        <v>2</v>
      </c>
      <c r="B106" s="415">
        <v>1</v>
      </c>
      <c r="C106" s="455">
        <f>S90*$G$8/$W90</f>
        <v>12.598226654158402</v>
      </c>
      <c r="D106" s="456">
        <f>T90*$G$8/$W90</f>
        <v>11.121118535954002</v>
      </c>
      <c r="E106" s="456">
        <f>U90*$G$8/$W90</f>
        <v>3.3627401574596876</v>
      </c>
      <c r="F106" s="457">
        <f>V90*$G$8/$W90</f>
        <v>1.9179146524279125</v>
      </c>
      <c r="G106" s="367">
        <f t="shared" si="17"/>
        <v>29.000000000000007</v>
      </c>
      <c r="I106" s="415">
        <v>2</v>
      </c>
      <c r="J106" s="415">
        <v>1</v>
      </c>
      <c r="K106" s="455">
        <f>C106*$C$15/C113</f>
        <v>12.598391927620954</v>
      </c>
      <c r="L106" s="456">
        <f>D106*$D$15/D113</f>
        <v>11.123345406345839</v>
      </c>
      <c r="M106" s="456">
        <f>E106*$E$15/E113</f>
        <v>3.3628898782668979</v>
      </c>
      <c r="N106" s="457">
        <f>F106*$F$15/F113</f>
        <v>1.9169347348425116</v>
      </c>
      <c r="O106" s="367">
        <f t="shared" si="18"/>
        <v>29.001561947076205</v>
      </c>
      <c r="Q106" s="415">
        <v>2</v>
      </c>
      <c r="R106" s="415">
        <v>1</v>
      </c>
      <c r="S106" s="455">
        <f>K106*$C$18/K116</f>
        <v>12.599422645058302</v>
      </c>
      <c r="T106" s="456">
        <f>L106*$D$18/L116</f>
        <v>11.123091830425937</v>
      </c>
      <c r="U106" s="456">
        <f>M106*$E$18/M116</f>
        <v>3.3623786300802885</v>
      </c>
      <c r="V106" s="457">
        <f>N106*$F$18/N116</f>
        <v>1.9183785901183659</v>
      </c>
      <c r="W106" s="367">
        <f t="shared" si="19"/>
        <v>29.003271695682894</v>
      </c>
    </row>
    <row r="107" spans="1:23" x14ac:dyDescent="0.25">
      <c r="A107" s="415">
        <v>2</v>
      </c>
      <c r="B107" s="415">
        <v>2</v>
      </c>
      <c r="C107" s="455">
        <f>S91*$G$9/$W91</f>
        <v>2.4015765666056041</v>
      </c>
      <c r="D107" s="456">
        <f>T91*$G$9/$W91</f>
        <v>2.8760786934453537</v>
      </c>
      <c r="E107" s="456">
        <f>U91*$G$9/$W91</f>
        <v>9.636681063405641</v>
      </c>
      <c r="F107" s="457">
        <f>V91*$G$9/$W91</f>
        <v>5.085663676543402</v>
      </c>
      <c r="G107" s="367">
        <f t="shared" si="17"/>
        <v>20</v>
      </c>
      <c r="I107" s="415">
        <v>2</v>
      </c>
      <c r="J107" s="415">
        <v>2</v>
      </c>
      <c r="K107" s="455">
        <f>C107*$C$15/C113</f>
        <v>2.4016080723790467</v>
      </c>
      <c r="L107" s="456">
        <f>D107*$D$15/D113</f>
        <v>2.8766545936541608</v>
      </c>
      <c r="M107" s="456">
        <f>E107*$E$15/E113</f>
        <v>9.6371101217331017</v>
      </c>
      <c r="N107" s="457">
        <f>F107*$F$15/F113</f>
        <v>5.0830652651574884</v>
      </c>
      <c r="O107" s="367">
        <f t="shared" si="18"/>
        <v>19.998438052923795</v>
      </c>
      <c r="Q107" s="415">
        <v>2</v>
      </c>
      <c r="R107" s="415">
        <v>2</v>
      </c>
      <c r="S107" s="455">
        <f>K107*$C$19/K117</f>
        <v>2.401368918153179</v>
      </c>
      <c r="T107" s="456">
        <f>L107*$D$19/L117</f>
        <v>2.8767332915883514</v>
      </c>
      <c r="U107" s="456">
        <f>M107*$E$19/M117</f>
        <v>9.6386489516678093</v>
      </c>
      <c r="V107" s="457">
        <f>N107*$F$19/N117</f>
        <v>5.0852311684137153</v>
      </c>
      <c r="W107" s="367">
        <f t="shared" si="19"/>
        <v>20.001982329823058</v>
      </c>
    </row>
    <row r="108" spans="1:23" x14ac:dyDescent="0.25">
      <c r="A108" s="415">
        <v>3</v>
      </c>
      <c r="B108" s="415">
        <v>1</v>
      </c>
      <c r="C108" s="455">
        <f>S92*$G$10/$W92</f>
        <v>8.1793399821737118</v>
      </c>
      <c r="D108" s="456">
        <f>T92*$G$10/$W92</f>
        <v>6.2046459883073863</v>
      </c>
      <c r="E108" s="456">
        <f>U92*$G$10/$W92</f>
        <v>12.453179712604582</v>
      </c>
      <c r="F108" s="457">
        <f>V92*$G$10/$W92</f>
        <v>6.162834316914318</v>
      </c>
      <c r="G108" s="367">
        <f t="shared" si="17"/>
        <v>33</v>
      </c>
      <c r="I108" s="415">
        <v>3</v>
      </c>
      <c r="J108" s="415">
        <v>1</v>
      </c>
      <c r="K108" s="455">
        <f>C108*$C$16/C114</f>
        <v>8.1807697535887911</v>
      </c>
      <c r="L108" s="456">
        <f>D108*$D$16/D114</f>
        <v>6.2051697246819932</v>
      </c>
      <c r="M108" s="456">
        <f>E108*$E$16/E114</f>
        <v>12.461528300009375</v>
      </c>
      <c r="N108" s="457">
        <f>F108*$F$16/F114</f>
        <v>6.1578267204888162</v>
      </c>
      <c r="O108" s="367">
        <f t="shared" si="18"/>
        <v>33.005294498768976</v>
      </c>
      <c r="Q108" s="415">
        <v>3</v>
      </c>
      <c r="R108" s="415">
        <v>1</v>
      </c>
      <c r="S108" s="455">
        <f>K108*$C$18/K116</f>
        <v>8.1814390502803374</v>
      </c>
      <c r="T108" s="456">
        <f>L108*$D$18/L116</f>
        <v>6.2050282670931463</v>
      </c>
      <c r="U108" s="456">
        <f>M108*$E$18/M116</f>
        <v>12.459633818186781</v>
      </c>
      <c r="V108" s="457">
        <f>N108*$F$18/N116</f>
        <v>6.1624648599291261</v>
      </c>
      <c r="W108" s="367">
        <f t="shared" si="19"/>
        <v>33.008565995489391</v>
      </c>
    </row>
    <row r="109" spans="1:23" x14ac:dyDescent="0.25">
      <c r="A109" s="415">
        <v>3</v>
      </c>
      <c r="B109" s="415">
        <v>2</v>
      </c>
      <c r="C109" s="458">
        <f>S93*$G$11/$W93</f>
        <v>15.816465484182697</v>
      </c>
      <c r="D109" s="459">
        <f>T93*$G$11/$W93</f>
        <v>9.7940035599941879</v>
      </c>
      <c r="E109" s="459">
        <f>U93*$G$11/$W93</f>
        <v>3.5361011047028281</v>
      </c>
      <c r="F109" s="460">
        <f>V93*$G$11/$W93</f>
        <v>13.853429851120291</v>
      </c>
      <c r="G109" s="367">
        <f t="shared" si="17"/>
        <v>43</v>
      </c>
      <c r="I109" s="415">
        <v>3</v>
      </c>
      <c r="J109" s="415">
        <v>2</v>
      </c>
      <c r="K109" s="458">
        <f>C109*$C$16/C114</f>
        <v>15.819230246411207</v>
      </c>
      <c r="L109" s="459">
        <f>D109*$D$16/D114</f>
        <v>9.7948302753180059</v>
      </c>
      <c r="M109" s="459">
        <f>E109*$E$16/E114</f>
        <v>3.5384716999906254</v>
      </c>
      <c r="N109" s="460">
        <f>F109*$F$16/F114</f>
        <v>13.842173279511183</v>
      </c>
      <c r="O109" s="367">
        <f t="shared" si="18"/>
        <v>42.994705501231024</v>
      </c>
      <c r="Q109" s="415">
        <v>3</v>
      </c>
      <c r="R109" s="415">
        <v>2</v>
      </c>
      <c r="S109" s="458">
        <f>K109*$C$19/K117</f>
        <v>15.8176549536701</v>
      </c>
      <c r="T109" s="459">
        <f>L109*$D$19/L117</f>
        <v>9.7950982368974451</v>
      </c>
      <c r="U109" s="459">
        <f>M109*$E$19/M117</f>
        <v>3.5390367144095003</v>
      </c>
      <c r="V109" s="460">
        <f>N109*$F$19/N117</f>
        <v>13.848071454453939</v>
      </c>
      <c r="W109" s="367">
        <f t="shared" si="19"/>
        <v>42.999861359430987</v>
      </c>
    </row>
    <row r="110" spans="1:23" x14ac:dyDescent="0.25">
      <c r="C110" s="461">
        <f>SUM(C104:C109)</f>
        <v>51.001427431426478</v>
      </c>
      <c r="D110" s="461">
        <f>SUM(D104:D109)</f>
        <v>44.001280022847411</v>
      </c>
      <c r="E110" s="461">
        <f>SUM(E104:E109)</f>
        <v>40.994054647988477</v>
      </c>
      <c r="F110" s="461">
        <f>SUM(F104:F109)</f>
        <v>39.003237897737648</v>
      </c>
      <c r="G110" s="463">
        <f>SUM(G104:G109)</f>
        <v>175</v>
      </c>
      <c r="K110" s="461">
        <f>SUM(K104:K109)</f>
        <v>51</v>
      </c>
      <c r="L110" s="461">
        <f>SUM(L104:L109)</f>
        <v>44</v>
      </c>
      <c r="M110" s="461">
        <f>SUM(M104:M109)</f>
        <v>41</v>
      </c>
      <c r="N110" s="461">
        <f>SUM(N104:N109)</f>
        <v>38.977834812709681</v>
      </c>
      <c r="O110" s="463">
        <f>SUM(O104:O109)</f>
        <v>174.97783481270966</v>
      </c>
      <c r="S110" s="461">
        <f>SUM(S104:S109)</f>
        <v>51</v>
      </c>
      <c r="T110" s="461">
        <f>SUM(T104:T109)</f>
        <v>44</v>
      </c>
      <c r="U110" s="461">
        <f>SUM(U104:U109)</f>
        <v>40.999999999999993</v>
      </c>
      <c r="V110" s="461">
        <f>SUM(V104:V109)</f>
        <v>39</v>
      </c>
      <c r="W110" s="463">
        <f>SUM(W104:W109)</f>
        <v>175</v>
      </c>
    </row>
    <row r="112" spans="1:23" x14ac:dyDescent="0.25">
      <c r="A112" s="415">
        <v>1</v>
      </c>
      <c r="C112" s="445">
        <f>SUMIF(A104:A109,A112,C104:C109)</f>
        <v>12.005818744306055</v>
      </c>
      <c r="D112" s="446">
        <f>SUMIF(A104:A109,A112,D104:D109)</f>
        <v>14.005433245146481</v>
      </c>
      <c r="E112" s="446">
        <f>SUMIF(A104:A109,A112,E104:E109)</f>
        <v>12.005352609815739</v>
      </c>
      <c r="F112" s="447">
        <f>SUMIF(A104:A109,A112,F104:F109)</f>
        <v>11.983395400731723</v>
      </c>
      <c r="G112" s="462">
        <f>SUM(C112:F112)</f>
        <v>50</v>
      </c>
      <c r="I112" s="415">
        <v>1</v>
      </c>
      <c r="K112" s="445">
        <f>SUMIF(I104:I109,I112,K104:K109)</f>
        <v>12</v>
      </c>
      <c r="L112" s="446">
        <f>SUMIF(I104:I109,I112,L104:L109)</f>
        <v>14</v>
      </c>
      <c r="M112" s="446">
        <f>SUMIF(I104:I109,I112,M104:M109)</f>
        <v>12</v>
      </c>
      <c r="N112" s="447">
        <f>SUMIF(I104:I109,I112,N104:N109)</f>
        <v>11.977834812709681</v>
      </c>
      <c r="O112" s="462">
        <f>SUM(K112:N112)</f>
        <v>49.977834812709681</v>
      </c>
      <c r="Q112" s="415">
        <v>1</v>
      </c>
      <c r="S112" s="445">
        <f>SUMIF(Q104:Q109,Q112,S104:S109)</f>
        <v>12.000114432838085</v>
      </c>
      <c r="T112" s="446">
        <f>SUMIF(Q104:Q109,Q112,T104:T109)</f>
        <v>14.000048373995117</v>
      </c>
      <c r="U112" s="446">
        <f>SUMIF(Q104:Q109,Q112,U104:U109)</f>
        <v>12.000301885655617</v>
      </c>
      <c r="V112" s="447">
        <f>SUMIF(Q104:Q109,Q112,V104:V109)</f>
        <v>11.985853927084856</v>
      </c>
      <c r="W112" s="462">
        <f>SUM(S112:V112)</f>
        <v>49.986318619573673</v>
      </c>
    </row>
    <row r="113" spans="1:23" x14ac:dyDescent="0.25">
      <c r="A113" s="415">
        <v>2</v>
      </c>
      <c r="C113" s="448">
        <f>SUMIF(A104:A109,A113,C104:C109)</f>
        <v>14.999803220764006</v>
      </c>
      <c r="D113" s="367">
        <f>SUMIF(A104:A109,A113,D104:D109)</f>
        <v>13.997197229399356</v>
      </c>
      <c r="E113" s="367">
        <f>SUMIF(A104:A109,A113,E104:E109)</f>
        <v>12.999421220865329</v>
      </c>
      <c r="F113" s="364">
        <f>SUMIF(A104:A109,A113,F104:F109)</f>
        <v>7.0035783289713143</v>
      </c>
      <c r="G113" s="462">
        <f>SUM(C113:F113)</f>
        <v>49.000000000000007</v>
      </c>
      <c r="I113" s="415">
        <v>2</v>
      </c>
      <c r="K113" s="448">
        <f>SUMIF(I104:I109,I113,K104:K109)</f>
        <v>15</v>
      </c>
      <c r="L113" s="367">
        <f>SUMIF(I104:I109,I113,L104:L109)</f>
        <v>14</v>
      </c>
      <c r="M113" s="367">
        <f>SUMIF(I104:I109,I113,M104:M109)</f>
        <v>13</v>
      </c>
      <c r="N113" s="364">
        <f>SUMIF(I104:I109,I113,N104:N109)</f>
        <v>7</v>
      </c>
      <c r="O113" s="462">
        <f>SUM(K113:N113)</f>
        <v>49</v>
      </c>
      <c r="Q113" s="415">
        <v>2</v>
      </c>
      <c r="S113" s="448">
        <f>SUMIF(Q104:Q109,Q113,S104:S109)</f>
        <v>15.000791563211482</v>
      </c>
      <c r="T113" s="367">
        <f>SUMIF(Q104:Q109,Q113,T104:T109)</f>
        <v>13.999825122014288</v>
      </c>
      <c r="U113" s="367">
        <f>SUMIF(Q104:Q109,Q113,U104:U109)</f>
        <v>13.001027581748097</v>
      </c>
      <c r="V113" s="364">
        <f>SUMIF(Q104:Q109,Q113,V104:V109)</f>
        <v>7.0036097585320807</v>
      </c>
      <c r="W113" s="462">
        <f>SUM(S113:V113)</f>
        <v>49.005254025505948</v>
      </c>
    </row>
    <row r="114" spans="1:23" x14ac:dyDescent="0.25">
      <c r="A114" s="415">
        <v>3</v>
      </c>
      <c r="C114" s="449">
        <f>SUMIF(A104:A109,A114,C104:C109)</f>
        <v>23.995805466356408</v>
      </c>
      <c r="D114" s="450">
        <f>SUMIF(A104:A109,A114,D104:D109)</f>
        <v>15.998649548301575</v>
      </c>
      <c r="E114" s="450">
        <f>SUMIF(A104:A109,A114,E104:E109)</f>
        <v>15.98928081730741</v>
      </c>
      <c r="F114" s="451">
        <f>SUMIF(A104:A109,A114,F104:F109)</f>
        <v>20.01626416803461</v>
      </c>
      <c r="G114" s="462">
        <f>SUM(C114:F114)</f>
        <v>76</v>
      </c>
      <c r="I114" s="415">
        <v>3</v>
      </c>
      <c r="K114" s="449">
        <f>SUMIF(I104:I109,I114,K104:K109)</f>
        <v>24</v>
      </c>
      <c r="L114" s="450">
        <f>SUMIF(I104:I109,I114,L104:L109)</f>
        <v>16</v>
      </c>
      <c r="M114" s="450">
        <f>SUMIF(I104:I109,I114,M104:M109)</f>
        <v>16</v>
      </c>
      <c r="N114" s="451">
        <f>SUMIF(I104:I109,I114,N104:N109)</f>
        <v>20</v>
      </c>
      <c r="O114" s="462">
        <f>SUM(K114:N114)</f>
        <v>76</v>
      </c>
      <c r="Q114" s="415">
        <v>3</v>
      </c>
      <c r="S114" s="449">
        <f>SUMIF(Q104:Q109,Q114,S104:S109)</f>
        <v>23.999094003950439</v>
      </c>
      <c r="T114" s="450">
        <f>SUMIF(Q104:Q109,Q114,T104:T109)</f>
        <v>16.000126503990593</v>
      </c>
      <c r="U114" s="450">
        <f>SUMIF(Q104:Q109,Q114,U104:U109)</f>
        <v>15.998670532596281</v>
      </c>
      <c r="V114" s="451">
        <f>SUMIF(Q104:Q109,Q114,V104:V109)</f>
        <v>20.010536314383064</v>
      </c>
      <c r="W114" s="462">
        <f>SUM(S114:V114)</f>
        <v>76.008427354920371</v>
      </c>
    </row>
    <row r="116" spans="1:23" x14ac:dyDescent="0.25">
      <c r="B116" s="415">
        <v>1</v>
      </c>
      <c r="C116" s="445">
        <f>SUMIF(B104:B109,B116,C104:C109)</f>
        <v>27.999614607261481</v>
      </c>
      <c r="D116" s="446">
        <f>SUMIF(B104:B109,B116,D104:D109)</f>
        <v>24.000385869086461</v>
      </c>
      <c r="E116" s="446">
        <f>SUMIF(B104:B109,B116,E104:E109)</f>
        <v>20.997004729282487</v>
      </c>
      <c r="F116" s="447">
        <f>SUMIF(B104:B109,B116,F104:F109)</f>
        <v>17.002994794369574</v>
      </c>
      <c r="G116" s="462">
        <f>SUM(C116:F116)</f>
        <v>90</v>
      </c>
      <c r="J116" s="415">
        <v>1</v>
      </c>
      <c r="K116" s="445">
        <f>SUMIF(J104:J109,J116,K104:K109)</f>
        <v>27.997709411846973</v>
      </c>
      <c r="L116" s="446">
        <f>SUMIF(J104:J109,J116,L104:L109)</f>
        <v>24.000547134031656</v>
      </c>
      <c r="M116" s="446">
        <f>SUMIF(J104:J109,J116,M104:M109)</f>
        <v>21.00319304073097</v>
      </c>
      <c r="N116" s="447">
        <f>SUMIF(J104:J109,J116,N104:N109)</f>
        <v>16.987205059618599</v>
      </c>
      <c r="O116" s="462">
        <f>SUM(K116:N116)</f>
        <v>89.988654646228198</v>
      </c>
      <c r="R116" s="415">
        <v>1</v>
      </c>
      <c r="S116" s="445">
        <f>SUMIF(R104:R109,R116,S104:S109)</f>
        <v>28</v>
      </c>
      <c r="T116" s="446">
        <f>SUMIF(R104:R109,R116,T104:T109)</f>
        <v>24</v>
      </c>
      <c r="U116" s="446">
        <f>SUMIF(R104:R109,R116,U104:U109)</f>
        <v>20.999999999999996</v>
      </c>
      <c r="V116" s="447">
        <f>SUMIF(R104:R109,R116,V104:V109)</f>
        <v>17</v>
      </c>
      <c r="W116" s="462">
        <f>SUM(S116:V116)</f>
        <v>90</v>
      </c>
    </row>
    <row r="117" spans="1:23" x14ac:dyDescent="0.25">
      <c r="B117" s="415">
        <v>2</v>
      </c>
      <c r="C117" s="449">
        <f>SUMIF(B104:B109,B117,C104:C109)</f>
        <v>23.00181282416499</v>
      </c>
      <c r="D117" s="450">
        <f>SUMIF(B104:B109,B117,D104:D109)</f>
        <v>20.000894153760953</v>
      </c>
      <c r="E117" s="450">
        <f>SUMIF(B104:B109,B117,E104:E109)</f>
        <v>19.99704991870599</v>
      </c>
      <c r="F117" s="451">
        <f>SUMIF(B104:B109,B117,F104:F109)</f>
        <v>22.000243103368071</v>
      </c>
      <c r="G117" s="462">
        <f>SUM(C117:F117)</f>
        <v>85</v>
      </c>
      <c r="J117" s="415">
        <v>2</v>
      </c>
      <c r="K117" s="449">
        <f>SUMIF(J104:J109,J117,K104:K109)</f>
        <v>23.002290588153024</v>
      </c>
      <c r="L117" s="450">
        <f>SUMIF(J104:J109,J117,L104:L109)</f>
        <v>19.999452865968347</v>
      </c>
      <c r="M117" s="450">
        <f>SUMIF(J104:J109,J117,M104:M109)</f>
        <v>19.996806959269033</v>
      </c>
      <c r="N117" s="451">
        <f>SUMIF(J104:J109,J117,N104:N109)</f>
        <v>21.990629753091078</v>
      </c>
      <c r="O117" s="462">
        <f>SUM(K117:N117)</f>
        <v>84.989180166481475</v>
      </c>
      <c r="R117" s="415">
        <v>2</v>
      </c>
      <c r="S117" s="449">
        <f>SUMIF(R104:R109,R117,S104:S109)</f>
        <v>23</v>
      </c>
      <c r="T117" s="450">
        <f>SUMIF(R104:R109,R117,T104:T109)</f>
        <v>20</v>
      </c>
      <c r="U117" s="450">
        <f>SUMIF(R104:R109,R117,U104:U109)</f>
        <v>20</v>
      </c>
      <c r="V117" s="451">
        <f>SUMIF(R104:R109,R117,V104:V109)</f>
        <v>22</v>
      </c>
      <c r="W117" s="462">
        <f>SUM(S117:V117)</f>
        <v>85</v>
      </c>
    </row>
    <row r="119" spans="1:23" x14ac:dyDescent="0.25">
      <c r="A119" s="415" t="s">
        <v>37</v>
      </c>
      <c r="B119" s="415" t="s">
        <v>911</v>
      </c>
      <c r="C119">
        <v>1</v>
      </c>
      <c r="D119">
        <f>C119+1</f>
        <v>2</v>
      </c>
      <c r="E119">
        <f>D119+1</f>
        <v>3</v>
      </c>
      <c r="F119">
        <f>E119+1</f>
        <v>4</v>
      </c>
      <c r="I119" s="415" t="s">
        <v>37</v>
      </c>
      <c r="J119" s="415" t="s">
        <v>911</v>
      </c>
      <c r="K119">
        <v>1</v>
      </c>
      <c r="L119">
        <f>K119+1</f>
        <v>2</v>
      </c>
      <c r="M119">
        <f>L119+1</f>
        <v>3</v>
      </c>
      <c r="N119">
        <f>M119+1</f>
        <v>4</v>
      </c>
      <c r="Q119" s="415" t="s">
        <v>37</v>
      </c>
      <c r="R119" s="415" t="s">
        <v>911</v>
      </c>
      <c r="S119">
        <v>1</v>
      </c>
      <c r="T119">
        <f>S119+1</f>
        <v>2</v>
      </c>
      <c r="U119">
        <f>T119+1</f>
        <v>3</v>
      </c>
      <c r="V119">
        <f>U119+1</f>
        <v>4</v>
      </c>
    </row>
    <row r="120" spans="1:23" x14ac:dyDescent="0.25">
      <c r="A120" s="415">
        <v>1</v>
      </c>
      <c r="B120" s="415">
        <v>1</v>
      </c>
      <c r="C120" s="452">
        <f>S104*$G$6/$W104</f>
        <v>7.2221916644653268</v>
      </c>
      <c r="D120" s="453">
        <f>T104*$G$6/$W104</f>
        <v>6.6747017974289529</v>
      </c>
      <c r="E120" s="453">
        <f>U104*$G$6/$W104</f>
        <v>5.180177599684451</v>
      </c>
      <c r="F120" s="454">
        <f>V104*$G$6/$W104</f>
        <v>8.9229289384212684</v>
      </c>
      <c r="G120" s="367">
        <f t="shared" ref="G120:G125" si="20">SUM(C120:F120)</f>
        <v>28</v>
      </c>
      <c r="I120" s="415">
        <v>1</v>
      </c>
      <c r="J120" s="415">
        <v>1</v>
      </c>
      <c r="K120" s="452">
        <f>C120*$C$14/C128</f>
        <v>7.22004460886318</v>
      </c>
      <c r="L120" s="453">
        <f>D120*$D$14/D128</f>
        <v>6.6730409487179632</v>
      </c>
      <c r="M120" s="453">
        <f>E120*$E$14/E128</f>
        <v>5.1788553864849751</v>
      </c>
      <c r="N120" s="454">
        <f>F120*F112/F128</f>
        <v>8.9181005836757414</v>
      </c>
      <c r="O120" s="367">
        <f t="shared" ref="O120:O125" si="21">SUM(K120:N120)</f>
        <v>27.990041527741859</v>
      </c>
      <c r="Q120" s="415">
        <v>1</v>
      </c>
      <c r="R120" s="415">
        <v>1</v>
      </c>
      <c r="S120" s="452">
        <f>K120*$C$18/K132</f>
        <v>7.2202752013687252</v>
      </c>
      <c r="T120" s="453">
        <f>L120*$D$18/L132</f>
        <v>6.672979362793714</v>
      </c>
      <c r="U120" s="453">
        <f>M120*$E$18/M132</f>
        <v>5.1786386315238522</v>
      </c>
      <c r="V120" s="454">
        <f>N120*$F$18/N132</f>
        <v>8.921474231007986</v>
      </c>
      <c r="W120" s="367">
        <f t="shared" ref="W120:W125" si="22">SUM(S120:V120)</f>
        <v>27.993367426694277</v>
      </c>
    </row>
    <row r="121" spans="1:23" x14ac:dyDescent="0.25">
      <c r="A121" s="415">
        <v>1</v>
      </c>
      <c r="B121" s="415">
        <v>2</v>
      </c>
      <c r="C121" s="455">
        <f>S105*$G$7/$W105</f>
        <v>4.7813768269528749</v>
      </c>
      <c r="D121" s="456">
        <f>T105*$G$7/$W105</f>
        <v>7.3287826532334268</v>
      </c>
      <c r="E121" s="456">
        <f>U105*$G$7/$W105</f>
        <v>6.8228861194599606</v>
      </c>
      <c r="F121" s="457">
        <f>V105*$G$7/$W105</f>
        <v>3.0669544003537368</v>
      </c>
      <c r="G121" s="367">
        <f t="shared" si="20"/>
        <v>22</v>
      </c>
      <c r="I121" s="415">
        <v>1</v>
      </c>
      <c r="J121" s="415">
        <v>2</v>
      </c>
      <c r="K121" s="455">
        <f>C121*$C$14/C128</f>
        <v>4.77995539113682</v>
      </c>
      <c r="L121" s="456">
        <f>D121*$D$14/D128</f>
        <v>7.326959051282036</v>
      </c>
      <c r="M121" s="456">
        <f>E121*$E$14/E128</f>
        <v>6.8211446135150258</v>
      </c>
      <c r="N121" s="457">
        <f>F121*$F$14/F128</f>
        <v>3.0695421935610772</v>
      </c>
      <c r="O121" s="367">
        <f t="shared" si="21"/>
        <v>21.997601249494956</v>
      </c>
      <c r="Q121" s="415">
        <v>1</v>
      </c>
      <c r="R121" s="415">
        <v>2</v>
      </c>
      <c r="S121" s="455">
        <f>K121*$C$19/K133</f>
        <v>4.7797695556750126</v>
      </c>
      <c r="T121" s="456">
        <f>L121*$D$19/L133</f>
        <v>7.3270401981014244</v>
      </c>
      <c r="U121" s="456">
        <f>M121*$E$19/M133</f>
        <v>6.8214444048546188</v>
      </c>
      <c r="V121" s="457">
        <f>N121*$F$19/N133</f>
        <v>3.0703696146692412</v>
      </c>
      <c r="W121" s="367">
        <f t="shared" si="22"/>
        <v>21.998623773300295</v>
      </c>
    </row>
    <row r="122" spans="1:23" x14ac:dyDescent="0.25">
      <c r="A122" s="415">
        <v>2</v>
      </c>
      <c r="B122" s="415">
        <v>1</v>
      </c>
      <c r="C122" s="455">
        <f>S106*$G$8/$W106</f>
        <v>12.598001375171673</v>
      </c>
      <c r="D122" s="456">
        <f>T106*$G$8/$W106</f>
        <v>11.121837097101233</v>
      </c>
      <c r="E122" s="456">
        <f>U106*$G$8/$W106</f>
        <v>3.3619993390898202</v>
      </c>
      <c r="F122" s="457">
        <f>V106*$G$8/$W106</f>
        <v>1.9181621886372744</v>
      </c>
      <c r="G122" s="367">
        <f t="shared" si="20"/>
        <v>29</v>
      </c>
      <c r="I122" s="415">
        <v>2</v>
      </c>
      <c r="J122" s="415">
        <v>1</v>
      </c>
      <c r="K122" s="455">
        <f>C122*$C$15/C129</f>
        <v>12.598730168328084</v>
      </c>
      <c r="L122" s="456">
        <f>D122*$D$15/D129</f>
        <v>11.12319946240957</v>
      </c>
      <c r="M122" s="456">
        <f>E122*$E$15/E129</f>
        <v>3.362078726464556</v>
      </c>
      <c r="N122" s="457">
        <f>F122*$F$15/F129</f>
        <v>1.9173707591428144</v>
      </c>
      <c r="O122" s="367">
        <f t="shared" si="21"/>
        <v>29.001379116345028</v>
      </c>
      <c r="Q122" s="415">
        <v>2</v>
      </c>
      <c r="R122" s="415">
        <v>1</v>
      </c>
      <c r="S122" s="455">
        <f>K122*$C$18/K132</f>
        <v>12.599132544340087</v>
      </c>
      <c r="T122" s="456">
        <f>L122*$D$18/L132</f>
        <v>11.12309680568608</v>
      </c>
      <c r="U122" s="456">
        <f>M122*$E$18/M132</f>
        <v>3.361938010574796</v>
      </c>
      <c r="V122" s="457">
        <f>N122*$F$18/N132</f>
        <v>1.9180960854256717</v>
      </c>
      <c r="W122" s="367">
        <f t="shared" si="22"/>
        <v>29.002263446026635</v>
      </c>
    </row>
    <row r="123" spans="1:23" x14ac:dyDescent="0.25">
      <c r="A123" s="415">
        <v>2</v>
      </c>
      <c r="B123" s="415">
        <v>2</v>
      </c>
      <c r="C123" s="455">
        <f>S107*$G$9/$W107</f>
        <v>2.4011309264809473</v>
      </c>
      <c r="D123" s="456">
        <f>T107*$G$9/$W107</f>
        <v>2.8764481881369601</v>
      </c>
      <c r="E123" s="456">
        <f>U107*$G$9/$W107</f>
        <v>9.6376936972857283</v>
      </c>
      <c r="F123" s="457">
        <f>V107*$G$9/$W107</f>
        <v>5.0847271880963607</v>
      </c>
      <c r="G123" s="367">
        <f t="shared" si="20"/>
        <v>19.999999999999996</v>
      </c>
      <c r="I123" s="415">
        <v>2</v>
      </c>
      <c r="J123" s="415">
        <v>2</v>
      </c>
      <c r="K123" s="455">
        <f>C123*$C$15/C129</f>
        <v>2.4012698316719177</v>
      </c>
      <c r="L123" s="456">
        <f>D123*$D$15/D129</f>
        <v>2.8768005375904298</v>
      </c>
      <c r="M123" s="456">
        <f>E123*$E$15/E129</f>
        <v>9.6379212735354436</v>
      </c>
      <c r="N123" s="457">
        <f>F123*$F$15/F129</f>
        <v>5.0826292408571856</v>
      </c>
      <c r="O123" s="367">
        <f t="shared" si="21"/>
        <v>19.998620883654979</v>
      </c>
      <c r="Q123" s="415">
        <v>2</v>
      </c>
      <c r="R123" s="415">
        <v>2</v>
      </c>
      <c r="S123" s="455">
        <f>K123*$C$19/K133</f>
        <v>2.4011764749245055</v>
      </c>
      <c r="T123" s="456">
        <f>L123*$D$19/L133</f>
        <v>2.8768323984500315</v>
      </c>
      <c r="U123" s="456">
        <f>M123*$E$19/M133</f>
        <v>9.6383448630491095</v>
      </c>
      <c r="V123" s="457">
        <f>N123*$F$19/N133</f>
        <v>5.0839993066369225</v>
      </c>
      <c r="W123" s="367">
        <f t="shared" si="22"/>
        <v>20.000353043060571</v>
      </c>
    </row>
    <row r="124" spans="1:23" x14ac:dyDescent="0.25">
      <c r="A124" s="415">
        <v>3</v>
      </c>
      <c r="B124" s="415">
        <v>1</v>
      </c>
      <c r="C124" s="455">
        <f>S108*$G$10/$W108</f>
        <v>8.1793158992773218</v>
      </c>
      <c r="D124" s="456">
        <f>T108*$G$10/$W108</f>
        <v>6.2034180110112942</v>
      </c>
      <c r="E124" s="456">
        <f>U108*$G$10/$W108</f>
        <v>12.456400440308425</v>
      </c>
      <c r="F124" s="457">
        <f>V108*$G$10/$W108</f>
        <v>6.1608656494029583</v>
      </c>
      <c r="G124" s="367">
        <f t="shared" si="20"/>
        <v>33</v>
      </c>
      <c r="I124" s="415">
        <v>3</v>
      </c>
      <c r="J124" s="415">
        <v>1</v>
      </c>
      <c r="K124" s="455">
        <f>C124*$C$16/C130</f>
        <v>8.1803309923292602</v>
      </c>
      <c r="L124" s="456">
        <f>D124*$D$16/D130</f>
        <v>6.2039810884608242</v>
      </c>
      <c r="M124" s="456">
        <f>E124*$E$16/E130</f>
        <v>12.459944854382904</v>
      </c>
      <c r="N124" s="457">
        <f>F124*$F$16/F130</f>
        <v>6.1581001227079808</v>
      </c>
      <c r="O124" s="367">
        <f t="shared" si="21"/>
        <v>33.002357057880971</v>
      </c>
      <c r="Q124" s="415">
        <v>3</v>
      </c>
      <c r="R124" s="415">
        <v>1</v>
      </c>
      <c r="S124" s="455">
        <f>K124*$C$18/K132</f>
        <v>8.1805922542911862</v>
      </c>
      <c r="T124" s="456">
        <f>L124*$D$18/L132</f>
        <v>6.2039238315202034</v>
      </c>
      <c r="U124" s="456">
        <f>M124*$E$18/M132</f>
        <v>12.459423357901354</v>
      </c>
      <c r="V124" s="457">
        <f>N124*$F$18/N132</f>
        <v>6.1604296835663428</v>
      </c>
      <c r="W124" s="367">
        <f t="shared" si="22"/>
        <v>33.004369127279084</v>
      </c>
    </row>
    <row r="125" spans="1:23" x14ac:dyDescent="0.25">
      <c r="A125" s="415">
        <v>3</v>
      </c>
      <c r="B125" s="415">
        <v>2</v>
      </c>
      <c r="C125" s="458">
        <f>S109*$G$11/$W109</f>
        <v>15.817705953106236</v>
      </c>
      <c r="D125" s="459">
        <f>T109*$G$11/$W109</f>
        <v>9.7951298183479469</v>
      </c>
      <c r="E125" s="459">
        <f>U109*$G$11/$W109</f>
        <v>3.5390481250059147</v>
      </c>
      <c r="F125" s="460">
        <f>V109*$G$11/$W109</f>
        <v>13.848116103539899</v>
      </c>
      <c r="G125" s="367">
        <f t="shared" si="20"/>
        <v>43</v>
      </c>
      <c r="I125" s="415">
        <v>3</v>
      </c>
      <c r="J125" s="415">
        <v>2</v>
      </c>
      <c r="K125" s="458">
        <f>C125*$C$16/C130</f>
        <v>15.81966900767074</v>
      </c>
      <c r="L125" s="459">
        <f>D125*$D$16/D130</f>
        <v>9.7960189115391749</v>
      </c>
      <c r="M125" s="459">
        <f>E125*$E$16/E130</f>
        <v>3.5400551456170968</v>
      </c>
      <c r="N125" s="460">
        <f>F125*$F$16/F130</f>
        <v>13.841899877292018</v>
      </c>
      <c r="O125" s="367">
        <f t="shared" si="21"/>
        <v>42.997642942119029</v>
      </c>
      <c r="Q125" s="415">
        <v>3</v>
      </c>
      <c r="R125" s="415">
        <v>2</v>
      </c>
      <c r="S125" s="458">
        <f>K125*$C$19/K133</f>
        <v>15.81905396940048</v>
      </c>
      <c r="T125" s="459">
        <f>L125*$D$19/L133</f>
        <v>9.7961274034485442</v>
      </c>
      <c r="U125" s="459">
        <f>M125*$E$19/M133</f>
        <v>3.5402107320962686</v>
      </c>
      <c r="V125" s="460">
        <f>N125*$F$19/N133</f>
        <v>13.845631078693838</v>
      </c>
      <c r="W125" s="367">
        <f t="shared" si="22"/>
        <v>43.001023183639134</v>
      </c>
    </row>
    <row r="126" spans="1:23" x14ac:dyDescent="0.25">
      <c r="C126" s="461">
        <f>SUM(C120:C125)</f>
        <v>50.999722645454376</v>
      </c>
      <c r="D126" s="461">
        <f>SUM(D120:D125)</f>
        <v>44.000317565259813</v>
      </c>
      <c r="E126" s="461">
        <f>SUM(E120:E125)</f>
        <v>40.998205320834295</v>
      </c>
      <c r="F126" s="461">
        <f>SUM(F120:F125)</f>
        <v>39.001754468451502</v>
      </c>
      <c r="G126" s="463">
        <f>SUM(G120:G125)</f>
        <v>175</v>
      </c>
      <c r="K126" s="461">
        <f>SUM(K120:K125)</f>
        <v>51</v>
      </c>
      <c r="L126" s="461">
        <f>SUM(L120:L125)</f>
        <v>44</v>
      </c>
      <c r="M126" s="461">
        <f>SUM(M120:M125)</f>
        <v>41</v>
      </c>
      <c r="N126" s="461">
        <f>SUM(N120:N125)</f>
        <v>38.987642777236815</v>
      </c>
      <c r="O126" s="463">
        <f>SUM(O120:O125)</f>
        <v>174.98764277723683</v>
      </c>
      <c r="S126" s="461">
        <f>SUM(S120:S125)</f>
        <v>50.999999999999993</v>
      </c>
      <c r="T126" s="461">
        <f>SUM(T120:T125)</f>
        <v>43.999999999999993</v>
      </c>
      <c r="U126" s="461">
        <f>SUM(U120:U125)</f>
        <v>41</v>
      </c>
      <c r="V126" s="461">
        <f>SUM(V120:V125)</f>
        <v>39</v>
      </c>
      <c r="W126" s="463">
        <f>SUM(W120:W125)</f>
        <v>175</v>
      </c>
    </row>
    <row r="128" spans="1:23" x14ac:dyDescent="0.25">
      <c r="A128" s="415">
        <v>1</v>
      </c>
      <c r="C128" s="445">
        <f>SUMIF(A120:A125,A128,C120:C125)</f>
        <v>12.003568491418202</v>
      </c>
      <c r="D128" s="446">
        <f>SUMIF(A120:A125,A128,D120:D125)</f>
        <v>14.003484450662381</v>
      </c>
      <c r="E128" s="446">
        <f>SUMIF(A120:A125,A128,E120:E125)</f>
        <v>12.003063719144411</v>
      </c>
      <c r="F128" s="447">
        <f>SUMIF(A120:A125,A128,F120:F125)</f>
        <v>11.989883338775005</v>
      </c>
      <c r="G128" s="462">
        <f>SUM(C128:F128)</f>
        <v>50</v>
      </c>
      <c r="I128" s="415">
        <v>1</v>
      </c>
      <c r="K128" s="445">
        <f>SUMIF(I120:I125,I128,K120:K125)</f>
        <v>12</v>
      </c>
      <c r="L128" s="446">
        <f>SUMIF(I120:I125,I128,L120:L125)</f>
        <v>14</v>
      </c>
      <c r="M128" s="446">
        <f>SUMIF(I120:I125,I128,M120:M125)</f>
        <v>12</v>
      </c>
      <c r="N128" s="447">
        <f>SUMIF(I120:I125,I128,N120:N125)</f>
        <v>11.987642777236818</v>
      </c>
      <c r="O128" s="462">
        <f>SUM(K128:N128)</f>
        <v>49.987642777236815</v>
      </c>
      <c r="Q128" s="415">
        <v>1</v>
      </c>
      <c r="S128" s="445">
        <f>SUMIF(Q120:Q125,Q128,S120:S125)</f>
        <v>12.000044757043739</v>
      </c>
      <c r="T128" s="446">
        <f>SUMIF(Q120:Q125,Q128,T120:T125)</f>
        <v>14.000019560895138</v>
      </c>
      <c r="U128" s="446">
        <f>SUMIF(Q120:Q125,Q128,U120:U125)</f>
        <v>12.00008303637847</v>
      </c>
      <c r="V128" s="447">
        <f>SUMIF(Q120:Q125,Q128,V120:V125)</f>
        <v>11.991843845677227</v>
      </c>
      <c r="W128" s="462">
        <f>SUM(S128:V128)</f>
        <v>49.991991199994573</v>
      </c>
    </row>
    <row r="129" spans="1:23" x14ac:dyDescent="0.25">
      <c r="A129" s="415">
        <v>2</v>
      </c>
      <c r="C129" s="448">
        <f>SUMIF(A120:A125,A129,C120:C125)</f>
        <v>14.999132301652621</v>
      </c>
      <c r="D129" s="367">
        <f>SUMIF(A120:A125,A129,D120:D125)</f>
        <v>13.998285285238193</v>
      </c>
      <c r="E129" s="367">
        <f>SUMIF(A120:A125,A129,E120:E125)</f>
        <v>12.999693036375549</v>
      </c>
      <c r="F129" s="364">
        <f>SUMIF(A120:A125,A129,F120:F125)</f>
        <v>7.0028893767336351</v>
      </c>
      <c r="G129" s="462">
        <f>SUM(C129:F129)</f>
        <v>48.999999999999993</v>
      </c>
      <c r="I129" s="415">
        <v>2</v>
      </c>
      <c r="K129" s="448">
        <f>SUMIF(I120:I125,I129,K120:K125)</f>
        <v>15.000000000000002</v>
      </c>
      <c r="L129" s="367">
        <f>SUMIF(I120:I125,I129,L120:L125)</f>
        <v>14</v>
      </c>
      <c r="M129" s="367">
        <f>SUMIF(I120:I125,I129,M120:M125)</f>
        <v>13</v>
      </c>
      <c r="N129" s="364">
        <f>SUMIF(I120:I125,I129,N120:N125)</f>
        <v>7</v>
      </c>
      <c r="O129" s="462">
        <f>SUM(K129:N129)</f>
        <v>49</v>
      </c>
      <c r="Q129" s="415">
        <v>2</v>
      </c>
      <c r="S129" s="448">
        <f>SUMIF(Q120:Q125,Q129,S120:S125)</f>
        <v>15.000309019264591</v>
      </c>
      <c r="T129" s="367">
        <f>SUMIF(Q120:Q125,Q129,T120:T125)</f>
        <v>13.999929204136112</v>
      </c>
      <c r="U129" s="367">
        <f>SUMIF(Q120:Q125,Q129,U120:U125)</f>
        <v>13.000282873623906</v>
      </c>
      <c r="V129" s="364">
        <f>SUMIF(Q120:Q125,Q129,V120:V125)</f>
        <v>7.0020953920625946</v>
      </c>
      <c r="W129" s="462">
        <f>SUM(S129:V129)</f>
        <v>49.002616489087202</v>
      </c>
    </row>
    <row r="130" spans="1:23" x14ac:dyDescent="0.25">
      <c r="A130" s="415">
        <v>3</v>
      </c>
      <c r="C130" s="449">
        <f>SUMIF(A120:A125,A130,C120:C125)</f>
        <v>23.997021852383558</v>
      </c>
      <c r="D130" s="450">
        <f>SUMIF(A120:A125,A130,D120:D125)</f>
        <v>15.998547829359241</v>
      </c>
      <c r="E130" s="450">
        <f>SUMIF(A120:A125,A130,E120:E125)</f>
        <v>15.995448565314339</v>
      </c>
      <c r="F130" s="451">
        <f>SUMIF(A120:A125,A130,F120:F125)</f>
        <v>20.008981752942859</v>
      </c>
      <c r="G130" s="462">
        <f>SUM(C130:F130)</f>
        <v>76</v>
      </c>
      <c r="I130" s="415">
        <v>3</v>
      </c>
      <c r="K130" s="449">
        <f>SUMIF(I120:I125,I130,K120:K125)</f>
        <v>24</v>
      </c>
      <c r="L130" s="450">
        <f>SUMIF(I120:I125,I130,L120:L125)</f>
        <v>16</v>
      </c>
      <c r="M130" s="450">
        <f>SUMIF(I120:I125,I130,M120:M125)</f>
        <v>16</v>
      </c>
      <c r="N130" s="451">
        <f>SUMIF(I120:I125,I130,N120:N125)</f>
        <v>20</v>
      </c>
      <c r="O130" s="462">
        <f>SUM(K130:N130)</f>
        <v>76</v>
      </c>
      <c r="Q130" s="415">
        <v>3</v>
      </c>
      <c r="S130" s="449">
        <f>SUMIF(Q120:Q125,Q130,S120:S125)</f>
        <v>23.999646223691666</v>
      </c>
      <c r="T130" s="450">
        <f>SUMIF(Q120:Q125,Q130,T120:T125)</f>
        <v>16.000051234968748</v>
      </c>
      <c r="U130" s="450">
        <f>SUMIF(Q120:Q125,Q130,U120:U125)</f>
        <v>15.999634089997622</v>
      </c>
      <c r="V130" s="451">
        <f>SUMIF(Q120:Q125,Q130,V120:V125)</f>
        <v>20.00606076226018</v>
      </c>
      <c r="W130" s="462">
        <f>SUM(S130:V130)</f>
        <v>76.005392310918211</v>
      </c>
    </row>
    <row r="132" spans="1:23" x14ac:dyDescent="0.25">
      <c r="B132" s="415">
        <v>1</v>
      </c>
      <c r="C132" s="445">
        <f>SUMIF(B120:B125,B132,C120:C125)</f>
        <v>27.999508938914325</v>
      </c>
      <c r="D132" s="446">
        <f>SUMIF(B120:B125,B132,D120:D125)</f>
        <v>23.999956905541481</v>
      </c>
      <c r="E132" s="446">
        <f>SUMIF(B120:B125,B132,E120:E125)</f>
        <v>20.998577379082697</v>
      </c>
      <c r="F132" s="447">
        <f>SUMIF(B120:B125,B132,F120:F125)</f>
        <v>17.001956776461501</v>
      </c>
      <c r="G132" s="462">
        <f>SUM(C132:F132)</f>
        <v>90</v>
      </c>
      <c r="J132" s="415">
        <v>1</v>
      </c>
      <c r="K132" s="445">
        <f>SUMIF(J120:J125,J132,K120:K125)</f>
        <v>27.999105769520526</v>
      </c>
      <c r="L132" s="446">
        <f>SUMIF(J120:J125,J132,L120:L125)</f>
        <v>24.00022149958836</v>
      </c>
      <c r="M132" s="446">
        <f>SUMIF(J120:J125,J132,M120:M125)</f>
        <v>21.000878967332433</v>
      </c>
      <c r="N132" s="447">
        <f>SUMIF(J120:J125,J132,N120:N125)</f>
        <v>16.993571465526536</v>
      </c>
      <c r="O132" s="462">
        <f>SUM(K132:N132)</f>
        <v>89.993777701967872</v>
      </c>
      <c r="R132" s="415">
        <v>1</v>
      </c>
      <c r="S132" s="445">
        <f>SUMIF(R120:R125,R132,S120:S125)</f>
        <v>28</v>
      </c>
      <c r="T132" s="446">
        <f>SUMIF(R120:R125,R132,T120:T125)</f>
        <v>23.999999999999996</v>
      </c>
      <c r="U132" s="446">
        <f>SUMIF(R120:R125,R132,U120:U125)</f>
        <v>21</v>
      </c>
      <c r="V132" s="447">
        <f>SUMIF(R120:R125,R132,V120:V125)</f>
        <v>17</v>
      </c>
      <c r="W132" s="462">
        <f>SUM(S132:V132)</f>
        <v>90</v>
      </c>
    </row>
    <row r="133" spans="1:23" x14ac:dyDescent="0.25">
      <c r="B133" s="415">
        <v>2</v>
      </c>
      <c r="C133" s="449">
        <f>SUMIF(B120:B125,B133,C120:C125)</f>
        <v>23.000213706540059</v>
      </c>
      <c r="D133" s="450">
        <f>SUMIF(B120:B125,B133,D120:D125)</f>
        <v>20.000360659718332</v>
      </c>
      <c r="E133" s="450">
        <f>SUMIF(B120:B125,B133,E120:E125)</f>
        <v>19.999627941751605</v>
      </c>
      <c r="F133" s="451">
        <f>SUMIF(B120:B125,B133,F120:F125)</f>
        <v>21.999797691989997</v>
      </c>
      <c r="G133" s="462">
        <f>SUM(C133:F133)</f>
        <v>85</v>
      </c>
      <c r="J133" s="415">
        <v>2</v>
      </c>
      <c r="K133" s="449">
        <f>SUMIF(J120:J125,J133,K120:K125)</f>
        <v>23.000894230479478</v>
      </c>
      <c r="L133" s="450">
        <f>SUMIF(J120:J125,J133,L120:L125)</f>
        <v>19.99977850041164</v>
      </c>
      <c r="M133" s="450">
        <f>SUMIF(J120:J125,J133,M120:M125)</f>
        <v>19.999121032667567</v>
      </c>
      <c r="N133" s="451">
        <f>SUMIF(J120:J125,J133,N120:N125)</f>
        <v>21.994071311710279</v>
      </c>
      <c r="O133" s="462">
        <f>SUM(K133:N133)</f>
        <v>84.993865075268957</v>
      </c>
      <c r="R133" s="415">
        <v>2</v>
      </c>
      <c r="S133" s="449">
        <f>SUMIF(R120:R125,R133,S120:S125)</f>
        <v>23</v>
      </c>
      <c r="T133" s="450">
        <f>SUMIF(R120:R125,R133,T120:T125)</f>
        <v>20</v>
      </c>
      <c r="U133" s="450">
        <f>SUMIF(R120:R125,R133,U120:U125)</f>
        <v>20</v>
      </c>
      <c r="V133" s="451">
        <f>SUMIF(R120:R125,R133,V120:V125)</f>
        <v>22</v>
      </c>
      <c r="W133" s="462">
        <f>SUM(S133:V133)</f>
        <v>85</v>
      </c>
    </row>
    <row r="135" spans="1:23" x14ac:dyDescent="0.25">
      <c r="A135" s="415" t="s">
        <v>37</v>
      </c>
      <c r="B135" s="415" t="s">
        <v>911</v>
      </c>
      <c r="C135">
        <v>1</v>
      </c>
      <c r="D135">
        <f>C135+1</f>
        <v>2</v>
      </c>
      <c r="E135">
        <f>D135+1</f>
        <v>3</v>
      </c>
      <c r="F135">
        <f>E135+1</f>
        <v>4</v>
      </c>
      <c r="I135" s="415" t="s">
        <v>37</v>
      </c>
      <c r="J135" s="415" t="s">
        <v>911</v>
      </c>
      <c r="K135">
        <v>1</v>
      </c>
      <c r="L135">
        <f>K135+1</f>
        <v>2</v>
      </c>
      <c r="M135">
        <f>L135+1</f>
        <v>3</v>
      </c>
      <c r="N135">
        <f>M135+1</f>
        <v>4</v>
      </c>
      <c r="Q135" s="415" t="s">
        <v>37</v>
      </c>
      <c r="R135" s="415" t="s">
        <v>911</v>
      </c>
      <c r="S135">
        <v>1</v>
      </c>
      <c r="T135">
        <f>S135+1</f>
        <v>2</v>
      </c>
      <c r="U135">
        <f>T135+1</f>
        <v>3</v>
      </c>
      <c r="V135">
        <f>U135+1</f>
        <v>4</v>
      </c>
    </row>
    <row r="136" spans="1:23" x14ac:dyDescent="0.25">
      <c r="A136" s="415">
        <v>1</v>
      </c>
      <c r="B136" s="415">
        <v>1</v>
      </c>
      <c r="C136" s="452">
        <f>S120*$G$6/$W120</f>
        <v>7.2219859281930701</v>
      </c>
      <c r="D136" s="453">
        <f>T120*$G$6/$W120</f>
        <v>6.6745604167668455</v>
      </c>
      <c r="E136" s="453">
        <f>U120*$G$6/$W120</f>
        <v>5.1798656257551601</v>
      </c>
      <c r="F136" s="454">
        <f>V120*$G$6/$W120</f>
        <v>8.9235880292849252</v>
      </c>
      <c r="G136" s="367">
        <f t="shared" ref="G136:G141" si="23">SUM(C136:F136)</f>
        <v>28</v>
      </c>
      <c r="I136" s="415">
        <v>1</v>
      </c>
      <c r="J136" s="415">
        <v>1</v>
      </c>
      <c r="K136" s="452">
        <f>C136*$C$14/C144</f>
        <v>7.2207496728562628</v>
      </c>
      <c r="L136" s="453">
        <f>D136*$D$14/D144</f>
        <v>6.6735789277442565</v>
      </c>
      <c r="M136" s="453">
        <f>E136*$E$14/E144</f>
        <v>5.1791160445481044</v>
      </c>
      <c r="N136" s="454">
        <f>F136*F128/F144</f>
        <v>8.9204138588482031</v>
      </c>
      <c r="O136" s="367">
        <f t="shared" ref="O136:O141" si="24">SUM(K136:N136)</f>
        <v>27.99385850399683</v>
      </c>
      <c r="Q136" s="415">
        <v>1</v>
      </c>
      <c r="R136" s="415">
        <v>1</v>
      </c>
      <c r="S136" s="452">
        <f>K136*$C$18/K148</f>
        <v>7.2208455683619643</v>
      </c>
      <c r="T136" s="453">
        <f>L136*$D$18/L148</f>
        <v>6.673555174440982</v>
      </c>
      <c r="U136" s="453">
        <f>M136*$E$18/M148</f>
        <v>5.1790570330745327</v>
      </c>
      <c r="V136" s="454">
        <f>N136*$F$18/N148</f>
        <v>8.922538245578151</v>
      </c>
      <c r="W136" s="367">
        <f t="shared" ref="W136:W141" si="25">SUM(S136:V136)</f>
        <v>27.995996021455632</v>
      </c>
    </row>
    <row r="137" spans="1:23" x14ac:dyDescent="0.25">
      <c r="A137" s="415">
        <v>1</v>
      </c>
      <c r="B137" s="415">
        <v>2</v>
      </c>
      <c r="C137" s="455">
        <f>S121*$G$7/$W121</f>
        <v>4.7800685764932576</v>
      </c>
      <c r="D137" s="456">
        <f>T121*$G$7/$W121</f>
        <v>7.3274985753369446</v>
      </c>
      <c r="E137" s="456">
        <f>U121*$G$7/$W121</f>
        <v>6.8218711521828723</v>
      </c>
      <c r="F137" s="457">
        <f>V121*$G$7/$W121</f>
        <v>3.0705616959869282</v>
      </c>
      <c r="G137" s="367">
        <f t="shared" si="23"/>
        <v>22.000000000000004</v>
      </c>
      <c r="I137" s="415">
        <v>1</v>
      </c>
      <c r="J137" s="415">
        <v>2</v>
      </c>
      <c r="K137" s="455">
        <f>C137*$C$14/C144</f>
        <v>4.7792503271437372</v>
      </c>
      <c r="L137" s="456">
        <f>D137*$D$14/D144</f>
        <v>7.3264210722557426</v>
      </c>
      <c r="M137" s="456">
        <f>E137*$E$14/E144</f>
        <v>6.8208839554518974</v>
      </c>
      <c r="N137" s="457">
        <f>F137*$F$14/F144</f>
        <v>3.0720593952738895</v>
      </c>
      <c r="O137" s="367">
        <f t="shared" si="24"/>
        <v>21.998614750125267</v>
      </c>
      <c r="Q137" s="415">
        <v>1</v>
      </c>
      <c r="R137" s="415">
        <v>2</v>
      </c>
      <c r="S137" s="455">
        <f>K137*$C$19/K149</f>
        <v>4.7791730603040552</v>
      </c>
      <c r="T137" s="456">
        <f>L137*$D$19/L149</f>
        <v>7.3264523648619289</v>
      </c>
      <c r="U137" s="456">
        <f>M137*$E$19/M149</f>
        <v>6.820965561232196</v>
      </c>
      <c r="V137" s="457">
        <f>N137*$F$19/N149</f>
        <v>3.0725453013495057</v>
      </c>
      <c r="W137" s="367">
        <f t="shared" si="25"/>
        <v>21.999136287747689</v>
      </c>
    </row>
    <row r="138" spans="1:23" x14ac:dyDescent="0.25">
      <c r="A138" s="415">
        <v>2</v>
      </c>
      <c r="B138" s="415">
        <v>1</v>
      </c>
      <c r="C138" s="455">
        <f>S122*$G$8/$W122</f>
        <v>12.59814926051641</v>
      </c>
      <c r="D138" s="456">
        <f>T122*$G$8/$W122</f>
        <v>11.122228717258583</v>
      </c>
      <c r="E138" s="456">
        <f>U122*$G$8/$W122</f>
        <v>3.3616756322522909</v>
      </c>
      <c r="F138" s="457">
        <f>V122*$G$8/$W122</f>
        <v>1.9179463899727172</v>
      </c>
      <c r="G138" s="367">
        <f t="shared" si="23"/>
        <v>29</v>
      </c>
      <c r="I138" s="415">
        <v>2</v>
      </c>
      <c r="J138" s="415">
        <v>1</v>
      </c>
      <c r="K138" s="455">
        <f>C138*$C$15/C145</f>
        <v>12.598751186638493</v>
      </c>
      <c r="L138" s="456">
        <f>D138*$D$15/D145</f>
        <v>11.123015007702817</v>
      </c>
      <c r="M138" s="456">
        <f>E138*$E$15/E145</f>
        <v>3.3617143279720114</v>
      </c>
      <c r="N138" s="457">
        <f>F138*$F$15/F145</f>
        <v>1.9174380074005548</v>
      </c>
      <c r="O138" s="367">
        <f t="shared" si="24"/>
        <v>29.000918529713879</v>
      </c>
      <c r="Q138" s="415">
        <v>2</v>
      </c>
      <c r="R138" s="415">
        <v>1</v>
      </c>
      <c r="S138" s="455">
        <f>K138*$C$18/K148</f>
        <v>12.598918504946285</v>
      </c>
      <c r="T138" s="456">
        <f>L138*$D$18/L148</f>
        <v>11.12297541749917</v>
      </c>
      <c r="U138" s="456">
        <f>M138*$E$18/M148</f>
        <v>3.3616760241930432</v>
      </c>
      <c r="V138" s="457">
        <f>N138*$F$18/N148</f>
        <v>1.9178946431489488</v>
      </c>
      <c r="W138" s="367">
        <f t="shared" si="25"/>
        <v>29.001464589787446</v>
      </c>
    </row>
    <row r="139" spans="1:23" x14ac:dyDescent="0.25">
      <c r="A139" s="415">
        <v>2</v>
      </c>
      <c r="B139" s="415">
        <v>2</v>
      </c>
      <c r="C139" s="455">
        <f>S123*$G$9/$W123</f>
        <v>2.401134089738111</v>
      </c>
      <c r="D139" s="456">
        <f>T123*$G$9/$W123</f>
        <v>2.8767816170606975</v>
      </c>
      <c r="E139" s="456">
        <f>U123*$G$9/$W123</f>
        <v>9.6381747285138868</v>
      </c>
      <c r="F139" s="457">
        <f>V123*$G$9/$W123</f>
        <v>5.0839095646873034</v>
      </c>
      <c r="G139" s="367">
        <f t="shared" si="23"/>
        <v>20</v>
      </c>
      <c r="I139" s="415">
        <v>2</v>
      </c>
      <c r="J139" s="415">
        <v>2</v>
      </c>
      <c r="K139" s="455">
        <f>C139*$C$15/C145</f>
        <v>2.4012488133615064</v>
      </c>
      <c r="L139" s="456">
        <f>D139*$D$15/D145</f>
        <v>2.8769849922971851</v>
      </c>
      <c r="M139" s="456">
        <f>E139*$E$15/E145</f>
        <v>9.6382856720279886</v>
      </c>
      <c r="N139" s="457">
        <f>F139*$F$15/F145</f>
        <v>5.0825619925994454</v>
      </c>
      <c r="O139" s="367">
        <f t="shared" si="24"/>
        <v>19.999081470286125</v>
      </c>
      <c r="Q139" s="415">
        <v>2</v>
      </c>
      <c r="R139" s="415">
        <v>2</v>
      </c>
      <c r="S139" s="455">
        <f>K139*$C$19/K149</f>
        <v>2.4012099920204175</v>
      </c>
      <c r="T139" s="456">
        <f>L139*$D$19/L149</f>
        <v>2.8769972804741109</v>
      </c>
      <c r="U139" s="456">
        <f>M139*$E$19/M149</f>
        <v>9.6384009855017467</v>
      </c>
      <c r="V139" s="457">
        <f>N139*$F$19/N149</f>
        <v>5.0833658988506389</v>
      </c>
      <c r="W139" s="367">
        <f t="shared" si="25"/>
        <v>19.999974156846914</v>
      </c>
    </row>
    <row r="140" spans="1:23" x14ac:dyDescent="0.25">
      <c r="A140" s="415">
        <v>3</v>
      </c>
      <c r="B140" s="415">
        <v>1</v>
      </c>
      <c r="C140" s="455">
        <f>S124*$G$10/$W124</f>
        <v>8.1795093052840571</v>
      </c>
      <c r="D140" s="456">
        <f>T124*$G$10/$W124</f>
        <v>6.2031025544115534</v>
      </c>
      <c r="E140" s="456">
        <f>U124*$G$10/$W124</f>
        <v>12.45777397607967</v>
      </c>
      <c r="F140" s="457">
        <f>V124*$G$10/$W124</f>
        <v>6.1596141642247204</v>
      </c>
      <c r="G140" s="367">
        <f t="shared" si="23"/>
        <v>33</v>
      </c>
      <c r="I140" s="415">
        <v>3</v>
      </c>
      <c r="J140" s="415">
        <v>1</v>
      </c>
      <c r="K140" s="455">
        <f>C140*$C$16/C146</f>
        <v>8.180127290126471</v>
      </c>
      <c r="L140" s="456">
        <f>D140*$D$16/D146</f>
        <v>6.2034914881785186</v>
      </c>
      <c r="M140" s="456">
        <f>E140*$E$16/E146</f>
        <v>12.459408906741938</v>
      </c>
      <c r="N140" s="457">
        <f>F140*$F$16/F146</f>
        <v>6.1581005664094013</v>
      </c>
      <c r="O140" s="367">
        <f t="shared" si="24"/>
        <v>33.001128251456329</v>
      </c>
      <c r="Q140" s="415">
        <v>3</v>
      </c>
      <c r="R140" s="415">
        <v>1</v>
      </c>
      <c r="S140" s="455">
        <f>K140*$C$18/K148</f>
        <v>8.1802359266917488</v>
      </c>
      <c r="T140" s="456">
        <f>L140*$D$18/L148</f>
        <v>6.2034694080598483</v>
      </c>
      <c r="U140" s="456">
        <f>M140*$E$18/M148</f>
        <v>12.459266942732425</v>
      </c>
      <c r="V140" s="457">
        <f>N140*$F$18/N148</f>
        <v>6.1595671112728985</v>
      </c>
      <c r="W140" s="367">
        <f t="shared" si="25"/>
        <v>33.002539388756922</v>
      </c>
    </row>
    <row r="141" spans="1:23" x14ac:dyDescent="0.25">
      <c r="A141" s="415">
        <v>3</v>
      </c>
      <c r="B141" s="415">
        <v>2</v>
      </c>
      <c r="C141" s="458">
        <f>S125*$G$11/$W125</f>
        <v>15.818677564468464</v>
      </c>
      <c r="D141" s="459">
        <f>T125*$G$11/$W125</f>
        <v>9.7958943104534484</v>
      </c>
      <c r="E141" s="459">
        <f>U125*$G$11/$W125</f>
        <v>3.5401264948983604</v>
      </c>
      <c r="F141" s="460">
        <f>V125*$G$11/$W125</f>
        <v>13.845301630179724</v>
      </c>
      <c r="G141" s="367">
        <f t="shared" si="23"/>
        <v>43</v>
      </c>
      <c r="I141" s="415">
        <v>3</v>
      </c>
      <c r="J141" s="415">
        <v>2</v>
      </c>
      <c r="K141" s="458">
        <f>C141*$C$16/C146</f>
        <v>15.819872709873527</v>
      </c>
      <c r="L141" s="459">
        <f>D141*$D$16/D146</f>
        <v>9.7965085118214805</v>
      </c>
      <c r="M141" s="459">
        <f>E141*$E$16/E146</f>
        <v>3.5405910932580618</v>
      </c>
      <c r="N141" s="460">
        <f>F141*$F$16/F146</f>
        <v>13.841899433590596</v>
      </c>
      <c r="O141" s="367">
        <f t="shared" si="24"/>
        <v>42.998871748543664</v>
      </c>
      <c r="Q141" s="415">
        <v>3</v>
      </c>
      <c r="R141" s="415">
        <v>2</v>
      </c>
      <c r="S141" s="458">
        <f>K141*$C$19/K149</f>
        <v>15.819616947675529</v>
      </c>
      <c r="T141" s="459">
        <f>L141*$D$19/L149</f>
        <v>9.7965503546639603</v>
      </c>
      <c r="U141" s="459">
        <f>M141*$E$19/M149</f>
        <v>3.5406334532660564</v>
      </c>
      <c r="V141" s="460">
        <f>N141*$F$19/N149</f>
        <v>13.844088799799854</v>
      </c>
      <c r="W141" s="367">
        <f t="shared" si="25"/>
        <v>43.000889555405401</v>
      </c>
    </row>
    <row r="142" spans="1:23" x14ac:dyDescent="0.25">
      <c r="C142" s="461">
        <f>SUM(C136:C141)</f>
        <v>50.999524724693366</v>
      </c>
      <c r="D142" s="461">
        <f>SUM(D136:D141)</f>
        <v>44.00006619128807</v>
      </c>
      <c r="E142" s="461">
        <f>SUM(E136:E141)</f>
        <v>40.999487609682241</v>
      </c>
      <c r="F142" s="461">
        <f>SUM(F136:F141)</f>
        <v>39.000921474336323</v>
      </c>
      <c r="G142" s="463">
        <f>SUM(G136:G141)</f>
        <v>175</v>
      </c>
      <c r="K142" s="461">
        <f>SUM(K136:K141)</f>
        <v>51</v>
      </c>
      <c r="L142" s="461">
        <f>SUM(L136:L141)</f>
        <v>44</v>
      </c>
      <c r="M142" s="461">
        <f>SUM(M136:M141)</f>
        <v>41</v>
      </c>
      <c r="N142" s="461">
        <f>SUM(N136:N141)</f>
        <v>38.992473254122089</v>
      </c>
      <c r="O142" s="463">
        <f>SUM(O136:O141)</f>
        <v>174.9924732541221</v>
      </c>
      <c r="S142" s="461">
        <f>SUM(S136:S141)</f>
        <v>51</v>
      </c>
      <c r="T142" s="461">
        <f>SUM(T136:T141)</f>
        <v>44</v>
      </c>
      <c r="U142" s="461">
        <f>SUM(U136:U141)</f>
        <v>41</v>
      </c>
      <c r="V142" s="461">
        <f>SUM(V136:V141)</f>
        <v>39</v>
      </c>
      <c r="W142" s="463">
        <f>SUM(W136:W141)</f>
        <v>175</v>
      </c>
    </row>
    <row r="144" spans="1:23" x14ac:dyDescent="0.25">
      <c r="A144" s="415">
        <v>1</v>
      </c>
      <c r="C144" s="445">
        <f>SUMIF(A136:A141,A144,C136:C141)</f>
        <v>12.002054504686328</v>
      </c>
      <c r="D144" s="446">
        <f>SUMIF(A136:A141,A144,D136:D141)</f>
        <v>14.002058992103791</v>
      </c>
      <c r="E144" s="446">
        <f>SUMIF(A136:A141,A144,E136:E141)</f>
        <v>12.001736777938032</v>
      </c>
      <c r="F144" s="447">
        <f>SUMIF(A136:A141,A144,F136:F141)</f>
        <v>11.994149725271853</v>
      </c>
      <c r="G144" s="462">
        <f>SUM(C144:F144)</f>
        <v>50</v>
      </c>
      <c r="I144" s="415">
        <v>1</v>
      </c>
      <c r="K144" s="445">
        <f>SUMIF(I136:I141,I144,K136:K141)</f>
        <v>12</v>
      </c>
      <c r="L144" s="446">
        <f>SUMIF(I136:I141,I144,L136:L141)</f>
        <v>14</v>
      </c>
      <c r="M144" s="446">
        <f>SUMIF(I136:I141,I144,M136:M141)</f>
        <v>12.000000000000002</v>
      </c>
      <c r="N144" s="447">
        <f>SUMIF(I136:I141,I144,N136:N141)</f>
        <v>11.992473254122093</v>
      </c>
      <c r="O144" s="462">
        <f>SUM(K144:N144)</f>
        <v>49.992473254122089</v>
      </c>
      <c r="Q144" s="415">
        <v>1</v>
      </c>
      <c r="S144" s="445">
        <f>SUMIF(Q136:Q141,Q144,S136:S141)</f>
        <v>12.00001862866602</v>
      </c>
      <c r="T144" s="446">
        <f>SUMIF(Q136:Q141,Q144,T136:T141)</f>
        <v>14.00000753930291</v>
      </c>
      <c r="U144" s="446">
        <f>SUMIF(Q136:Q141,Q144,U136:U141)</f>
        <v>12.000022594306728</v>
      </c>
      <c r="V144" s="447">
        <f>SUMIF(Q136:Q141,Q144,V136:V141)</f>
        <v>11.995083546927656</v>
      </c>
      <c r="W144" s="462">
        <f>SUM(S144:V144)</f>
        <v>49.995132309203314</v>
      </c>
    </row>
    <row r="145" spans="1:23" x14ac:dyDescent="0.25">
      <c r="A145" s="415">
        <v>2</v>
      </c>
      <c r="C145" s="448">
        <f>SUMIF(A136:A141,A145,C136:C141)</f>
        <v>14.999283350254521</v>
      </c>
      <c r="D145" s="367">
        <f>SUMIF(A136:A141,A145,D136:D141)</f>
        <v>13.99901033431928</v>
      </c>
      <c r="E145" s="367">
        <f>SUMIF(A136:A141,A145,E136:E141)</f>
        <v>12.999850360766178</v>
      </c>
      <c r="F145" s="364">
        <f>SUMIF(A136:A141,A145,F136:F141)</f>
        <v>7.0018559546600203</v>
      </c>
      <c r="G145" s="462">
        <f>SUM(C145:F145)</f>
        <v>49.000000000000007</v>
      </c>
      <c r="I145" s="415">
        <v>2</v>
      </c>
      <c r="K145" s="448">
        <f>SUMIF(I136:I141,I145,K136:K141)</f>
        <v>15</v>
      </c>
      <c r="L145" s="367">
        <f>SUMIF(I136:I141,I145,L136:L141)</f>
        <v>14.000000000000002</v>
      </c>
      <c r="M145" s="367">
        <f>SUMIF(I136:I141,I145,M136:M141)</f>
        <v>13</v>
      </c>
      <c r="N145" s="364">
        <f>SUMIF(I136:I141,I145,N136:N141)</f>
        <v>7</v>
      </c>
      <c r="O145" s="462">
        <f>SUM(K145:N145)</f>
        <v>49</v>
      </c>
      <c r="Q145" s="415">
        <v>2</v>
      </c>
      <c r="S145" s="448">
        <f>SUMIF(Q136:Q141,Q145,S136:S141)</f>
        <v>15.000128496966703</v>
      </c>
      <c r="T145" s="367">
        <f>SUMIF(Q136:Q141,Q145,T136:T141)</f>
        <v>13.999972697973281</v>
      </c>
      <c r="U145" s="367">
        <f>SUMIF(Q136:Q141,Q145,U136:U141)</f>
        <v>13.00007700969479</v>
      </c>
      <c r="V145" s="364">
        <f>SUMIF(Q136:Q141,Q145,V136:V141)</f>
        <v>7.0012605419995877</v>
      </c>
      <c r="W145" s="462">
        <f>SUM(S145:V145)</f>
        <v>49.001438746634356</v>
      </c>
    </row>
    <row r="146" spans="1:23" x14ac:dyDescent="0.25">
      <c r="A146" s="415">
        <v>3</v>
      </c>
      <c r="C146" s="449">
        <f>SUMIF(A136:A141,A146,C136:C141)</f>
        <v>23.998186869752523</v>
      </c>
      <c r="D146" s="450">
        <f>SUMIF(A136:A141,A146,D136:D141)</f>
        <v>15.998996864865003</v>
      </c>
      <c r="E146" s="450">
        <f>SUMIF(A136:A141,A146,E136:E141)</f>
        <v>15.997900470978031</v>
      </c>
      <c r="F146" s="451">
        <f>SUMIF(A136:A141,A146,F136:F141)</f>
        <v>20.004915794404447</v>
      </c>
      <c r="G146" s="462">
        <f>SUM(C146:F146)</f>
        <v>76</v>
      </c>
      <c r="I146" s="415">
        <v>3</v>
      </c>
      <c r="K146" s="449">
        <f>SUMIF(I136:I141,I146,K136:K141)</f>
        <v>24</v>
      </c>
      <c r="L146" s="450">
        <f>SUMIF(I136:I141,I146,L136:L141)</f>
        <v>16</v>
      </c>
      <c r="M146" s="450">
        <f>SUMIF(I136:I141,I146,M136:M141)</f>
        <v>16</v>
      </c>
      <c r="N146" s="451">
        <f>SUMIF(I136:I141,I146,N136:N141)</f>
        <v>19.999999999999996</v>
      </c>
      <c r="O146" s="462">
        <f>SUM(K146:N146)</f>
        <v>76</v>
      </c>
      <c r="Q146" s="415">
        <v>3</v>
      </c>
      <c r="S146" s="449">
        <f>SUMIF(Q136:Q141,Q146,S136:S141)</f>
        <v>23.999852874367278</v>
      </c>
      <c r="T146" s="450">
        <f>SUMIF(Q136:Q141,Q146,T136:T141)</f>
        <v>16.000019762723809</v>
      </c>
      <c r="U146" s="450">
        <f>SUMIF(Q136:Q141,Q146,U136:U141)</f>
        <v>15.99990039599848</v>
      </c>
      <c r="V146" s="451">
        <f>SUMIF(Q136:Q141,Q146,V136:V141)</f>
        <v>20.003655911072752</v>
      </c>
      <c r="W146" s="462">
        <f>SUM(S146:V146)</f>
        <v>76.003428944162323</v>
      </c>
    </row>
    <row r="148" spans="1:23" x14ac:dyDescent="0.25">
      <c r="B148" s="415">
        <v>1</v>
      </c>
      <c r="C148" s="445">
        <f>SUMIF(B136:B141,B148,C136:C141)</f>
        <v>27.999644493993536</v>
      </c>
      <c r="D148" s="446">
        <f>SUMIF(B136:B141,B148,D136:D141)</f>
        <v>23.999891688436982</v>
      </c>
      <c r="E148" s="446">
        <f>SUMIF(B136:B141,B148,E136:E141)</f>
        <v>20.999315234087121</v>
      </c>
      <c r="F148" s="447">
        <f>SUMIF(B136:B141,B148,F136:F141)</f>
        <v>17.001148583482362</v>
      </c>
      <c r="G148" s="462">
        <f>SUM(C148:F148)</f>
        <v>90</v>
      </c>
      <c r="J148" s="415">
        <v>1</v>
      </c>
      <c r="K148" s="445">
        <f>SUMIF(J136:J141,J148,K136:K141)</f>
        <v>27.999628149621227</v>
      </c>
      <c r="L148" s="446">
        <f>SUMIF(J136:J141,J148,L136:L141)</f>
        <v>24.000085423625592</v>
      </c>
      <c r="M148" s="446">
        <f>SUMIF(J136:J141,J148,M136:M141)</f>
        <v>21.000239279262054</v>
      </c>
      <c r="N148" s="447">
        <f>SUMIF(J136:J141,J148,N136:N141)</f>
        <v>16.995952432658161</v>
      </c>
      <c r="O148" s="462">
        <f>SUM(K148:N148)</f>
        <v>89.995905285167026</v>
      </c>
      <c r="R148" s="415">
        <v>1</v>
      </c>
      <c r="S148" s="445">
        <f>SUMIF(R136:R141,R148,S136:S141)</f>
        <v>28</v>
      </c>
      <c r="T148" s="446">
        <f>SUMIF(R136:R141,R148,T136:T141)</f>
        <v>24</v>
      </c>
      <c r="U148" s="446">
        <f>SUMIF(R136:R141,R148,U136:U141)</f>
        <v>21</v>
      </c>
      <c r="V148" s="447">
        <f>SUMIF(R136:R141,R148,V136:V141)</f>
        <v>17</v>
      </c>
      <c r="W148" s="462">
        <f>SUM(S148:V148)</f>
        <v>90</v>
      </c>
    </row>
    <row r="149" spans="1:23" x14ac:dyDescent="0.25">
      <c r="B149" s="415">
        <v>2</v>
      </c>
      <c r="C149" s="449">
        <f>SUMIF(B136:B141,B149,C136:C141)</f>
        <v>22.999880230699834</v>
      </c>
      <c r="D149" s="450">
        <f>SUMIF(B136:B141,B149,D136:D141)</f>
        <v>20.000174502851088</v>
      </c>
      <c r="E149" s="450">
        <f>SUMIF(B136:B141,B149,E136:E141)</f>
        <v>20.00017237559512</v>
      </c>
      <c r="F149" s="451">
        <f>SUMIF(B136:B141,B149,F136:F141)</f>
        <v>21.999772890853954</v>
      </c>
      <c r="G149" s="462">
        <f>SUM(C149:F149)</f>
        <v>85</v>
      </c>
      <c r="J149" s="415">
        <v>2</v>
      </c>
      <c r="K149" s="449">
        <f>SUMIF(J136:J141,J149,K136:K141)</f>
        <v>23.00037185037877</v>
      </c>
      <c r="L149" s="450">
        <f>SUMIF(J136:J141,J149,L136:L141)</f>
        <v>19.999914576374408</v>
      </c>
      <c r="M149" s="450">
        <f>SUMIF(J136:J141,J149,M136:M141)</f>
        <v>19.99976072073795</v>
      </c>
      <c r="N149" s="451">
        <f>SUMIF(J136:J141,J149,N136:N141)</f>
        <v>21.996520821463932</v>
      </c>
      <c r="O149" s="462">
        <f>SUM(K149:N149)</f>
        <v>84.996567968955063</v>
      </c>
      <c r="R149" s="415">
        <v>2</v>
      </c>
      <c r="S149" s="449">
        <f>SUMIF(R136:R141,R149,S136:S141)</f>
        <v>23</v>
      </c>
      <c r="T149" s="450">
        <f>SUMIF(R136:R141,R149,T136:T141)</f>
        <v>20</v>
      </c>
      <c r="U149" s="450">
        <f>SUMIF(R136:R141,R149,U136:U141)</f>
        <v>20</v>
      </c>
      <c r="V149" s="451">
        <f>SUMIF(R136:R141,R149,V136:V141)</f>
        <v>22</v>
      </c>
      <c r="W149" s="462">
        <f>SUM(S149:V149)</f>
        <v>85</v>
      </c>
    </row>
    <row r="151" spans="1:23" x14ac:dyDescent="0.25">
      <c r="A151" s="415" t="s">
        <v>37</v>
      </c>
      <c r="B151" s="415" t="s">
        <v>911</v>
      </c>
      <c r="C151">
        <v>1</v>
      </c>
      <c r="D151">
        <f>C151+1</f>
        <v>2</v>
      </c>
      <c r="E151">
        <f>D151+1</f>
        <v>3</v>
      </c>
      <c r="F151">
        <f>E151+1</f>
        <v>4</v>
      </c>
      <c r="I151" s="415" t="s">
        <v>37</v>
      </c>
      <c r="J151" s="415" t="s">
        <v>911</v>
      </c>
      <c r="K151">
        <v>1</v>
      </c>
      <c r="L151">
        <f>K151+1</f>
        <v>2</v>
      </c>
      <c r="M151">
        <f>L151+1</f>
        <v>3</v>
      </c>
      <c r="N151">
        <f>M151+1</f>
        <v>4</v>
      </c>
      <c r="Q151" s="415" t="s">
        <v>37</v>
      </c>
      <c r="R151" s="415" t="s">
        <v>911</v>
      </c>
      <c r="S151">
        <v>1</v>
      </c>
      <c r="T151">
        <f>S151+1</f>
        <v>2</v>
      </c>
      <c r="U151">
        <f>T151+1</f>
        <v>3</v>
      </c>
      <c r="V151">
        <f>U151+1</f>
        <v>4</v>
      </c>
    </row>
    <row r="152" spans="1:23" x14ac:dyDescent="0.25">
      <c r="A152" s="415">
        <v>1</v>
      </c>
      <c r="B152" s="415">
        <v>1</v>
      </c>
      <c r="C152" s="452">
        <f>S136*$G$6/$W136</f>
        <v>7.2218782914237103</v>
      </c>
      <c r="D152" s="453">
        <f>T136*$G$6/$W136</f>
        <v>6.6745096242027486</v>
      </c>
      <c r="E152" s="453">
        <f>U136*$G$6/$W136</f>
        <v>5.1797977401822415</v>
      </c>
      <c r="F152" s="454">
        <f>V136*$G$6/$W136</f>
        <v>8.923814344191296</v>
      </c>
      <c r="G152" s="367">
        <f t="shared" ref="G152:G157" si="26">SUM(C152:F152)</f>
        <v>27.999999999999996</v>
      </c>
      <c r="I152" s="415">
        <v>1</v>
      </c>
      <c r="J152" s="415">
        <v>1</v>
      </c>
      <c r="K152" s="452">
        <f>C152*$C$14/C160</f>
        <v>7.2211327168449371</v>
      </c>
      <c r="L152" s="453">
        <f>D152*$D$14/D160</f>
        <v>6.6739139133653973</v>
      </c>
      <c r="M152" s="453">
        <f>E152*$E$14/E160</f>
        <v>5.1793527040275267</v>
      </c>
      <c r="N152" s="454">
        <f>F152*F144/F160</f>
        <v>8.9220807178821371</v>
      </c>
      <c r="O152" s="367">
        <f t="shared" ref="O152:O157" si="27">SUM(K152:N152)</f>
        <v>27.996480052119999</v>
      </c>
      <c r="Q152" s="415">
        <v>1</v>
      </c>
      <c r="R152" s="415">
        <v>1</v>
      </c>
      <c r="S152" s="452">
        <f>K152*$C$18/K164</f>
        <v>7.2211787398351364</v>
      </c>
      <c r="T152" s="453">
        <f>L152*$D$18/L164</f>
        <v>6.6739026003320125</v>
      </c>
      <c r="U152" s="453">
        <f>M152*$E$18/M164</f>
        <v>5.1793356592354209</v>
      </c>
      <c r="V152" s="454">
        <f>N152*$F$18/N164</f>
        <v>8.923256734792492</v>
      </c>
      <c r="W152" s="367">
        <f t="shared" ref="W152:W157" si="28">SUM(S152:V152)</f>
        <v>27.997673734195061</v>
      </c>
    </row>
    <row r="153" spans="1:23" x14ac:dyDescent="0.25">
      <c r="A153" s="415">
        <v>1</v>
      </c>
      <c r="B153" s="415">
        <v>2</v>
      </c>
      <c r="C153" s="455">
        <f>S137*$G$7/$W137</f>
        <v>4.7793606963218567</v>
      </c>
      <c r="D153" s="456">
        <f>T137*$G$7/$W137</f>
        <v>7.3267400100944844</v>
      </c>
      <c r="E153" s="456">
        <f>U137*$G$7/$W137</f>
        <v>6.8212333604517088</v>
      </c>
      <c r="F153" s="457">
        <f>V137*$G$7/$W137</f>
        <v>3.072665933131947</v>
      </c>
      <c r="G153" s="367">
        <f t="shared" si="26"/>
        <v>21.999999999999996</v>
      </c>
      <c r="I153" s="415">
        <v>1</v>
      </c>
      <c r="J153" s="415">
        <v>2</v>
      </c>
      <c r="K153" s="455">
        <f>C153*$C$14/C160</f>
        <v>4.7788672831550638</v>
      </c>
      <c r="L153" s="456">
        <f>D153*$D$14/D160</f>
        <v>7.3260860866346036</v>
      </c>
      <c r="M153" s="456">
        <f>E153*$E$14/E160</f>
        <v>6.8206472959724733</v>
      </c>
      <c r="N153" s="457">
        <f>F153*$F$14/F160</f>
        <v>3.0735674418839252</v>
      </c>
      <c r="O153" s="367">
        <f t="shared" si="27"/>
        <v>21.999168107646064</v>
      </c>
      <c r="Q153" s="415">
        <v>1</v>
      </c>
      <c r="R153" s="415">
        <v>2</v>
      </c>
      <c r="S153" s="455">
        <f>K153*$C$19/K165</f>
        <v>4.778830204964458</v>
      </c>
      <c r="T153" s="456">
        <f>L153*$D$19/L165</f>
        <v>7.3261009889363056</v>
      </c>
      <c r="U153" s="456">
        <f>M153*$E$19/M165</f>
        <v>6.8206708645864405</v>
      </c>
      <c r="V153" s="457">
        <f>N153*$F$19/N165</f>
        <v>3.0738624447111826</v>
      </c>
      <c r="W153" s="367">
        <f t="shared" si="28"/>
        <v>21.999464503198386</v>
      </c>
    </row>
    <row r="154" spans="1:23" x14ac:dyDescent="0.25">
      <c r="A154" s="415">
        <v>2</v>
      </c>
      <c r="B154" s="415">
        <v>1</v>
      </c>
      <c r="C154" s="455">
        <f>S138*$G$8/$W138</f>
        <v>12.598282252686746</v>
      </c>
      <c r="D154" s="456">
        <f>T138*$G$8/$W138</f>
        <v>11.122413701170947</v>
      </c>
      <c r="E154" s="456">
        <f>U138*$G$8/$W138</f>
        <v>3.3615062577194053</v>
      </c>
      <c r="F154" s="457">
        <f>V138*$G$8/$W138</f>
        <v>1.9177977884229036</v>
      </c>
      <c r="G154" s="367">
        <f t="shared" si="26"/>
        <v>29</v>
      </c>
      <c r="I154" s="415">
        <v>2</v>
      </c>
      <c r="J154" s="415">
        <v>1</v>
      </c>
      <c r="K154" s="455">
        <f>C154*$C$15/C161</f>
        <v>12.598706117295443</v>
      </c>
      <c r="L154" s="456">
        <f>D154*$D$15/D161</f>
        <v>11.122878717598846</v>
      </c>
      <c r="M154" s="456">
        <f>E154*$E$15/E161</f>
        <v>3.3615270222413689</v>
      </c>
      <c r="N154" s="457">
        <f>F154*$F$15/F161</f>
        <v>1.9174772257329324</v>
      </c>
      <c r="O154" s="367">
        <f t="shared" si="27"/>
        <v>29.000589082868586</v>
      </c>
      <c r="Q154" s="415">
        <v>2</v>
      </c>
      <c r="R154" s="415">
        <v>1</v>
      </c>
      <c r="S154" s="455">
        <f>K154*$C$18/K164</f>
        <v>12.598786413580097</v>
      </c>
      <c r="T154" s="456">
        <f>L154*$D$18/L164</f>
        <v>11.122859863070619</v>
      </c>
      <c r="U154" s="456">
        <f>M154*$E$18/M164</f>
        <v>3.36151595975296</v>
      </c>
      <c r="V154" s="457">
        <f>N154*$F$18/N164</f>
        <v>1.9177299678582269</v>
      </c>
      <c r="W154" s="367">
        <f t="shared" si="28"/>
        <v>29.000892204261902</v>
      </c>
    </row>
    <row r="155" spans="1:23" x14ac:dyDescent="0.25">
      <c r="A155" s="415">
        <v>2</v>
      </c>
      <c r="B155" s="415">
        <v>2</v>
      </c>
      <c r="C155" s="455">
        <f>S139*$G$9/$W139</f>
        <v>2.4012130947662977</v>
      </c>
      <c r="D155" s="456">
        <f>T139*$G$9/$W139</f>
        <v>2.877000998012972</v>
      </c>
      <c r="E155" s="456">
        <f>U139*$G$9/$W139</f>
        <v>9.6384134398514476</v>
      </c>
      <c r="F155" s="457">
        <f>V139*$G$9/$W139</f>
        <v>5.0833724673692817</v>
      </c>
      <c r="G155" s="367">
        <f t="shared" si="26"/>
        <v>20</v>
      </c>
      <c r="I155" s="415">
        <v>2</v>
      </c>
      <c r="J155" s="415">
        <v>2</v>
      </c>
      <c r="K155" s="455">
        <f>C155*$C$15/C161</f>
        <v>2.4012938827045573</v>
      </c>
      <c r="L155" s="456">
        <f>D155*$D$15/D161</f>
        <v>2.8771212824011547</v>
      </c>
      <c r="M155" s="456">
        <f>E155*$E$15/E161</f>
        <v>9.6384729777586315</v>
      </c>
      <c r="N155" s="457">
        <f>F155*$F$15/F161</f>
        <v>5.0825227742670673</v>
      </c>
      <c r="O155" s="367">
        <f t="shared" si="27"/>
        <v>19.999410917131414</v>
      </c>
      <c r="Q155" s="415">
        <v>2</v>
      </c>
      <c r="R155" s="415">
        <v>2</v>
      </c>
      <c r="S155" s="455">
        <f>K155*$C$19/K165</f>
        <v>2.4012752515882263</v>
      </c>
      <c r="T155" s="456">
        <f>L155*$D$19/L165</f>
        <v>2.8771271348752969</v>
      </c>
      <c r="U155" s="456">
        <f>M155*$E$19/M165</f>
        <v>9.638506283314392</v>
      </c>
      <c r="V155" s="457">
        <f>N155*$F$19/N165</f>
        <v>5.0830105978194569</v>
      </c>
      <c r="W155" s="367">
        <f t="shared" si="28"/>
        <v>19.99991926759737</v>
      </c>
    </row>
    <row r="156" spans="1:23" x14ac:dyDescent="0.25">
      <c r="A156" s="415">
        <v>3</v>
      </c>
      <c r="B156" s="415">
        <v>1</v>
      </c>
      <c r="C156" s="455">
        <f>S140*$G$10/$W140</f>
        <v>8.179606496365297</v>
      </c>
      <c r="D156" s="456">
        <f>T140*$G$10/$W140</f>
        <v>6.2029920805341332</v>
      </c>
      <c r="E156" s="456">
        <f>U140*$G$10/$W140</f>
        <v>12.458308261280033</v>
      </c>
      <c r="F156" s="457">
        <f>V140*$G$10/$W140</f>
        <v>6.159093161820536</v>
      </c>
      <c r="G156" s="367">
        <f t="shared" si="26"/>
        <v>33</v>
      </c>
      <c r="I156" s="415">
        <v>3</v>
      </c>
      <c r="J156" s="415">
        <v>1</v>
      </c>
      <c r="K156" s="455">
        <f>C156*$C$16/C162</f>
        <v>8.1799827124835147</v>
      </c>
      <c r="L156" s="456">
        <f>D156*$D$16/D162</f>
        <v>6.2032480517992763</v>
      </c>
      <c r="M156" s="456">
        <f>E156*$E$16/E162</f>
        <v>12.459189383102999</v>
      </c>
      <c r="N156" s="457">
        <f>F156*$F$16/F162</f>
        <v>6.1582015865575723</v>
      </c>
      <c r="O156" s="367">
        <f t="shared" si="27"/>
        <v>33.000621733943362</v>
      </c>
      <c r="Q156" s="415">
        <v>3</v>
      </c>
      <c r="R156" s="415">
        <v>1</v>
      </c>
      <c r="S156" s="455">
        <f>K156*$C$18/K164</f>
        <v>8.1800348465847659</v>
      </c>
      <c r="T156" s="456">
        <f>L156*$D$18/L164</f>
        <v>6.2032375365973698</v>
      </c>
      <c r="U156" s="456">
        <f>M156*$E$18/M164</f>
        <v>12.459148381011621</v>
      </c>
      <c r="V156" s="457">
        <f>N156*$F$18/N164</f>
        <v>6.1590132973492775</v>
      </c>
      <c r="W156" s="367">
        <f t="shared" si="28"/>
        <v>33.00143406154303</v>
      </c>
    </row>
    <row r="157" spans="1:23" x14ac:dyDescent="0.25">
      <c r="A157" s="415">
        <v>3</v>
      </c>
      <c r="B157" s="415">
        <v>2</v>
      </c>
      <c r="C157" s="458">
        <f>S141*$G$11/$W141</f>
        <v>15.819289688730128</v>
      </c>
      <c r="D157" s="459">
        <f>T141*$G$11/$W141</f>
        <v>9.7963476943373387</v>
      </c>
      <c r="E157" s="459">
        <f>U141*$G$11/$W141</f>
        <v>3.540560208510902</v>
      </c>
      <c r="F157" s="460">
        <f>V141*$G$11/$W141</f>
        <v>13.843802408421627</v>
      </c>
      <c r="G157" s="367">
        <f t="shared" si="26"/>
        <v>43</v>
      </c>
      <c r="I157" s="415">
        <v>3</v>
      </c>
      <c r="J157" s="415">
        <v>2</v>
      </c>
      <c r="K157" s="458">
        <f>C157*$C$16/C162</f>
        <v>15.820017287516485</v>
      </c>
      <c r="L157" s="459">
        <f>D157*$D$16/D162</f>
        <v>9.7967519482007237</v>
      </c>
      <c r="M157" s="459">
        <f>E157*$E$16/E162</f>
        <v>3.5408106168970019</v>
      </c>
      <c r="N157" s="460">
        <f>F157*$F$16/F162</f>
        <v>13.841798413442428</v>
      </c>
      <c r="O157" s="367">
        <f t="shared" si="27"/>
        <v>42.999378266056638</v>
      </c>
      <c r="Q157" s="415">
        <v>3</v>
      </c>
      <c r="R157" s="415">
        <v>2</v>
      </c>
      <c r="S157" s="458">
        <f>K157*$C$19/K165</f>
        <v>15.819894543447313</v>
      </c>
      <c r="T157" s="459">
        <f>L157*$D$19/L165</f>
        <v>9.796771876188398</v>
      </c>
      <c r="U157" s="459">
        <f>M157*$E$19/M165</f>
        <v>3.5408228520991667</v>
      </c>
      <c r="V157" s="460">
        <f>N157*$F$19/N165</f>
        <v>13.843126957469362</v>
      </c>
      <c r="W157" s="367">
        <f t="shared" si="28"/>
        <v>43.00061622920424</v>
      </c>
    </row>
    <row r="158" spans="1:23" x14ac:dyDescent="0.25">
      <c r="C158" s="461">
        <f>SUM(C152:C157)</f>
        <v>50.999630520294033</v>
      </c>
      <c r="D158" s="461">
        <f>SUM(D152:D157)</f>
        <v>44.000004108352627</v>
      </c>
      <c r="E158" s="461">
        <f>SUM(E152:E157)</f>
        <v>40.99981926799574</v>
      </c>
      <c r="F158" s="461">
        <f>SUM(F152:F157)</f>
        <v>39.000546103357593</v>
      </c>
      <c r="G158" s="463">
        <f>SUM(G152:G157)</f>
        <v>175</v>
      </c>
      <c r="K158" s="461">
        <f>SUM(K152:K157)</f>
        <v>51</v>
      </c>
      <c r="L158" s="461">
        <f>SUM(L152:L157)</f>
        <v>44</v>
      </c>
      <c r="M158" s="461">
        <f>SUM(M152:M157)</f>
        <v>41</v>
      </c>
      <c r="N158" s="461">
        <f>SUM(N152:N157)</f>
        <v>38.995648159766063</v>
      </c>
      <c r="O158" s="463">
        <f>SUM(O152:O157)</f>
        <v>174.99564815976606</v>
      </c>
      <c r="S158" s="461">
        <f>SUM(S152:S157)</f>
        <v>50.999999999999993</v>
      </c>
      <c r="T158" s="461">
        <f>SUM(T152:T157)</f>
        <v>44</v>
      </c>
      <c r="U158" s="461">
        <f>SUM(U152:U157)</f>
        <v>41.000000000000007</v>
      </c>
      <c r="V158" s="461">
        <f>SUM(V152:V157)</f>
        <v>39</v>
      </c>
      <c r="W158" s="463">
        <f>SUM(W152:W157)</f>
        <v>174.99999999999997</v>
      </c>
    </row>
    <row r="160" spans="1:23" x14ac:dyDescent="0.25">
      <c r="A160" s="415">
        <v>1</v>
      </c>
      <c r="C160" s="445">
        <f>SUMIF(A152:A157,A160,C152:C157)</f>
        <v>12.001238987745566</v>
      </c>
      <c r="D160" s="446">
        <f>SUMIF(A152:A157,A160,D152:D157)</f>
        <v>14.001249634297233</v>
      </c>
      <c r="E160" s="446">
        <f>SUMIF(A152:A157,A160,E152:E157)</f>
        <v>12.00103110063395</v>
      </c>
      <c r="F160" s="447">
        <f>SUMIF(A152:A157,A160,F152:F157)</f>
        <v>11.996480277323244</v>
      </c>
      <c r="G160" s="462">
        <f>SUM(C160:F160)</f>
        <v>49.999999999999993</v>
      </c>
      <c r="I160" s="415">
        <v>1</v>
      </c>
      <c r="K160" s="445">
        <f>SUMIF(I152:I157,I160,K152:K157)</f>
        <v>12</v>
      </c>
      <c r="L160" s="446">
        <f>SUMIF(I152:I157,I160,L152:L157)</f>
        <v>14</v>
      </c>
      <c r="M160" s="446">
        <f>SUMIF(I152:I157,I160,M152:M157)</f>
        <v>12</v>
      </c>
      <c r="N160" s="447">
        <f>SUMIF(I152:I157,I160,N152:N157)</f>
        <v>11.995648159766063</v>
      </c>
      <c r="O160" s="462">
        <f>SUM(K160:N160)</f>
        <v>49.995648159766063</v>
      </c>
      <c r="Q160" s="415">
        <v>1</v>
      </c>
      <c r="S160" s="445">
        <f>SUMIF(Q152:Q157,Q160,S152:S157)</f>
        <v>12.000008944799594</v>
      </c>
      <c r="T160" s="446">
        <f>SUMIF(Q152:Q157,Q160,T152:T157)</f>
        <v>14.000003589268317</v>
      </c>
      <c r="U160" s="446">
        <f>SUMIF(Q152:Q157,Q160,U152:U157)</f>
        <v>12.000006523821861</v>
      </c>
      <c r="V160" s="447">
        <f>SUMIF(Q152:Q157,Q160,V152:V157)</f>
        <v>11.997119179503674</v>
      </c>
      <c r="W160" s="462">
        <f>SUM(S160:V160)</f>
        <v>49.997138237393443</v>
      </c>
    </row>
    <row r="161" spans="1:23" x14ac:dyDescent="0.25">
      <c r="A161" s="415">
        <v>2</v>
      </c>
      <c r="C161" s="448">
        <f>SUMIF(A152:A157,A161,C152:C157)</f>
        <v>14.999495347453044</v>
      </c>
      <c r="D161" s="367">
        <f>SUMIF(A152:A157,A161,D152:D157)</f>
        <v>13.999414699183919</v>
      </c>
      <c r="E161" s="367">
        <f>SUMIF(A152:A157,A161,E152:E157)</f>
        <v>12.999919697570853</v>
      </c>
      <c r="F161" s="364">
        <f>SUMIF(A152:A157,A161,F152:F157)</f>
        <v>7.0011702557921858</v>
      </c>
      <c r="G161" s="462">
        <f>SUM(C161:F161)</f>
        <v>49</v>
      </c>
      <c r="I161" s="415">
        <v>2</v>
      </c>
      <c r="K161" s="448">
        <f>SUMIF(I152:I157,I161,K152:K157)</f>
        <v>15</v>
      </c>
      <c r="L161" s="367">
        <f>SUMIF(I152:I157,I161,L152:L157)</f>
        <v>14</v>
      </c>
      <c r="M161" s="367">
        <f>SUMIF(I152:I157,I161,M152:M157)</f>
        <v>13</v>
      </c>
      <c r="N161" s="364">
        <f>SUMIF(I152:I157,I161,N152:N157)</f>
        <v>7</v>
      </c>
      <c r="O161" s="462">
        <f>SUM(K161:N161)</f>
        <v>49</v>
      </c>
      <c r="Q161" s="415">
        <v>2</v>
      </c>
      <c r="S161" s="448">
        <f>SUMIF(Q152:Q157,Q161,S152:S157)</f>
        <v>15.000061665168323</v>
      </c>
      <c r="T161" s="367">
        <f>SUMIF(Q152:Q157,Q161,T152:T157)</f>
        <v>13.999986997945916</v>
      </c>
      <c r="U161" s="367">
        <f>SUMIF(Q152:Q157,Q161,U152:U157)</f>
        <v>13.000022243067352</v>
      </c>
      <c r="V161" s="364">
        <f>SUMIF(Q152:Q157,Q161,V152:V157)</f>
        <v>7.0007405656776838</v>
      </c>
      <c r="W161" s="462">
        <f>SUM(S161:V161)</f>
        <v>49.000811471859272</v>
      </c>
    </row>
    <row r="162" spans="1:23" x14ac:dyDescent="0.25">
      <c r="A162" s="415">
        <v>3</v>
      </c>
      <c r="C162" s="449">
        <f>SUMIF(A152:A157,A162,C152:C157)</f>
        <v>23.998896185095425</v>
      </c>
      <c r="D162" s="450">
        <f>SUMIF(A152:A157,A162,D152:D157)</f>
        <v>15.999339774871473</v>
      </c>
      <c r="E162" s="450">
        <f>SUMIF(A152:A157,A162,E152:E157)</f>
        <v>15.998868469790935</v>
      </c>
      <c r="F162" s="451">
        <f>SUMIF(A152:A157,A162,F152:F157)</f>
        <v>20.002895570242163</v>
      </c>
      <c r="G162" s="462">
        <f>SUM(C162:F162)</f>
        <v>76</v>
      </c>
      <c r="I162" s="415">
        <v>3</v>
      </c>
      <c r="K162" s="449">
        <f>SUMIF(I152:I157,I162,K152:K157)</f>
        <v>24</v>
      </c>
      <c r="L162" s="450">
        <f>SUMIF(I152:I157,I162,L152:L157)</f>
        <v>16</v>
      </c>
      <c r="M162" s="450">
        <f>SUMIF(I152:I157,I162,M152:M157)</f>
        <v>16</v>
      </c>
      <c r="N162" s="451">
        <f>SUMIF(I152:I157,I162,N152:N157)</f>
        <v>20</v>
      </c>
      <c r="O162" s="462">
        <f>SUM(K162:N162)</f>
        <v>76</v>
      </c>
      <c r="Q162" s="415">
        <v>3</v>
      </c>
      <c r="S162" s="449">
        <f>SUMIF(Q152:Q157,Q162,S152:S157)</f>
        <v>23.999929390032079</v>
      </c>
      <c r="T162" s="450">
        <f>SUMIF(Q152:Q157,Q162,T152:T157)</f>
        <v>16.000009412785769</v>
      </c>
      <c r="U162" s="450">
        <f>SUMIF(Q152:Q157,Q162,U152:U157)</f>
        <v>15.999971233110788</v>
      </c>
      <c r="V162" s="451">
        <f>SUMIF(Q152:Q157,Q162,V152:V157)</f>
        <v>20.002140254818642</v>
      </c>
      <c r="W162" s="462">
        <f>SUM(S162:V162)</f>
        <v>76.002050290747277</v>
      </c>
    </row>
    <row r="164" spans="1:23" x14ac:dyDescent="0.25">
      <c r="B164" s="415">
        <v>1</v>
      </c>
      <c r="C164" s="445">
        <f>SUMIF(B152:B157,B164,C152:C157)</f>
        <v>27.999767040475753</v>
      </c>
      <c r="D164" s="446">
        <f>SUMIF(B152:B157,B164,D152:D157)</f>
        <v>23.999915405907831</v>
      </c>
      <c r="E164" s="446">
        <f>SUMIF(B152:B157,B164,E152:E157)</f>
        <v>20.999612259181681</v>
      </c>
      <c r="F164" s="447">
        <f>SUMIF(B152:B157,B164,F152:F157)</f>
        <v>17.000705294434738</v>
      </c>
      <c r="G164" s="462">
        <f>SUM(C164:F164)</f>
        <v>90</v>
      </c>
      <c r="J164" s="415">
        <v>1</v>
      </c>
      <c r="K164" s="445">
        <f>SUMIF(J152:J157,J164,K152:K157)</f>
        <v>27.999821546623895</v>
      </c>
      <c r="L164" s="446">
        <f>SUMIF(J152:J157,J164,L152:L157)</f>
        <v>24.000040682763519</v>
      </c>
      <c r="M164" s="446">
        <f>SUMIF(J152:J157,J164,M152:M157)</f>
        <v>21.000069109371893</v>
      </c>
      <c r="N164" s="447">
        <f>SUMIF(J152:J157,J164,N152:N157)</f>
        <v>16.997759530172644</v>
      </c>
      <c r="O164" s="462">
        <f>SUM(K164:N164)</f>
        <v>89.997690868931954</v>
      </c>
      <c r="R164" s="415">
        <v>1</v>
      </c>
      <c r="S164" s="445">
        <f>SUMIF(R152:R157,R164,S152:S157)</f>
        <v>28</v>
      </c>
      <c r="T164" s="446">
        <f>SUMIF(R152:R157,R164,T152:T157)</f>
        <v>24.000000000000004</v>
      </c>
      <c r="U164" s="446">
        <f>SUMIF(R152:R157,R164,U152:U157)</f>
        <v>21</v>
      </c>
      <c r="V164" s="447">
        <f>SUMIF(R152:R157,R164,V152:V157)</f>
        <v>16.999999999999996</v>
      </c>
      <c r="W164" s="462">
        <f>SUM(S164:V164)</f>
        <v>90</v>
      </c>
    </row>
    <row r="165" spans="1:23" x14ac:dyDescent="0.25">
      <c r="B165" s="415">
        <v>2</v>
      </c>
      <c r="C165" s="449">
        <f>SUMIF(B152:B157,B165,C152:C157)</f>
        <v>22.999863479818281</v>
      </c>
      <c r="D165" s="450">
        <f>SUMIF(B152:B157,B165,D152:D157)</f>
        <v>20.000088702444796</v>
      </c>
      <c r="E165" s="450">
        <f>SUMIF(B152:B157,B165,E152:E157)</f>
        <v>20.000207008814058</v>
      </c>
      <c r="F165" s="451">
        <f>SUMIF(B152:B157,B165,F152:F157)</f>
        <v>21.999840808922855</v>
      </c>
      <c r="G165" s="462">
        <f>SUM(C165:F165)</f>
        <v>84.999999999999986</v>
      </c>
      <c r="J165" s="415">
        <v>2</v>
      </c>
      <c r="K165" s="449">
        <f>SUMIF(J152:J157,J165,K152:K157)</f>
        <v>23.000178453376108</v>
      </c>
      <c r="L165" s="450">
        <f>SUMIF(J152:J157,J165,L152:L157)</f>
        <v>19.999959317236481</v>
      </c>
      <c r="M165" s="450">
        <f>SUMIF(J152:J157,J165,M152:M157)</f>
        <v>19.999930890628107</v>
      </c>
      <c r="N165" s="451">
        <f>SUMIF(J152:J157,J165,N152:N157)</f>
        <v>21.997888629593419</v>
      </c>
      <c r="O165" s="462">
        <f>SUM(K165:N165)</f>
        <v>84.997957290834108</v>
      </c>
      <c r="R165" s="415">
        <v>2</v>
      </c>
      <c r="S165" s="449">
        <f>SUMIF(R152:R157,R165,S152:S157)</f>
        <v>23</v>
      </c>
      <c r="T165" s="450">
        <f>SUMIF(R152:R157,R165,T152:T157)</f>
        <v>20</v>
      </c>
      <c r="U165" s="450">
        <f>SUMIF(R152:R157,R165,U152:U157)</f>
        <v>20</v>
      </c>
      <c r="V165" s="451">
        <f>SUMIF(R152:R157,R165,V152:V157)</f>
        <v>22</v>
      </c>
      <c r="W165" s="462">
        <f>SUM(S165:V165)</f>
        <v>85</v>
      </c>
    </row>
    <row r="167" spans="1:23" x14ac:dyDescent="0.25">
      <c r="A167" s="415" t="s">
        <v>37</v>
      </c>
      <c r="B167" s="415" t="s">
        <v>911</v>
      </c>
      <c r="C167">
        <v>1</v>
      </c>
      <c r="D167">
        <f>C167+1</f>
        <v>2</v>
      </c>
      <c r="E167">
        <f>D167+1</f>
        <v>3</v>
      </c>
      <c r="F167">
        <f>E167+1</f>
        <v>4</v>
      </c>
      <c r="I167" s="415" t="s">
        <v>37</v>
      </c>
      <c r="J167" s="415" t="s">
        <v>911</v>
      </c>
      <c r="K167">
        <v>1</v>
      </c>
      <c r="L167">
        <f>K167+1</f>
        <v>2</v>
      </c>
      <c r="M167">
        <f>L167+1</f>
        <v>3</v>
      </c>
      <c r="N167">
        <f>M167+1</f>
        <v>4</v>
      </c>
      <c r="Q167" s="415" t="s">
        <v>37</v>
      </c>
      <c r="R167" s="415" t="s">
        <v>911</v>
      </c>
      <c r="S167">
        <v>1</v>
      </c>
      <c r="T167">
        <f>S167+1</f>
        <v>2</v>
      </c>
      <c r="U167">
        <f>T167+1</f>
        <v>3</v>
      </c>
      <c r="V167">
        <f>U167+1</f>
        <v>4</v>
      </c>
    </row>
    <row r="168" spans="1:23" x14ac:dyDescent="0.25">
      <c r="A168" s="415">
        <v>1</v>
      </c>
      <c r="B168" s="415">
        <v>1</v>
      </c>
      <c r="C168" s="452">
        <f>S152*$G$6/$W152</f>
        <v>7.2217787318678068</v>
      </c>
      <c r="D168" s="453">
        <f>T152*$G$6/$W152</f>
        <v>6.6744571203807865</v>
      </c>
      <c r="E168" s="453">
        <f>U152*$G$6/$W152</f>
        <v>5.1797659989683131</v>
      </c>
      <c r="F168" s="454">
        <f>V152*$G$6/$W152</f>
        <v>8.9239981487830953</v>
      </c>
      <c r="G168" s="367">
        <f t="shared" ref="G168:G173" si="29">SUM(C168:F168)</f>
        <v>28.000000000000004</v>
      </c>
      <c r="I168" s="415">
        <v>1</v>
      </c>
      <c r="J168" s="415">
        <v>1</v>
      </c>
      <c r="K168" s="452">
        <f>C168*$C$14/C176</f>
        <v>7.2213422859512493</v>
      </c>
      <c r="L168" s="453">
        <f>D168*$D$14/D176</f>
        <v>6.6741060449782559</v>
      </c>
      <c r="M168" s="453">
        <f>E168*$E$14/E176</f>
        <v>5.1795057771736506</v>
      </c>
      <c r="N168" s="454">
        <f>F168*F160/F176</f>
        <v>8.9229158250563589</v>
      </c>
      <c r="O168" s="367">
        <f t="shared" ref="O168:O173" si="30">SUM(K168:N168)</f>
        <v>27.997869933159514</v>
      </c>
      <c r="Q168" s="415">
        <v>1</v>
      </c>
      <c r="R168" s="415">
        <v>1</v>
      </c>
      <c r="S168" s="452">
        <f>K168*$C$18/K180</f>
        <v>7.2213658615812832</v>
      </c>
      <c r="T168" s="453">
        <f>L168*$D$18/L180</f>
        <v>6.6741004968687196</v>
      </c>
      <c r="U168" s="453">
        <f>M168*$E$18/M180</f>
        <v>5.1795009116336166</v>
      </c>
      <c r="V168" s="454">
        <f>N168*$F$18/N180</f>
        <v>8.9236377897803205</v>
      </c>
      <c r="W168" s="367">
        <f t="shared" ref="W168:W173" si="31">SUM(S168:V168)</f>
        <v>27.998605059863941</v>
      </c>
    </row>
    <row r="169" spans="1:23" x14ac:dyDescent="0.25">
      <c r="A169" s="415">
        <v>1</v>
      </c>
      <c r="B169" s="415">
        <v>2</v>
      </c>
      <c r="C169" s="455">
        <f>S153*$G$7/$W153</f>
        <v>4.7789465281726811</v>
      </c>
      <c r="D169" s="456">
        <f>T153*$G$7/$W153</f>
        <v>7.3262793161700115</v>
      </c>
      <c r="E169" s="456">
        <f>U153*$G$7/$W153</f>
        <v>6.8208368889654576</v>
      </c>
      <c r="F169" s="457">
        <f>V153*$G$7/$W153</f>
        <v>3.0739372666918494</v>
      </c>
      <c r="G169" s="367">
        <f t="shared" si="29"/>
        <v>22</v>
      </c>
      <c r="I169" s="415">
        <v>1</v>
      </c>
      <c r="J169" s="415">
        <v>2</v>
      </c>
      <c r="K169" s="455">
        <f>C169*$C$14/C176</f>
        <v>4.7786577140487498</v>
      </c>
      <c r="L169" s="456">
        <f>D169*$D$14/D176</f>
        <v>7.3258939550217432</v>
      </c>
      <c r="M169" s="456">
        <f>E169*$E$14/E176</f>
        <v>6.8204942228263494</v>
      </c>
      <c r="N169" s="457">
        <f>F169*$F$14/F176</f>
        <v>3.0744662246410326</v>
      </c>
      <c r="O169" s="367">
        <f t="shared" si="30"/>
        <v>21.999512116537876</v>
      </c>
      <c r="Q169" s="415">
        <v>1</v>
      </c>
      <c r="R169" s="415">
        <v>2</v>
      </c>
      <c r="S169" s="455">
        <f>K169*$C$19/K181</f>
        <v>4.7786387217141773</v>
      </c>
      <c r="T169" s="456">
        <f>L169*$D$19/L181</f>
        <v>7.3259012629553322</v>
      </c>
      <c r="U169" s="456">
        <f>M169*$E$19/M181</f>
        <v>6.8205009502489409</v>
      </c>
      <c r="V169" s="457">
        <f>N169*$F$19/N181</f>
        <v>3.0746398816260707</v>
      </c>
      <c r="W169" s="367">
        <f t="shared" si="31"/>
        <v>21.999680816544519</v>
      </c>
    </row>
    <row r="170" spans="1:23" x14ac:dyDescent="0.25">
      <c r="A170" s="415">
        <v>2</v>
      </c>
      <c r="B170" s="415">
        <v>1</v>
      </c>
      <c r="C170" s="455">
        <f>S154*$G$8/$W154</f>
        <v>12.598398815472638</v>
      </c>
      <c r="D170" s="456">
        <f>T154*$G$8/$W154</f>
        <v>11.122517671426843</v>
      </c>
      <c r="E170" s="456">
        <f>U154*$G$8/$W154</f>
        <v>3.3614125436633921</v>
      </c>
      <c r="F170" s="457">
        <f>V154*$G$8/$W154</f>
        <v>1.9176709694371283</v>
      </c>
      <c r="G170" s="367">
        <f t="shared" si="29"/>
        <v>29.000000000000004</v>
      </c>
      <c r="I170" s="415">
        <v>2</v>
      </c>
      <c r="J170" s="415">
        <v>1</v>
      </c>
      <c r="K170" s="455">
        <f>C170*$C$15/C177</f>
        <v>12.598664428800996</v>
      </c>
      <c r="L170" s="456">
        <f>D170*$D$15/D177</f>
        <v>11.122790640425396</v>
      </c>
      <c r="M170" s="456">
        <f>E170*$E$15/E177</f>
        <v>3.3614234723949226</v>
      </c>
      <c r="N170" s="457">
        <f>F170*$F$15/F177</f>
        <v>1.9174786502943106</v>
      </c>
      <c r="O170" s="367">
        <f t="shared" si="30"/>
        <v>29.000357191915626</v>
      </c>
      <c r="Q170" s="415">
        <v>2</v>
      </c>
      <c r="R170" s="415">
        <v>1</v>
      </c>
      <c r="S170" s="455">
        <f>K170*$C$18/K180</f>
        <v>12.598705559859425</v>
      </c>
      <c r="T170" s="456">
        <f>L170*$D$18/L180</f>
        <v>11.122781394174229</v>
      </c>
      <c r="U170" s="456">
        <f>M170*$E$18/M180</f>
        <v>3.3614203147306245</v>
      </c>
      <c r="V170" s="457">
        <f>N170*$F$18/N180</f>
        <v>1.9176337959856524</v>
      </c>
      <c r="W170" s="367">
        <f t="shared" si="31"/>
        <v>29.000541064749932</v>
      </c>
    </row>
    <row r="171" spans="1:23" x14ac:dyDescent="0.25">
      <c r="A171" s="415">
        <v>2</v>
      </c>
      <c r="B171" s="415">
        <v>2</v>
      </c>
      <c r="C171" s="455">
        <f>S155*$G$9/$W155</f>
        <v>2.4012849446633751</v>
      </c>
      <c r="D171" s="456">
        <f>T155*$G$9/$W155</f>
        <v>2.8771387487914915</v>
      </c>
      <c r="E171" s="456">
        <f>U155*$G$9/$W155</f>
        <v>9.6385451904599453</v>
      </c>
      <c r="F171" s="457">
        <f>V155*$G$9/$W155</f>
        <v>5.0830311160851886</v>
      </c>
      <c r="G171" s="367">
        <f t="shared" si="29"/>
        <v>20</v>
      </c>
      <c r="I171" s="415">
        <v>2</v>
      </c>
      <c r="J171" s="415">
        <v>2</v>
      </c>
      <c r="K171" s="455">
        <f>C171*$C$15/C177</f>
        <v>2.4013355711990032</v>
      </c>
      <c r="L171" s="456">
        <f>D171*$D$15/D177</f>
        <v>2.8772093595746036</v>
      </c>
      <c r="M171" s="456">
        <f>E171*$E$15/E177</f>
        <v>9.6385765276050765</v>
      </c>
      <c r="N171" s="457">
        <f>F171*$F$15/F177</f>
        <v>5.08252134970569</v>
      </c>
      <c r="O171" s="367">
        <f t="shared" si="30"/>
        <v>19.999642808084374</v>
      </c>
      <c r="Q171" s="415">
        <v>2</v>
      </c>
      <c r="R171" s="415">
        <v>2</v>
      </c>
      <c r="S171" s="455">
        <f>K171*$C$19/K181</f>
        <v>2.401326027312138</v>
      </c>
      <c r="T171" s="456">
        <f>L171*$D$19/L181</f>
        <v>2.8772122297301164</v>
      </c>
      <c r="U171" s="456">
        <f>M171*$E$19/M181</f>
        <v>9.6385860346547645</v>
      </c>
      <c r="V171" s="457">
        <f>N171*$F$19/N181</f>
        <v>5.0828084289153788</v>
      </c>
      <c r="W171" s="367">
        <f t="shared" si="31"/>
        <v>19.999932720612396</v>
      </c>
    </row>
    <row r="172" spans="1:23" x14ac:dyDescent="0.25">
      <c r="A172" s="415">
        <v>3</v>
      </c>
      <c r="B172" s="415">
        <v>1</v>
      </c>
      <c r="C172" s="455">
        <f>S156*$G$10/$W156</f>
        <v>8.179679387080423</v>
      </c>
      <c r="D172" s="456">
        <f>T156*$G$10/$W156</f>
        <v>6.2029679778752564</v>
      </c>
      <c r="E172" s="456">
        <f>U156*$G$10/$W156</f>
        <v>12.458606974673982</v>
      </c>
      <c r="F172" s="457">
        <f>V156*$G$10/$W156</f>
        <v>6.158745660370343</v>
      </c>
      <c r="G172" s="367">
        <f t="shared" si="29"/>
        <v>33.000000000000007</v>
      </c>
      <c r="I172" s="415">
        <v>3</v>
      </c>
      <c r="J172" s="415">
        <v>1</v>
      </c>
      <c r="K172" s="455">
        <f>C172*$C$16/C178</f>
        <v>8.1799018735046563</v>
      </c>
      <c r="L172" s="456">
        <f>D172*$D$16/D178</f>
        <v>6.2031232655438844</v>
      </c>
      <c r="M172" s="456">
        <f>E172*$E$16/E178</f>
        <v>12.459090477494412</v>
      </c>
      <c r="N172" s="457">
        <f>F172*$F$16/F178</f>
        <v>6.1582301438240998</v>
      </c>
      <c r="O172" s="367">
        <f t="shared" si="30"/>
        <v>33.000345760367054</v>
      </c>
      <c r="Q172" s="415">
        <v>3</v>
      </c>
      <c r="R172" s="415">
        <v>1</v>
      </c>
      <c r="S172" s="455">
        <f>K172*$C$18/K180</f>
        <v>8.1799285785592915</v>
      </c>
      <c r="T172" s="456">
        <f>L172*$D$18/L180</f>
        <v>6.2031181089570531</v>
      </c>
      <c r="U172" s="456">
        <f>M172*$E$18/M180</f>
        <v>12.45907877363576</v>
      </c>
      <c r="V172" s="457">
        <f>N172*$F$18/N180</f>
        <v>6.1587284142340257</v>
      </c>
      <c r="W172" s="367">
        <f t="shared" si="31"/>
        <v>33.000853875386127</v>
      </c>
    </row>
    <row r="173" spans="1:23" x14ac:dyDescent="0.25">
      <c r="A173" s="415">
        <v>3</v>
      </c>
      <c r="B173" s="415">
        <v>2</v>
      </c>
      <c r="C173" s="458">
        <f>S157*$G$11/$W157</f>
        <v>15.819667833184052</v>
      </c>
      <c r="D173" s="459">
        <f>T157*$G$11/$W157</f>
        <v>9.7966314815274202</v>
      </c>
      <c r="E173" s="459">
        <f>U157*$G$11/$W157</f>
        <v>3.5407721096066203</v>
      </c>
      <c r="F173" s="460">
        <f>V157*$G$11/$W157</f>
        <v>13.842928575681908</v>
      </c>
      <c r="G173" s="367">
        <f t="shared" si="29"/>
        <v>43</v>
      </c>
      <c r="I173" s="415">
        <v>3</v>
      </c>
      <c r="J173" s="415">
        <v>2</v>
      </c>
      <c r="K173" s="458">
        <f>C173*$C$16/C178</f>
        <v>15.820098126495342</v>
      </c>
      <c r="L173" s="459">
        <f>D173*$D$16/D178</f>
        <v>9.7968767344561147</v>
      </c>
      <c r="M173" s="459">
        <f>E173*$E$16/E178</f>
        <v>3.5409095225055887</v>
      </c>
      <c r="N173" s="460">
        <f>F173*$F$16/F178</f>
        <v>13.841769856175898</v>
      </c>
      <c r="O173" s="367">
        <f t="shared" si="30"/>
        <v>42.999654239632946</v>
      </c>
      <c r="Q173" s="415">
        <v>3</v>
      </c>
      <c r="R173" s="415">
        <v>2</v>
      </c>
      <c r="S173" s="458">
        <f>K173*$C$19/K181</f>
        <v>15.820035250973683</v>
      </c>
      <c r="T173" s="459">
        <f>L173*$D$19/L181</f>
        <v>9.7968865073145519</v>
      </c>
      <c r="U173" s="459">
        <f>M173*$E$19/M181</f>
        <v>3.540913015096292</v>
      </c>
      <c r="V173" s="460">
        <f>N173*$F$19/N181</f>
        <v>13.842551689458551</v>
      </c>
      <c r="W173" s="367">
        <f t="shared" si="31"/>
        <v>43.000386462843082</v>
      </c>
    </row>
    <row r="174" spans="1:23" x14ac:dyDescent="0.25">
      <c r="C174" s="461">
        <f>SUM(C168:C173)</f>
        <v>50.999756240440973</v>
      </c>
      <c r="D174" s="461">
        <f>SUM(D168:D173)</f>
        <v>43.999992316171813</v>
      </c>
      <c r="E174" s="461">
        <f>SUM(E168:E173)</f>
        <v>40.999939706337713</v>
      </c>
      <c r="F174" s="461">
        <f>SUM(F168:F173)</f>
        <v>39.000311737049515</v>
      </c>
      <c r="G174" s="463">
        <f>SUM(G168:G173)</f>
        <v>175</v>
      </c>
      <c r="K174" s="461">
        <f>SUM(K168:K173)</f>
        <v>51</v>
      </c>
      <c r="L174" s="461">
        <f>SUM(L168:L173)</f>
        <v>44</v>
      </c>
      <c r="M174" s="461">
        <f>SUM(M168:M173)</f>
        <v>41</v>
      </c>
      <c r="N174" s="461">
        <f>SUM(N168:N173)</f>
        <v>38.997382049697393</v>
      </c>
      <c r="O174" s="463">
        <f>SUM(O168:O173)</f>
        <v>174.99738204969739</v>
      </c>
      <c r="S174" s="461">
        <f>SUM(S168:S173)</f>
        <v>50.999999999999993</v>
      </c>
      <c r="T174" s="461">
        <f>SUM(T168:T173)</f>
        <v>44</v>
      </c>
      <c r="U174" s="461">
        <f>SUM(U168:U173)</f>
        <v>41</v>
      </c>
      <c r="V174" s="461">
        <f>SUM(V168:V173)</f>
        <v>39</v>
      </c>
      <c r="W174" s="463">
        <f>SUM(W168:W173)</f>
        <v>175</v>
      </c>
    </row>
    <row r="176" spans="1:23" x14ac:dyDescent="0.25">
      <c r="A176" s="415">
        <v>1</v>
      </c>
      <c r="C176" s="445">
        <f>SUMIF(A168:A173,A176,C168:C173)</f>
        <v>12.000725260040488</v>
      </c>
      <c r="D176" s="446">
        <f>SUMIF(A168:A173,A176,D168:D173)</f>
        <v>14.000736436550799</v>
      </c>
      <c r="E176" s="446">
        <f>SUMIF(A168:A173,A176,E168:E173)</f>
        <v>12.00060288793377</v>
      </c>
      <c r="F176" s="447">
        <f>SUMIF(A168:A173,A176,F168:F173)</f>
        <v>11.997935415474945</v>
      </c>
      <c r="G176" s="462">
        <f>SUM(C176:F176)</f>
        <v>50</v>
      </c>
      <c r="I176" s="415">
        <v>1</v>
      </c>
      <c r="K176" s="445">
        <f>SUMIF(I168:I173,I176,K168:K173)</f>
        <v>12</v>
      </c>
      <c r="L176" s="446">
        <f>SUMIF(I168:I173,I176,L168:L173)</f>
        <v>14</v>
      </c>
      <c r="M176" s="446">
        <f>SUMIF(I168:I173,I176,M168:M173)</f>
        <v>12</v>
      </c>
      <c r="N176" s="447">
        <f>SUMIF(I168:I173,I176,N168:N173)</f>
        <v>11.997382049697391</v>
      </c>
      <c r="O176" s="462">
        <f>SUM(K176:N176)</f>
        <v>49.997382049697393</v>
      </c>
      <c r="Q176" s="415">
        <v>1</v>
      </c>
      <c r="S176" s="445">
        <f>SUMIF(Q168:Q173,Q176,S168:S173)</f>
        <v>12.00000458329546</v>
      </c>
      <c r="T176" s="446">
        <f>SUMIF(Q168:Q173,Q176,T168:T173)</f>
        <v>14.000001759824052</v>
      </c>
      <c r="U176" s="446">
        <f>SUMIF(Q168:Q173,Q176,U168:U173)</f>
        <v>12.000001861882557</v>
      </c>
      <c r="V176" s="447">
        <f>SUMIF(Q168:Q173,Q176,V168:V173)</f>
        <v>11.998277671406392</v>
      </c>
      <c r="W176" s="462">
        <f>SUM(S176:V176)</f>
        <v>49.99828587640846</v>
      </c>
    </row>
    <row r="177" spans="1:23" x14ac:dyDescent="0.25">
      <c r="A177" s="415">
        <v>2</v>
      </c>
      <c r="C177" s="448">
        <f>SUMIF(A168:A173,A177,C168:C173)</f>
        <v>14.999683760136014</v>
      </c>
      <c r="D177" s="367">
        <f>SUMIF(A168:A173,A177,D168:D173)</f>
        <v>13.999656420218335</v>
      </c>
      <c r="E177" s="367">
        <f>SUMIF(A168:A173,A177,E168:E173)</f>
        <v>12.999957734123338</v>
      </c>
      <c r="F177" s="364">
        <f>SUMIF(A168:A173,A177,F168:F173)</f>
        <v>7.0007020855223168</v>
      </c>
      <c r="G177" s="462">
        <f>SUM(C177:F177)</f>
        <v>49</v>
      </c>
      <c r="I177" s="415">
        <v>2</v>
      </c>
      <c r="K177" s="448">
        <f>SUMIF(I168:I173,I177,K168:K173)</f>
        <v>15</v>
      </c>
      <c r="L177" s="367">
        <f>SUMIF(I168:I173,I177,L168:L173)</f>
        <v>14</v>
      </c>
      <c r="M177" s="367">
        <f>SUMIF(I168:I173,I177,M168:M173)</f>
        <v>13</v>
      </c>
      <c r="N177" s="364">
        <f>SUMIF(I168:I173,I177,N168:N173)</f>
        <v>7.0000000000000009</v>
      </c>
      <c r="O177" s="462">
        <f>SUM(K177:N177)</f>
        <v>49</v>
      </c>
      <c r="Q177" s="415">
        <v>2</v>
      </c>
      <c r="S177" s="448">
        <f>SUMIF(Q168:Q173,Q177,S168:S173)</f>
        <v>15.000031587171563</v>
      </c>
      <c r="T177" s="367">
        <f>SUMIF(Q168:Q173,Q177,T168:T173)</f>
        <v>13.999993623904345</v>
      </c>
      <c r="U177" s="367">
        <f>SUMIF(Q168:Q173,Q177,U168:U173)</f>
        <v>13.000006349385389</v>
      </c>
      <c r="V177" s="364">
        <f>SUMIF(Q168:Q173,Q177,V168:V173)</f>
        <v>7.0004422249010307</v>
      </c>
      <c r="W177" s="462">
        <f>SUM(S177:V177)</f>
        <v>49.000473785362324</v>
      </c>
    </row>
    <row r="178" spans="1:23" x14ac:dyDescent="0.25">
      <c r="A178" s="415">
        <v>3</v>
      </c>
      <c r="C178" s="449">
        <f>SUMIF(A168:A173,A178,C168:C173)</f>
        <v>23.999347220264475</v>
      </c>
      <c r="D178" s="450">
        <f>SUMIF(A168:A173,A178,D168:D173)</f>
        <v>15.999599459402678</v>
      </c>
      <c r="E178" s="450">
        <f>SUMIF(A168:A173,A178,E168:E173)</f>
        <v>15.999379084280601</v>
      </c>
      <c r="F178" s="451">
        <f>SUMIF(A168:A173,A178,F168:F173)</f>
        <v>20.001674236052253</v>
      </c>
      <c r="G178" s="462">
        <f>SUM(C178:F178)</f>
        <v>76.000000000000014</v>
      </c>
      <c r="I178" s="415">
        <v>3</v>
      </c>
      <c r="K178" s="449">
        <f>SUMIF(I168:I173,I178,K168:K173)</f>
        <v>24</v>
      </c>
      <c r="L178" s="450">
        <f>SUMIF(I168:I173,I178,L168:L173)</f>
        <v>16</v>
      </c>
      <c r="M178" s="450">
        <f>SUMIF(I168:I173,I178,M168:M173)</f>
        <v>16</v>
      </c>
      <c r="N178" s="451">
        <f>SUMIF(I168:I173,I178,N168:N173)</f>
        <v>19.999999999999996</v>
      </c>
      <c r="O178" s="462">
        <f>SUM(K178:N178)</f>
        <v>76</v>
      </c>
      <c r="Q178" s="415">
        <v>3</v>
      </c>
      <c r="S178" s="449">
        <f>SUMIF(Q168:Q173,Q178,S168:S173)</f>
        <v>23.999963829532973</v>
      </c>
      <c r="T178" s="450">
        <f>SUMIF(Q168:Q173,Q178,T168:T173)</f>
        <v>16.000004616271603</v>
      </c>
      <c r="U178" s="450">
        <f>SUMIF(Q168:Q173,Q178,U168:U173)</f>
        <v>15.999991788732052</v>
      </c>
      <c r="V178" s="451">
        <f>SUMIF(Q168:Q173,Q178,V168:V173)</f>
        <v>20.001280103692576</v>
      </c>
      <c r="W178" s="462">
        <f>SUM(S178:V178)</f>
        <v>76.001240338229209</v>
      </c>
    </row>
    <row r="180" spans="1:23" x14ac:dyDescent="0.25">
      <c r="B180" s="415">
        <v>1</v>
      </c>
      <c r="C180" s="445">
        <f>SUMIF(B168:B173,B180,C168:C173)</f>
        <v>27.999856934420869</v>
      </c>
      <c r="D180" s="446">
        <f>SUMIF(B168:B173,B180,D168:D173)</f>
        <v>23.999942769682885</v>
      </c>
      <c r="E180" s="446">
        <f>SUMIF(B168:B173,B180,E168:E173)</f>
        <v>20.999785517305689</v>
      </c>
      <c r="F180" s="447">
        <f>SUMIF(B168:B173,B180,F168:F173)</f>
        <v>17.000414778590567</v>
      </c>
      <c r="G180" s="462">
        <f>SUM(C180:F180)</f>
        <v>90</v>
      </c>
      <c r="J180" s="415">
        <v>1</v>
      </c>
      <c r="K180" s="445">
        <f>SUMIF(J168:J173,J180,K168:K173)</f>
        <v>27.999908588256901</v>
      </c>
      <c r="L180" s="446">
        <f>SUMIF(J168:J173,J180,L168:L173)</f>
        <v>24.000019950947536</v>
      </c>
      <c r="M180" s="446">
        <f>SUMIF(J168:J173,J180,M168:M173)</f>
        <v>21.000019727062984</v>
      </c>
      <c r="N180" s="447">
        <f>SUMIF(J168:J173,J180,N168:N173)</f>
        <v>16.99862461917477</v>
      </c>
      <c r="O180" s="462">
        <f>SUM(K180:N180)</f>
        <v>89.998572885442172</v>
      </c>
      <c r="R180" s="415">
        <v>1</v>
      </c>
      <c r="S180" s="445">
        <f>SUMIF(R168:R173,R180,S168:S173)</f>
        <v>28</v>
      </c>
      <c r="T180" s="446">
        <f>SUMIF(R168:R173,R180,T168:T173)</f>
        <v>24.000000000000004</v>
      </c>
      <c r="U180" s="446">
        <f>SUMIF(R168:R173,R180,U168:U173)</f>
        <v>21</v>
      </c>
      <c r="V180" s="447">
        <f>SUMIF(R168:R173,R180,V168:V173)</f>
        <v>17</v>
      </c>
      <c r="W180" s="462">
        <f>SUM(S180:V180)</f>
        <v>90</v>
      </c>
    </row>
    <row r="181" spans="1:23" x14ac:dyDescent="0.25">
      <c r="B181" s="415">
        <v>2</v>
      </c>
      <c r="C181" s="449">
        <f>SUMIF(B168:B173,B181,C168:C173)</f>
        <v>22.999899306020108</v>
      </c>
      <c r="D181" s="450">
        <f>SUMIF(B168:B173,B181,D168:D173)</f>
        <v>20.000049546488924</v>
      </c>
      <c r="E181" s="450">
        <f>SUMIF(B168:B173,B181,E168:E173)</f>
        <v>20.000154189032024</v>
      </c>
      <c r="F181" s="451">
        <f>SUMIF(B168:B173,B181,F168:F173)</f>
        <v>21.999896958458947</v>
      </c>
      <c r="G181" s="462">
        <f>SUM(C181:F181)</f>
        <v>85</v>
      </c>
      <c r="J181" s="415">
        <v>2</v>
      </c>
      <c r="K181" s="449">
        <f>SUMIF(J168:J173,J181,K168:K173)</f>
        <v>23.000091411743096</v>
      </c>
      <c r="L181" s="450">
        <f>SUMIF(J168:J173,J181,L168:L173)</f>
        <v>19.999980049052461</v>
      </c>
      <c r="M181" s="450">
        <f>SUMIF(J168:J173,J181,M168:M173)</f>
        <v>19.999980272937016</v>
      </c>
      <c r="N181" s="451">
        <f>SUMIF(J168:J173,J181,N168:N173)</f>
        <v>21.99875743052262</v>
      </c>
      <c r="O181" s="462">
        <f>SUM(K181:N181)</f>
        <v>84.998809164255192</v>
      </c>
      <c r="R181" s="415">
        <v>2</v>
      </c>
      <c r="S181" s="449">
        <f>SUMIF(R168:R173,R181,S168:S173)</f>
        <v>23</v>
      </c>
      <c r="T181" s="450">
        <f>SUMIF(R168:R173,R181,T168:T173)</f>
        <v>20</v>
      </c>
      <c r="U181" s="450">
        <f>SUMIF(R168:R173,R181,U168:U173)</f>
        <v>20</v>
      </c>
      <c r="V181" s="451">
        <f>SUMIF(R168:R173,R181,V168:V173)</f>
        <v>22</v>
      </c>
      <c r="W181" s="462">
        <f>SUM(S181:V181)</f>
        <v>85</v>
      </c>
    </row>
    <row r="183" spans="1:23" x14ac:dyDescent="0.25">
      <c r="A183" s="415" t="s">
        <v>37</v>
      </c>
      <c r="B183" s="415" t="s">
        <v>911</v>
      </c>
      <c r="C183">
        <v>1</v>
      </c>
      <c r="D183">
        <f>C183+1</f>
        <v>2</v>
      </c>
      <c r="E183">
        <f>D183+1</f>
        <v>3</v>
      </c>
      <c r="F183">
        <f>E183+1</f>
        <v>4</v>
      </c>
      <c r="I183" s="415" t="s">
        <v>37</v>
      </c>
      <c r="J183" s="415" t="s">
        <v>911</v>
      </c>
      <c r="K183">
        <v>1</v>
      </c>
      <c r="L183">
        <f>K183+1</f>
        <v>2</v>
      </c>
      <c r="M183">
        <f>L183+1</f>
        <v>3</v>
      </c>
      <c r="N183">
        <f>M183+1</f>
        <v>4</v>
      </c>
      <c r="Q183" s="415" t="s">
        <v>37</v>
      </c>
      <c r="R183" s="415" t="s">
        <v>911</v>
      </c>
      <c r="S183">
        <v>1</v>
      </c>
      <c r="T183">
        <f>S183+1</f>
        <v>2</v>
      </c>
      <c r="U183">
        <f>T183+1</f>
        <v>3</v>
      </c>
      <c r="V183">
        <f>U183+1</f>
        <v>4</v>
      </c>
    </row>
    <row r="184" spans="1:23" x14ac:dyDescent="0.25">
      <c r="A184" s="415">
        <v>1</v>
      </c>
      <c r="B184" s="415">
        <v>1</v>
      </c>
      <c r="C184" s="452">
        <f>S168*$G$6/$W168</f>
        <v>7.2217256428295258</v>
      </c>
      <c r="D184" s="453">
        <f>T168*$G$6/$W168</f>
        <v>6.6744330123863778</v>
      </c>
      <c r="E184" s="453">
        <f>U168*$G$6/$W168</f>
        <v>5.1797589635505226</v>
      </c>
      <c r="F184" s="454">
        <f>V168*$G$6/$W168</f>
        <v>8.924082381233573</v>
      </c>
      <c r="G184" s="367">
        <f t="shared" ref="G184:G189" si="32">SUM(C184:F184)</f>
        <v>28</v>
      </c>
      <c r="I184" s="415">
        <v>1</v>
      </c>
      <c r="J184" s="415">
        <v>1</v>
      </c>
      <c r="K184" s="452">
        <f>C184*$C$14/C192</f>
        <v>7.2214646496733348</v>
      </c>
      <c r="L184" s="453">
        <f>D184*$D$14/D192</f>
        <v>6.6742229824351744</v>
      </c>
      <c r="M184" s="453">
        <f>E184*$E$14/E192</f>
        <v>5.1796040634447422</v>
      </c>
      <c r="N184" s="454">
        <f>F184*F176/F192</f>
        <v>8.9234639859045384</v>
      </c>
      <c r="O184" s="367">
        <f t="shared" ref="O184:O189" si="33">SUM(K184:N184)</f>
        <v>27.998755681457787</v>
      </c>
      <c r="Q184" s="415">
        <v>1</v>
      </c>
      <c r="R184" s="415">
        <v>1</v>
      </c>
      <c r="S184" s="452">
        <f>K184*$C$18/K196</f>
        <v>7.2214777732106858</v>
      </c>
      <c r="T184" s="453">
        <f>L184*$D$18/L196</f>
        <v>6.6742198449860028</v>
      </c>
      <c r="U184" s="453">
        <f>M184*$E$18/M196</f>
        <v>5.1796024703771399</v>
      </c>
      <c r="V184" s="454">
        <f>N184*$F$18/N196</f>
        <v>8.9238795978852679</v>
      </c>
      <c r="W184" s="367">
        <f t="shared" ref="W184:W189" si="34">SUM(S184:V184)</f>
        <v>27.999179686459097</v>
      </c>
    </row>
    <row r="185" spans="1:23" x14ac:dyDescent="0.25">
      <c r="A185" s="415">
        <v>1</v>
      </c>
      <c r="B185" s="415">
        <v>2</v>
      </c>
      <c r="C185" s="455">
        <f>S169*$G$7/$W169</f>
        <v>4.7787080528300425</v>
      </c>
      <c r="D185" s="456">
        <f>T169*$G$7/$W169</f>
        <v>7.3260075511555618</v>
      </c>
      <c r="E185" s="456">
        <f>U169*$G$7/$W169</f>
        <v>6.8205999058237765</v>
      </c>
      <c r="F185" s="457">
        <f>V169*$G$7/$W169</f>
        <v>3.0746844901906205</v>
      </c>
      <c r="G185" s="367">
        <f t="shared" si="32"/>
        <v>22</v>
      </c>
      <c r="I185" s="415">
        <v>1</v>
      </c>
      <c r="J185" s="415">
        <v>2</v>
      </c>
      <c r="K185" s="455">
        <f>C185*$C$14/C192</f>
        <v>4.7785353503266652</v>
      </c>
      <c r="L185" s="456">
        <f>D185*$D$14/D192</f>
        <v>7.3257770175648247</v>
      </c>
      <c r="M185" s="456">
        <f>E185*$E$14/E192</f>
        <v>6.8203959365552578</v>
      </c>
      <c r="N185" s="457">
        <f>F185*$F$14/F192</f>
        <v>3.0750004794374384</v>
      </c>
      <c r="O185" s="367">
        <f t="shared" si="33"/>
        <v>21.999708783884184</v>
      </c>
      <c r="Q185" s="415">
        <v>1</v>
      </c>
      <c r="R185" s="415">
        <v>2</v>
      </c>
      <c r="S185" s="455">
        <f>K185*$C$19/K197</f>
        <v>4.7785247785283227</v>
      </c>
      <c r="T185" s="456">
        <f>L185*$D$19/L197</f>
        <v>7.3257811500506964</v>
      </c>
      <c r="U185" s="456">
        <f>M185*$E$19/M197</f>
        <v>6.8203981391611794</v>
      </c>
      <c r="V185" s="457">
        <f>N185*$F$19/N197</f>
        <v>3.0751044450004379</v>
      </c>
      <c r="W185" s="367">
        <f t="shared" si="34"/>
        <v>21.999808512740639</v>
      </c>
    </row>
    <row r="186" spans="1:23" x14ac:dyDescent="0.25">
      <c r="A186" s="415">
        <v>2</v>
      </c>
      <c r="B186" s="415">
        <v>1</v>
      </c>
      <c r="C186" s="455">
        <f>S170*$G$8/$W170</f>
        <v>12.598470505090688</v>
      </c>
      <c r="D186" s="456">
        <f>T170*$G$8/$W170</f>
        <v>11.122573875806895</v>
      </c>
      <c r="E186" s="456">
        <f>U170*$G$8/$W170</f>
        <v>3.3613576005199501</v>
      </c>
      <c r="F186" s="457">
        <f>V170*$G$8/$W170</f>
        <v>1.9175980185824664</v>
      </c>
      <c r="G186" s="367">
        <f t="shared" si="32"/>
        <v>29</v>
      </c>
      <c r="I186" s="415">
        <v>2</v>
      </c>
      <c r="J186" s="415">
        <v>1</v>
      </c>
      <c r="K186" s="455">
        <f>C186*$C$15/C193</f>
        <v>12.598634614554744</v>
      </c>
      <c r="L186" s="456">
        <f>D186*$D$15/D193</f>
        <v>11.12273612123334</v>
      </c>
      <c r="M186" s="456">
        <f>E186*$E$15/E193</f>
        <v>3.3613637908095559</v>
      </c>
      <c r="N186" s="457">
        <f>F186*$F$15/F193</f>
        <v>1.9174819983299332</v>
      </c>
      <c r="O186" s="367">
        <f t="shared" si="33"/>
        <v>29.000216524927573</v>
      </c>
      <c r="Q186" s="415">
        <v>2</v>
      </c>
      <c r="R186" s="415">
        <v>1</v>
      </c>
      <c r="S186" s="455">
        <f>K186*$C$18/K196</f>
        <v>12.598657510000468</v>
      </c>
      <c r="T186" s="456">
        <f>L186*$D$18/L196</f>
        <v>11.122730892606828</v>
      </c>
      <c r="U186" s="456">
        <f>M186*$E$18/M196</f>
        <v>3.3613627569699633</v>
      </c>
      <c r="V186" s="457">
        <f>N186*$F$18/N196</f>
        <v>1.9175713054076107</v>
      </c>
      <c r="W186" s="367">
        <f t="shared" si="34"/>
        <v>29.000322464984869</v>
      </c>
    </row>
    <row r="187" spans="1:23" x14ac:dyDescent="0.25">
      <c r="A187" s="415">
        <v>2</v>
      </c>
      <c r="B187" s="415">
        <v>2</v>
      </c>
      <c r="C187" s="455">
        <f>S171*$G$9/$W171</f>
        <v>2.4013341053265398</v>
      </c>
      <c r="D187" s="456">
        <f>T171*$G$9/$W171</f>
        <v>2.8772219086165167</v>
      </c>
      <c r="E187" s="456">
        <f>U171*$G$9/$W171</f>
        <v>9.6386184586721271</v>
      </c>
      <c r="F187" s="457">
        <f>V171*$G$9/$W171</f>
        <v>5.0828255273848173</v>
      </c>
      <c r="G187" s="367">
        <f t="shared" si="32"/>
        <v>20</v>
      </c>
      <c r="I187" s="415">
        <v>2</v>
      </c>
      <c r="J187" s="415">
        <v>2</v>
      </c>
      <c r="K187" s="455">
        <f>C187*$C$15/C193</f>
        <v>2.4013653854452559</v>
      </c>
      <c r="L187" s="456">
        <f>D187*$D$15/D193</f>
        <v>2.8772638787666596</v>
      </c>
      <c r="M187" s="456">
        <f>E187*$E$15/E193</f>
        <v>9.6386362091904445</v>
      </c>
      <c r="N187" s="457">
        <f>F187*$F$15/F193</f>
        <v>5.0825180016700662</v>
      </c>
      <c r="O187" s="367">
        <f t="shared" si="33"/>
        <v>19.999783475072427</v>
      </c>
      <c r="Q187" s="415">
        <v>2</v>
      </c>
      <c r="R187" s="415">
        <v>2</v>
      </c>
      <c r="S187" s="455">
        <f>K187*$C$19/K197</f>
        <v>2.401360072781701</v>
      </c>
      <c r="T187" s="456">
        <f>L187*$D$19/L197</f>
        <v>2.8772655018371269</v>
      </c>
      <c r="U187" s="456">
        <f>M187*$E$19/M197</f>
        <v>9.6386393219301425</v>
      </c>
      <c r="V187" s="457">
        <f>N187*$F$19/N197</f>
        <v>5.0826898412678263</v>
      </c>
      <c r="W187" s="367">
        <f t="shared" si="34"/>
        <v>19.999954737816797</v>
      </c>
    </row>
    <row r="188" spans="1:23" x14ac:dyDescent="0.25">
      <c r="A188" s="415">
        <v>3</v>
      </c>
      <c r="B188" s="415">
        <v>1</v>
      </c>
      <c r="C188" s="455">
        <f>S172*$G$10/$W172</f>
        <v>8.1797169282880624</v>
      </c>
      <c r="D188" s="456">
        <f>T172*$G$10/$W172</f>
        <v>6.2029576073563835</v>
      </c>
      <c r="E188" s="456">
        <f>U172*$G$10/$W172</f>
        <v>12.458756403168051</v>
      </c>
      <c r="F188" s="457">
        <f>V172*$G$10/$W172</f>
        <v>6.1585690611875066</v>
      </c>
      <c r="G188" s="367">
        <f t="shared" si="32"/>
        <v>33</v>
      </c>
      <c r="I188" s="415">
        <v>3</v>
      </c>
      <c r="J188" s="415">
        <v>1</v>
      </c>
      <c r="K188" s="455">
        <f>C188*$C$16/C194</f>
        <v>8.1798498515820999</v>
      </c>
      <c r="L188" s="456">
        <f>D188*$D$16/D194</f>
        <v>6.2030521783662218</v>
      </c>
      <c r="M188" s="456">
        <f>E188*$E$16/E194</f>
        <v>12.459038604623547</v>
      </c>
      <c r="N188" s="457">
        <f>F188*$F$16/F194</f>
        <v>6.1582622745060345</v>
      </c>
      <c r="O188" s="367">
        <f t="shared" si="33"/>
        <v>33.000202909077906</v>
      </c>
      <c r="Q188" s="415">
        <v>3</v>
      </c>
      <c r="R188" s="415">
        <v>1</v>
      </c>
      <c r="S188" s="455">
        <f>K188*$C$18/K196</f>
        <v>8.1798647167888507</v>
      </c>
      <c r="T188" s="456">
        <f>L188*$D$18/L196</f>
        <v>6.2030492624071707</v>
      </c>
      <c r="U188" s="456">
        <f>M188*$E$18/M196</f>
        <v>12.459034772652897</v>
      </c>
      <c r="V188" s="457">
        <f>N188*$F$18/N196</f>
        <v>6.1585490967071213</v>
      </c>
      <c r="W188" s="367">
        <f t="shared" si="34"/>
        <v>33.000497848556037</v>
      </c>
    </row>
    <row r="189" spans="1:23" x14ac:dyDescent="0.25">
      <c r="A189" s="415">
        <v>3</v>
      </c>
      <c r="B189" s="415">
        <v>2</v>
      </c>
      <c r="C189" s="458">
        <f>S173*$G$11/$W173</f>
        <v>15.8198930695585</v>
      </c>
      <c r="D189" s="459">
        <f>T173*$G$11/$W173</f>
        <v>9.7967984585102403</v>
      </c>
      <c r="E189" s="459">
        <f>U173*$G$11/$W173</f>
        <v>3.5408811913983325</v>
      </c>
      <c r="F189" s="460">
        <f>V173*$G$11/$W173</f>
        <v>13.842427280532924</v>
      </c>
      <c r="G189" s="367">
        <f t="shared" si="32"/>
        <v>43</v>
      </c>
      <c r="I189" s="415">
        <v>3</v>
      </c>
      <c r="J189" s="415">
        <v>2</v>
      </c>
      <c r="K189" s="458">
        <f>C189*$C$16/C194</f>
        <v>15.820150148417898</v>
      </c>
      <c r="L189" s="459">
        <f>D189*$D$16/D194</f>
        <v>9.7969478216337773</v>
      </c>
      <c r="M189" s="459">
        <f>E189*$E$16/E194</f>
        <v>3.5409613953764518</v>
      </c>
      <c r="N189" s="460">
        <f>F189*$F$16/F194</f>
        <v>13.841737725493964</v>
      </c>
      <c r="O189" s="367">
        <f t="shared" si="33"/>
        <v>42.999797090922087</v>
      </c>
      <c r="Q189" s="415">
        <v>3</v>
      </c>
      <c r="R189" s="415">
        <v>2</v>
      </c>
      <c r="S189" s="458">
        <f>K189*$C$19/K197</f>
        <v>15.820115148689977</v>
      </c>
      <c r="T189" s="459">
        <f>L189*$D$19/L197</f>
        <v>9.7969533481121793</v>
      </c>
      <c r="U189" s="459">
        <f>M189*$E$19/M197</f>
        <v>3.5409625389086767</v>
      </c>
      <c r="V189" s="460">
        <f>N189*$F$19/N197</f>
        <v>13.842205713731735</v>
      </c>
      <c r="W189" s="367">
        <f t="shared" si="34"/>
        <v>43.000236749442564</v>
      </c>
    </row>
    <row r="190" spans="1:23" x14ac:dyDescent="0.25">
      <c r="C190" s="461">
        <f>SUM(C184:C189)</f>
        <v>50.999848303923358</v>
      </c>
      <c r="D190" s="461">
        <f>SUM(D184:D189)</f>
        <v>43.999992413831976</v>
      </c>
      <c r="E190" s="461">
        <f>SUM(E184:E189)</f>
        <v>40.999972523132762</v>
      </c>
      <c r="F190" s="461">
        <f>SUM(F184:F189)</f>
        <v>39.000186759111912</v>
      </c>
      <c r="G190" s="463">
        <f>SUM(G184:G189)</f>
        <v>175</v>
      </c>
      <c r="K190" s="461">
        <f>SUM(K184:K189)</f>
        <v>51</v>
      </c>
      <c r="L190" s="461">
        <f>SUM(L184:L189)</f>
        <v>44</v>
      </c>
      <c r="M190" s="461">
        <f>SUM(M184:M189)</f>
        <v>40.999999999999993</v>
      </c>
      <c r="N190" s="461">
        <f>SUM(N184:N189)</f>
        <v>38.998464465341975</v>
      </c>
      <c r="O190" s="463">
        <f>SUM(O184:O189)</f>
        <v>174.99846446534195</v>
      </c>
      <c r="S190" s="461">
        <f>SUM(S184:S189)</f>
        <v>51.000000000000007</v>
      </c>
      <c r="T190" s="461">
        <f>SUM(T184:T189)</f>
        <v>44</v>
      </c>
      <c r="U190" s="461">
        <f>SUM(U184:U189)</f>
        <v>41</v>
      </c>
      <c r="V190" s="461">
        <f>SUM(V184:V189)</f>
        <v>39</v>
      </c>
      <c r="W190" s="463">
        <f>SUM(W184:W189)</f>
        <v>175</v>
      </c>
    </row>
    <row r="192" spans="1:23" x14ac:dyDescent="0.25">
      <c r="A192" s="415">
        <v>1</v>
      </c>
      <c r="C192" s="445">
        <f>SUMIF(A184:A189,A192,C184:C189)</f>
        <v>12.000433695659568</v>
      </c>
      <c r="D192" s="446">
        <f>SUMIF(A184:A189,A192,D184:D189)</f>
        <v>14.00044056354194</v>
      </c>
      <c r="E192" s="446">
        <f>SUMIF(A184:A189,A192,E184:E189)</f>
        <v>12.000358869374299</v>
      </c>
      <c r="F192" s="447">
        <f>SUMIF(A184:A189,A192,F184:F189)</f>
        <v>11.998766871424193</v>
      </c>
      <c r="G192" s="462">
        <f>SUM(C192:F192)</f>
        <v>50</v>
      </c>
      <c r="I192" s="415">
        <v>1</v>
      </c>
      <c r="K192" s="445">
        <f>SUMIF(I184:I189,I192,K184:K189)</f>
        <v>12</v>
      </c>
      <c r="L192" s="446">
        <f>SUMIF(I184:I189,I192,L184:L189)</f>
        <v>14</v>
      </c>
      <c r="M192" s="446">
        <f>SUMIF(I184:I189,I192,M184:M189)</f>
        <v>12</v>
      </c>
      <c r="N192" s="447">
        <f>SUMIF(I184:I189,I192,N184:N189)</f>
        <v>11.998464465341977</v>
      </c>
      <c r="O192" s="462">
        <f>SUM(K192:N192)</f>
        <v>49.998464465341975</v>
      </c>
      <c r="Q192" s="415">
        <v>1</v>
      </c>
      <c r="S192" s="445">
        <f>SUMIF(Q184:Q189,Q192,S184:S189)</f>
        <v>12.000002551739009</v>
      </c>
      <c r="T192" s="446">
        <f>SUMIF(Q184:Q189,Q192,T184:T189)</f>
        <v>14.0000009950367</v>
      </c>
      <c r="U192" s="446">
        <f>SUMIF(Q184:Q189,Q192,U184:U189)</f>
        <v>12.000000609538318</v>
      </c>
      <c r="V192" s="447">
        <f>SUMIF(Q184:Q189,Q192,V184:V189)</f>
        <v>11.998984042885706</v>
      </c>
      <c r="W192" s="462">
        <f>SUM(S192:V192)</f>
        <v>49.998988199199729</v>
      </c>
    </row>
    <row r="193" spans="1:23" x14ac:dyDescent="0.25">
      <c r="A193" s="415">
        <v>2</v>
      </c>
      <c r="C193" s="448">
        <f>SUMIF(A184:A189,A193,C184:C189)</f>
        <v>14.999804610417229</v>
      </c>
      <c r="D193" s="367">
        <f>SUMIF(A184:A189,A193,D184:D189)</f>
        <v>13.999795784423412</v>
      </c>
      <c r="E193" s="367">
        <f>SUMIF(A184:A189,A193,E184:E189)</f>
        <v>12.999976059192077</v>
      </c>
      <c r="F193" s="364">
        <f>SUMIF(A184:A189,A193,F184:F189)</f>
        <v>7.0004235459672834</v>
      </c>
      <c r="G193" s="462">
        <f>SUM(C193:F193)</f>
        <v>49</v>
      </c>
      <c r="I193" s="415">
        <v>2</v>
      </c>
      <c r="K193" s="448">
        <f>SUMIF(I184:I189,I193,K184:K189)</f>
        <v>15</v>
      </c>
      <c r="L193" s="367">
        <f>SUMIF(I184:I189,I193,L184:L189)</f>
        <v>14</v>
      </c>
      <c r="M193" s="367">
        <f>SUMIF(I184:I189,I193,M184:M189)</f>
        <v>13</v>
      </c>
      <c r="N193" s="364">
        <f>SUMIF(I184:I189,I193,N184:N189)</f>
        <v>6.9999999999999991</v>
      </c>
      <c r="O193" s="462">
        <f>SUM(K193:N193)</f>
        <v>49</v>
      </c>
      <c r="Q193" s="415">
        <v>2</v>
      </c>
      <c r="S193" s="448">
        <f>SUMIF(Q184:Q189,Q193,S184:S189)</f>
        <v>15.000017582782169</v>
      </c>
      <c r="T193" s="367">
        <f>SUMIF(Q184:Q189,Q193,T184:T189)</f>
        <v>13.999996394443954</v>
      </c>
      <c r="U193" s="367">
        <f>SUMIF(Q184:Q189,Q193,U184:U189)</f>
        <v>13.000002078900106</v>
      </c>
      <c r="V193" s="364">
        <f>SUMIF(Q184:Q189,Q193,V184:V189)</f>
        <v>7.0002611466754372</v>
      </c>
      <c r="W193" s="462">
        <f>SUM(S193:V193)</f>
        <v>49.000277202801662</v>
      </c>
    </row>
    <row r="194" spans="1:23" x14ac:dyDescent="0.25">
      <c r="A194" s="415">
        <v>3</v>
      </c>
      <c r="C194" s="449">
        <f>SUMIF(A184:A189,A194,C184:C189)</f>
        <v>23.999609997846562</v>
      </c>
      <c r="D194" s="450">
        <f>SUMIF(A184:A189,A194,D184:D189)</f>
        <v>15.999756065866624</v>
      </c>
      <c r="E194" s="450">
        <f>SUMIF(A184:A189,A194,E184:E189)</f>
        <v>15.999637594566384</v>
      </c>
      <c r="F194" s="451">
        <f>SUMIF(A184:A189,A194,F184:F189)</f>
        <v>20.00099634172043</v>
      </c>
      <c r="G194" s="462">
        <f>SUM(C194:F194)</f>
        <v>76</v>
      </c>
      <c r="I194" s="415">
        <v>3</v>
      </c>
      <c r="K194" s="449">
        <f>SUMIF(I184:I189,I194,K184:K189)</f>
        <v>24</v>
      </c>
      <c r="L194" s="450">
        <f>SUMIF(I184:I189,I194,L184:L189)</f>
        <v>16</v>
      </c>
      <c r="M194" s="450">
        <f>SUMIF(I184:I189,I194,M184:M189)</f>
        <v>16</v>
      </c>
      <c r="N194" s="451">
        <f>SUMIF(I184:I189,I194,N184:N189)</f>
        <v>20</v>
      </c>
      <c r="O194" s="462">
        <f>SUM(K194:N194)</f>
        <v>76</v>
      </c>
      <c r="Q194" s="415">
        <v>3</v>
      </c>
      <c r="S194" s="449">
        <f>SUMIF(Q184:Q189,Q194,S184:S189)</f>
        <v>23.999979865478828</v>
      </c>
      <c r="T194" s="450">
        <f>SUMIF(Q184:Q189,Q194,T184:T189)</f>
        <v>16.000002610519349</v>
      </c>
      <c r="U194" s="450">
        <f>SUMIF(Q184:Q189,Q194,U184:U189)</f>
        <v>15.999997311561573</v>
      </c>
      <c r="V194" s="451">
        <f>SUMIF(Q184:Q189,Q194,V184:V189)</f>
        <v>20.000754810438856</v>
      </c>
      <c r="W194" s="462">
        <f>SUM(S194:V194)</f>
        <v>76.000734597998616</v>
      </c>
    </row>
    <row r="196" spans="1:23" x14ac:dyDescent="0.25">
      <c r="B196" s="415">
        <v>1</v>
      </c>
      <c r="C196" s="445">
        <f>SUMIF(B184:B189,B196,C184:C189)</f>
        <v>27.999913076208276</v>
      </c>
      <c r="D196" s="446">
        <f>SUMIF(B184:B189,B196,D184:D189)</f>
        <v>23.999964495549655</v>
      </c>
      <c r="E196" s="446">
        <f>SUMIF(B184:B189,B196,E184:E189)</f>
        <v>20.999872967238524</v>
      </c>
      <c r="F196" s="447">
        <f>SUMIF(B184:B189,B196,F184:F189)</f>
        <v>17.000249461003548</v>
      </c>
      <c r="G196" s="462">
        <f>SUM(C196:F196)</f>
        <v>90.000000000000014</v>
      </c>
      <c r="J196" s="415">
        <v>1</v>
      </c>
      <c r="K196" s="445">
        <f>SUMIF(J184:J189,J196,K184:K189)</f>
        <v>27.999949115810175</v>
      </c>
      <c r="L196" s="446">
        <f>SUMIF(J184:J189,J196,L184:L189)</f>
        <v>24.000011282034734</v>
      </c>
      <c r="M196" s="446">
        <f>SUMIF(J184:J189,J196,M184:M189)</f>
        <v>21.000006458877845</v>
      </c>
      <c r="N196" s="447">
        <f>SUMIF(J184:J189,J196,N184:N189)</f>
        <v>16.999208258740506</v>
      </c>
      <c r="O196" s="462">
        <f>SUM(K196:N196)</f>
        <v>89.99917511546326</v>
      </c>
      <c r="R196" s="415">
        <v>1</v>
      </c>
      <c r="S196" s="445">
        <f>SUMIF(R184:R189,R196,S184:S189)</f>
        <v>28.000000000000007</v>
      </c>
      <c r="T196" s="446">
        <f>SUMIF(R184:R189,R196,T184:T189)</f>
        <v>24</v>
      </c>
      <c r="U196" s="446">
        <f>SUMIF(R184:R189,R196,U184:U189)</f>
        <v>21</v>
      </c>
      <c r="V196" s="447">
        <f>SUMIF(R184:R189,R196,V184:V189)</f>
        <v>17</v>
      </c>
      <c r="W196" s="462">
        <f>SUM(S196:V196)</f>
        <v>90</v>
      </c>
    </row>
    <row r="197" spans="1:23" x14ac:dyDescent="0.25">
      <c r="B197" s="415">
        <v>2</v>
      </c>
      <c r="C197" s="449">
        <f>SUMIF(B184:B189,B197,C184:C189)</f>
        <v>22.999935227715081</v>
      </c>
      <c r="D197" s="450">
        <f>SUMIF(B184:B189,B197,D184:D189)</f>
        <v>20.000027918282321</v>
      </c>
      <c r="E197" s="450">
        <f>SUMIF(B184:B189,B197,E184:E189)</f>
        <v>20.000099555894238</v>
      </c>
      <c r="F197" s="451">
        <f>SUMIF(B184:B189,B197,F184:F189)</f>
        <v>21.999937298108364</v>
      </c>
      <c r="G197" s="462">
        <f>SUM(C197:F197)</f>
        <v>85</v>
      </c>
      <c r="J197" s="415">
        <v>2</v>
      </c>
      <c r="K197" s="449">
        <f>SUMIF(J184:J189,J197,K184:K189)</f>
        <v>23.000050884189818</v>
      </c>
      <c r="L197" s="450">
        <f>SUMIF(J184:J189,J197,L184:L189)</f>
        <v>19.999988717965259</v>
      </c>
      <c r="M197" s="450">
        <f>SUMIF(J184:J189,J197,M184:M189)</f>
        <v>19.999993541122155</v>
      </c>
      <c r="N197" s="451">
        <f>SUMIF(J184:J189,J197,N184:N189)</f>
        <v>21.999256206601469</v>
      </c>
      <c r="O197" s="462">
        <f>SUM(K197:N197)</f>
        <v>84.999289349878708</v>
      </c>
      <c r="R197" s="415">
        <v>2</v>
      </c>
      <c r="S197" s="449">
        <f>SUMIF(R184:R189,R197,S184:S189)</f>
        <v>23</v>
      </c>
      <c r="T197" s="450">
        <f>SUMIF(R184:R189,R197,T184:T189)</f>
        <v>20.000000000000004</v>
      </c>
      <c r="U197" s="450">
        <f>SUMIF(R184:R189,R197,U184:U189)</f>
        <v>19.999999999999996</v>
      </c>
      <c r="V197" s="451">
        <f>SUMIF(R184:R189,R197,V184:V189)</f>
        <v>22</v>
      </c>
      <c r="W197" s="462">
        <f>SUM(S197:V197)</f>
        <v>85</v>
      </c>
    </row>
    <row r="199" spans="1:23" x14ac:dyDescent="0.25">
      <c r="A199" s="415" t="s">
        <v>37</v>
      </c>
      <c r="B199" s="415" t="s">
        <v>911</v>
      </c>
      <c r="C199">
        <v>1</v>
      </c>
      <c r="D199">
        <f>C199+1</f>
        <v>2</v>
      </c>
      <c r="E199">
        <f>D199+1</f>
        <v>3</v>
      </c>
      <c r="F199">
        <f>E199+1</f>
        <v>4</v>
      </c>
      <c r="I199" s="415" t="s">
        <v>37</v>
      </c>
      <c r="J199" s="415" t="s">
        <v>911</v>
      </c>
      <c r="K199">
        <v>1</v>
      </c>
      <c r="L199">
        <f>K199+1</f>
        <v>2</v>
      </c>
      <c r="M199">
        <f>L199+1</f>
        <v>3</v>
      </c>
      <c r="N199">
        <f>M199+1</f>
        <v>4</v>
      </c>
      <c r="Q199" s="415" t="s">
        <v>37</v>
      </c>
      <c r="R199" s="415" t="s">
        <v>911</v>
      </c>
      <c r="S199">
        <v>1</v>
      </c>
      <c r="T199">
        <f>S199+1</f>
        <v>2</v>
      </c>
      <c r="U199">
        <f>T199+1</f>
        <v>3</v>
      </c>
      <c r="V199">
        <f>U199+1</f>
        <v>4</v>
      </c>
    </row>
    <row r="200" spans="1:23" x14ac:dyDescent="0.25">
      <c r="A200" s="415">
        <v>1</v>
      </c>
      <c r="B200" s="415">
        <v>1</v>
      </c>
      <c r="C200" s="452">
        <f>S184*$G$6/$W184</f>
        <v>7.2216893464092236</v>
      </c>
      <c r="D200" s="453">
        <f>T184*$G$6/$W184</f>
        <v>6.6744153847473493</v>
      </c>
      <c r="E200" s="453">
        <f>U184*$G$6/$W184</f>
        <v>5.1797542211816463</v>
      </c>
      <c r="F200" s="454">
        <f>V184*$G$6/$W184</f>
        <v>8.9241410476617791</v>
      </c>
      <c r="G200" s="367">
        <f t="shared" ref="G200:G205" si="35">SUM(C200:F200)</f>
        <v>28</v>
      </c>
      <c r="I200" s="415">
        <v>1</v>
      </c>
      <c r="J200" s="415">
        <v>1</v>
      </c>
      <c r="K200" s="452">
        <f>C200*$C$14/C208</f>
        <v>7.221535457042247</v>
      </c>
      <c r="L200" s="453">
        <f>D200*$D$14/D208</f>
        <v>6.6742912912199523</v>
      </c>
      <c r="M200" s="453">
        <f>E200*$E$14/E208</f>
        <v>5.1796628323435412</v>
      </c>
      <c r="N200" s="454">
        <f>F200*F192/F208</f>
        <v>8.9237651794042971</v>
      </c>
      <c r="O200" s="367">
        <f t="shared" ref="O200:O205" si="36">SUM(K200:N200)</f>
        <v>27.999254760010039</v>
      </c>
      <c r="Q200" s="415">
        <v>1</v>
      </c>
      <c r="R200" s="415">
        <v>1</v>
      </c>
      <c r="S200" s="452">
        <f>K200*$C$18/K212</f>
        <v>7.2215429030614668</v>
      </c>
      <c r="T200" s="453">
        <f>L200*$D$18/L212</f>
        <v>6.6742895339803203</v>
      </c>
      <c r="U200" s="453">
        <f>M200*$E$18/M212</f>
        <v>5.1796623021895289</v>
      </c>
      <c r="V200" s="454">
        <f>N200*$F$18/N212</f>
        <v>8.9240160157192729</v>
      </c>
      <c r="W200" s="367">
        <f t="shared" ref="W200:W205" si="37">SUM(S200:V200)</f>
        <v>27.999510754950592</v>
      </c>
    </row>
    <row r="201" spans="1:23" x14ac:dyDescent="0.25">
      <c r="A201" s="415">
        <v>1</v>
      </c>
      <c r="B201" s="415">
        <v>2</v>
      </c>
      <c r="C201" s="455">
        <f>S185*$G$7/$W185</f>
        <v>4.7785663710091431</v>
      </c>
      <c r="D201" s="456">
        <f>T185*$G$7/$W185</f>
        <v>7.3258449139581998</v>
      </c>
      <c r="E201" s="456">
        <f>U185*$G$7/$W185</f>
        <v>6.8204575041936826</v>
      </c>
      <c r="F201" s="457">
        <f>V185*$G$7/$W185</f>
        <v>3.0751312108389719</v>
      </c>
      <c r="G201" s="367">
        <f t="shared" si="35"/>
        <v>21.999999999999996</v>
      </c>
      <c r="I201" s="415">
        <v>1</v>
      </c>
      <c r="J201" s="415">
        <v>2</v>
      </c>
      <c r="K201" s="455">
        <f>C201*$C$14/C208</f>
        <v>4.778464542957753</v>
      </c>
      <c r="L201" s="456">
        <f>D201*$D$14/D208</f>
        <v>7.3257087087800485</v>
      </c>
      <c r="M201" s="456">
        <f>E201*$E$14/E208</f>
        <v>6.8203371676564579</v>
      </c>
      <c r="N201" s="457">
        <f>F201*$F$14/F208</f>
        <v>3.0753177138659518</v>
      </c>
      <c r="O201" s="367">
        <f t="shared" si="36"/>
        <v>21.999828133260213</v>
      </c>
      <c r="Q201" s="415">
        <v>1</v>
      </c>
      <c r="R201" s="415">
        <v>2</v>
      </c>
      <c r="S201" s="455">
        <f>K201*$C$19/K213</f>
        <v>4.7784585448788395</v>
      </c>
      <c r="T201" s="456">
        <f>L201*$D$19/L213</f>
        <v>7.3257110232789335</v>
      </c>
      <c r="U201" s="456">
        <f>M201*$E$19/M213</f>
        <v>6.8203379006426568</v>
      </c>
      <c r="V201" s="457">
        <f>N201*$F$19/N213</f>
        <v>3.0753791194842934</v>
      </c>
      <c r="W201" s="367">
        <f t="shared" si="37"/>
        <v>21.999886588284721</v>
      </c>
    </row>
    <row r="202" spans="1:23" x14ac:dyDescent="0.25">
      <c r="A202" s="415">
        <v>2</v>
      </c>
      <c r="B202" s="415">
        <v>1</v>
      </c>
      <c r="C202" s="455">
        <f>S186*$G$8/$W186</f>
        <v>12.598517421009795</v>
      </c>
      <c r="D202" s="456">
        <f>T186*$G$8/$W186</f>
        <v>11.122607214973472</v>
      </c>
      <c r="E202" s="456">
        <f>U186*$G$8/$W186</f>
        <v>3.3613253807720995</v>
      </c>
      <c r="F202" s="457">
        <f>V186*$G$8/$W186</f>
        <v>1.9175499832446337</v>
      </c>
      <c r="G202" s="367">
        <f t="shared" si="35"/>
        <v>29</v>
      </c>
      <c r="I202" s="415">
        <v>2</v>
      </c>
      <c r="J202" s="415">
        <v>1</v>
      </c>
      <c r="K202" s="455">
        <f>C202*$C$15/C209</f>
        <v>12.598615750397267</v>
      </c>
      <c r="L202" s="456">
        <f>D202*$D$15/D209</f>
        <v>11.122703165455968</v>
      </c>
      <c r="M202" s="456">
        <f>E202*$E$15/E209</f>
        <v>3.3613288672343073</v>
      </c>
      <c r="N202" s="457">
        <f>F202*$F$15/F209</f>
        <v>1.9174811382153916</v>
      </c>
      <c r="O202" s="367">
        <f t="shared" si="36"/>
        <v>29.000128921302931</v>
      </c>
      <c r="Q202" s="415">
        <v>2</v>
      </c>
      <c r="R202" s="415">
        <v>1</v>
      </c>
      <c r="S202" s="455">
        <f>K202*$C$18/K212</f>
        <v>12.598628740645058</v>
      </c>
      <c r="T202" s="456">
        <f>L202*$D$18/L212</f>
        <v>11.122700237016982</v>
      </c>
      <c r="U202" s="456">
        <f>M202*$E$18/M212</f>
        <v>3.3613285231922254</v>
      </c>
      <c r="V202" s="457">
        <f>N202*$F$18/N212</f>
        <v>1.9175350363058365</v>
      </c>
      <c r="W202" s="367">
        <f t="shared" si="37"/>
        <v>29.0001925371601</v>
      </c>
    </row>
    <row r="203" spans="1:23" x14ac:dyDescent="0.25">
      <c r="A203" s="415">
        <v>2</v>
      </c>
      <c r="B203" s="415">
        <v>2</v>
      </c>
      <c r="C203" s="455">
        <f>S187*$G$9/$W187</f>
        <v>2.4013655073339777</v>
      </c>
      <c r="D203" s="456">
        <f>T187*$G$9/$W187</f>
        <v>2.8772720134177767</v>
      </c>
      <c r="E203" s="456">
        <f>U187*$G$9/$W187</f>
        <v>9.6386611352724501</v>
      </c>
      <c r="F203" s="457">
        <f>V187*$G$9/$W187</f>
        <v>5.0827013439757964</v>
      </c>
      <c r="G203" s="367">
        <f t="shared" si="35"/>
        <v>20</v>
      </c>
      <c r="I203" s="415">
        <v>2</v>
      </c>
      <c r="J203" s="415">
        <v>2</v>
      </c>
      <c r="K203" s="455">
        <f>C203*$C$15/C209</f>
        <v>2.4013842496027338</v>
      </c>
      <c r="L203" s="456">
        <f>D203*$D$15/D209</f>
        <v>2.8772968345440311</v>
      </c>
      <c r="M203" s="456">
        <f>E203*$E$15/E209</f>
        <v>9.638671132765694</v>
      </c>
      <c r="N203" s="457">
        <f>F203*$F$15/F209</f>
        <v>5.0825188617846084</v>
      </c>
      <c r="O203" s="367">
        <f t="shared" si="36"/>
        <v>19.999871078697069</v>
      </c>
      <c r="Q203" s="415">
        <v>2</v>
      </c>
      <c r="R203" s="415">
        <v>2</v>
      </c>
      <c r="S203" s="455">
        <f>K203*$C$19/K213</f>
        <v>2.4013812353097319</v>
      </c>
      <c r="T203" s="456">
        <f>L203*$D$19/L213</f>
        <v>2.8772977436028788</v>
      </c>
      <c r="U203" s="456">
        <f>M203*$E$19/M213</f>
        <v>9.6386721686401291</v>
      </c>
      <c r="V203" s="457">
        <f>N203*$F$19/N213</f>
        <v>5.0826203456774879</v>
      </c>
      <c r="W203" s="367">
        <f t="shared" si="37"/>
        <v>19.999971493230227</v>
      </c>
    </row>
    <row r="204" spans="1:23" x14ac:dyDescent="0.25">
      <c r="A204" s="415">
        <v>3</v>
      </c>
      <c r="B204" s="415">
        <v>1</v>
      </c>
      <c r="C204" s="455">
        <f>S188*$G$10/$W188</f>
        <v>8.1797413145948443</v>
      </c>
      <c r="D204" s="456">
        <f>T188*$G$10/$W188</f>
        <v>6.2029556826335419</v>
      </c>
      <c r="E204" s="456">
        <f>U188*$G$10/$W188</f>
        <v>12.458846814504518</v>
      </c>
      <c r="F204" s="457">
        <f>V188*$G$10/$W188</f>
        <v>6.158456188267099</v>
      </c>
      <c r="G204" s="367">
        <f t="shared" si="35"/>
        <v>33</v>
      </c>
      <c r="I204" s="415">
        <v>3</v>
      </c>
      <c r="J204" s="415">
        <v>1</v>
      </c>
      <c r="K204" s="455">
        <f>C204*$C$16/C210</f>
        <v>8.1798199222012027</v>
      </c>
      <c r="L204" s="456">
        <f>D204*$D$16/D210</f>
        <v>6.2030118621616044</v>
      </c>
      <c r="M204" s="456">
        <f>E204*$E$16/E210</f>
        <v>12.459010449835301</v>
      </c>
      <c r="N204" s="457">
        <f>F204*$F$16/F210</f>
        <v>6.1582758462416152</v>
      </c>
      <c r="O204" s="367">
        <f t="shared" si="36"/>
        <v>33.000118080439719</v>
      </c>
      <c r="Q204" s="415">
        <v>3</v>
      </c>
      <c r="R204" s="415">
        <v>1</v>
      </c>
      <c r="S204" s="455">
        <f>K204*$C$18/K212</f>
        <v>8.1798283562934699</v>
      </c>
      <c r="T204" s="456">
        <f>L204*$D$18/L212</f>
        <v>6.2030102290026958</v>
      </c>
      <c r="U204" s="456">
        <f>M204*$E$18/M212</f>
        <v>12.459009174618245</v>
      </c>
      <c r="V204" s="457">
        <f>N204*$F$18/N212</f>
        <v>6.1584489479748896</v>
      </c>
      <c r="W204" s="367">
        <f t="shared" si="37"/>
        <v>33.000296707889305</v>
      </c>
    </row>
    <row r="205" spans="1:23" x14ac:dyDescent="0.25">
      <c r="A205" s="415">
        <v>3</v>
      </c>
      <c r="B205" s="415">
        <v>2</v>
      </c>
      <c r="C205" s="458">
        <f>S189*$G$11/$W189</f>
        <v>15.820028046763897</v>
      </c>
      <c r="D205" s="459">
        <f>T189*$G$11/$W189</f>
        <v>9.7968994083337204</v>
      </c>
      <c r="E205" s="459">
        <f>U189*$G$11/$W189</f>
        <v>3.5409430431809645</v>
      </c>
      <c r="F205" s="460">
        <f>V189*$G$11/$W189</f>
        <v>13.842129501721422</v>
      </c>
      <c r="G205" s="367">
        <f t="shared" si="35"/>
        <v>43</v>
      </c>
      <c r="I205" s="415">
        <v>3</v>
      </c>
      <c r="J205" s="415">
        <v>2</v>
      </c>
      <c r="K205" s="458">
        <f>C205*$C$16/C210</f>
        <v>15.820180077798797</v>
      </c>
      <c r="L205" s="459">
        <f>D205*$D$16/D210</f>
        <v>9.7969881378383956</v>
      </c>
      <c r="M205" s="459">
        <f>E205*$E$16/E210</f>
        <v>3.5409895501646989</v>
      </c>
      <c r="N205" s="460">
        <f>F205*$F$16/F210</f>
        <v>13.841724153758387</v>
      </c>
      <c r="O205" s="367">
        <f t="shared" si="36"/>
        <v>42.999881919560281</v>
      </c>
      <c r="Q205" s="415">
        <v>3</v>
      </c>
      <c r="R205" s="415">
        <v>2</v>
      </c>
      <c r="S205" s="458">
        <f>K205*$C$19/K213</f>
        <v>15.820160219811429</v>
      </c>
      <c r="T205" s="459">
        <f>L205*$D$19/L213</f>
        <v>9.7969912331181881</v>
      </c>
      <c r="U205" s="459">
        <f>M205*$E$19/M213</f>
        <v>3.5409899307172146</v>
      </c>
      <c r="V205" s="460">
        <f>N205*$F$19/N213</f>
        <v>13.842000534838217</v>
      </c>
      <c r="W205" s="367">
        <f t="shared" si="37"/>
        <v>43.000141918485049</v>
      </c>
    </row>
    <row r="206" spans="1:23" x14ac:dyDescent="0.25">
      <c r="C206" s="461">
        <f>SUM(C200:C205)</f>
        <v>50.999908007120879</v>
      </c>
      <c r="D206" s="461">
        <f>SUM(D200:D205)</f>
        <v>43.999994618064058</v>
      </c>
      <c r="E206" s="461">
        <f>SUM(E200:E205)</f>
        <v>40.999988099105366</v>
      </c>
      <c r="F206" s="461">
        <f>SUM(F200:F205)</f>
        <v>39.000109275709704</v>
      </c>
      <c r="G206" s="463">
        <f>SUM(G200:G205)</f>
        <v>175</v>
      </c>
      <c r="K206" s="461">
        <f>SUM(K200:K205)</f>
        <v>51</v>
      </c>
      <c r="L206" s="461">
        <f>SUM(L200:L205)</f>
        <v>44</v>
      </c>
      <c r="M206" s="461">
        <f>SUM(M200:M205)</f>
        <v>41</v>
      </c>
      <c r="N206" s="461">
        <f>SUM(N200:N205)</f>
        <v>38.999082893270248</v>
      </c>
      <c r="O206" s="463">
        <f>SUM(O200:O205)</f>
        <v>174.99908289327027</v>
      </c>
      <c r="S206" s="461">
        <f>SUM(S200:S205)</f>
        <v>50.999999999999993</v>
      </c>
      <c r="T206" s="461">
        <f>SUM(T200:T205)</f>
        <v>44</v>
      </c>
      <c r="U206" s="461">
        <f>SUM(U200:U205)</f>
        <v>41</v>
      </c>
      <c r="V206" s="461">
        <f>SUM(V200:V205)</f>
        <v>39</v>
      </c>
      <c r="W206" s="463">
        <f>SUM(W200:W205)</f>
        <v>175</v>
      </c>
    </row>
    <row r="208" spans="1:23" x14ac:dyDescent="0.25">
      <c r="A208" s="415">
        <v>1</v>
      </c>
      <c r="C208" s="445">
        <f>SUMIF(A200:A205,A208,C200:C205)</f>
        <v>12.000255717418366</v>
      </c>
      <c r="D208" s="446">
        <f>SUMIF(A200:A205,A208,D200:D205)</f>
        <v>14.000260298705548</v>
      </c>
      <c r="E208" s="446">
        <f>SUMIF(A200:A205,A208,E200:E205)</f>
        <v>12.00021172537533</v>
      </c>
      <c r="F208" s="447">
        <f>SUMIF(A200:A205,A208,F200:F205)</f>
        <v>11.999272258500751</v>
      </c>
      <c r="G208" s="462">
        <f>SUM(C208:F208)</f>
        <v>50</v>
      </c>
      <c r="I208" s="415">
        <v>1</v>
      </c>
      <c r="K208" s="445">
        <f>SUMIF(I200:I205,I208,K200:K205)</f>
        <v>12</v>
      </c>
      <c r="L208" s="446">
        <f>SUMIF(I200:I205,I208,L200:L205)</f>
        <v>14</v>
      </c>
      <c r="M208" s="446">
        <f>SUMIF(I200:I205,I208,M200:M205)</f>
        <v>12</v>
      </c>
      <c r="N208" s="447">
        <f>SUMIF(I200:I205,I208,N200:N205)</f>
        <v>11.999082893270248</v>
      </c>
      <c r="O208" s="462">
        <f>SUM(K208:N208)</f>
        <v>49.999082893270248</v>
      </c>
      <c r="Q208" s="415">
        <v>1</v>
      </c>
      <c r="S208" s="445">
        <f>SUMIF(Q200:Q205,Q208,S200:S205)</f>
        <v>12.000001447940306</v>
      </c>
      <c r="T208" s="446">
        <f>SUMIF(Q200:Q205,Q208,T200:T205)</f>
        <v>14.000000557259254</v>
      </c>
      <c r="U208" s="446">
        <f>SUMIF(Q200:Q205,Q208,U200:U205)</f>
        <v>12.000000202832187</v>
      </c>
      <c r="V208" s="447">
        <f>SUMIF(Q200:Q205,Q208,V200:V205)</f>
        <v>11.999395135203567</v>
      </c>
      <c r="W208" s="462">
        <f>SUM(S208:V208)</f>
        <v>49.999397343235316</v>
      </c>
    </row>
    <row r="209" spans="1:23" x14ac:dyDescent="0.25">
      <c r="A209" s="415">
        <v>2</v>
      </c>
      <c r="C209" s="448">
        <f>SUMIF(A200:A205,A209,C200:C205)</f>
        <v>14.999882928343773</v>
      </c>
      <c r="D209" s="367">
        <f>SUMIF(A200:A205,A209,D200:D205)</f>
        <v>13.999879228391249</v>
      </c>
      <c r="E209" s="367">
        <f>SUMIF(A200:A205,A209,E200:E205)</f>
        <v>12.999986516044549</v>
      </c>
      <c r="F209" s="364">
        <f>SUMIF(A200:A205,A209,F200:F205)</f>
        <v>7.0002513272204299</v>
      </c>
      <c r="G209" s="462">
        <f>SUM(C209:F209)</f>
        <v>49.000000000000007</v>
      </c>
      <c r="I209" s="415">
        <v>2</v>
      </c>
      <c r="K209" s="448">
        <f>SUMIF(I200:I205,I209,K200:K205)</f>
        <v>15</v>
      </c>
      <c r="L209" s="367">
        <f>SUMIF(I200:I205,I209,L200:L205)</f>
        <v>14</v>
      </c>
      <c r="M209" s="367">
        <f>SUMIF(I200:I205,I209,M200:M205)</f>
        <v>13.000000000000002</v>
      </c>
      <c r="N209" s="364">
        <f>SUMIF(I200:I205,I209,N200:N205)</f>
        <v>7</v>
      </c>
      <c r="O209" s="462">
        <f>SUM(K209:N209)</f>
        <v>49</v>
      </c>
      <c r="Q209" s="415">
        <v>2</v>
      </c>
      <c r="S209" s="448">
        <f>SUMIF(Q200:Q205,Q209,S200:S205)</f>
        <v>15.000009975954789</v>
      </c>
      <c r="T209" s="367">
        <f>SUMIF(Q200:Q205,Q209,T200:T205)</f>
        <v>13.999997980619861</v>
      </c>
      <c r="U209" s="367">
        <f>SUMIF(Q200:Q205,Q209,U200:U205)</f>
        <v>13.000000691832355</v>
      </c>
      <c r="V209" s="364">
        <f>SUMIF(Q200:Q205,Q209,V200:V205)</f>
        <v>7.0001553819833244</v>
      </c>
      <c r="W209" s="462">
        <f>SUM(S209:V209)</f>
        <v>49.00016403039033</v>
      </c>
    </row>
    <row r="210" spans="1:23" x14ac:dyDescent="0.25">
      <c r="A210" s="415">
        <v>3</v>
      </c>
      <c r="C210" s="449">
        <f>SUMIF(A200:A205,A210,C200:C205)</f>
        <v>23.999769361358741</v>
      </c>
      <c r="D210" s="450">
        <f>SUMIF(A200:A205,A210,D200:D205)</f>
        <v>15.999855090967262</v>
      </c>
      <c r="E210" s="450">
        <f>SUMIF(A200:A205,A210,E200:E205)</f>
        <v>15.999789857685483</v>
      </c>
      <c r="F210" s="451">
        <f>SUMIF(A200:A205,A210,F200:F205)</f>
        <v>20.000585689988519</v>
      </c>
      <c r="G210" s="462">
        <f>SUM(C210:F210)</f>
        <v>76</v>
      </c>
      <c r="I210" s="415">
        <v>3</v>
      </c>
      <c r="K210" s="449">
        <f>SUMIF(I200:I205,I210,K200:K205)</f>
        <v>24</v>
      </c>
      <c r="L210" s="450">
        <f>SUMIF(I200:I205,I210,L200:L205)</f>
        <v>16</v>
      </c>
      <c r="M210" s="450">
        <f>SUMIF(I200:I205,I210,M200:M205)</f>
        <v>16</v>
      </c>
      <c r="N210" s="451">
        <f>SUMIF(I200:I205,I210,N200:N205)</f>
        <v>20</v>
      </c>
      <c r="O210" s="462">
        <f>SUM(K210:N210)</f>
        <v>76</v>
      </c>
      <c r="Q210" s="415">
        <v>3</v>
      </c>
      <c r="S210" s="449">
        <f>SUMIF(Q200:Q205,Q210,S200:S205)</f>
        <v>23.999988576104897</v>
      </c>
      <c r="T210" s="450">
        <f>SUMIF(Q200:Q205,Q210,T200:T205)</f>
        <v>16.000001462120885</v>
      </c>
      <c r="U210" s="450">
        <f>SUMIF(Q200:Q205,Q210,U200:U205)</f>
        <v>15.99999910533546</v>
      </c>
      <c r="V210" s="451">
        <f>SUMIF(Q200:Q205,Q210,V200:V205)</f>
        <v>20.000449482813107</v>
      </c>
      <c r="W210" s="462">
        <f>SUM(S210:V210)</f>
        <v>76.000438626374347</v>
      </c>
    </row>
    <row r="212" spans="1:23" x14ac:dyDescent="0.25">
      <c r="B212" s="415">
        <v>1</v>
      </c>
      <c r="C212" s="445">
        <f>SUMIF(B200:B205,B212,C200:C205)</f>
        <v>27.999948082013866</v>
      </c>
      <c r="D212" s="446">
        <f>SUMIF(B200:B205,B212,D200:D205)</f>
        <v>23.999978282354363</v>
      </c>
      <c r="E212" s="446">
        <f>SUMIF(B200:B205,B212,E200:E205)</f>
        <v>20.999926416458266</v>
      </c>
      <c r="F212" s="447">
        <f>SUMIF(B200:B205,B212,F200:F205)</f>
        <v>17.000147219173513</v>
      </c>
      <c r="G212" s="462">
        <f>SUM(C212:F212)</f>
        <v>90.000000000000014</v>
      </c>
      <c r="J212" s="415">
        <v>1</v>
      </c>
      <c r="K212" s="445">
        <f>SUMIF(J200:J205,J212,K200:K205)</f>
        <v>27.99997112964072</v>
      </c>
      <c r="L212" s="446">
        <f>SUMIF(J200:J205,J212,L200:L205)</f>
        <v>24.000006318837528</v>
      </c>
      <c r="M212" s="446">
        <f>SUMIF(J200:J205,J212,M200:M205)</f>
        <v>21.000002149413149</v>
      </c>
      <c r="N212" s="447">
        <f>SUMIF(J200:J205,J212,N200:N205)</f>
        <v>16.999522163861304</v>
      </c>
      <c r="O212" s="462">
        <f>SUM(K212:N212)</f>
        <v>89.999501761752697</v>
      </c>
      <c r="R212" s="415">
        <v>1</v>
      </c>
      <c r="S212" s="445">
        <f>SUMIF(R200:R205,R212,S200:S205)</f>
        <v>27.999999999999993</v>
      </c>
      <c r="T212" s="446">
        <f>SUMIF(R200:R205,R212,T200:T205)</f>
        <v>24</v>
      </c>
      <c r="U212" s="446">
        <f>SUMIF(R200:R205,R212,U200:U205)</f>
        <v>21</v>
      </c>
      <c r="V212" s="447">
        <f>SUMIF(R200:R205,R212,V200:V205)</f>
        <v>17</v>
      </c>
      <c r="W212" s="462">
        <f>SUM(S212:V212)</f>
        <v>90</v>
      </c>
    </row>
    <row r="213" spans="1:23" x14ac:dyDescent="0.25">
      <c r="B213" s="415">
        <v>2</v>
      </c>
      <c r="C213" s="449">
        <f>SUMIF(B200:B205,B213,C200:C205)</f>
        <v>22.999959925107017</v>
      </c>
      <c r="D213" s="450">
        <f>SUMIF(B200:B205,B213,D200:D205)</f>
        <v>20.000016335709695</v>
      </c>
      <c r="E213" s="450">
        <f>SUMIF(B200:B205,B213,E200:E205)</f>
        <v>20.000061682647097</v>
      </c>
      <c r="F213" s="451">
        <f>SUMIF(B200:B205,B213,F200:F205)</f>
        <v>21.999962056536191</v>
      </c>
      <c r="G213" s="462">
        <f>SUM(C213:F213)</f>
        <v>85</v>
      </c>
      <c r="J213" s="415">
        <v>2</v>
      </c>
      <c r="K213" s="449">
        <f>SUMIF(J200:J205,J213,K200:K205)</f>
        <v>23.000028870359284</v>
      </c>
      <c r="L213" s="450">
        <f>SUMIF(J200:J205,J213,L200:L205)</f>
        <v>19.999993681162476</v>
      </c>
      <c r="M213" s="450">
        <f>SUMIF(J200:J205,J213,M200:M205)</f>
        <v>19.999997850586851</v>
      </c>
      <c r="N213" s="451">
        <f>SUMIF(J200:J205,J213,N200:N205)</f>
        <v>21.999560729408948</v>
      </c>
      <c r="O213" s="462">
        <f>SUM(K213:N213)</f>
        <v>84.999581131517559</v>
      </c>
      <c r="R213" s="415">
        <v>2</v>
      </c>
      <c r="S213" s="449">
        <f>SUMIF(R200:R205,R213,S200:S205)</f>
        <v>23</v>
      </c>
      <c r="T213" s="450">
        <f>SUMIF(R200:R205,R213,T200:T205)</f>
        <v>20</v>
      </c>
      <c r="U213" s="450">
        <f>SUMIF(R200:R205,R213,U200:U205)</f>
        <v>20</v>
      </c>
      <c r="V213" s="451">
        <f>SUMIF(R200:R205,R213,V200:V205)</f>
        <v>22</v>
      </c>
      <c r="W213" s="462">
        <f>SUM(S213:V213)</f>
        <v>85</v>
      </c>
    </row>
    <row r="215" spans="1:23" x14ac:dyDescent="0.25">
      <c r="A215" s="415" t="s">
        <v>37</v>
      </c>
      <c r="B215" s="415" t="s">
        <v>911</v>
      </c>
      <c r="C215">
        <v>1</v>
      </c>
      <c r="D215">
        <f>C215+1</f>
        <v>2</v>
      </c>
      <c r="E215">
        <f>D215+1</f>
        <v>3</v>
      </c>
      <c r="F215">
        <f>E215+1</f>
        <v>4</v>
      </c>
      <c r="I215" s="415" t="s">
        <v>37</v>
      </c>
      <c r="J215" s="415" t="s">
        <v>911</v>
      </c>
      <c r="K215">
        <v>1</v>
      </c>
      <c r="L215">
        <f>K215+1</f>
        <v>2</v>
      </c>
      <c r="M215">
        <f>L215+1</f>
        <v>3</v>
      </c>
      <c r="N215">
        <f>M215+1</f>
        <v>4</v>
      </c>
      <c r="Q215" s="415" t="s">
        <v>37</v>
      </c>
      <c r="R215" s="415" t="s">
        <v>911</v>
      </c>
      <c r="S215">
        <v>1</v>
      </c>
      <c r="T215">
        <f>S215+1</f>
        <v>2</v>
      </c>
      <c r="U215">
        <f>T215+1</f>
        <v>3</v>
      </c>
      <c r="V215">
        <f>U215+1</f>
        <v>4</v>
      </c>
    </row>
    <row r="216" spans="1:23" x14ac:dyDescent="0.25">
      <c r="A216" s="415">
        <v>1</v>
      </c>
      <c r="B216" s="415">
        <v>1</v>
      </c>
      <c r="C216" s="452">
        <f>S200*$G$6/$W200</f>
        <v>7.2216690875560934</v>
      </c>
      <c r="D216" s="453">
        <f>T200*$G$6/$W200</f>
        <v>6.6744061561292352</v>
      </c>
      <c r="E216" s="453">
        <f>U200*$G$6/$W200</f>
        <v>5.1797528082044781</v>
      </c>
      <c r="F216" s="454">
        <f>V200*$G$6/$W200</f>
        <v>8.9241719481101907</v>
      </c>
      <c r="G216" s="367">
        <f t="shared" ref="G216:G221" si="38">SUM(C216:F216)</f>
        <v>28</v>
      </c>
      <c r="I216" s="415">
        <v>1</v>
      </c>
      <c r="J216" s="415">
        <v>1</v>
      </c>
      <c r="K216" s="452">
        <f>C216*$C$14/C224</f>
        <v>7.2215774542306042</v>
      </c>
      <c r="L216" s="453">
        <f>D216*$D$14/D224</f>
        <v>6.6743322883311871</v>
      </c>
      <c r="M216" s="453">
        <f>E216*$E$14/E224</f>
        <v>5.1796984781736093</v>
      </c>
      <c r="N216" s="454">
        <f>F216*F208/F224</f>
        <v>8.9239528049321262</v>
      </c>
      <c r="O216" s="367">
        <f t="shared" ref="O216:O221" si="39">SUM(K216:N216)</f>
        <v>27.999561025667525</v>
      </c>
      <c r="Q216" s="415">
        <v>1</v>
      </c>
      <c r="R216" s="415">
        <v>1</v>
      </c>
      <c r="S216" s="452">
        <f>K216*$C$18/K228</f>
        <v>7.221581808738784</v>
      </c>
      <c r="T216" s="453">
        <f>L216*$D$18/L228</f>
        <v>6.6743312475584311</v>
      </c>
      <c r="U216" s="453">
        <f>M216*$E$18/M228</f>
        <v>5.1796982551512158</v>
      </c>
      <c r="V216" s="454">
        <f>N216*$F$18/N228</f>
        <v>8.9240996109490798</v>
      </c>
      <c r="W216" s="367">
        <f t="shared" ref="W216:W221" si="40">SUM(S216:V216)</f>
        <v>27.999710922397512</v>
      </c>
    </row>
    <row r="217" spans="1:23" x14ac:dyDescent="0.25">
      <c r="A217" s="415">
        <v>1</v>
      </c>
      <c r="B217" s="415">
        <v>2</v>
      </c>
      <c r="C217" s="455">
        <f>S201*$G$7/$W201</f>
        <v>4.7784831783321895</v>
      </c>
      <c r="D217" s="456">
        <f>T201*$G$7/$W201</f>
        <v>7.3257487880851047</v>
      </c>
      <c r="E217" s="456">
        <f>U201*$G$7/$W201</f>
        <v>6.8203730601975483</v>
      </c>
      <c r="F217" s="457">
        <f>V201*$G$7/$W201</f>
        <v>3.0753949733851615</v>
      </c>
      <c r="G217" s="367">
        <f t="shared" si="38"/>
        <v>22.000000000000004</v>
      </c>
      <c r="I217" s="415">
        <v>1</v>
      </c>
      <c r="J217" s="415">
        <v>2</v>
      </c>
      <c r="K217" s="455">
        <f>C217*$C$14/C224</f>
        <v>4.7784225457693967</v>
      </c>
      <c r="L217" s="456">
        <f>D217*$D$14/D224</f>
        <v>7.3256677116688111</v>
      </c>
      <c r="M217" s="456">
        <f>E217*$E$14/E224</f>
        <v>6.8203015218263916</v>
      </c>
      <c r="N217" s="457">
        <f>F217*$F$14/F224</f>
        <v>3.0755059680122998</v>
      </c>
      <c r="O217" s="367">
        <f t="shared" si="39"/>
        <v>21.999897747276901</v>
      </c>
      <c r="Q217" s="415">
        <v>1</v>
      </c>
      <c r="R217" s="415">
        <v>2</v>
      </c>
      <c r="S217" s="455">
        <f>K217*$C$19/K229</f>
        <v>4.7784190380794138</v>
      </c>
      <c r="T217" s="456">
        <f>L217*$D$19/L229</f>
        <v>7.3256690824770363</v>
      </c>
      <c r="U217" s="456">
        <f>M217*$E$19/M229</f>
        <v>6.8203018301713865</v>
      </c>
      <c r="V217" s="457">
        <f>N217*$F$19/N229</f>
        <v>3.0755425345821634</v>
      </c>
      <c r="W217" s="367">
        <f t="shared" si="40"/>
        <v>21.999932485309998</v>
      </c>
    </row>
    <row r="218" spans="1:23" x14ac:dyDescent="0.25">
      <c r="A218" s="415">
        <v>2</v>
      </c>
      <c r="B218" s="415">
        <v>1</v>
      </c>
      <c r="C218" s="455">
        <f>S202*$G$8/$W202</f>
        <v>12.598545096228015</v>
      </c>
      <c r="D218" s="456">
        <f>T202*$G$8/$W202</f>
        <v>11.122626391537731</v>
      </c>
      <c r="E218" s="456">
        <f>U202*$G$8/$W202</f>
        <v>3.3613062067663191</v>
      </c>
      <c r="F218" s="457">
        <f>V202*$G$8/$W202</f>
        <v>1.9175223054679358</v>
      </c>
      <c r="G218" s="367">
        <f t="shared" si="38"/>
        <v>29</v>
      </c>
      <c r="I218" s="415">
        <v>2</v>
      </c>
      <c r="J218" s="415">
        <v>1</v>
      </c>
      <c r="K218" s="455">
        <f>C218*$C$15/C225</f>
        <v>12.598604096059004</v>
      </c>
      <c r="L218" s="456">
        <f>D218*$D$15/D225</f>
        <v>11.122683406198622</v>
      </c>
      <c r="M218" s="456">
        <f>E218*$E$15/E225</f>
        <v>3.3613082458402435</v>
      </c>
      <c r="N218" s="457">
        <f>F218*$F$15/F225</f>
        <v>1.9174812451791929</v>
      </c>
      <c r="O218" s="367">
        <f t="shared" si="39"/>
        <v>29.000076993277059</v>
      </c>
      <c r="Q218" s="415">
        <v>2</v>
      </c>
      <c r="R218" s="415">
        <v>1</v>
      </c>
      <c r="S218" s="455">
        <f>K218*$C$18/K228</f>
        <v>12.598611692837538</v>
      </c>
      <c r="T218" s="456">
        <f>L218*$D$18/L228</f>
        <v>11.122681671765069</v>
      </c>
      <c r="U218" s="456">
        <f>M218*$E$18/M228</f>
        <v>3.3613081011123187</v>
      </c>
      <c r="V218" s="457">
        <f>N218*$F$18/N228</f>
        <v>1.9175127892483224</v>
      </c>
      <c r="W218" s="367">
        <f t="shared" si="40"/>
        <v>29.00011425496325</v>
      </c>
    </row>
    <row r="219" spans="1:23" x14ac:dyDescent="0.25">
      <c r="A219" s="415">
        <v>2</v>
      </c>
      <c r="B219" s="415">
        <v>2</v>
      </c>
      <c r="C219" s="455">
        <f>S203*$G$9/$W203</f>
        <v>2.401384658095711</v>
      </c>
      <c r="D219" s="456">
        <f>T203*$G$9/$W203</f>
        <v>2.8773018447319418</v>
      </c>
      <c r="E219" s="456">
        <f>U203*$G$9/$W203</f>
        <v>9.6386859070301316</v>
      </c>
      <c r="F219" s="457">
        <f>V203*$G$9/$W203</f>
        <v>5.0826275901422155</v>
      </c>
      <c r="G219" s="367">
        <f t="shared" si="38"/>
        <v>20</v>
      </c>
      <c r="I219" s="415">
        <v>2</v>
      </c>
      <c r="J219" s="415">
        <v>2</v>
      </c>
      <c r="K219" s="455">
        <f>C219*$C$15/C225</f>
        <v>2.4013959039409958</v>
      </c>
      <c r="L219" s="456">
        <f>D219*$D$15/D225</f>
        <v>2.8773165938013778</v>
      </c>
      <c r="M219" s="456">
        <f>E219*$E$15/E225</f>
        <v>9.6386917541597565</v>
      </c>
      <c r="N219" s="457">
        <f>F219*$F$15/F225</f>
        <v>5.0825187548208062</v>
      </c>
      <c r="O219" s="367">
        <f t="shared" si="39"/>
        <v>19.999923006722938</v>
      </c>
      <c r="Q219" s="415">
        <v>2</v>
      </c>
      <c r="R219" s="415">
        <v>2</v>
      </c>
      <c r="S219" s="455">
        <f>K219*$C$19/K229</f>
        <v>2.4013941411516493</v>
      </c>
      <c r="T219" s="456">
        <f>L219*$D$19/L229</f>
        <v>2.8773171322163607</v>
      </c>
      <c r="U219" s="456">
        <f>M219*$E$19/M229</f>
        <v>9.6386921899238285</v>
      </c>
      <c r="V219" s="457">
        <f>N219*$F$19/N229</f>
        <v>5.0825791839921566</v>
      </c>
      <c r="W219" s="367">
        <f t="shared" si="40"/>
        <v>19.999982647283996</v>
      </c>
    </row>
    <row r="220" spans="1:23" x14ac:dyDescent="0.25">
      <c r="A220" s="415">
        <v>3</v>
      </c>
      <c r="B220" s="415">
        <v>1</v>
      </c>
      <c r="C220" s="455">
        <f>S204*$G$10/$W204</f>
        <v>8.1797548109060454</v>
      </c>
      <c r="D220" s="456">
        <f>T204*$G$10/$W204</f>
        <v>6.2029544573201356</v>
      </c>
      <c r="E220" s="456">
        <f>U204*$G$10/$W204</f>
        <v>12.458897154828007</v>
      </c>
      <c r="F220" s="457">
        <f>V204*$G$10/$W204</f>
        <v>6.1583935769458069</v>
      </c>
      <c r="G220" s="367">
        <f t="shared" si="38"/>
        <v>32.999999999999993</v>
      </c>
      <c r="I220" s="415">
        <v>3</v>
      </c>
      <c r="J220" s="415">
        <v>1</v>
      </c>
      <c r="K220" s="455">
        <f>C220*$C$16/C226</f>
        <v>8.1798015661200321</v>
      </c>
      <c r="L220" s="456">
        <f>D220*$D$16/D226</f>
        <v>6.2029880479494359</v>
      </c>
      <c r="M220" s="456">
        <f>E220*$E$16/E226</f>
        <v>12.458994180183657</v>
      </c>
      <c r="N220" s="457">
        <f>F220*$F$16/F226</f>
        <v>6.158286291167129</v>
      </c>
      <c r="O220" s="367">
        <f t="shared" si="39"/>
        <v>33.000070085420255</v>
      </c>
      <c r="Q220" s="415">
        <v>3</v>
      </c>
      <c r="R220" s="415">
        <v>1</v>
      </c>
      <c r="S220" s="455">
        <f>K220*$C$18/K228</f>
        <v>8.1798064984236802</v>
      </c>
      <c r="T220" s="456">
        <f>L220*$D$18/L228</f>
        <v>6.2029870806765031</v>
      </c>
      <c r="U220" s="456">
        <f>M220*$E$18/M228</f>
        <v>12.458993643736465</v>
      </c>
      <c r="V220" s="457">
        <f>N220*$F$18/N228</f>
        <v>6.158387599802599</v>
      </c>
      <c r="W220" s="367">
        <f t="shared" si="40"/>
        <v>33.000174822639252</v>
      </c>
    </row>
    <row r="221" spans="1:23" x14ac:dyDescent="0.25">
      <c r="A221" s="415">
        <v>3</v>
      </c>
      <c r="B221" s="415">
        <v>2</v>
      </c>
      <c r="C221" s="458">
        <f>S205*$G$11/$W205</f>
        <v>15.820108006654181</v>
      </c>
      <c r="D221" s="459">
        <f>T205*$G$11/$W205</f>
        <v>9.7969588989422576</v>
      </c>
      <c r="E221" s="459">
        <f>U205*$G$11/$W205</f>
        <v>3.5409782439667969</v>
      </c>
      <c r="F221" s="460">
        <f>V205*$G$11/$W205</f>
        <v>13.841954850436762</v>
      </c>
      <c r="G221" s="367">
        <f t="shared" si="38"/>
        <v>43</v>
      </c>
      <c r="I221" s="415">
        <v>3</v>
      </c>
      <c r="J221" s="415">
        <v>2</v>
      </c>
      <c r="K221" s="458">
        <f>C221*$C$16/C226</f>
        <v>15.820198433879966</v>
      </c>
      <c r="L221" s="459">
        <f>D221*$D$16/D226</f>
        <v>9.7970119520505641</v>
      </c>
      <c r="M221" s="459">
        <f>E221*$E$16/E226</f>
        <v>3.5410058198163443</v>
      </c>
      <c r="N221" s="460">
        <f>F221*$F$16/F226</f>
        <v>13.841713708832868</v>
      </c>
      <c r="O221" s="367">
        <f t="shared" si="39"/>
        <v>42.999929914579745</v>
      </c>
      <c r="Q221" s="415">
        <v>3</v>
      </c>
      <c r="R221" s="415">
        <v>2</v>
      </c>
      <c r="S221" s="458">
        <f>K221*$C$19/K229</f>
        <v>15.820186820768937</v>
      </c>
      <c r="T221" s="459">
        <f>L221*$D$19/L229</f>
        <v>9.7970137853066035</v>
      </c>
      <c r="U221" s="459">
        <f>M221*$E$19/M229</f>
        <v>3.5410059799047828</v>
      </c>
      <c r="V221" s="460">
        <f>N221*$F$19/N229</f>
        <v>13.84187828142568</v>
      </c>
      <c r="W221" s="367">
        <f t="shared" si="40"/>
        <v>43.000084867406002</v>
      </c>
    </row>
    <row r="222" spans="1:23" x14ac:dyDescent="0.25">
      <c r="C222" s="461">
        <f>SUM(C216:C221)</f>
        <v>50.999944837772233</v>
      </c>
      <c r="D222" s="461">
        <f>SUM(D216:D221)</f>
        <v>43.999996536746409</v>
      </c>
      <c r="E222" s="461">
        <f>SUM(E216:E221)</f>
        <v>40.999993380993281</v>
      </c>
      <c r="F222" s="461">
        <f>SUM(F216:F221)</f>
        <v>39.000065244488077</v>
      </c>
      <c r="G222" s="463">
        <f>SUM(G216:G221)</f>
        <v>175</v>
      </c>
      <c r="K222" s="461">
        <f>SUM(K216:K221)</f>
        <v>51</v>
      </c>
      <c r="L222" s="461">
        <f>SUM(L216:L221)</f>
        <v>44</v>
      </c>
      <c r="M222" s="461">
        <f>SUM(M216:M221)</f>
        <v>41</v>
      </c>
      <c r="N222" s="461">
        <f>SUM(N216:N221)</f>
        <v>38.999458772944422</v>
      </c>
      <c r="O222" s="463">
        <f>SUM(O216:O221)</f>
        <v>174.99945877294442</v>
      </c>
      <c r="S222" s="461">
        <f>SUM(S216:S221)</f>
        <v>51</v>
      </c>
      <c r="T222" s="461">
        <f>SUM(T216:T221)</f>
        <v>44</v>
      </c>
      <c r="U222" s="461">
        <f>SUM(U216:U221)</f>
        <v>40.999999999999993</v>
      </c>
      <c r="V222" s="461">
        <f>SUM(V216:V221)</f>
        <v>39</v>
      </c>
      <c r="W222" s="463">
        <f>SUM(W216:W221)</f>
        <v>175.00000000000003</v>
      </c>
    </row>
    <row r="224" spans="1:23" x14ac:dyDescent="0.25">
      <c r="A224" s="415">
        <v>1</v>
      </c>
      <c r="C224" s="445">
        <f>SUMIF(A216:A221,A224,C216:C221)</f>
        <v>12.000152265888282</v>
      </c>
      <c r="D224" s="446">
        <f>SUMIF(A216:A221,A224,D216:D221)</f>
        <v>14.000154944214341</v>
      </c>
      <c r="E224" s="446">
        <f>SUMIF(A216:A221,A224,E216:E221)</f>
        <v>12.000125868402026</v>
      </c>
      <c r="F224" s="447">
        <f>SUMIF(A216:A221,A224,F216:F221)</f>
        <v>11.999566921495353</v>
      </c>
      <c r="G224" s="462">
        <f>SUM(C224:F224)</f>
        <v>50</v>
      </c>
      <c r="I224" s="415">
        <v>1</v>
      </c>
      <c r="K224" s="445">
        <f>SUMIF(I216:I221,I224,K216:K221)</f>
        <v>12</v>
      </c>
      <c r="L224" s="446">
        <f>SUMIF(I216:I221,I224,L216:L221)</f>
        <v>13.999999999999998</v>
      </c>
      <c r="M224" s="446">
        <f>SUMIF(I216:I221,I224,M216:M221)</f>
        <v>12</v>
      </c>
      <c r="N224" s="447">
        <f>SUMIF(I216:I221,I224,N216:N221)</f>
        <v>11.999458772944426</v>
      </c>
      <c r="O224" s="462">
        <f>SUM(K224:N224)</f>
        <v>49.999458772944422</v>
      </c>
      <c r="Q224" s="415">
        <v>1</v>
      </c>
      <c r="S224" s="445">
        <f>SUMIF(Q216:Q221,Q224,S216:S221)</f>
        <v>12.000000846818198</v>
      </c>
      <c r="T224" s="446">
        <f>SUMIF(Q216:Q221,Q224,T216:T221)</f>
        <v>14.000000330035467</v>
      </c>
      <c r="U224" s="446">
        <f>SUMIF(Q216:Q221,Q224,U216:U221)</f>
        <v>12.000000085322602</v>
      </c>
      <c r="V224" s="447">
        <f>SUMIF(Q216:Q221,Q224,V216:V221)</f>
        <v>11.999642145531244</v>
      </c>
      <c r="W224" s="462">
        <f>SUM(S224:V224)</f>
        <v>49.999643407707509</v>
      </c>
    </row>
    <row r="225" spans="1:23" x14ac:dyDescent="0.25">
      <c r="A225" s="415">
        <v>2</v>
      </c>
      <c r="C225" s="448">
        <f>SUMIF(A216:A221,A225,C216:C221)</f>
        <v>14.999929754323727</v>
      </c>
      <c r="D225" s="367">
        <f>SUMIF(A216:A221,A225,D216:D221)</f>
        <v>13.999928236269673</v>
      </c>
      <c r="E225" s="367">
        <f>SUMIF(A216:A221,A225,E216:E221)</f>
        <v>12.99999211379645</v>
      </c>
      <c r="F225" s="364">
        <f>SUMIF(A216:A221,A225,F216:F221)</f>
        <v>7.0001498956101518</v>
      </c>
      <c r="G225" s="462">
        <f>SUM(C225:F225)</f>
        <v>49</v>
      </c>
      <c r="I225" s="415">
        <v>2</v>
      </c>
      <c r="K225" s="448">
        <f>SUMIF(I216:I221,I225,K216:K221)</f>
        <v>15</v>
      </c>
      <c r="L225" s="367">
        <f>SUMIF(I216:I221,I225,L216:L221)</f>
        <v>14</v>
      </c>
      <c r="M225" s="367">
        <f>SUMIF(I216:I221,I225,M216:M221)</f>
        <v>13</v>
      </c>
      <c r="N225" s="364">
        <f>SUMIF(I216:I221,I225,N216:N221)</f>
        <v>6.9999999999999991</v>
      </c>
      <c r="O225" s="462">
        <f>SUM(K225:N225)</f>
        <v>49</v>
      </c>
      <c r="Q225" s="415">
        <v>2</v>
      </c>
      <c r="S225" s="448">
        <f>SUMIF(Q216:Q221,Q225,S216:S221)</f>
        <v>15.000005833989189</v>
      </c>
      <c r="T225" s="367">
        <f>SUMIF(Q216:Q221,Q225,T216:T221)</f>
        <v>13.999998803981429</v>
      </c>
      <c r="U225" s="367">
        <f>SUMIF(Q216:Q221,Q225,U216:U221)</f>
        <v>13.000000291036148</v>
      </c>
      <c r="V225" s="364">
        <f>SUMIF(Q216:Q221,Q225,V216:V221)</f>
        <v>7.0000919732404787</v>
      </c>
      <c r="W225" s="462">
        <f>SUM(S225:V225)</f>
        <v>49.000096902247243</v>
      </c>
    </row>
    <row r="226" spans="1:23" x14ac:dyDescent="0.25">
      <c r="A226" s="415">
        <v>3</v>
      </c>
      <c r="C226" s="449">
        <f>SUMIF(A216:A221,A226,C216:C221)</f>
        <v>23.999862817560228</v>
      </c>
      <c r="D226" s="450">
        <f>SUMIF(A216:A221,A226,D216:D221)</f>
        <v>15.999913356262393</v>
      </c>
      <c r="E226" s="450">
        <f>SUMIF(A216:A221,A226,E216:E221)</f>
        <v>15.999875398794803</v>
      </c>
      <c r="F226" s="451">
        <f>SUMIF(A216:A221,A226,F216:F221)</f>
        <v>20.000348427382569</v>
      </c>
      <c r="G226" s="462">
        <f>SUM(C226:F226)</f>
        <v>76</v>
      </c>
      <c r="I226" s="415">
        <v>3</v>
      </c>
      <c r="K226" s="449">
        <f>SUMIF(I216:I221,I226,K216:K221)</f>
        <v>24</v>
      </c>
      <c r="L226" s="450">
        <f>SUMIF(I216:I221,I226,L216:L221)</f>
        <v>16</v>
      </c>
      <c r="M226" s="450">
        <f>SUMIF(I216:I221,I226,M216:M221)</f>
        <v>16</v>
      </c>
      <c r="N226" s="451">
        <f>SUMIF(I216:I221,I226,N216:N221)</f>
        <v>19.999999999999996</v>
      </c>
      <c r="O226" s="462">
        <f>SUM(K226:N226)</f>
        <v>76</v>
      </c>
      <c r="Q226" s="415">
        <v>3</v>
      </c>
      <c r="S226" s="449">
        <f>SUMIF(Q216:Q221,Q226,S216:S221)</f>
        <v>23.999993319192619</v>
      </c>
      <c r="T226" s="450">
        <f>SUMIF(Q216:Q221,Q226,T216:T221)</f>
        <v>16.000000865983107</v>
      </c>
      <c r="U226" s="450">
        <f>SUMIF(Q216:Q221,Q226,U216:U221)</f>
        <v>15.999999623641248</v>
      </c>
      <c r="V226" s="451">
        <f>SUMIF(Q216:Q221,Q226,V216:V221)</f>
        <v>20.00026588122828</v>
      </c>
      <c r="W226" s="462">
        <f>SUM(S226:V226)</f>
        <v>76.000259690045255</v>
      </c>
    </row>
    <row r="228" spans="1:23" x14ac:dyDescent="0.25">
      <c r="B228" s="415">
        <v>1</v>
      </c>
      <c r="C228" s="445">
        <f>SUMIF(B216:B221,B228,C216:C221)</f>
        <v>27.999968994690157</v>
      </c>
      <c r="D228" s="446">
        <f>SUMIF(B216:B221,B228,D216:D221)</f>
        <v>23.999987004987101</v>
      </c>
      <c r="E228" s="446">
        <f>SUMIF(B216:B221,B228,E216:E221)</f>
        <v>20.999956169798804</v>
      </c>
      <c r="F228" s="447">
        <f>SUMIF(B216:B221,B228,F216:F221)</f>
        <v>17.000087830523931</v>
      </c>
      <c r="G228" s="462">
        <f>SUM(C228:F228)</f>
        <v>90</v>
      </c>
      <c r="J228" s="415">
        <v>1</v>
      </c>
      <c r="K228" s="445">
        <f>SUMIF(J216:J221,J228,K216:K221)</f>
        <v>27.999983116409638</v>
      </c>
      <c r="L228" s="446">
        <f>SUMIF(J216:J221,J228,L216:L221)</f>
        <v>24.000003742479244</v>
      </c>
      <c r="M228" s="446">
        <f>SUMIF(J216:J221,J228,M216:M221)</f>
        <v>21.00000090419751</v>
      </c>
      <c r="N228" s="447">
        <f>SUMIF(J216:J221,J228,N216:N221)</f>
        <v>16.999720341278447</v>
      </c>
      <c r="O228" s="462">
        <f>SUM(K228:N228)</f>
        <v>89.999708104364842</v>
      </c>
      <c r="R228" s="415">
        <v>1</v>
      </c>
      <c r="S228" s="445">
        <f>SUMIF(R216:R221,R228,S216:S221)</f>
        <v>28.000000000000004</v>
      </c>
      <c r="T228" s="446">
        <f>SUMIF(R216:R221,R228,T216:T221)</f>
        <v>24.000000000000004</v>
      </c>
      <c r="U228" s="446">
        <f>SUMIF(R216:R221,R228,U216:U221)</f>
        <v>21</v>
      </c>
      <c r="V228" s="447">
        <f>SUMIF(R216:R221,R228,V216:V221)</f>
        <v>17</v>
      </c>
      <c r="W228" s="462">
        <f>SUM(S228:V228)</f>
        <v>90</v>
      </c>
    </row>
    <row r="229" spans="1:23" x14ac:dyDescent="0.25">
      <c r="B229" s="415">
        <v>2</v>
      </c>
      <c r="C229" s="449">
        <f>SUMIF(B216:B221,B229,C216:C221)</f>
        <v>22.999975843082083</v>
      </c>
      <c r="D229" s="450">
        <f>SUMIF(B216:B221,B229,D216:D221)</f>
        <v>20.000009531759304</v>
      </c>
      <c r="E229" s="450">
        <f>SUMIF(B216:B221,B229,E216:E221)</f>
        <v>20.000037211194478</v>
      </c>
      <c r="F229" s="451">
        <f>SUMIF(B216:B221,B229,F216:F221)</f>
        <v>21.999977413964139</v>
      </c>
      <c r="G229" s="462">
        <f>SUM(C229:F229)</f>
        <v>85</v>
      </c>
      <c r="J229" s="415">
        <v>2</v>
      </c>
      <c r="K229" s="449">
        <f>SUMIF(J216:J221,J229,K216:K221)</f>
        <v>23.000016883590359</v>
      </c>
      <c r="L229" s="450">
        <f>SUMIF(J216:J221,J229,L216:L221)</f>
        <v>19.999996257520753</v>
      </c>
      <c r="M229" s="450">
        <f>SUMIF(J216:J221,J229,M216:M221)</f>
        <v>19.999999095802494</v>
      </c>
      <c r="N229" s="451">
        <f>SUMIF(J216:J221,J229,N216:N221)</f>
        <v>21.999738431665975</v>
      </c>
      <c r="O229" s="462">
        <f>SUM(K229:N229)</f>
        <v>84.99975066857958</v>
      </c>
      <c r="R229" s="415">
        <v>2</v>
      </c>
      <c r="S229" s="449">
        <f>SUMIF(R216:R221,R229,S216:S221)</f>
        <v>23</v>
      </c>
      <c r="T229" s="450">
        <f>SUMIF(R216:R221,R229,T216:T221)</f>
        <v>20</v>
      </c>
      <c r="U229" s="450">
        <f>SUMIF(R216:R221,R229,U216:U221)</f>
        <v>19.999999999999996</v>
      </c>
      <c r="V229" s="451">
        <f>SUMIF(R216:R221,R229,V216:V221)</f>
        <v>22</v>
      </c>
      <c r="W229" s="462">
        <f>SUM(S229:V229)</f>
        <v>85</v>
      </c>
    </row>
    <row r="231" spans="1:23" x14ac:dyDescent="0.25">
      <c r="A231" s="415" t="s">
        <v>37</v>
      </c>
      <c r="B231" s="415" t="s">
        <v>911</v>
      </c>
      <c r="C231">
        <v>1</v>
      </c>
      <c r="D231">
        <f>C231+1</f>
        <v>2</v>
      </c>
      <c r="E231">
        <f>D231+1</f>
        <v>3</v>
      </c>
      <c r="F231">
        <f>E231+1</f>
        <v>4</v>
      </c>
      <c r="I231" s="415" t="s">
        <v>37</v>
      </c>
      <c r="J231" s="415" t="s">
        <v>911</v>
      </c>
      <c r="K231">
        <v>1</v>
      </c>
      <c r="L231">
        <f>K231+1</f>
        <v>2</v>
      </c>
      <c r="M231">
        <f>L231+1</f>
        <v>3</v>
      </c>
      <c r="N231">
        <f>M231+1</f>
        <v>4</v>
      </c>
      <c r="Q231" s="415" t="s">
        <v>37</v>
      </c>
      <c r="R231" s="415" t="s">
        <v>911</v>
      </c>
      <c r="S231">
        <v>1</v>
      </c>
      <c r="T231">
        <f>S231+1</f>
        <v>2</v>
      </c>
      <c r="U231">
        <f>T231+1</f>
        <v>3</v>
      </c>
      <c r="V231">
        <f>U231+1</f>
        <v>4</v>
      </c>
    </row>
    <row r="232" spans="1:23" x14ac:dyDescent="0.25">
      <c r="A232" s="415">
        <v>1</v>
      </c>
      <c r="B232" s="415">
        <v>1</v>
      </c>
      <c r="C232" s="452">
        <f>S216*$G$6/$W216</f>
        <v>7.2216563665640852</v>
      </c>
      <c r="D232" s="453">
        <f>T216*$G$6/$W216</f>
        <v>6.6744001554011092</v>
      </c>
      <c r="E232" s="453">
        <f>U216*$G$6/$W216</f>
        <v>5.1797517319445072</v>
      </c>
      <c r="F232" s="454">
        <f>V216*$G$6/$W216</f>
        <v>8.9241917460902975</v>
      </c>
      <c r="G232" s="367">
        <f t="shared" ref="G232:G237" si="41">SUM(C232:F232)</f>
        <v>28</v>
      </c>
      <c r="I232" s="415">
        <v>1</v>
      </c>
      <c r="J232" s="415">
        <v>1</v>
      </c>
      <c r="K232" s="452">
        <f>C232*$C$14/C240</f>
        <v>7.2216021630612053</v>
      </c>
      <c r="L232" s="453">
        <f>D232*$D$14/D240</f>
        <v>6.6743564291542787</v>
      </c>
      <c r="M232" s="453">
        <f>E232*$E$14/E240</f>
        <v>5.179719577686928</v>
      </c>
      <c r="N232" s="454">
        <f>F232*F224/F240</f>
        <v>8.9240602619876945</v>
      </c>
      <c r="O232" s="367">
        <f t="shared" ref="O232:O237" si="42">SUM(K232:N232)</f>
        <v>27.999738431890105</v>
      </c>
      <c r="Q232" s="415">
        <v>1</v>
      </c>
      <c r="R232" s="415">
        <v>1</v>
      </c>
      <c r="S232" s="452">
        <f>K232*$C$18/K244</f>
        <v>7.22160471325377</v>
      </c>
      <c r="T232" s="453">
        <f>L232*$D$18/L244</f>
        <v>6.6743558225272794</v>
      </c>
      <c r="U232" s="453">
        <f>M232*$E$18/M244</f>
        <v>5.1797194805363507</v>
      </c>
      <c r="V232" s="454">
        <f>N232*$F$18/N244</f>
        <v>8.9241480713706043</v>
      </c>
      <c r="W232" s="367">
        <f t="shared" ref="W232:W237" si="43">SUM(S232:V232)</f>
        <v>27.999828087688002</v>
      </c>
    </row>
    <row r="233" spans="1:23" x14ac:dyDescent="0.25">
      <c r="A233" s="415">
        <v>1</v>
      </c>
      <c r="B233" s="415">
        <v>2</v>
      </c>
      <c r="C233" s="455">
        <f>S217*$G$7/$W217</f>
        <v>4.7784337023735093</v>
      </c>
      <c r="D233" s="456">
        <f>T217*$G$7/$W217</f>
        <v>7.3256915639222626</v>
      </c>
      <c r="E233" s="456">
        <f>U217*$G$7/$W217</f>
        <v>6.8203227607157917</v>
      </c>
      <c r="F233" s="457">
        <f>V217*$G$7/$W217</f>
        <v>3.0755519729884382</v>
      </c>
      <c r="G233" s="367">
        <f t="shared" si="41"/>
        <v>22.000000000000004</v>
      </c>
      <c r="I233" s="415">
        <v>1</v>
      </c>
      <c r="J233" s="415">
        <v>2</v>
      </c>
      <c r="K233" s="455">
        <f>C233*$C$14/C240</f>
        <v>4.7783978369387947</v>
      </c>
      <c r="L233" s="456">
        <f>D233*$D$14/D240</f>
        <v>7.3256435708457213</v>
      </c>
      <c r="M233" s="456">
        <f>E233*$E$14/E240</f>
        <v>6.820280422313072</v>
      </c>
      <c r="N233" s="457">
        <f>F233*$F$14/F240</f>
        <v>3.0756176581656787</v>
      </c>
      <c r="O233" s="367">
        <f t="shared" si="42"/>
        <v>21.999939488263269</v>
      </c>
      <c r="Q233" s="415">
        <v>1</v>
      </c>
      <c r="R233" s="415">
        <v>2</v>
      </c>
      <c r="S233" s="455">
        <f>K233*$C$19/K245</f>
        <v>4.7783957826969283</v>
      </c>
      <c r="T233" s="456">
        <f>L233*$D$19/L245</f>
        <v>7.3256443698322506</v>
      </c>
      <c r="U233" s="456">
        <f>M233*$E$19/M245</f>
        <v>6.8202805566299798</v>
      </c>
      <c r="V233" s="457">
        <f>N233*$F$19/N245</f>
        <v>3.0756393005883758</v>
      </c>
      <c r="W233" s="367">
        <f t="shared" si="43"/>
        <v>21.999960009747536</v>
      </c>
    </row>
    <row r="234" spans="1:23" x14ac:dyDescent="0.25">
      <c r="A234" s="415">
        <v>2</v>
      </c>
      <c r="B234" s="415">
        <v>1</v>
      </c>
      <c r="C234" s="455">
        <f>S218*$G$8/$W218</f>
        <v>12.598562056691167</v>
      </c>
      <c r="D234" s="456">
        <f>T218*$G$8/$W218</f>
        <v>11.122637850503729</v>
      </c>
      <c r="E234" s="456">
        <f>U218*$G$8/$W218</f>
        <v>3.3612948581943707</v>
      </c>
      <c r="F234" s="457">
        <f>V218*$G$8/$W218</f>
        <v>1.9175052346107322</v>
      </c>
      <c r="G234" s="367">
        <f t="shared" si="41"/>
        <v>28.999999999999996</v>
      </c>
      <c r="I234" s="415">
        <v>2</v>
      </c>
      <c r="J234" s="415">
        <v>1</v>
      </c>
      <c r="K234" s="455">
        <f>C234*$C$15/C241</f>
        <v>12.598597096430026</v>
      </c>
      <c r="L234" s="456">
        <f>D234*$D$15/D241</f>
        <v>11.122671632293445</v>
      </c>
      <c r="M234" s="456">
        <f>E234*$E$15/E241</f>
        <v>3.3612960447319096</v>
      </c>
      <c r="N234" s="457">
        <f>F234*$F$15/F241</f>
        <v>1.9174809022069492</v>
      </c>
      <c r="O234" s="367">
        <f t="shared" si="42"/>
        <v>29.000045675662331</v>
      </c>
      <c r="Q234" s="415">
        <v>2</v>
      </c>
      <c r="R234" s="415">
        <v>1</v>
      </c>
      <c r="S234" s="455">
        <f>K234*$C$18/K244</f>
        <v>12.598601545421804</v>
      </c>
      <c r="T234" s="456">
        <f>L234*$D$18/L244</f>
        <v>11.12267062136258</v>
      </c>
      <c r="U234" s="456">
        <f>M234*$E$18/M244</f>
        <v>3.3612959816875989</v>
      </c>
      <c r="V234" s="457">
        <f>N234*$F$18/N244</f>
        <v>1.9174997694949123</v>
      </c>
      <c r="W234" s="367">
        <f t="shared" si="43"/>
        <v>29.000067917966899</v>
      </c>
    </row>
    <row r="235" spans="1:23" x14ac:dyDescent="0.25">
      <c r="A235" s="415">
        <v>2</v>
      </c>
      <c r="B235" s="415">
        <v>2</v>
      </c>
      <c r="C235" s="455">
        <f>S219*$G$9/$W219</f>
        <v>2.4013962246889839</v>
      </c>
      <c r="D235" s="456">
        <f>T219*$G$9/$W219</f>
        <v>2.877319628681879</v>
      </c>
      <c r="E235" s="456">
        <f>U219*$G$9/$W219</f>
        <v>9.6387005528054956</v>
      </c>
      <c r="F235" s="457">
        <f>V219*$G$9/$W219</f>
        <v>5.0825835938236397</v>
      </c>
      <c r="G235" s="367">
        <f t="shared" si="41"/>
        <v>19.999999999999996</v>
      </c>
      <c r="I235" s="415">
        <v>2</v>
      </c>
      <c r="J235" s="415">
        <v>2</v>
      </c>
      <c r="K235" s="455">
        <f>C235*$C$15/C241</f>
        <v>2.4014029035699735</v>
      </c>
      <c r="L235" s="456">
        <f>D235*$D$15/D241</f>
        <v>2.8773283677065558</v>
      </c>
      <c r="M235" s="456">
        <f>E235*$E$15/E241</f>
        <v>9.6387039552680918</v>
      </c>
      <c r="N235" s="457">
        <f>F235*$F$15/F241</f>
        <v>5.0825190977930506</v>
      </c>
      <c r="O235" s="367">
        <f t="shared" si="42"/>
        <v>19.999954324337672</v>
      </c>
      <c r="Q235" s="415">
        <v>2</v>
      </c>
      <c r="R235" s="415">
        <v>2</v>
      </c>
      <c r="S235" s="455">
        <f>K235*$C$19/K245</f>
        <v>2.4014018712025251</v>
      </c>
      <c r="T235" s="456">
        <f>L235*$D$19/L245</f>
        <v>2.8773286815283492</v>
      </c>
      <c r="U235" s="456">
        <f>M235*$E$19/M245</f>
        <v>9.6387041450903315</v>
      </c>
      <c r="V235" s="457">
        <f>N235*$F$19/N245</f>
        <v>5.0825548623252219</v>
      </c>
      <c r="W235" s="367">
        <f t="shared" si="43"/>
        <v>19.999989560146428</v>
      </c>
    </row>
    <row r="236" spans="1:23" x14ac:dyDescent="0.25">
      <c r="A236" s="415">
        <v>3</v>
      </c>
      <c r="B236" s="415">
        <v>1</v>
      </c>
      <c r="C236" s="455">
        <f>S220*$G$10/$W220</f>
        <v>8.1797631648544389</v>
      </c>
      <c r="D236" s="456">
        <f>T220*$G$10/$W220</f>
        <v>6.2029542195605085</v>
      </c>
      <c r="E236" s="456">
        <f>U220*$G$10/$W220</f>
        <v>12.458927640626998</v>
      </c>
      <c r="F236" s="457">
        <f>V220*$G$10/$W220</f>
        <v>6.1583549749580486</v>
      </c>
      <c r="G236" s="367">
        <f t="shared" si="41"/>
        <v>32.999999999999993</v>
      </c>
      <c r="I236" s="415">
        <v>3</v>
      </c>
      <c r="J236" s="415">
        <v>1</v>
      </c>
      <c r="K236" s="455">
        <f>C236*$C$16/C242</f>
        <v>8.179790852762947</v>
      </c>
      <c r="L236" s="456">
        <f>D236*$D$16/D242</f>
        <v>6.2029741198935717</v>
      </c>
      <c r="M236" s="456">
        <f>E236*$E$16/E242</f>
        <v>12.458984771456182</v>
      </c>
      <c r="N236" s="457">
        <f>F236*$F$16/F242</f>
        <v>6.1582915638711038</v>
      </c>
      <c r="O236" s="367">
        <f t="shared" si="42"/>
        <v>33.000041307983807</v>
      </c>
      <c r="Q236" s="415">
        <v>3</v>
      </c>
      <c r="R236" s="415">
        <v>1</v>
      </c>
      <c r="S236" s="455">
        <f>K236*$C$18/K244</f>
        <v>8.1797937413244242</v>
      </c>
      <c r="T236" s="456">
        <f>L236*$D$18/L244</f>
        <v>6.2029735561101402</v>
      </c>
      <c r="U236" s="456">
        <f>M236*$E$18/M244</f>
        <v>12.458984537776049</v>
      </c>
      <c r="V236" s="457">
        <f>N236*$F$18/N244</f>
        <v>6.1583521591344841</v>
      </c>
      <c r="W236" s="367">
        <f t="shared" si="43"/>
        <v>33.000103994345096</v>
      </c>
    </row>
    <row r="237" spans="1:23" x14ac:dyDescent="0.25">
      <c r="A237" s="415">
        <v>3</v>
      </c>
      <c r="B237" s="415">
        <v>2</v>
      </c>
      <c r="C237" s="458">
        <f>S221*$G$11/$W221</f>
        <v>15.820155597151073</v>
      </c>
      <c r="D237" s="459">
        <f>T221*$G$11/$W221</f>
        <v>9.7969944493646146</v>
      </c>
      <c r="E237" s="459">
        <f>U221*$G$11/$W221</f>
        <v>3.5409989911745727</v>
      </c>
      <c r="F237" s="460">
        <f>V221*$G$11/$W221</f>
        <v>13.841850962309739</v>
      </c>
      <c r="G237" s="367">
        <f t="shared" si="41"/>
        <v>43</v>
      </c>
      <c r="I237" s="415">
        <v>3</v>
      </c>
      <c r="J237" s="415">
        <v>2</v>
      </c>
      <c r="K237" s="458">
        <f>C237*$C$16/C242</f>
        <v>15.820209147237051</v>
      </c>
      <c r="L237" s="459">
        <f>D237*$D$16/D242</f>
        <v>9.7970258801064283</v>
      </c>
      <c r="M237" s="459">
        <f>E237*$E$16/E242</f>
        <v>3.5410152285438183</v>
      </c>
      <c r="N237" s="460">
        <f>F237*$F$16/F242</f>
        <v>13.841708436128897</v>
      </c>
      <c r="O237" s="367">
        <f t="shared" si="42"/>
        <v>42.999958692016193</v>
      </c>
      <c r="Q237" s="415">
        <v>3</v>
      </c>
      <c r="R237" s="415">
        <v>2</v>
      </c>
      <c r="S237" s="458">
        <f>K237*$C$19/K245</f>
        <v>15.820202346100547</v>
      </c>
      <c r="T237" s="459">
        <f>L237*$D$19/L245</f>
        <v>9.7970269486394006</v>
      </c>
      <c r="U237" s="459">
        <f>M237*$E$19/M245</f>
        <v>3.5410152982796923</v>
      </c>
      <c r="V237" s="460">
        <f>N237*$F$19/N245</f>
        <v>13.841805837086403</v>
      </c>
      <c r="W237" s="367">
        <f t="shared" si="43"/>
        <v>43.000050430106043</v>
      </c>
    </row>
    <row r="238" spans="1:23" x14ac:dyDescent="0.25">
      <c r="C238" s="461">
        <f>SUM(C232:C237)</f>
        <v>50.999967112323255</v>
      </c>
      <c r="D238" s="461">
        <f>SUM(D232:D237)</f>
        <v>43.999997867434104</v>
      </c>
      <c r="E238" s="461">
        <f>SUM(E232:E237)</f>
        <v>40.99999653546174</v>
      </c>
      <c r="F238" s="461">
        <f>SUM(F232:F237)</f>
        <v>39.000038484780895</v>
      </c>
      <c r="G238" s="463">
        <f>SUM(G232:G237)</f>
        <v>175</v>
      </c>
      <c r="K238" s="461">
        <f>SUM(K232:K237)</f>
        <v>51</v>
      </c>
      <c r="L238" s="461">
        <f>SUM(L232:L237)</f>
        <v>44</v>
      </c>
      <c r="M238" s="461">
        <f>SUM(M232:M237)</f>
        <v>41</v>
      </c>
      <c r="N238" s="461">
        <f>SUM(N232:N237)</f>
        <v>38.999677920153374</v>
      </c>
      <c r="O238" s="463">
        <f>SUM(O232:O237)</f>
        <v>174.99967792015337</v>
      </c>
      <c r="S238" s="461">
        <f>SUM(S232:S237)</f>
        <v>51</v>
      </c>
      <c r="T238" s="461">
        <f>SUM(T232:T237)</f>
        <v>44</v>
      </c>
      <c r="U238" s="461">
        <f>SUM(U232:U237)</f>
        <v>41</v>
      </c>
      <c r="V238" s="461">
        <f>SUM(V232:V237)</f>
        <v>39</v>
      </c>
      <c r="W238" s="463">
        <f>SUM(W232:W237)</f>
        <v>175</v>
      </c>
    </row>
    <row r="240" spans="1:23" x14ac:dyDescent="0.25">
      <c r="A240" s="415">
        <v>1</v>
      </c>
      <c r="C240" s="445">
        <f>SUMIF(A232:A237,A240,C232:C237)</f>
        <v>12.000090068937595</v>
      </c>
      <c r="D240" s="446">
        <f>SUMIF(A232:A237,A240,D232:D237)</f>
        <v>14.000091719323372</v>
      </c>
      <c r="E240" s="446">
        <f>SUMIF(A232:A237,A240,E232:E237)</f>
        <v>12.0000744926603</v>
      </c>
      <c r="F240" s="447">
        <f>SUMIF(A232:A237,A240,F232:F237)</f>
        <v>11.999743719078737</v>
      </c>
      <c r="G240" s="462">
        <f>SUM(C240:F240)</f>
        <v>50</v>
      </c>
      <c r="I240" s="415">
        <v>1</v>
      </c>
      <c r="K240" s="445">
        <f>SUMIF(I232:I237,I240,K232:K237)</f>
        <v>12</v>
      </c>
      <c r="L240" s="446">
        <f>SUMIF(I232:I237,I240,L232:L237)</f>
        <v>14</v>
      </c>
      <c r="M240" s="446">
        <f>SUMIF(I232:I237,I240,M232:M237)</f>
        <v>12</v>
      </c>
      <c r="N240" s="447">
        <f>SUMIF(I232:I237,I240,N232:N237)</f>
        <v>11.999677920153374</v>
      </c>
      <c r="O240" s="462">
        <f>SUM(K240:N240)</f>
        <v>49.999677920153374</v>
      </c>
      <c r="Q240" s="415">
        <v>1</v>
      </c>
      <c r="S240" s="445">
        <f>SUMIF(Q232:Q237,Q240,S232:S237)</f>
        <v>12.000000495950697</v>
      </c>
      <c r="T240" s="446">
        <f>SUMIF(Q232:Q237,Q240,T232:T237)</f>
        <v>14.000000192359529</v>
      </c>
      <c r="U240" s="446">
        <f>SUMIF(Q232:Q237,Q240,U232:U237)</f>
        <v>12.00000003716633</v>
      </c>
      <c r="V240" s="447">
        <f>SUMIF(Q232:Q237,Q240,V232:V237)</f>
        <v>11.99978737195898</v>
      </c>
      <c r="W240" s="462">
        <f>SUM(S240:V240)</f>
        <v>49.999788097435534</v>
      </c>
    </row>
    <row r="241" spans="1:23" x14ac:dyDescent="0.25">
      <c r="A241" s="415">
        <v>2</v>
      </c>
      <c r="C241" s="448">
        <f>SUMIF(A232:A237,A241,C232:C237)</f>
        <v>14.999958281380151</v>
      </c>
      <c r="D241" s="367">
        <f>SUMIF(A232:A237,A241,D232:D237)</f>
        <v>13.999957479185607</v>
      </c>
      <c r="E241" s="367">
        <f>SUMIF(A232:A237,A241,E232:E237)</f>
        <v>12.999995410999865</v>
      </c>
      <c r="F241" s="364">
        <f>SUMIF(A232:A237,A241,F232:F237)</f>
        <v>7.0000888284343716</v>
      </c>
      <c r="G241" s="462">
        <f>SUM(C241:F241)</f>
        <v>48.999999999999993</v>
      </c>
      <c r="I241" s="415">
        <v>2</v>
      </c>
      <c r="K241" s="448">
        <f>SUMIF(I232:I237,I241,K232:K237)</f>
        <v>15</v>
      </c>
      <c r="L241" s="367">
        <f>SUMIF(I232:I237,I241,L232:L237)</f>
        <v>14</v>
      </c>
      <c r="M241" s="367">
        <f>SUMIF(I232:I237,I241,M232:M237)</f>
        <v>13.000000000000002</v>
      </c>
      <c r="N241" s="364">
        <f>SUMIF(I232:I237,I241,N232:N237)</f>
        <v>7</v>
      </c>
      <c r="O241" s="462">
        <f>SUM(K241:N241)</f>
        <v>49</v>
      </c>
      <c r="Q241" s="415">
        <v>2</v>
      </c>
      <c r="S241" s="448">
        <f>SUMIF(Q232:Q237,Q241,S232:S237)</f>
        <v>15.000003416624329</v>
      </c>
      <c r="T241" s="367">
        <f>SUMIF(Q232:Q237,Q241,T232:T237)</f>
        <v>13.999999302890929</v>
      </c>
      <c r="U241" s="367">
        <f>SUMIF(Q232:Q237,Q241,U232:U237)</f>
        <v>13.00000012677793</v>
      </c>
      <c r="V241" s="364">
        <f>SUMIF(Q232:Q237,Q241,V232:V237)</f>
        <v>7.0000546318201344</v>
      </c>
      <c r="W241" s="462">
        <f>SUM(S241:V241)</f>
        <v>49.00005747811332</v>
      </c>
    </row>
    <row r="242" spans="1:23" x14ac:dyDescent="0.25">
      <c r="A242" s="415">
        <v>3</v>
      </c>
      <c r="C242" s="449">
        <f>SUMIF(A232:A237,A242,C232:C237)</f>
        <v>23.999918762005514</v>
      </c>
      <c r="D242" s="450">
        <f>SUMIF(A232:A237,A242,D232:D237)</f>
        <v>15.999948668925123</v>
      </c>
      <c r="E242" s="450">
        <f>SUMIF(A232:A237,A242,E232:E237)</f>
        <v>15.999926631801571</v>
      </c>
      <c r="F242" s="451">
        <f>SUMIF(A232:A237,A242,F232:F237)</f>
        <v>20.000205937267786</v>
      </c>
      <c r="G242" s="462">
        <f>SUM(C242:F242)</f>
        <v>76</v>
      </c>
      <c r="I242" s="415">
        <v>3</v>
      </c>
      <c r="K242" s="449">
        <f>SUMIF(I232:I237,I242,K232:K237)</f>
        <v>24</v>
      </c>
      <c r="L242" s="450">
        <f>SUMIF(I232:I237,I242,L232:L237)</f>
        <v>16</v>
      </c>
      <c r="M242" s="450">
        <f>SUMIF(I232:I237,I242,M232:M237)</f>
        <v>16</v>
      </c>
      <c r="N242" s="451">
        <f>SUMIF(I232:I237,I242,N232:N237)</f>
        <v>20</v>
      </c>
      <c r="O242" s="462">
        <f>SUM(K242:N242)</f>
        <v>76</v>
      </c>
      <c r="Q242" s="415">
        <v>3</v>
      </c>
      <c r="S242" s="449">
        <f>SUMIF(Q232:Q237,Q242,S232:S237)</f>
        <v>23.999996087424972</v>
      </c>
      <c r="T242" s="450">
        <f>SUMIF(Q232:Q237,Q242,T232:T237)</f>
        <v>16.00000050474954</v>
      </c>
      <c r="U242" s="450">
        <f>SUMIF(Q232:Q237,Q242,U232:U237)</f>
        <v>15.999999836055741</v>
      </c>
      <c r="V242" s="451">
        <f>SUMIF(Q232:Q237,Q242,V232:V237)</f>
        <v>20.000157996220885</v>
      </c>
      <c r="W242" s="462">
        <f>SUM(S242:V242)</f>
        <v>76.000154424451139</v>
      </c>
    </row>
    <row r="244" spans="1:23" x14ac:dyDescent="0.25">
      <c r="B244" s="415">
        <v>1</v>
      </c>
      <c r="C244" s="445">
        <f>SUMIF(B232:B237,B244,C232:C237)</f>
        <v>27.999981588109691</v>
      </c>
      <c r="D244" s="446">
        <f>SUMIF(B232:B237,B244,D232:D237)</f>
        <v>23.999992225465348</v>
      </c>
      <c r="E244" s="446">
        <f>SUMIF(B232:B237,B244,E232:E237)</f>
        <v>20.999974230765876</v>
      </c>
      <c r="F244" s="447">
        <f>SUMIF(B232:B237,B244,F232:F237)</f>
        <v>17.000051955659078</v>
      </c>
      <c r="G244" s="462">
        <f>SUM(C244:F244)</f>
        <v>89.999999999999986</v>
      </c>
      <c r="J244" s="415">
        <v>1</v>
      </c>
      <c r="K244" s="445">
        <f>SUMIF(J232:J237,J244,K232:K237)</f>
        <v>27.999990112254181</v>
      </c>
      <c r="L244" s="446">
        <f>SUMIF(J232:J237,J244,L232:L237)</f>
        <v>24.000002181341294</v>
      </c>
      <c r="M244" s="446">
        <f>SUMIF(J232:J237,J244,M232:M237)</f>
        <v>21.00000039387502</v>
      </c>
      <c r="N244" s="447">
        <f>SUMIF(J232:J237,J244,N232:N237)</f>
        <v>16.999832728065748</v>
      </c>
      <c r="O244" s="462">
        <f>SUM(K244:N244)</f>
        <v>89.999825415536236</v>
      </c>
      <c r="R244" s="415">
        <v>1</v>
      </c>
      <c r="S244" s="445">
        <f>SUMIF(R232:R237,R244,S232:S237)</f>
        <v>28</v>
      </c>
      <c r="T244" s="446">
        <f>SUMIF(R232:R237,R244,T232:T237)</f>
        <v>24</v>
      </c>
      <c r="U244" s="446">
        <f>SUMIF(R232:R237,R244,U232:U237)</f>
        <v>21</v>
      </c>
      <c r="V244" s="447">
        <f>SUMIF(R232:R237,R244,V232:V237)</f>
        <v>17</v>
      </c>
      <c r="W244" s="462">
        <f>SUM(S244:V244)</f>
        <v>90</v>
      </c>
    </row>
    <row r="245" spans="1:23" x14ac:dyDescent="0.25">
      <c r="B245" s="415">
        <v>2</v>
      </c>
      <c r="C245" s="449">
        <f>SUMIF(B232:B237,B245,C232:C237)</f>
        <v>22.999985524213567</v>
      </c>
      <c r="D245" s="450">
        <f>SUMIF(B232:B237,B245,D232:D237)</f>
        <v>20.000005641968755</v>
      </c>
      <c r="E245" s="450">
        <f>SUMIF(B232:B237,B245,E232:E237)</f>
        <v>20.000022304695857</v>
      </c>
      <c r="F245" s="451">
        <f>SUMIF(B232:B237,B245,F232:F237)</f>
        <v>21.999986529121816</v>
      </c>
      <c r="G245" s="462">
        <f>SUM(C245:F245)</f>
        <v>85</v>
      </c>
      <c r="J245" s="415">
        <v>2</v>
      </c>
      <c r="K245" s="449">
        <f>SUMIF(J232:J237,J245,K232:K237)</f>
        <v>23.000009887745819</v>
      </c>
      <c r="L245" s="450">
        <f>SUMIF(J232:J237,J245,L232:L237)</f>
        <v>19.999997818658706</v>
      </c>
      <c r="M245" s="450">
        <f>SUMIF(J232:J237,J245,M232:M237)</f>
        <v>19.99999960612498</v>
      </c>
      <c r="N245" s="451">
        <f>SUMIF(J232:J237,J245,N232:N237)</f>
        <v>21.999845192087626</v>
      </c>
      <c r="O245" s="462">
        <f>SUM(K245:N245)</f>
        <v>84.999852504617138</v>
      </c>
      <c r="R245" s="415">
        <v>2</v>
      </c>
      <c r="S245" s="449">
        <f>SUMIF(R232:R237,R245,S232:S237)</f>
        <v>23</v>
      </c>
      <c r="T245" s="450">
        <f>SUMIF(R232:R237,R245,T232:T237)</f>
        <v>20</v>
      </c>
      <c r="U245" s="450">
        <f>SUMIF(R232:R237,R245,U232:U237)</f>
        <v>20.000000000000004</v>
      </c>
      <c r="V245" s="451">
        <f>SUMIF(R232:R237,R245,V232:V237)</f>
        <v>22</v>
      </c>
      <c r="W245" s="462">
        <f>SUM(S245:V245)</f>
        <v>85</v>
      </c>
    </row>
    <row r="247" spans="1:23" x14ac:dyDescent="0.25">
      <c r="A247" s="415" t="s">
        <v>37</v>
      </c>
      <c r="B247" s="415" t="s">
        <v>911</v>
      </c>
      <c r="C247">
        <v>1</v>
      </c>
      <c r="D247">
        <f>C247+1</f>
        <v>2</v>
      </c>
      <c r="E247">
        <f>D247+1</f>
        <v>3</v>
      </c>
      <c r="F247">
        <f>E247+1</f>
        <v>4</v>
      </c>
      <c r="I247" s="415" t="s">
        <v>37</v>
      </c>
      <c r="J247" s="415" t="s">
        <v>911</v>
      </c>
      <c r="K247">
        <v>1</v>
      </c>
      <c r="L247">
        <f>K247+1</f>
        <v>2</v>
      </c>
      <c r="M247">
        <f>L247+1</f>
        <v>3</v>
      </c>
      <c r="N247">
        <f>M247+1</f>
        <v>4</v>
      </c>
      <c r="Q247" s="415" t="s">
        <v>37</v>
      </c>
      <c r="R247" s="415" t="s">
        <v>911</v>
      </c>
      <c r="S247">
        <v>1</v>
      </c>
      <c r="T247">
        <f>S247+1</f>
        <v>2</v>
      </c>
      <c r="U247">
        <f>T247+1</f>
        <v>3</v>
      </c>
      <c r="V247">
        <f>U247+1</f>
        <v>4</v>
      </c>
    </row>
    <row r="248" spans="1:23" x14ac:dyDescent="0.25">
      <c r="A248" s="415">
        <v>1</v>
      </c>
      <c r="B248" s="415">
        <v>1</v>
      </c>
      <c r="C248" s="452">
        <f>S232*$G$6/$W232</f>
        <v>7.2216490521960921</v>
      </c>
      <c r="D248" s="453">
        <f>T232*$G$6/$W232</f>
        <v>6.6743968014910413</v>
      </c>
      <c r="E248" s="453">
        <f>U232*$G$6/$W232</f>
        <v>5.1797512827870156</v>
      </c>
      <c r="F248" s="454">
        <f>V232*$G$6/$W232</f>
        <v>8.9242028635258546</v>
      </c>
      <c r="G248" s="367">
        <f t="shared" ref="G248:G253" si="44">SUM(C248:F248)</f>
        <v>28.000000000000007</v>
      </c>
      <c r="I248" s="415">
        <v>1</v>
      </c>
      <c r="J248" s="415">
        <v>1</v>
      </c>
      <c r="K248" s="452">
        <f>C248*$C$14/C256</f>
        <v>7.2216168433131713</v>
      </c>
      <c r="L248" s="453">
        <f>D248*$D$14/D256</f>
        <v>6.6743708250995537</v>
      </c>
      <c r="M248" s="453">
        <f>E248*$E$14/E256</f>
        <v>5.1797321881671241</v>
      </c>
      <c r="N248" s="454">
        <f>F248*F240/F256</f>
        <v>8.9241254928628084</v>
      </c>
      <c r="O248" s="367">
        <f t="shared" ref="O248:O253" si="45">SUM(K248:N248)</f>
        <v>27.999845349442658</v>
      </c>
      <c r="Q248" s="415">
        <v>1</v>
      </c>
      <c r="R248" s="415">
        <v>1</v>
      </c>
      <c r="S248" s="452">
        <f>K248*$C$18/K260</f>
        <v>7.2216183523156694</v>
      </c>
      <c r="T248" s="453">
        <f>L248*$D$18/L260</f>
        <v>6.6743704638839123</v>
      </c>
      <c r="U248" s="453">
        <f>M248*$E$18/M260</f>
        <v>5.1797321365257414</v>
      </c>
      <c r="V248" s="454">
        <f>N248*$F$18/N260</f>
        <v>8.9241772599571334</v>
      </c>
      <c r="W248" s="367">
        <f t="shared" ref="W248:W253" si="46">SUM(S248:V248)</f>
        <v>27.999898212682456</v>
      </c>
    </row>
    <row r="249" spans="1:23" x14ac:dyDescent="0.25">
      <c r="A249" s="415">
        <v>1</v>
      </c>
      <c r="B249" s="415">
        <v>2</v>
      </c>
      <c r="C249" s="455">
        <f>S233*$G$7/$W233</f>
        <v>4.7784044685878859</v>
      </c>
      <c r="D249" s="456">
        <f>T233*$G$7/$W233</f>
        <v>7.3256576859640843</v>
      </c>
      <c r="E249" s="456">
        <f>U233*$G$7/$W233</f>
        <v>6.8202929541407586</v>
      </c>
      <c r="F249" s="457">
        <f>V233*$G$7/$W233</f>
        <v>3.0756448913072711</v>
      </c>
      <c r="G249" s="367">
        <f t="shared" si="44"/>
        <v>22</v>
      </c>
      <c r="I249" s="415">
        <v>1</v>
      </c>
      <c r="J249" s="415">
        <v>2</v>
      </c>
      <c r="K249" s="455">
        <f>C249*$C$14/C256</f>
        <v>4.7783831566868278</v>
      </c>
      <c r="L249" s="456">
        <f>D249*$D$14/D256</f>
        <v>7.3256291749004463</v>
      </c>
      <c r="M249" s="456">
        <f>E249*$E$14/E256</f>
        <v>6.8202678118328759</v>
      </c>
      <c r="N249" s="457">
        <f>F249*$F$14/F256</f>
        <v>3.075683912808151</v>
      </c>
      <c r="O249" s="367">
        <f t="shared" si="45"/>
        <v>21.999964056228301</v>
      </c>
      <c r="Q249" s="415">
        <v>1</v>
      </c>
      <c r="R249" s="415">
        <v>2</v>
      </c>
      <c r="S249" s="455">
        <f>K249*$C$19/K261</f>
        <v>4.7783819411545911</v>
      </c>
      <c r="T249" s="456">
        <f>L249*$D$19/L261</f>
        <v>7.3256296506544416</v>
      </c>
      <c r="U249" s="456">
        <f>M249*$E$19/M261</f>
        <v>6.8202678832300947</v>
      </c>
      <c r="V249" s="457">
        <f>N249*$F$19/N261</f>
        <v>3.0756967721914079</v>
      </c>
      <c r="W249" s="367">
        <f t="shared" si="46"/>
        <v>21.999976247230535</v>
      </c>
    </row>
    <row r="250" spans="1:23" x14ac:dyDescent="0.25">
      <c r="A250" s="415">
        <v>2</v>
      </c>
      <c r="B250" s="415">
        <v>1</v>
      </c>
      <c r="C250" s="455">
        <f>S234*$G$8/$W234</f>
        <v>12.598572039580468</v>
      </c>
      <c r="D250" s="456">
        <f>T234*$G$8/$W234</f>
        <v>11.122644572141688</v>
      </c>
      <c r="E250" s="456">
        <f>U234*$G$8/$W234</f>
        <v>3.3612881095546832</v>
      </c>
      <c r="F250" s="457">
        <f>V234*$G$8/$W234</f>
        <v>1.9174952787231583</v>
      </c>
      <c r="G250" s="367">
        <f t="shared" si="44"/>
        <v>28.999999999999996</v>
      </c>
      <c r="I250" s="415">
        <v>2</v>
      </c>
      <c r="J250" s="415">
        <v>1</v>
      </c>
      <c r="K250" s="455">
        <f>C250*$C$15/C257</f>
        <v>12.598592899240526</v>
      </c>
      <c r="L250" s="456">
        <f>D250*$D$15/D257</f>
        <v>11.122664628200578</v>
      </c>
      <c r="M250" s="456">
        <f>E250*$E$15/E257</f>
        <v>3.3612888112933699</v>
      </c>
      <c r="N250" s="457">
        <f>F250*$F$15/F257</f>
        <v>1.9174808170537474</v>
      </c>
      <c r="O250" s="367">
        <f t="shared" si="45"/>
        <v>29.000027155788221</v>
      </c>
      <c r="Q250" s="415">
        <v>2</v>
      </c>
      <c r="R250" s="415">
        <v>1</v>
      </c>
      <c r="S250" s="455">
        <f>K250*$C$18/K260</f>
        <v>12.598595531796166</v>
      </c>
      <c r="T250" s="456">
        <f>L250*$D$18/L260</f>
        <v>11.122664026244147</v>
      </c>
      <c r="U250" s="456">
        <f>M250*$E$18/M260</f>
        <v>3.3612887777816756</v>
      </c>
      <c r="V250" s="457">
        <f>N250*$F$18/N260</f>
        <v>1.9174919399823078</v>
      </c>
      <c r="W250" s="367">
        <f t="shared" si="46"/>
        <v>29.000040275804299</v>
      </c>
    </row>
    <row r="251" spans="1:23" x14ac:dyDescent="0.25">
      <c r="A251" s="415">
        <v>2</v>
      </c>
      <c r="B251" s="415">
        <v>2</v>
      </c>
      <c r="C251" s="455">
        <f>S235*$G$9/$W235</f>
        <v>2.4014031247173744</v>
      </c>
      <c r="D251" s="456">
        <f>T235*$G$9/$W235</f>
        <v>2.8773301834736387</v>
      </c>
      <c r="E251" s="456">
        <f>U235*$G$9/$W235</f>
        <v>9.6387091764259516</v>
      </c>
      <c r="F251" s="457">
        <f>V235*$G$9/$W235</f>
        <v>5.0825575153830336</v>
      </c>
      <c r="G251" s="367">
        <f t="shared" si="44"/>
        <v>20</v>
      </c>
      <c r="I251" s="415">
        <v>2</v>
      </c>
      <c r="J251" s="415">
        <v>2</v>
      </c>
      <c r="K251" s="455">
        <f>C251*$C$15/C257</f>
        <v>2.4014071007594753</v>
      </c>
      <c r="L251" s="456">
        <f>D251*$D$15/D257</f>
        <v>2.8773353717994214</v>
      </c>
      <c r="M251" s="456">
        <f>E251*$E$15/E257</f>
        <v>9.6387111887066297</v>
      </c>
      <c r="N251" s="457">
        <f>F251*$F$15/F257</f>
        <v>5.0825191829462533</v>
      </c>
      <c r="O251" s="367">
        <f t="shared" si="45"/>
        <v>19.999972844211779</v>
      </c>
      <c r="Q251" s="415">
        <v>2</v>
      </c>
      <c r="R251" s="415">
        <v>2</v>
      </c>
      <c r="S251" s="455">
        <f>K251*$C$19/K261</f>
        <v>2.4014064898859542</v>
      </c>
      <c r="T251" s="456">
        <f>L251*$D$19/L261</f>
        <v>2.8773355586644356</v>
      </c>
      <c r="U251" s="456">
        <f>M251*$E$19/M261</f>
        <v>9.6387112896084108</v>
      </c>
      <c r="V251" s="457">
        <f>N251*$F$19/N261</f>
        <v>5.0825404328743788</v>
      </c>
      <c r="W251" s="367">
        <f t="shared" si="46"/>
        <v>19.999993771033179</v>
      </c>
    </row>
    <row r="252" spans="1:23" x14ac:dyDescent="0.25">
      <c r="A252" s="415">
        <v>3</v>
      </c>
      <c r="B252" s="415">
        <v>1</v>
      </c>
      <c r="C252" s="455">
        <f>S236*$G$10/$W236</f>
        <v>8.1797679640634406</v>
      </c>
      <c r="D252" s="456">
        <f>T236*$G$10/$W236</f>
        <v>6.2029540084695416</v>
      </c>
      <c r="E252" s="456">
        <f>U236*$G$10/$W236</f>
        <v>12.458945275356216</v>
      </c>
      <c r="F252" s="457">
        <f>V236*$G$10/$W236</f>
        <v>6.1583327521108044</v>
      </c>
      <c r="G252" s="367">
        <f t="shared" si="44"/>
        <v>33</v>
      </c>
      <c r="I252" s="415">
        <v>3</v>
      </c>
      <c r="J252" s="415">
        <v>1</v>
      </c>
      <c r="K252" s="455">
        <f>C252*$C$16/C258</f>
        <v>8.1797844066704979</v>
      </c>
      <c r="L252" s="456">
        <f>D252*$D$16/D258</f>
        <v>6.2029658455752354</v>
      </c>
      <c r="M252" s="456">
        <f>E252*$E$16/E258</f>
        <v>12.458979209907291</v>
      </c>
      <c r="N252" s="457">
        <f>F252*$F$16/F258</f>
        <v>6.1582950770037286</v>
      </c>
      <c r="O252" s="367">
        <f t="shared" si="45"/>
        <v>33.000024539156755</v>
      </c>
      <c r="Q252" s="415">
        <v>3</v>
      </c>
      <c r="R252" s="415">
        <v>1</v>
      </c>
      <c r="S252" s="455">
        <f>K252*$C$18/K260</f>
        <v>8.1797861158881666</v>
      </c>
      <c r="T252" s="456">
        <f>L252*$D$18/L260</f>
        <v>6.2029655098719392</v>
      </c>
      <c r="U252" s="456">
        <f>M252*$E$18/M260</f>
        <v>12.458979085692585</v>
      </c>
      <c r="V252" s="457">
        <f>N252*$F$18/N260</f>
        <v>6.1583308000605577</v>
      </c>
      <c r="W252" s="367">
        <f t="shared" si="46"/>
        <v>33.000061511513252</v>
      </c>
    </row>
    <row r="253" spans="1:23" x14ac:dyDescent="0.25">
      <c r="A253" s="415">
        <v>3</v>
      </c>
      <c r="B253" s="415">
        <v>2</v>
      </c>
      <c r="C253" s="458">
        <f>S237*$G$11/$W237</f>
        <v>15.820183792297145</v>
      </c>
      <c r="D253" s="459">
        <f>T237*$G$11/$W237</f>
        <v>9.797015458766646</v>
      </c>
      <c r="E253" s="459">
        <f>U237*$G$11/$W237</f>
        <v>3.5410111454060278</v>
      </c>
      <c r="F253" s="460">
        <f>V237*$G$11/$W237</f>
        <v>13.841789603530181</v>
      </c>
      <c r="G253" s="367">
        <f t="shared" si="44"/>
        <v>43</v>
      </c>
      <c r="I253" s="415">
        <v>3</v>
      </c>
      <c r="J253" s="415">
        <v>2</v>
      </c>
      <c r="K253" s="458">
        <f>C253*$C$16/C258</f>
        <v>15.8202155933295</v>
      </c>
      <c r="L253" s="459">
        <f>D253*$D$16/D258</f>
        <v>9.7970341544247646</v>
      </c>
      <c r="M253" s="459">
        <f>E253*$E$16/E258</f>
        <v>3.5410207900927095</v>
      </c>
      <c r="N253" s="460">
        <f>F253*$F$16/F258</f>
        <v>13.84170492299627</v>
      </c>
      <c r="O253" s="367">
        <f t="shared" si="45"/>
        <v>42.999975460843245</v>
      </c>
      <c r="Q253" s="415">
        <v>3</v>
      </c>
      <c r="R253" s="415">
        <v>2</v>
      </c>
      <c r="S253" s="458">
        <f>K253*$C$19/K261</f>
        <v>15.820211568959454</v>
      </c>
      <c r="T253" s="459">
        <f>L253*$D$19/L261</f>
        <v>9.7970347906811224</v>
      </c>
      <c r="U253" s="459">
        <f>M253*$E$19/M261</f>
        <v>3.541020827161494</v>
      </c>
      <c r="V253" s="460">
        <f>N253*$F$19/N261</f>
        <v>13.841762794934214</v>
      </c>
      <c r="W253" s="367">
        <f t="shared" si="46"/>
        <v>43.000029981736283</v>
      </c>
    </row>
    <row r="254" spans="1:23" x14ac:dyDescent="0.25">
      <c r="C254" s="461">
        <f>SUM(C248:C253)</f>
        <v>50.999980441442403</v>
      </c>
      <c r="D254" s="461">
        <f>SUM(D248:D253)</f>
        <v>43.999998710306635</v>
      </c>
      <c r="E254" s="461">
        <f>SUM(E248:E253)</f>
        <v>40.99999794367065</v>
      </c>
      <c r="F254" s="461">
        <f>SUM(F248:F253)</f>
        <v>39.000022904580305</v>
      </c>
      <c r="G254" s="463">
        <f>SUM(G248:G253)</f>
        <v>175</v>
      </c>
      <c r="K254" s="461">
        <f>SUM(K248:K253)</f>
        <v>51</v>
      </c>
      <c r="L254" s="461">
        <f>SUM(L248:L253)</f>
        <v>44</v>
      </c>
      <c r="M254" s="461">
        <f>SUM(M248:M253)</f>
        <v>41</v>
      </c>
      <c r="N254" s="461">
        <f>SUM(N248:N253)</f>
        <v>38.999809405670959</v>
      </c>
      <c r="O254" s="463">
        <f>SUM(O248:O253)</f>
        <v>174.99980940567096</v>
      </c>
      <c r="S254" s="461">
        <f>SUM(S248:S253)</f>
        <v>51</v>
      </c>
      <c r="T254" s="461">
        <f>SUM(T248:T253)</f>
        <v>44</v>
      </c>
      <c r="U254" s="461">
        <f>SUM(U248:U253)</f>
        <v>41</v>
      </c>
      <c r="V254" s="461">
        <f>SUM(V248:V253)</f>
        <v>39</v>
      </c>
      <c r="W254" s="463">
        <f>SUM(W248:W253)</f>
        <v>174.99999999999997</v>
      </c>
    </row>
    <row r="256" spans="1:23" x14ac:dyDescent="0.25">
      <c r="A256" s="415">
        <v>1</v>
      </c>
      <c r="C256" s="445">
        <f>SUMIF(A248:A253,A256,C248:C253)</f>
        <v>12.000053520783979</v>
      </c>
      <c r="D256" s="446">
        <f>SUMIF(A248:A253,A256,D248:D253)</f>
        <v>14.000054487455126</v>
      </c>
      <c r="E256" s="446">
        <f>SUMIF(A248:A253,A256,E248:E253)</f>
        <v>12.000044236927774</v>
      </c>
      <c r="F256" s="447">
        <f>SUMIF(A248:A253,A256,F248:F253)</f>
        <v>11.999847754833127</v>
      </c>
      <c r="G256" s="462">
        <f>SUM(C256:F256)</f>
        <v>50</v>
      </c>
      <c r="I256" s="415">
        <v>1</v>
      </c>
      <c r="K256" s="445">
        <f>SUMIF(I248:I253,I256,K248:K253)</f>
        <v>12</v>
      </c>
      <c r="L256" s="446">
        <f>SUMIF(I248:I253,I256,L248:L253)</f>
        <v>14</v>
      </c>
      <c r="M256" s="446">
        <f>SUMIF(I248:I253,I256,M248:M253)</f>
        <v>12</v>
      </c>
      <c r="N256" s="447">
        <f>SUMIF(I248:I253,I256,N248:N253)</f>
        <v>11.999809405670959</v>
      </c>
      <c r="O256" s="462">
        <f>SUM(K256:N256)</f>
        <v>49.999809405670959</v>
      </c>
      <c r="Q256" s="415">
        <v>1</v>
      </c>
      <c r="S256" s="445">
        <f>SUMIF(Q248:Q253,Q256,S248:S253)</f>
        <v>12.000000293470261</v>
      </c>
      <c r="T256" s="446">
        <f>SUMIF(Q248:Q253,Q256,T248:T253)</f>
        <v>14.000000114538354</v>
      </c>
      <c r="U256" s="446">
        <f>SUMIF(Q248:Q253,Q256,U248:U253)</f>
        <v>12.000000019755836</v>
      </c>
      <c r="V256" s="447">
        <f>SUMIF(Q248:Q253,Q256,V248:V253)</f>
        <v>11.999874032148542</v>
      </c>
      <c r="W256" s="462">
        <f>SUM(S256:V256)</f>
        <v>49.999874459912995</v>
      </c>
    </row>
    <row r="257" spans="1:23" x14ac:dyDescent="0.25">
      <c r="A257" s="415">
        <v>2</v>
      </c>
      <c r="C257" s="448">
        <f>SUMIF(A248:A253,A257,C248:C253)</f>
        <v>14.999975164297842</v>
      </c>
      <c r="D257" s="367">
        <f>SUMIF(A248:A253,A257,D248:D253)</f>
        <v>13.999974755615327</v>
      </c>
      <c r="E257" s="367">
        <f>SUMIF(A248:A253,A257,E248:E253)</f>
        <v>12.999997285980635</v>
      </c>
      <c r="F257" s="364">
        <f>SUMIF(A248:A253,A257,F248:F253)</f>
        <v>7.0000527941061916</v>
      </c>
      <c r="G257" s="462">
        <f>SUM(C257:F257)</f>
        <v>48.999999999999993</v>
      </c>
      <c r="I257" s="415">
        <v>2</v>
      </c>
      <c r="K257" s="448">
        <f>SUMIF(I248:I253,I257,K248:K253)</f>
        <v>15</v>
      </c>
      <c r="L257" s="367">
        <f>SUMIF(I248:I253,I257,L248:L253)</f>
        <v>14</v>
      </c>
      <c r="M257" s="367">
        <f>SUMIF(I248:I253,I257,M248:M253)</f>
        <v>13</v>
      </c>
      <c r="N257" s="364">
        <f>SUMIF(I248:I253,I257,N248:N253)</f>
        <v>7.0000000000000009</v>
      </c>
      <c r="O257" s="462">
        <f>SUM(K257:N257)</f>
        <v>49</v>
      </c>
      <c r="Q257" s="415">
        <v>2</v>
      </c>
      <c r="S257" s="448">
        <f>SUMIF(Q248:Q253,Q257,S248:S253)</f>
        <v>15.000002021682119</v>
      </c>
      <c r="T257" s="367">
        <f>SUMIF(Q248:Q253,Q257,T248:T253)</f>
        <v>13.999999584908583</v>
      </c>
      <c r="U257" s="367">
        <f>SUMIF(Q248:Q253,Q257,U248:U253)</f>
        <v>13.000000067390086</v>
      </c>
      <c r="V257" s="364">
        <f>SUMIF(Q248:Q253,Q257,V248:V253)</f>
        <v>7.0000323728566869</v>
      </c>
      <c r="W257" s="462">
        <f>SUM(S257:V257)</f>
        <v>49.000034046837477</v>
      </c>
    </row>
    <row r="258" spans="1:23" x14ac:dyDescent="0.25">
      <c r="A258" s="415">
        <v>3</v>
      </c>
      <c r="C258" s="449">
        <f>SUMIF(A248:A253,A258,C248:C253)</f>
        <v>23.999951756360588</v>
      </c>
      <c r="D258" s="450">
        <f>SUMIF(A248:A253,A258,D248:D253)</f>
        <v>15.999969467236188</v>
      </c>
      <c r="E258" s="450">
        <f>SUMIF(A248:A253,A258,E248:E253)</f>
        <v>15.999956420762244</v>
      </c>
      <c r="F258" s="451">
        <f>SUMIF(A248:A253,A258,F248:F253)</f>
        <v>20.000122355640986</v>
      </c>
      <c r="G258" s="462">
        <f>SUM(C258:F258)</f>
        <v>76</v>
      </c>
      <c r="I258" s="415">
        <v>3</v>
      </c>
      <c r="K258" s="449">
        <f>SUMIF(I248:I253,I258,K248:K253)</f>
        <v>24</v>
      </c>
      <c r="L258" s="450">
        <f>SUMIF(I248:I253,I258,L248:L253)</f>
        <v>16</v>
      </c>
      <c r="M258" s="450">
        <f>SUMIF(I248:I253,I258,M248:M253)</f>
        <v>16</v>
      </c>
      <c r="N258" s="451">
        <f>SUMIF(I248:I253,I258,N248:N253)</f>
        <v>20</v>
      </c>
      <c r="O258" s="462">
        <f>SUM(K258:N258)</f>
        <v>76</v>
      </c>
      <c r="Q258" s="415">
        <v>3</v>
      </c>
      <c r="S258" s="449">
        <f>SUMIF(Q248:Q253,Q258,S248:S253)</f>
        <v>23.999997684847621</v>
      </c>
      <c r="T258" s="450">
        <f>SUMIF(Q248:Q253,Q258,T248:T253)</f>
        <v>16.000000300553062</v>
      </c>
      <c r="U258" s="450">
        <f>SUMIF(Q248:Q253,Q258,U248:U253)</f>
        <v>15.999999912854079</v>
      </c>
      <c r="V258" s="451">
        <f>SUMIF(Q248:Q253,Q258,V248:V253)</f>
        <v>20.000093594994773</v>
      </c>
      <c r="W258" s="462">
        <f>SUM(S258:V258)</f>
        <v>76.000091493249528</v>
      </c>
    </row>
    <row r="260" spans="1:23" x14ac:dyDescent="0.25">
      <c r="B260" s="415">
        <v>1</v>
      </c>
      <c r="C260" s="445">
        <f>SUMIF(B248:B253,B260,C248:C253)</f>
        <v>27.99998905584</v>
      </c>
      <c r="D260" s="446">
        <f>SUMIF(B248:B253,B260,D248:D253)</f>
        <v>23.99999538210227</v>
      </c>
      <c r="E260" s="446">
        <f>SUMIF(B248:B253,B260,E248:E253)</f>
        <v>20.999984667697916</v>
      </c>
      <c r="F260" s="447">
        <f>SUMIF(B248:B253,B260,F248:F253)</f>
        <v>17.000030894359817</v>
      </c>
      <c r="G260" s="462">
        <f>SUM(C260:F260)</f>
        <v>90</v>
      </c>
      <c r="J260" s="415">
        <v>1</v>
      </c>
      <c r="K260" s="445">
        <f>SUMIF(J248:J253,J260,K248:K253)</f>
        <v>27.999994149224193</v>
      </c>
      <c r="L260" s="446">
        <f>SUMIF(J248:J253,J260,L248:L253)</f>
        <v>24.000001298875368</v>
      </c>
      <c r="M260" s="446">
        <f>SUMIF(J248:J253,J260,M248:M253)</f>
        <v>21.000000209367784</v>
      </c>
      <c r="N260" s="447">
        <f>SUMIF(J248:J253,J260,N248:N253)</f>
        <v>16.999901386920286</v>
      </c>
      <c r="O260" s="462">
        <f>SUM(K260:N260)</f>
        <v>89.999897044387623</v>
      </c>
      <c r="R260" s="415">
        <v>1</v>
      </c>
      <c r="S260" s="445">
        <f>SUMIF(R248:R253,R260,S248:S253)</f>
        <v>28.000000000000004</v>
      </c>
      <c r="T260" s="446">
        <f>SUMIF(R248:R253,R260,T248:T253)</f>
        <v>24</v>
      </c>
      <c r="U260" s="446">
        <f>SUMIF(R248:R253,R260,U248:U253)</f>
        <v>21</v>
      </c>
      <c r="V260" s="447">
        <f>SUMIF(R248:R253,R260,V248:V253)</f>
        <v>17</v>
      </c>
      <c r="W260" s="462">
        <f>SUM(S260:V260)</f>
        <v>90</v>
      </c>
    </row>
    <row r="261" spans="1:23" x14ac:dyDescent="0.25">
      <c r="B261" s="415">
        <v>2</v>
      </c>
      <c r="C261" s="449">
        <f>SUMIF(B248:B253,B261,C248:C253)</f>
        <v>22.999991385602407</v>
      </c>
      <c r="D261" s="450">
        <f>SUMIF(B248:B253,B261,D248:D253)</f>
        <v>20.000003328204372</v>
      </c>
      <c r="E261" s="450">
        <f>SUMIF(B248:B253,B261,E248:E253)</f>
        <v>20.000013275972737</v>
      </c>
      <c r="F261" s="451">
        <f>SUMIF(B248:B253,B261,F248:F253)</f>
        <v>21.999992010220485</v>
      </c>
      <c r="G261" s="462">
        <f>SUM(C261:F261)</f>
        <v>85</v>
      </c>
      <c r="J261" s="415">
        <v>2</v>
      </c>
      <c r="K261" s="449">
        <f>SUMIF(J248:J253,J261,K248:K253)</f>
        <v>23.000005850775803</v>
      </c>
      <c r="L261" s="450">
        <f>SUMIF(J248:J253,J261,L248:L253)</f>
        <v>19.999998701124632</v>
      </c>
      <c r="M261" s="450">
        <f>SUMIF(J248:J253,J261,M248:M253)</f>
        <v>19.999999790632216</v>
      </c>
      <c r="N261" s="451">
        <f>SUMIF(J248:J253,J261,N248:N253)</f>
        <v>21.999908018750673</v>
      </c>
      <c r="O261" s="462">
        <f>SUM(K261:N261)</f>
        <v>84.999912361283322</v>
      </c>
      <c r="R261" s="415">
        <v>2</v>
      </c>
      <c r="S261" s="449">
        <f>SUMIF(R248:R253,R261,S248:S253)</f>
        <v>23</v>
      </c>
      <c r="T261" s="450">
        <f>SUMIF(R248:R253,R261,T248:T253)</f>
        <v>20</v>
      </c>
      <c r="U261" s="450">
        <f>SUMIF(R248:R253,R261,U248:U253)</f>
        <v>19.999999999999996</v>
      </c>
      <c r="V261" s="451">
        <f>SUMIF(R248:R253,R261,V248:V253)</f>
        <v>22</v>
      </c>
      <c r="W261" s="462">
        <f>SUM(S261:V261)</f>
        <v>85</v>
      </c>
    </row>
    <row r="263" spans="1:23" x14ac:dyDescent="0.25">
      <c r="A263" s="415" t="s">
        <v>37</v>
      </c>
      <c r="B263" s="415" t="s">
        <v>911</v>
      </c>
      <c r="C263">
        <v>1</v>
      </c>
      <c r="D263">
        <f>C263+1</f>
        <v>2</v>
      </c>
      <c r="E263">
        <f>D263+1</f>
        <v>3</v>
      </c>
      <c r="F263">
        <f>E263+1</f>
        <v>4</v>
      </c>
      <c r="I263" s="415" t="s">
        <v>37</v>
      </c>
      <c r="J263" s="415" t="s">
        <v>911</v>
      </c>
      <c r="K263">
        <v>1</v>
      </c>
      <c r="L263">
        <f>K263+1</f>
        <v>2</v>
      </c>
      <c r="M263">
        <f>L263+1</f>
        <v>3</v>
      </c>
      <c r="N263">
        <f>M263+1</f>
        <v>4</v>
      </c>
      <c r="Q263" s="415" t="s">
        <v>37</v>
      </c>
      <c r="R263" s="415" t="s">
        <v>911</v>
      </c>
      <c r="S263">
        <v>1</v>
      </c>
      <c r="T263">
        <f>S263+1</f>
        <v>2</v>
      </c>
      <c r="U263">
        <f>T263+1</f>
        <v>3</v>
      </c>
      <c r="V263">
        <f>U263+1</f>
        <v>4</v>
      </c>
    </row>
    <row r="264" spans="1:23" x14ac:dyDescent="0.25">
      <c r="A264" s="415">
        <v>1</v>
      </c>
      <c r="B264" s="415">
        <v>1</v>
      </c>
      <c r="C264" s="452">
        <f>S248*$G$6/$W248</f>
        <v>7.221644604881118</v>
      </c>
      <c r="D264" s="453">
        <f>T248*$G$6/$W248</f>
        <v>6.6743947270530377</v>
      </c>
      <c r="E264" s="453">
        <f>U248*$G$6/$W248</f>
        <v>5.1797509662741836</v>
      </c>
      <c r="F264" s="454">
        <f>V248*$G$6/$W248</f>
        <v>8.9242097017916606</v>
      </c>
      <c r="G264" s="367">
        <f t="shared" ref="G264:G269" si="47">SUM(C264:F264)</f>
        <v>28</v>
      </c>
      <c r="I264" s="415">
        <v>1</v>
      </c>
      <c r="J264" s="415">
        <v>1</v>
      </c>
      <c r="K264" s="452">
        <f>C264*$C$14/C272</f>
        <v>7.2216255246704728</v>
      </c>
      <c r="L264" s="453">
        <f>D264*$D$14/D272</f>
        <v>6.6743793345095996</v>
      </c>
      <c r="M264" s="453">
        <f>E264*$E$14/E272</f>
        <v>5.1797396514955008</v>
      </c>
      <c r="N264" s="454">
        <f>F264*F256/F272</f>
        <v>8.9241635633586274</v>
      </c>
      <c r="O264" s="367">
        <f t="shared" ref="O264:O269" si="48">SUM(K264:N264)</f>
        <v>27.999908074034202</v>
      </c>
      <c r="Q264" s="415">
        <v>1</v>
      </c>
      <c r="R264" s="415">
        <v>1</v>
      </c>
      <c r="S264" s="452">
        <f>K264*$C$18/K276</f>
        <v>7.2216264162593928</v>
      </c>
      <c r="T264" s="453">
        <f>L264*$D$18/L276</f>
        <v>6.6743791215789257</v>
      </c>
      <c r="U264" s="453">
        <f>M264*$E$18/M276</f>
        <v>5.1797396241357019</v>
      </c>
      <c r="V264" s="454">
        <f>N264*$F$18/N276</f>
        <v>8.9241943904407091</v>
      </c>
      <c r="W264" s="367">
        <f t="shared" ref="W264:W269" si="49">SUM(S264:V264)</f>
        <v>27.99993955241473</v>
      </c>
    </row>
    <row r="265" spans="1:23" x14ac:dyDescent="0.25">
      <c r="A265" s="415">
        <v>1</v>
      </c>
      <c r="B265" s="415">
        <v>2</v>
      </c>
      <c r="C265" s="455">
        <f>S249*$G$7/$W249</f>
        <v>4.7783871002421918</v>
      </c>
      <c r="D265" s="456">
        <f>T249*$G$7/$W249</f>
        <v>7.325637559935358</v>
      </c>
      <c r="E265" s="456">
        <f>U249*$G$7/$W249</f>
        <v>6.8202752468858057</v>
      </c>
      <c r="F265" s="457">
        <f>V249*$G$7/$W249</f>
        <v>3.0757000929366467</v>
      </c>
      <c r="G265" s="367">
        <f t="shared" si="47"/>
        <v>22.000000000000004</v>
      </c>
      <c r="I265" s="415">
        <v>1</v>
      </c>
      <c r="J265" s="415">
        <v>2</v>
      </c>
      <c r="K265" s="455">
        <f>C265*$C$14/C272</f>
        <v>4.778374475329529</v>
      </c>
      <c r="L265" s="456">
        <f>D265*$D$14/D272</f>
        <v>7.3256206654903986</v>
      </c>
      <c r="M265" s="456">
        <f>E265*$E$14/E272</f>
        <v>6.8202603485044984</v>
      </c>
      <c r="N265" s="457">
        <f>F265*$F$14/F272</f>
        <v>3.0757232134739905</v>
      </c>
      <c r="O265" s="367">
        <f t="shared" si="48"/>
        <v>21.999978702798415</v>
      </c>
      <c r="Q265" s="415">
        <v>1</v>
      </c>
      <c r="R265" s="415">
        <v>2</v>
      </c>
      <c r="S265" s="455">
        <f>K265*$C$19/K277</f>
        <v>4.7783737571385325</v>
      </c>
      <c r="T265" s="456">
        <f>L265*$D$19/L277</f>
        <v>7.3256209459388524</v>
      </c>
      <c r="U265" s="456">
        <f>M265*$E$19/M277</f>
        <v>6.8202603863309186</v>
      </c>
      <c r="V265" s="457">
        <f>N265*$F$19/N277</f>
        <v>3.0757308328442945</v>
      </c>
      <c r="W265" s="367">
        <f t="shared" si="49"/>
        <v>21.999985922252598</v>
      </c>
    </row>
    <row r="266" spans="1:23" x14ac:dyDescent="0.25">
      <c r="A266" s="415">
        <v>2</v>
      </c>
      <c r="B266" s="415">
        <v>1</v>
      </c>
      <c r="C266" s="455">
        <f>S250*$G$8/$W250</f>
        <v>12.598578034628463</v>
      </c>
      <c r="D266" s="456">
        <f>T250*$G$8/$W250</f>
        <v>11.122648578878028</v>
      </c>
      <c r="E266" s="456">
        <f>U250*$G$8/$W250</f>
        <v>3.3612841095602621</v>
      </c>
      <c r="F266" s="457">
        <f>V250*$G$8/$W250</f>
        <v>1.9174892769332437</v>
      </c>
      <c r="G266" s="367">
        <f t="shared" si="47"/>
        <v>28.999999999999996</v>
      </c>
      <c r="I266" s="415">
        <v>2</v>
      </c>
      <c r="J266" s="415">
        <v>1</v>
      </c>
      <c r="K266" s="455">
        <f>C266*$C$15/C273</f>
        <v>12.598590404404344</v>
      </c>
      <c r="L266" s="456">
        <f>D266*$D$15/D273</f>
        <v>11.12266046925302</v>
      </c>
      <c r="M266" s="456">
        <f>E266*$E$15/E273</f>
        <v>3.3612845229645814</v>
      </c>
      <c r="N266" s="457">
        <f>F266*$F$15/F273</f>
        <v>1.9174807050393057</v>
      </c>
      <c r="O266" s="367">
        <f t="shared" si="48"/>
        <v>29.000016101661252</v>
      </c>
      <c r="Q266" s="415">
        <v>2</v>
      </c>
      <c r="R266" s="415">
        <v>1</v>
      </c>
      <c r="S266" s="455">
        <f>K266*$C$18/K276</f>
        <v>12.598591959838583</v>
      </c>
      <c r="T266" s="456">
        <f>L266*$D$18/L276</f>
        <v>11.122660114410198</v>
      </c>
      <c r="U266" s="456">
        <f>M266*$E$18/M276</f>
        <v>3.361284505210008</v>
      </c>
      <c r="V266" s="457">
        <f>N266*$F$18/N276</f>
        <v>1.9174873286667935</v>
      </c>
      <c r="W266" s="367">
        <f t="shared" si="49"/>
        <v>29.000023908125584</v>
      </c>
    </row>
    <row r="267" spans="1:23" x14ac:dyDescent="0.25">
      <c r="A267" s="415">
        <v>2</v>
      </c>
      <c r="B267" s="415">
        <v>2</v>
      </c>
      <c r="C267" s="455">
        <f>S251*$G$9/$W251</f>
        <v>2.4014072378002544</v>
      </c>
      <c r="D267" s="456">
        <f>T251*$G$9/$W251</f>
        <v>2.8773364548061013</v>
      </c>
      <c r="E267" s="456">
        <f>U251*$G$9/$W251</f>
        <v>9.6387142915699862</v>
      </c>
      <c r="F267" s="457">
        <f>V251*$G$9/$W251</f>
        <v>5.0825420158236581</v>
      </c>
      <c r="G267" s="367">
        <f t="shared" si="47"/>
        <v>20</v>
      </c>
      <c r="I267" s="415">
        <v>2</v>
      </c>
      <c r="J267" s="415">
        <v>2</v>
      </c>
      <c r="K267" s="455">
        <f>C267*$C$15/C273</f>
        <v>2.4014095955956538</v>
      </c>
      <c r="L267" s="456">
        <f>D267*$D$15/D273</f>
        <v>2.8773395307469785</v>
      </c>
      <c r="M267" s="456">
        <f>E267*$E$15/E273</f>
        <v>9.6387154770354186</v>
      </c>
      <c r="N267" s="457">
        <f>F267*$F$15/F273</f>
        <v>5.0825192949606954</v>
      </c>
      <c r="O267" s="367">
        <f t="shared" si="48"/>
        <v>19.999983898338748</v>
      </c>
      <c r="Q267" s="415">
        <v>2</v>
      </c>
      <c r="R267" s="415">
        <v>2</v>
      </c>
      <c r="S267" s="455">
        <f>K267*$C$19/K277</f>
        <v>2.4014092346631317</v>
      </c>
      <c r="T267" s="456">
        <f>L267*$D$19/L277</f>
        <v>2.8773396409008423</v>
      </c>
      <c r="U267" s="456">
        <f>M267*$E$19/M277</f>
        <v>9.6387155304935099</v>
      </c>
      <c r="V267" s="457">
        <f>N267*$F$19/N277</f>
        <v>5.0825318856894111</v>
      </c>
      <c r="W267" s="367">
        <f t="shared" si="49"/>
        <v>19.999996291746896</v>
      </c>
    </row>
    <row r="268" spans="1:23" x14ac:dyDescent="0.25">
      <c r="A268" s="415">
        <v>3</v>
      </c>
      <c r="B268" s="415">
        <v>1</v>
      </c>
      <c r="C268" s="455">
        <f>S252*$G$10/$W252</f>
        <v>8.1797708689159183</v>
      </c>
      <c r="D268" s="456">
        <f>T252*$G$10/$W252</f>
        <v>6.2029539476572744</v>
      </c>
      <c r="E268" s="456">
        <f>U252*$G$10/$W252</f>
        <v>12.458955862382627</v>
      </c>
      <c r="F268" s="457">
        <f>V252*$G$10/$W252</f>
        <v>6.1583193210441776</v>
      </c>
      <c r="G268" s="367">
        <f t="shared" si="47"/>
        <v>32.999999999999993</v>
      </c>
      <c r="I268" s="415">
        <v>3</v>
      </c>
      <c r="J268" s="415">
        <v>1</v>
      </c>
      <c r="K268" s="455">
        <f>C268*$C$16/C274</f>
        <v>8.1797806140183429</v>
      </c>
      <c r="L268" s="456">
        <f>D268*$D$16/D274</f>
        <v>6.2029609619020363</v>
      </c>
      <c r="M268" s="456">
        <f>E268*$E$16/E274</f>
        <v>12.458975936463597</v>
      </c>
      <c r="N268" s="457">
        <f>F268*$F$16/F274</f>
        <v>6.1582970080498365</v>
      </c>
      <c r="O268" s="367">
        <f t="shared" si="48"/>
        <v>33.000014520433815</v>
      </c>
      <c r="Q268" s="415">
        <v>3</v>
      </c>
      <c r="R268" s="415">
        <v>1</v>
      </c>
      <c r="S268" s="455">
        <f>K268*$C$18/K276</f>
        <v>8.1797816239020236</v>
      </c>
      <c r="T268" s="456">
        <f>L268*$D$18/L276</f>
        <v>6.2029607640108777</v>
      </c>
      <c r="U268" s="456">
        <f>M268*$E$18/M276</f>
        <v>12.458975870654291</v>
      </c>
      <c r="V268" s="457">
        <f>N268*$F$18/N276</f>
        <v>6.1583182808924963</v>
      </c>
      <c r="W268" s="367">
        <f t="shared" si="49"/>
        <v>33.000036539459686</v>
      </c>
    </row>
    <row r="269" spans="1:23" x14ac:dyDescent="0.25">
      <c r="A269" s="415">
        <v>3</v>
      </c>
      <c r="B269" s="415">
        <v>2</v>
      </c>
      <c r="C269" s="458">
        <f>S253*$G$11/$W253</f>
        <v>15.820200538329676</v>
      </c>
      <c r="D269" s="459">
        <f>T253*$G$11/$W253</f>
        <v>9.7970279597065026</v>
      </c>
      <c r="E269" s="459">
        <f>U253*$G$11/$W253</f>
        <v>3.5410183581875736</v>
      </c>
      <c r="F269" s="460">
        <f>V253*$G$11/$W253</f>
        <v>13.84175314377625</v>
      </c>
      <c r="G269" s="367">
        <f t="shared" si="47"/>
        <v>43</v>
      </c>
      <c r="I269" s="415">
        <v>3</v>
      </c>
      <c r="J269" s="415">
        <v>2</v>
      </c>
      <c r="K269" s="458">
        <f>C269*$C$16/C274</f>
        <v>15.820219385981657</v>
      </c>
      <c r="L269" s="459">
        <f>D269*$D$16/D274</f>
        <v>9.7970390380979637</v>
      </c>
      <c r="M269" s="459">
        <f>E269*$E$16/E274</f>
        <v>3.5410240635364025</v>
      </c>
      <c r="N269" s="460">
        <f>F269*$F$16/F274</f>
        <v>13.841702991950164</v>
      </c>
      <c r="O269" s="367">
        <f t="shared" si="48"/>
        <v>42.999985479566192</v>
      </c>
      <c r="Q269" s="415">
        <v>3</v>
      </c>
      <c r="R269" s="415">
        <v>2</v>
      </c>
      <c r="S269" s="458">
        <f>K269*$C$19/K277</f>
        <v>15.820217008198336</v>
      </c>
      <c r="T269" s="459">
        <f>L269*$D$19/L277</f>
        <v>9.7970394131603058</v>
      </c>
      <c r="U269" s="459">
        <f>M269*$E$19/M277</f>
        <v>3.5410240831755742</v>
      </c>
      <c r="V269" s="460">
        <f>N269*$F$19/N277</f>
        <v>13.841737281466292</v>
      </c>
      <c r="W269" s="367">
        <f t="shared" si="49"/>
        <v>43.000017786000505</v>
      </c>
    </row>
    <row r="270" spans="1:23" x14ac:dyDescent="0.25">
      <c r="C270" s="461">
        <f>SUM(C264:C269)</f>
        <v>50.999988384797618</v>
      </c>
      <c r="D270" s="461">
        <f>SUM(D264:D269)</f>
        <v>43.999999228036309</v>
      </c>
      <c r="E270" s="461">
        <f>SUM(E264:E269)</f>
        <v>40.999998834860435</v>
      </c>
      <c r="F270" s="461">
        <f>SUM(F264:F269)</f>
        <v>39.000013552305639</v>
      </c>
      <c r="G270" s="463">
        <f>SUM(G264:G269)</f>
        <v>175</v>
      </c>
      <c r="K270" s="461">
        <f>SUM(K264:K269)</f>
        <v>51</v>
      </c>
      <c r="L270" s="461">
        <f>SUM(L264:L269)</f>
        <v>44</v>
      </c>
      <c r="M270" s="461">
        <f>SUM(M264:M269)</f>
        <v>41</v>
      </c>
      <c r="N270" s="461">
        <f>SUM(N264:N269)</f>
        <v>38.999886776832618</v>
      </c>
      <c r="O270" s="463">
        <f>SUM(O264:O269)</f>
        <v>174.99988677683262</v>
      </c>
      <c r="S270" s="461">
        <f>SUM(S264:S269)</f>
        <v>50.999999999999993</v>
      </c>
      <c r="T270" s="461">
        <f>SUM(T264:T269)</f>
        <v>44</v>
      </c>
      <c r="U270" s="461">
        <f>SUM(U264:U269)</f>
        <v>41</v>
      </c>
      <c r="V270" s="461">
        <f>SUM(V264:V269)</f>
        <v>39</v>
      </c>
      <c r="W270" s="463">
        <f>SUM(W264:W269)</f>
        <v>175</v>
      </c>
    </row>
    <row r="272" spans="1:23" x14ac:dyDescent="0.25">
      <c r="A272" s="415">
        <v>1</v>
      </c>
      <c r="C272" s="445">
        <f>SUMIF(A264:A269,A272,C264:C269)</f>
        <v>12.000031705123309</v>
      </c>
      <c r="D272" s="446">
        <f>SUMIF(A264:A269,A272,D264:D269)</f>
        <v>14.000032286988397</v>
      </c>
      <c r="E272" s="446">
        <f>SUMIF(A264:A269,A272,E264:E269)</f>
        <v>12.000026213159989</v>
      </c>
      <c r="F272" s="447">
        <f>SUMIF(A264:A269,A272,F264:F269)</f>
        <v>11.999909794728307</v>
      </c>
      <c r="G272" s="462">
        <f>SUM(C272:F272)</f>
        <v>50</v>
      </c>
      <c r="I272" s="415">
        <v>1</v>
      </c>
      <c r="K272" s="445">
        <f>SUMIF(I264:I269,I272,K264:K269)</f>
        <v>12.000000000000002</v>
      </c>
      <c r="L272" s="446">
        <f>SUMIF(I264:I269,I272,L264:L269)</f>
        <v>13.999999999999998</v>
      </c>
      <c r="M272" s="446">
        <f>SUMIF(I264:I269,I272,M264:M269)</f>
        <v>12</v>
      </c>
      <c r="N272" s="447">
        <f>SUMIF(I264:I269,I272,N264:N269)</f>
        <v>11.999886776832618</v>
      </c>
      <c r="O272" s="462">
        <f>SUM(K272:N272)</f>
        <v>49.999886776832618</v>
      </c>
      <c r="Q272" s="415">
        <v>1</v>
      </c>
      <c r="S272" s="445">
        <f>SUMIF(Q264:Q269,Q272,S264:S269)</f>
        <v>12.000000173397925</v>
      </c>
      <c r="T272" s="446">
        <f>SUMIF(Q264:Q269,Q272,T264:T269)</f>
        <v>14.000000067517778</v>
      </c>
      <c r="U272" s="446">
        <f>SUMIF(Q264:Q269,Q272,U264:U269)</f>
        <v>12.000000010466621</v>
      </c>
      <c r="V272" s="447">
        <f>SUMIF(Q264:Q269,Q272,V264:V269)</f>
        <v>11.999925223285004</v>
      </c>
      <c r="W272" s="462">
        <f>SUM(S272:V272)</f>
        <v>49.999925474667329</v>
      </c>
    </row>
    <row r="273" spans="1:23" x14ac:dyDescent="0.25">
      <c r="A273" s="415">
        <v>2</v>
      </c>
      <c r="C273" s="448">
        <f>SUMIF(A264:A269,A273,C264:C269)</f>
        <v>14.999985272428718</v>
      </c>
      <c r="D273" s="367">
        <f>SUMIF(A264:A269,A273,D264:D269)</f>
        <v>13.99998503368413</v>
      </c>
      <c r="E273" s="367">
        <f>SUMIF(A264:A269,A273,E264:E269)</f>
        <v>12.999998401130249</v>
      </c>
      <c r="F273" s="364">
        <f>SUMIF(A264:A269,A273,F264:F269)</f>
        <v>7.0000312927569013</v>
      </c>
      <c r="G273" s="462">
        <f>SUM(C273:F273)</f>
        <v>49</v>
      </c>
      <c r="I273" s="415">
        <v>2</v>
      </c>
      <c r="K273" s="448">
        <f>SUMIF(I264:I269,I273,K264:K269)</f>
        <v>14.999999999999998</v>
      </c>
      <c r="L273" s="367">
        <f>SUMIF(I264:I269,I273,L264:L269)</f>
        <v>13.999999999999998</v>
      </c>
      <c r="M273" s="367">
        <f>SUMIF(I264:I269,I273,M264:M269)</f>
        <v>13</v>
      </c>
      <c r="N273" s="364">
        <f>SUMIF(I264:I269,I273,N264:N269)</f>
        <v>7.0000000000000009</v>
      </c>
      <c r="O273" s="462">
        <f>SUM(K273:N273)</f>
        <v>49</v>
      </c>
      <c r="Q273" s="415">
        <v>2</v>
      </c>
      <c r="S273" s="448">
        <f>SUMIF(Q264:Q269,Q273,S264:S269)</f>
        <v>15.000001194501714</v>
      </c>
      <c r="T273" s="367">
        <f>SUMIF(Q264:Q269,Q273,T264:T269)</f>
        <v>13.999999755311041</v>
      </c>
      <c r="U273" s="367">
        <f>SUMIF(Q264:Q269,Q273,U264:U269)</f>
        <v>13.000000035703518</v>
      </c>
      <c r="V273" s="364">
        <f>SUMIF(Q264:Q269,Q273,V264:V269)</f>
        <v>7.0000192143562048</v>
      </c>
      <c r="W273" s="462">
        <f>SUM(S273:V273)</f>
        <v>49.00002019987248</v>
      </c>
    </row>
    <row r="274" spans="1:23" x14ac:dyDescent="0.25">
      <c r="A274" s="415">
        <v>3</v>
      </c>
      <c r="C274" s="449">
        <f>SUMIF(A264:A269,A274,C264:C269)</f>
        <v>23.999971407245596</v>
      </c>
      <c r="D274" s="450">
        <f>SUMIF(A264:A269,A274,D264:D269)</f>
        <v>15.999981907363777</v>
      </c>
      <c r="E274" s="450">
        <f>SUMIF(A264:A269,A274,E264:E269)</f>
        <v>15.9999742205702</v>
      </c>
      <c r="F274" s="451">
        <f>SUMIF(A264:A269,A274,F264:F269)</f>
        <v>20.000072464820427</v>
      </c>
      <c r="G274" s="462">
        <f>SUM(C274:F274)</f>
        <v>76</v>
      </c>
      <c r="I274" s="415">
        <v>3</v>
      </c>
      <c r="K274" s="449">
        <f>SUMIF(I264:I269,I274,K264:K269)</f>
        <v>24</v>
      </c>
      <c r="L274" s="450">
        <f>SUMIF(I264:I269,I274,L264:L269)</f>
        <v>16</v>
      </c>
      <c r="M274" s="450">
        <f>SUMIF(I264:I269,I274,M264:M269)</f>
        <v>16</v>
      </c>
      <c r="N274" s="451">
        <f>SUMIF(I264:I269,I274,N264:N269)</f>
        <v>20</v>
      </c>
      <c r="O274" s="462">
        <f>SUM(K274:N274)</f>
        <v>76</v>
      </c>
      <c r="Q274" s="415">
        <v>3</v>
      </c>
      <c r="S274" s="449">
        <f>SUMIF(Q264:Q269,Q274,S264:S269)</f>
        <v>23.999998632100358</v>
      </c>
      <c r="T274" s="450">
        <f>SUMIF(Q264:Q269,Q274,T264:T269)</f>
        <v>16.000000177171184</v>
      </c>
      <c r="U274" s="450">
        <f>SUMIF(Q264:Q269,Q274,U264:U269)</f>
        <v>15.999999953829864</v>
      </c>
      <c r="V274" s="451">
        <f>SUMIF(Q264:Q269,Q274,V264:V269)</f>
        <v>20.000055562358789</v>
      </c>
      <c r="W274" s="462">
        <f>SUM(S274:V274)</f>
        <v>76.000054325460198</v>
      </c>
    </row>
    <row r="276" spans="1:23" x14ac:dyDescent="0.25">
      <c r="B276" s="415">
        <v>1</v>
      </c>
      <c r="C276" s="445">
        <f>SUMIF(B264:B269,B276,C264:C269)</f>
        <v>27.999993508425497</v>
      </c>
      <c r="D276" s="446">
        <f>SUMIF(B264:B269,B276,D264:D269)</f>
        <v>23.99999725358834</v>
      </c>
      <c r="E276" s="446">
        <f>SUMIF(B264:B269,B276,E264:E269)</f>
        <v>20.999990938217074</v>
      </c>
      <c r="F276" s="447">
        <f>SUMIF(B264:B269,B276,F264:F269)</f>
        <v>17.000018299769081</v>
      </c>
      <c r="G276" s="462">
        <f>SUM(C276:F276)</f>
        <v>89.999999999999986</v>
      </c>
      <c r="J276" s="415">
        <v>1</v>
      </c>
      <c r="K276" s="445">
        <f>SUMIF(J264:J269,J276,K264:K269)</f>
        <v>27.999996543093161</v>
      </c>
      <c r="L276" s="446">
        <f>SUMIF(J264:J269,J276,L264:L269)</f>
        <v>24.000000765664655</v>
      </c>
      <c r="M276" s="446">
        <f>SUMIF(J264:J269,J276,M264:M269)</f>
        <v>21.000000110923679</v>
      </c>
      <c r="N276" s="447">
        <f>SUMIF(J264:J269,J276,N264:N269)</f>
        <v>16.999941276447771</v>
      </c>
      <c r="O276" s="462">
        <f>SUM(K276:N276)</f>
        <v>89.999938696129263</v>
      </c>
      <c r="R276" s="415">
        <v>1</v>
      </c>
      <c r="S276" s="445">
        <f>SUMIF(R264:R269,R276,S264:S269)</f>
        <v>28</v>
      </c>
      <c r="T276" s="446">
        <f>SUMIF(R264:R269,R276,T264:T269)</f>
        <v>24.000000000000004</v>
      </c>
      <c r="U276" s="446">
        <f>SUMIF(R264:R269,R276,U264:U269)</f>
        <v>21</v>
      </c>
      <c r="V276" s="447">
        <f>SUMIF(R264:R269,R276,V264:V269)</f>
        <v>17</v>
      </c>
      <c r="W276" s="462">
        <f>SUM(S276:V276)</f>
        <v>90</v>
      </c>
    </row>
    <row r="277" spans="1:23" x14ac:dyDescent="0.25">
      <c r="B277" s="415">
        <v>2</v>
      </c>
      <c r="C277" s="449">
        <f>SUMIF(B264:B269,B277,C264:C269)</f>
        <v>22.999994876372121</v>
      </c>
      <c r="D277" s="450">
        <f>SUMIF(B264:B269,B277,D264:D269)</f>
        <v>20.000001974447962</v>
      </c>
      <c r="E277" s="450">
        <f>SUMIF(B264:B269,B277,E264:E269)</f>
        <v>20.000007896643368</v>
      </c>
      <c r="F277" s="451">
        <f>SUMIF(B264:B269,B277,F264:F269)</f>
        <v>21.999995252536557</v>
      </c>
      <c r="G277" s="462">
        <f>SUM(C277:F277)</f>
        <v>85</v>
      </c>
      <c r="J277" s="415">
        <v>2</v>
      </c>
      <c r="K277" s="449">
        <f>SUMIF(J264:J269,J277,K264:K269)</f>
        <v>23.000003456906839</v>
      </c>
      <c r="L277" s="450">
        <f>SUMIF(J264:J269,J277,L264:L269)</f>
        <v>19.999999234335341</v>
      </c>
      <c r="M277" s="450">
        <f>SUMIF(J264:J269,J277,M264:M269)</f>
        <v>19.999999889076317</v>
      </c>
      <c r="N277" s="451">
        <f>SUMIF(J264:J269,J277,N264:N269)</f>
        <v>21.99994550038485</v>
      </c>
      <c r="O277" s="462">
        <f>SUM(K277:N277)</f>
        <v>84.999948080703348</v>
      </c>
      <c r="R277" s="415">
        <v>2</v>
      </c>
      <c r="S277" s="449">
        <f>SUMIF(R264:R269,R277,S264:S269)</f>
        <v>23</v>
      </c>
      <c r="T277" s="450">
        <f>SUMIF(R264:R269,R277,T264:T269)</f>
        <v>20</v>
      </c>
      <c r="U277" s="450">
        <f>SUMIF(R264:R269,R277,U264:U269)</f>
        <v>20.000000000000004</v>
      </c>
      <c r="V277" s="451">
        <f>SUMIF(R264:R269,R277,V264:V269)</f>
        <v>22</v>
      </c>
      <c r="W277" s="462">
        <f>SUM(S277:V277)</f>
        <v>85</v>
      </c>
    </row>
    <row r="279" spans="1:23" x14ac:dyDescent="0.25">
      <c r="A279" s="415" t="s">
        <v>37</v>
      </c>
      <c r="B279" s="415" t="s">
        <v>911</v>
      </c>
      <c r="C279">
        <v>1</v>
      </c>
      <c r="D279">
        <f>C279+1</f>
        <v>2</v>
      </c>
      <c r="E279">
        <f>D279+1</f>
        <v>3</v>
      </c>
      <c r="F279">
        <f>E279+1</f>
        <v>4</v>
      </c>
      <c r="I279" s="415" t="s">
        <v>37</v>
      </c>
      <c r="J279" s="415" t="s">
        <v>911</v>
      </c>
      <c r="K279">
        <v>1</v>
      </c>
      <c r="L279">
        <f>K279+1</f>
        <v>2</v>
      </c>
      <c r="M279">
        <f>L279+1</f>
        <v>3</v>
      </c>
      <c r="N279">
        <f>M279+1</f>
        <v>4</v>
      </c>
      <c r="Q279" s="415" t="s">
        <v>37</v>
      </c>
      <c r="R279" s="415" t="s">
        <v>911</v>
      </c>
      <c r="S279">
        <v>1</v>
      </c>
      <c r="T279">
        <f>S279+1</f>
        <v>2</v>
      </c>
      <c r="U279">
        <f>T279+1</f>
        <v>3</v>
      </c>
      <c r="V279">
        <f>U279+1</f>
        <v>4</v>
      </c>
    </row>
    <row r="280" spans="1:23" x14ac:dyDescent="0.25">
      <c r="A280" s="415">
        <v>1</v>
      </c>
      <c r="B280" s="415">
        <v>1</v>
      </c>
      <c r="C280" s="452">
        <f>S264*$G$6/$W264</f>
        <v>7.2216420066458573</v>
      </c>
      <c r="D280" s="453">
        <f>T264*$G$6/$W264</f>
        <v>6.674393530542214</v>
      </c>
      <c r="E280" s="453">
        <f>U264*$G$6/$W264</f>
        <v>5.1797508064010076</v>
      </c>
      <c r="F280" s="454">
        <f>V264*$G$6/$W264</f>
        <v>8.924213656410922</v>
      </c>
      <c r="G280" s="367">
        <f t="shared" ref="G280:G285" si="50">SUM(C280:F280)</f>
        <v>28</v>
      </c>
      <c r="I280" s="415">
        <v>1</v>
      </c>
      <c r="J280" s="415">
        <v>1</v>
      </c>
      <c r="K280" s="452">
        <f>C280*$C$14/C288</f>
        <v>7.2216306798453411</v>
      </c>
      <c r="L280" s="453">
        <f>D280*$D$14/D288</f>
        <v>6.6743843942008212</v>
      </c>
      <c r="M280" s="453">
        <f>E280*$E$14/E288</f>
        <v>5.179744091293129</v>
      </c>
      <c r="N280" s="454">
        <f>F280*F272/F288</f>
        <v>8.9241863908227455</v>
      </c>
      <c r="O280" s="367">
        <f t="shared" ref="O280:O285" si="51">SUM(K280:N280)</f>
        <v>27.999945556162039</v>
      </c>
      <c r="Q280" s="415">
        <v>1</v>
      </c>
      <c r="R280" s="415">
        <v>1</v>
      </c>
      <c r="S280" s="452">
        <f>K280*$C$18/K292</f>
        <v>7.2216312086332524</v>
      </c>
      <c r="T280" s="453">
        <f>L280*$D$18/L292</f>
        <v>6.6743842675622194</v>
      </c>
      <c r="U280" s="453">
        <f>M280*$E$18/M292</f>
        <v>5.1797440753550132</v>
      </c>
      <c r="V280" s="454">
        <f>N280*$F$18/N292</f>
        <v>8.9242046243509243</v>
      </c>
      <c r="W280" s="367">
        <f t="shared" ref="W280:W285" si="52">SUM(S280:V280)</f>
        <v>27.999964175901411</v>
      </c>
    </row>
    <row r="281" spans="1:23" x14ac:dyDescent="0.25">
      <c r="A281" s="415">
        <v>1</v>
      </c>
      <c r="B281" s="415">
        <v>2</v>
      </c>
      <c r="C281" s="455">
        <f>S265*$G$7/$W265</f>
        <v>4.7783768148104322</v>
      </c>
      <c r="D281" s="456">
        <f>T265*$G$7/$W265</f>
        <v>7.3256256335891816</v>
      </c>
      <c r="E281" s="456">
        <f>U265*$G$7/$W265</f>
        <v>6.8202647506020266</v>
      </c>
      <c r="F281" s="457">
        <f>V265*$G$7/$W265</f>
        <v>3.0757328009983604</v>
      </c>
      <c r="G281" s="367">
        <f t="shared" si="50"/>
        <v>22</v>
      </c>
      <c r="I281" s="415">
        <v>1</v>
      </c>
      <c r="J281" s="415">
        <v>2</v>
      </c>
      <c r="K281" s="455">
        <f>C281*$C$14/C288</f>
        <v>4.7783693201546571</v>
      </c>
      <c r="L281" s="456">
        <f>D281*$D$14/D288</f>
        <v>7.3256156057991806</v>
      </c>
      <c r="M281" s="456">
        <f>E281*$E$14/E288</f>
        <v>6.8202559087068702</v>
      </c>
      <c r="N281" s="457">
        <f>F281*$F$14/F288</f>
        <v>3.075746524618137</v>
      </c>
      <c r="O281" s="367">
        <f t="shared" si="51"/>
        <v>21.999987359278844</v>
      </c>
      <c r="Q281" s="415">
        <v>1</v>
      </c>
      <c r="R281" s="415">
        <v>2</v>
      </c>
      <c r="S281" s="455">
        <f>K281*$C$19/K293</f>
        <v>4.7783688942071487</v>
      </c>
      <c r="T281" s="456">
        <f>L281*$D$19/L293</f>
        <v>7.3256157725931264</v>
      </c>
      <c r="U281" s="456">
        <f>M281*$E$19/M293</f>
        <v>6.8202559307421549</v>
      </c>
      <c r="V281" s="457">
        <f>N281*$F$19/N293</f>
        <v>3.0757510475008072</v>
      </c>
      <c r="W281" s="367">
        <f t="shared" si="52"/>
        <v>21.999991645043238</v>
      </c>
    </row>
    <row r="282" spans="1:23" x14ac:dyDescent="0.25">
      <c r="A282" s="415">
        <v>2</v>
      </c>
      <c r="B282" s="415">
        <v>1</v>
      </c>
      <c r="C282" s="455">
        <f>S266*$G$8/$W266</f>
        <v>12.598581573339601</v>
      </c>
      <c r="D282" s="456">
        <f>T266*$G$8/$W266</f>
        <v>11.122650944695177</v>
      </c>
      <c r="E282" s="456">
        <f>U266*$G$8/$W266</f>
        <v>3.3612817341084278</v>
      </c>
      <c r="F282" s="457">
        <f>V266*$G$8/$W266</f>
        <v>1.917485747856791</v>
      </c>
      <c r="G282" s="367">
        <f t="shared" si="50"/>
        <v>28.999999999999996</v>
      </c>
      <c r="I282" s="415">
        <v>2</v>
      </c>
      <c r="J282" s="415">
        <v>1</v>
      </c>
      <c r="K282" s="455">
        <f>C282*$C$15/C289</f>
        <v>12.598588919783015</v>
      </c>
      <c r="L282" s="456">
        <f>D282*$D$15/D289</f>
        <v>11.12265800036019</v>
      </c>
      <c r="M282" s="456">
        <f>E282*$E$15/E289</f>
        <v>3.3612819792901325</v>
      </c>
      <c r="N282" s="457">
        <f>F282*$F$15/F289</f>
        <v>1.9174806594350482</v>
      </c>
      <c r="O282" s="367">
        <f t="shared" si="51"/>
        <v>29.000009558868385</v>
      </c>
      <c r="Q282" s="415">
        <v>2</v>
      </c>
      <c r="R282" s="415">
        <v>1</v>
      </c>
      <c r="S282" s="455">
        <f>K282*$C$18/K292</f>
        <v>12.598589842286785</v>
      </c>
      <c r="T282" s="456">
        <f>L282*$D$18/L292</f>
        <v>11.122657789320822</v>
      </c>
      <c r="U282" s="456">
        <f>M282*$E$18/M292</f>
        <v>3.3612819689474396</v>
      </c>
      <c r="V282" s="457">
        <f>N282*$F$18/N292</f>
        <v>1.9174845771521494</v>
      </c>
      <c r="W282" s="367">
        <f t="shared" si="52"/>
        <v>29.000014177707197</v>
      </c>
    </row>
    <row r="283" spans="1:23" x14ac:dyDescent="0.25">
      <c r="A283" s="415">
        <v>2</v>
      </c>
      <c r="B283" s="415">
        <v>2</v>
      </c>
      <c r="C283" s="455">
        <f>S267*$G$9/$W267</f>
        <v>2.4014096799148765</v>
      </c>
      <c r="D283" s="456">
        <f>T267*$G$9/$W267</f>
        <v>2.877340174396124</v>
      </c>
      <c r="E283" s="456">
        <f>U267*$G$9/$W267</f>
        <v>9.6387173176336809</v>
      </c>
      <c r="F283" s="457">
        <f>V267*$G$9/$W267</f>
        <v>5.0825328280553181</v>
      </c>
      <c r="G283" s="367">
        <f t="shared" si="50"/>
        <v>20</v>
      </c>
      <c r="I283" s="415">
        <v>2</v>
      </c>
      <c r="J283" s="415">
        <v>2</v>
      </c>
      <c r="K283" s="455">
        <f>C283*$C$15/C289</f>
        <v>2.4014110802169837</v>
      </c>
      <c r="L283" s="456">
        <f>D283*$D$15/D289</f>
        <v>2.8773419996398091</v>
      </c>
      <c r="M283" s="456">
        <f>E283*$E$15/E289</f>
        <v>9.6387180207098684</v>
      </c>
      <c r="N283" s="457">
        <f>F283*$F$15/F289</f>
        <v>5.0825193405649518</v>
      </c>
      <c r="O283" s="367">
        <f t="shared" si="51"/>
        <v>19.999990441131615</v>
      </c>
      <c r="Q283" s="415">
        <v>2</v>
      </c>
      <c r="R283" s="415">
        <v>2</v>
      </c>
      <c r="S283" s="455">
        <f>K283*$C$19/K293</f>
        <v>2.4014108661533573</v>
      </c>
      <c r="T283" s="456">
        <f>L283*$D$19/L293</f>
        <v>2.8773420651528325</v>
      </c>
      <c r="U283" s="456">
        <f>M283*$E$19/M293</f>
        <v>9.638718051851205</v>
      </c>
      <c r="V283" s="457">
        <f>N283*$F$19/N293</f>
        <v>5.0825268144053553</v>
      </c>
      <c r="W283" s="367">
        <f t="shared" si="52"/>
        <v>19.999997797562749</v>
      </c>
    </row>
    <row r="284" spans="1:23" x14ac:dyDescent="0.25">
      <c r="A284" s="415">
        <v>3</v>
      </c>
      <c r="B284" s="415">
        <v>1</v>
      </c>
      <c r="C284" s="455">
        <f>S268*$G$10/$W268</f>
        <v>8.1797725667968741</v>
      </c>
      <c r="D284" s="456">
        <f>T268*$G$10/$W268</f>
        <v>6.2029538957507624</v>
      </c>
      <c r="E284" s="456">
        <f>U268*$G$10/$W268</f>
        <v>12.458962075389367</v>
      </c>
      <c r="F284" s="457">
        <f>V268*$G$10/$W268</f>
        <v>6.1583114620629997</v>
      </c>
      <c r="G284" s="367">
        <f t="shared" si="50"/>
        <v>33</v>
      </c>
      <c r="I284" s="415">
        <v>3</v>
      </c>
      <c r="J284" s="415">
        <v>1</v>
      </c>
      <c r="K284" s="455">
        <f>C284*$C$16/C290</f>
        <v>8.1797783501338106</v>
      </c>
      <c r="L284" s="456">
        <f>D284*$D$16/D290</f>
        <v>6.2029580608107988</v>
      </c>
      <c r="M284" s="456">
        <f>E284*$E$16/E290</f>
        <v>12.458973994033913</v>
      </c>
      <c r="N284" s="457">
        <f>F284*$F$16/F290</f>
        <v>6.1582982161169602</v>
      </c>
      <c r="O284" s="367">
        <f t="shared" si="51"/>
        <v>33.000008621095482</v>
      </c>
      <c r="Q284" s="415">
        <v>3</v>
      </c>
      <c r="R284" s="415">
        <v>1</v>
      </c>
      <c r="S284" s="455">
        <f>K284*$C$18/K292</f>
        <v>8.1797789490799637</v>
      </c>
      <c r="T284" s="456">
        <f>L284*$D$18/L292</f>
        <v>6.2029579431169566</v>
      </c>
      <c r="U284" s="456">
        <f>M284*$E$18/M292</f>
        <v>12.458973955697546</v>
      </c>
      <c r="V284" s="457">
        <f>N284*$F$18/N292</f>
        <v>6.1583107984969256</v>
      </c>
      <c r="W284" s="367">
        <f t="shared" si="52"/>
        <v>33.000021646391396</v>
      </c>
    </row>
    <row r="285" spans="1:23" x14ac:dyDescent="0.25">
      <c r="A285" s="415">
        <v>3</v>
      </c>
      <c r="B285" s="415">
        <v>2</v>
      </c>
      <c r="C285" s="458">
        <f>S269*$G$11/$W269</f>
        <v>15.820210464517606</v>
      </c>
      <c r="D285" s="459">
        <f>T269*$G$11/$W269</f>
        <v>9.797035360832961</v>
      </c>
      <c r="E285" s="459">
        <f>U269*$G$11/$W269</f>
        <v>3.5410226185097584</v>
      </c>
      <c r="F285" s="460">
        <f>V269*$G$11/$W269</f>
        <v>13.841731556139676</v>
      </c>
      <c r="G285" s="367">
        <f t="shared" si="50"/>
        <v>43</v>
      </c>
      <c r="I285" s="415">
        <v>3</v>
      </c>
      <c r="J285" s="415">
        <v>2</v>
      </c>
      <c r="K285" s="458">
        <f>C285*$C$16/C290</f>
        <v>15.820221649866191</v>
      </c>
      <c r="L285" s="459">
        <f>D285*$D$16/D290</f>
        <v>9.7970419391891994</v>
      </c>
      <c r="M285" s="459">
        <f>E285*$E$16/E290</f>
        <v>3.5410260059660863</v>
      </c>
      <c r="N285" s="460">
        <f>F285*$F$16/F290</f>
        <v>13.841701783883039</v>
      </c>
      <c r="O285" s="367">
        <f t="shared" si="51"/>
        <v>42.999991378904511</v>
      </c>
      <c r="Q285" s="415">
        <v>3</v>
      </c>
      <c r="R285" s="415">
        <v>2</v>
      </c>
      <c r="S285" s="458">
        <f>K285*$C$19/K293</f>
        <v>15.820220239639493</v>
      </c>
      <c r="T285" s="459">
        <f>L285*$D$19/L293</f>
        <v>9.7970421622540407</v>
      </c>
      <c r="U285" s="459">
        <f>M285*$E$19/M293</f>
        <v>3.5410260174066415</v>
      </c>
      <c r="V285" s="460">
        <f>N285*$F$19/N293</f>
        <v>13.841722138093838</v>
      </c>
      <c r="W285" s="367">
        <f t="shared" si="52"/>
        <v>43.000010557394013</v>
      </c>
    </row>
    <row r="286" spans="1:23" x14ac:dyDescent="0.25">
      <c r="C286" s="461">
        <f>SUM(C280:C285)</f>
        <v>50.999993106025251</v>
      </c>
      <c r="D286" s="461">
        <f>SUM(D280:D285)</f>
        <v>43.999999539806424</v>
      </c>
      <c r="E286" s="461">
        <f>SUM(E280:E285)</f>
        <v>40.99999930264427</v>
      </c>
      <c r="F286" s="461">
        <f>SUM(F280:F285)</f>
        <v>39.00000805152407</v>
      </c>
      <c r="G286" s="463">
        <f>SUM(G280:G285)</f>
        <v>175</v>
      </c>
      <c r="K286" s="461">
        <f>SUM(K280:K285)</f>
        <v>51</v>
      </c>
      <c r="L286" s="461">
        <f>SUM(L280:L285)</f>
        <v>44</v>
      </c>
      <c r="M286" s="461">
        <f>SUM(M280:M285)</f>
        <v>41</v>
      </c>
      <c r="N286" s="461">
        <f>SUM(N280:N285)</f>
        <v>38.99993291544088</v>
      </c>
      <c r="O286" s="463">
        <f>SUM(O280:O285)</f>
        <v>174.99993291544087</v>
      </c>
      <c r="S286" s="461">
        <f>SUM(S280:S285)</f>
        <v>51</v>
      </c>
      <c r="T286" s="461">
        <f>SUM(T280:T285)</f>
        <v>44</v>
      </c>
      <c r="U286" s="461">
        <f>SUM(U280:U285)</f>
        <v>41</v>
      </c>
      <c r="V286" s="461">
        <f>SUM(V280:V285)</f>
        <v>39</v>
      </c>
      <c r="W286" s="463">
        <f>SUM(W280:W285)</f>
        <v>175</v>
      </c>
    </row>
    <row r="288" spans="1:23" x14ac:dyDescent="0.25">
      <c r="A288" s="415">
        <v>1</v>
      </c>
      <c r="C288" s="445">
        <f>SUMIF(A280:A285,A288,C280:C285)</f>
        <v>12.00001882145629</v>
      </c>
      <c r="D288" s="446">
        <f>SUMIF(A280:A285,A288,D280:D285)</f>
        <v>14.000019164131395</v>
      </c>
      <c r="E288" s="446">
        <f>SUMIF(A280:A285,A288,E280:E285)</f>
        <v>12.000015557003035</v>
      </c>
      <c r="F288" s="447">
        <f>SUMIF(A280:A285,A288,F280:F285)</f>
        <v>11.999946457409283</v>
      </c>
      <c r="G288" s="462">
        <f>SUM(C288:F288)</f>
        <v>50</v>
      </c>
      <c r="I288" s="415">
        <v>1</v>
      </c>
      <c r="K288" s="445">
        <f>SUMIF(I280:I285,I288,K280:K285)</f>
        <v>11.999999999999998</v>
      </c>
      <c r="L288" s="446">
        <f>SUMIF(I280:I285,I288,L280:L285)</f>
        <v>14.000000000000002</v>
      </c>
      <c r="M288" s="446">
        <f>SUMIF(I280:I285,I288,M280:M285)</f>
        <v>12</v>
      </c>
      <c r="N288" s="447">
        <f>SUMIF(I280:I285,I288,N280:N285)</f>
        <v>11.999932915440883</v>
      </c>
      <c r="O288" s="462">
        <f>SUM(K288:N288)</f>
        <v>49.99993291544088</v>
      </c>
      <c r="Q288" s="415">
        <v>1</v>
      </c>
      <c r="S288" s="445">
        <f>SUMIF(Q280:Q285,Q288,S280:S285)</f>
        <v>12.000000102840401</v>
      </c>
      <c r="T288" s="446">
        <f>SUMIF(Q280:Q285,Q288,T280:T285)</f>
        <v>14.000000040155346</v>
      </c>
      <c r="U288" s="446">
        <f>SUMIF(Q280:Q285,Q288,U280:U285)</f>
        <v>12.000000006097167</v>
      </c>
      <c r="V288" s="447">
        <f>SUMIF(Q280:Q285,Q288,V280:V285)</f>
        <v>11.999955671851732</v>
      </c>
      <c r="W288" s="462">
        <f>SUM(S288:V288)</f>
        <v>49.999955820944642</v>
      </c>
    </row>
    <row r="289" spans="1:23" x14ac:dyDescent="0.25">
      <c r="A289" s="415">
        <v>2</v>
      </c>
      <c r="C289" s="448">
        <f>SUMIF(A280:A285,A289,C280:C285)</f>
        <v>14.999991253254478</v>
      </c>
      <c r="D289" s="367">
        <f>SUMIF(A280:A285,A289,D280:D285)</f>
        <v>13.999991119091302</v>
      </c>
      <c r="E289" s="367">
        <f>SUMIF(A280:A285,A289,E280:E285)</f>
        <v>12.999999051742108</v>
      </c>
      <c r="F289" s="364">
        <f>SUMIF(A280:A285,A289,F280:F285)</f>
        <v>7.000018575912109</v>
      </c>
      <c r="G289" s="462">
        <f>SUM(C289:F289)</f>
        <v>49</v>
      </c>
      <c r="I289" s="415">
        <v>2</v>
      </c>
      <c r="K289" s="448">
        <f>SUMIF(I280:I285,I289,K280:K285)</f>
        <v>15</v>
      </c>
      <c r="L289" s="367">
        <f>SUMIF(I280:I285,I289,L280:L285)</f>
        <v>13.999999999999998</v>
      </c>
      <c r="M289" s="367">
        <f>SUMIF(I280:I285,I289,M280:M285)</f>
        <v>13</v>
      </c>
      <c r="N289" s="364">
        <f>SUMIF(I280:I285,I289,N280:N285)</f>
        <v>7</v>
      </c>
      <c r="O289" s="462">
        <f>SUM(K289:N289)</f>
        <v>49</v>
      </c>
      <c r="Q289" s="415">
        <v>2</v>
      </c>
      <c r="S289" s="448">
        <f>SUMIF(Q280:Q285,Q289,S280:S285)</f>
        <v>15.000000708440142</v>
      </c>
      <c r="T289" s="367">
        <f>SUMIF(Q280:Q285,Q289,T280:T285)</f>
        <v>13.999999854473655</v>
      </c>
      <c r="U289" s="367">
        <f>SUMIF(Q280:Q285,Q289,U280:U285)</f>
        <v>13.000000020798645</v>
      </c>
      <c r="V289" s="364">
        <f>SUMIF(Q280:Q285,Q289,V280:V285)</f>
        <v>7.0000113915575044</v>
      </c>
      <c r="W289" s="462">
        <f>SUM(S289:V289)</f>
        <v>49.000011975269949</v>
      </c>
    </row>
    <row r="290" spans="1:23" x14ac:dyDescent="0.25">
      <c r="A290" s="415">
        <v>3</v>
      </c>
      <c r="C290" s="449">
        <f>SUMIF(A280:A285,A290,C280:C285)</f>
        <v>23.999983031314478</v>
      </c>
      <c r="D290" s="450">
        <f>SUMIF(A280:A285,A290,D280:D285)</f>
        <v>15.999989256583724</v>
      </c>
      <c r="E290" s="450">
        <f>SUMIF(A280:A285,A290,E280:E285)</f>
        <v>15.999984693899126</v>
      </c>
      <c r="F290" s="451">
        <f>SUMIF(A280:A285,A290,F280:F285)</f>
        <v>20.000043018202675</v>
      </c>
      <c r="G290" s="462">
        <f>SUM(C290:F290)</f>
        <v>76</v>
      </c>
      <c r="I290" s="415">
        <v>3</v>
      </c>
      <c r="K290" s="449">
        <f>SUMIF(I280:I285,I290,K280:K285)</f>
        <v>24</v>
      </c>
      <c r="L290" s="450">
        <f>SUMIF(I280:I285,I290,L280:L285)</f>
        <v>15.999999999999998</v>
      </c>
      <c r="M290" s="450">
        <f>SUMIF(I280:I285,I290,M280:M285)</f>
        <v>16</v>
      </c>
      <c r="N290" s="451">
        <f>SUMIF(I280:I285,I290,N280:N285)</f>
        <v>20</v>
      </c>
      <c r="O290" s="462">
        <f>SUM(K290:N290)</f>
        <v>76</v>
      </c>
      <c r="Q290" s="415">
        <v>3</v>
      </c>
      <c r="S290" s="449">
        <f>SUMIF(Q280:Q285,Q290,S280:S285)</f>
        <v>23.999999188719457</v>
      </c>
      <c r="T290" s="450">
        <f>SUMIF(Q280:Q285,Q290,T280:T285)</f>
        <v>16.000000105370997</v>
      </c>
      <c r="U290" s="450">
        <f>SUMIF(Q280:Q285,Q290,U280:U285)</f>
        <v>15.999999973104188</v>
      </c>
      <c r="V290" s="451">
        <f>SUMIF(Q280:Q285,Q290,V280:V285)</f>
        <v>20.000032936590763</v>
      </c>
      <c r="W290" s="462">
        <f>SUM(S290:V290)</f>
        <v>76.000032203785409</v>
      </c>
    </row>
    <row r="292" spans="1:23" x14ac:dyDescent="0.25">
      <c r="B292" s="415">
        <v>1</v>
      </c>
      <c r="C292" s="445">
        <f>SUMIF(B280:B285,B292,C280:C285)</f>
        <v>27.999996146782333</v>
      </c>
      <c r="D292" s="446">
        <f>SUMIF(B280:B285,B292,D280:D285)</f>
        <v>23.999998370988155</v>
      </c>
      <c r="E292" s="446">
        <f>SUMIF(B280:B285,B292,E280:E285)</f>
        <v>20.999994615898803</v>
      </c>
      <c r="F292" s="447">
        <f>SUMIF(B280:B285,B292,F280:F285)</f>
        <v>17.000010866330712</v>
      </c>
      <c r="G292" s="462">
        <f>SUM(C292:F292)</f>
        <v>90</v>
      </c>
      <c r="J292" s="415">
        <v>1</v>
      </c>
      <c r="K292" s="445">
        <f>SUMIF(J280:J285,J292,K280:K285)</f>
        <v>27.999997949762168</v>
      </c>
      <c r="L292" s="446">
        <f>SUMIF(J280:J285,J292,L280:L285)</f>
        <v>24.000000455371811</v>
      </c>
      <c r="M292" s="446">
        <f>SUMIF(J280:J285,J292,M280:M285)</f>
        <v>21.000000064617176</v>
      </c>
      <c r="N292" s="447">
        <f>SUMIF(J280:J285,J292,N280:N285)</f>
        <v>16.999965266374755</v>
      </c>
      <c r="O292" s="462">
        <f>SUM(K292:N292)</f>
        <v>89.999963736125906</v>
      </c>
      <c r="R292" s="415">
        <v>1</v>
      </c>
      <c r="S292" s="445">
        <f>SUMIF(R280:R285,R292,S280:S285)</f>
        <v>28</v>
      </c>
      <c r="T292" s="446">
        <f>SUMIF(R280:R285,R292,T280:T285)</f>
        <v>24</v>
      </c>
      <c r="U292" s="446">
        <f>SUMIF(R280:R285,R292,U280:U285)</f>
        <v>21</v>
      </c>
      <c r="V292" s="447">
        <f>SUMIF(R280:R285,R292,V280:V285)</f>
        <v>17</v>
      </c>
      <c r="W292" s="462">
        <f>SUM(S292:V292)</f>
        <v>90</v>
      </c>
    </row>
    <row r="293" spans="1:23" x14ac:dyDescent="0.25">
      <c r="B293" s="415">
        <v>2</v>
      </c>
      <c r="C293" s="449">
        <f>SUMIF(B280:B285,B293,C280:C285)</f>
        <v>22.999996959242914</v>
      </c>
      <c r="D293" s="450">
        <f>SUMIF(B280:B285,B293,D280:D285)</f>
        <v>20.000001168818265</v>
      </c>
      <c r="E293" s="450">
        <f>SUMIF(B280:B285,B293,E280:E285)</f>
        <v>20.000004686745463</v>
      </c>
      <c r="F293" s="451">
        <f>SUMIF(B280:B285,B293,F280:F285)</f>
        <v>21.999997185193354</v>
      </c>
      <c r="G293" s="462">
        <f>SUM(C293:F293)</f>
        <v>85</v>
      </c>
      <c r="J293" s="415">
        <v>2</v>
      </c>
      <c r="K293" s="449">
        <f>SUMIF(J280:J285,J293,K280:K285)</f>
        <v>23.000002050237832</v>
      </c>
      <c r="L293" s="450">
        <f>SUMIF(J280:J285,J293,L280:L285)</f>
        <v>19.999999544628189</v>
      </c>
      <c r="M293" s="450">
        <f>SUMIF(J280:J285,J293,M280:M285)</f>
        <v>19.999999935382824</v>
      </c>
      <c r="N293" s="451">
        <f>SUMIF(J280:J285,J293,N280:N285)</f>
        <v>21.999967649066129</v>
      </c>
      <c r="O293" s="462">
        <f>SUM(K293:N293)</f>
        <v>84.999969179314974</v>
      </c>
      <c r="R293" s="415">
        <v>2</v>
      </c>
      <c r="S293" s="449">
        <f>SUMIF(R280:R285,R293,S280:S285)</f>
        <v>23</v>
      </c>
      <c r="T293" s="450">
        <f>SUMIF(R280:R285,R293,T280:T285)</f>
        <v>20</v>
      </c>
      <c r="U293" s="450">
        <f>SUMIF(R280:R285,R293,U280:U285)</f>
        <v>20</v>
      </c>
      <c r="V293" s="451">
        <f>SUMIF(R280:R285,R293,V280:V285)</f>
        <v>22</v>
      </c>
      <c r="W293" s="462">
        <f>SUM(S293:V293)</f>
        <v>85</v>
      </c>
    </row>
    <row r="295" spans="1:23" x14ac:dyDescent="0.25">
      <c r="A295" s="415" t="s">
        <v>37</v>
      </c>
      <c r="B295" s="415" t="s">
        <v>911</v>
      </c>
      <c r="C295">
        <v>1</v>
      </c>
      <c r="D295">
        <f>C295+1</f>
        <v>2</v>
      </c>
      <c r="E295">
        <f>D295+1</f>
        <v>3</v>
      </c>
      <c r="F295">
        <f>E295+1</f>
        <v>4</v>
      </c>
      <c r="I295" s="415" t="s">
        <v>37</v>
      </c>
      <c r="J295" s="415" t="s">
        <v>911</v>
      </c>
      <c r="K295">
        <v>1</v>
      </c>
      <c r="L295">
        <f>K295+1</f>
        <v>2</v>
      </c>
      <c r="M295">
        <f>L295+1</f>
        <v>3</v>
      </c>
      <c r="N295">
        <f>M295+1</f>
        <v>4</v>
      </c>
      <c r="Q295" s="415" t="s">
        <v>37</v>
      </c>
      <c r="R295" s="415" t="s">
        <v>911</v>
      </c>
      <c r="S295">
        <v>1</v>
      </c>
      <c r="T295">
        <f>S295+1</f>
        <v>2</v>
      </c>
      <c r="U295">
        <f>T295+1</f>
        <v>3</v>
      </c>
      <c r="V295">
        <f>U295+1</f>
        <v>4</v>
      </c>
    </row>
    <row r="296" spans="1:23" x14ac:dyDescent="0.25">
      <c r="A296" s="415">
        <v>1</v>
      </c>
      <c r="B296" s="415">
        <v>1</v>
      </c>
      <c r="C296" s="452">
        <f>S280*$G$6/$W280</f>
        <v>7.2216404482318017</v>
      </c>
      <c r="D296" s="453">
        <f>T280*$G$6/$W280</f>
        <v>6.6743928069945744</v>
      </c>
      <c r="E296" s="453">
        <f>U280*$G$6/$W280</f>
        <v>5.1797507024942933</v>
      </c>
      <c r="F296" s="454">
        <f>V280*$G$6/$W280</f>
        <v>8.9242160422793297</v>
      </c>
      <c r="G296" s="367">
        <f t="shared" ref="G296:G301" si="53">SUM(C296:F296)</f>
        <v>28</v>
      </c>
      <c r="I296" s="415">
        <v>1</v>
      </c>
      <c r="J296" s="415">
        <v>1</v>
      </c>
      <c r="K296" s="452">
        <f>C296*$C$14/C304</f>
        <v>7.2216337338429524</v>
      </c>
      <c r="L296" s="453">
        <f>D296*$D$14/D304</f>
        <v>6.6743873904224511</v>
      </c>
      <c r="M296" s="453">
        <f>E296*$E$14/E304</f>
        <v>5.1797467212670565</v>
      </c>
      <c r="N296" s="454">
        <f>F296*F288/F304</f>
        <v>8.9241998295747731</v>
      </c>
      <c r="O296" s="367">
        <f t="shared" ref="O296:O301" si="54">SUM(K296:N296)</f>
        <v>27.999967675107236</v>
      </c>
      <c r="Q296" s="415">
        <v>1</v>
      </c>
      <c r="R296" s="415">
        <v>1</v>
      </c>
      <c r="S296" s="452">
        <f>K296*$C$18/K308</f>
        <v>7.2216340470784859</v>
      </c>
      <c r="T296" s="453">
        <f>L296*$D$18/L308</f>
        <v>6.6743873154955109</v>
      </c>
      <c r="U296" s="453">
        <f>M296*$E$18/M308</f>
        <v>5.1797467121561649</v>
      </c>
      <c r="V296" s="454">
        <f>N296*$F$18/N308</f>
        <v>8.924210664685214</v>
      </c>
      <c r="W296" s="367">
        <f t="shared" ref="W296:W301" si="55">SUM(S296:V296)</f>
        <v>27.999978739415376</v>
      </c>
    </row>
    <row r="297" spans="1:23" x14ac:dyDescent="0.25">
      <c r="A297" s="415">
        <v>1</v>
      </c>
      <c r="B297" s="415">
        <v>2</v>
      </c>
      <c r="C297" s="455">
        <f>S281*$G$7/$W281</f>
        <v>4.7783707088926333</v>
      </c>
      <c r="D297" s="456">
        <f>T281*$G$7/$W281</f>
        <v>7.3256185546488659</v>
      </c>
      <c r="E297" s="456">
        <f>U281*$G$7/$W281</f>
        <v>6.82025852087693</v>
      </c>
      <c r="F297" s="457">
        <f>V281*$G$7/$W281</f>
        <v>3.0757522155815695</v>
      </c>
      <c r="G297" s="367">
        <f t="shared" si="53"/>
        <v>22</v>
      </c>
      <c r="I297" s="415">
        <v>1</v>
      </c>
      <c r="J297" s="415">
        <v>2</v>
      </c>
      <c r="K297" s="455">
        <f>C297*$C$14/C304</f>
        <v>4.7783662661570476</v>
      </c>
      <c r="L297" s="456">
        <f>D297*$D$14/D304</f>
        <v>7.3256126095775471</v>
      </c>
      <c r="M297" s="456">
        <f>E297*$E$14/E304</f>
        <v>6.8202532787329453</v>
      </c>
      <c r="N297" s="457">
        <f>F297*$F$14/F304</f>
        <v>3.0757603515159793</v>
      </c>
      <c r="O297" s="367">
        <f t="shared" si="54"/>
        <v>21.999992505983517</v>
      </c>
      <c r="Q297" s="415">
        <v>1</v>
      </c>
      <c r="R297" s="415">
        <v>2</v>
      </c>
      <c r="S297" s="455">
        <f>K297*$C$19/K309</f>
        <v>4.778366013840837</v>
      </c>
      <c r="T297" s="456">
        <f>L297*$D$19/L309</f>
        <v>7.3256127082626952</v>
      </c>
      <c r="U297" s="456">
        <f>M297*$E$19/M309</f>
        <v>6.8202532913292204</v>
      </c>
      <c r="V297" s="457">
        <f>N297*$F$19/N309</f>
        <v>3.0757630328512997</v>
      </c>
      <c r="W297" s="367">
        <f t="shared" si="55"/>
        <v>21.999995046284052</v>
      </c>
    </row>
    <row r="298" spans="1:23" x14ac:dyDescent="0.25">
      <c r="A298" s="415">
        <v>2</v>
      </c>
      <c r="B298" s="415">
        <v>1</v>
      </c>
      <c r="C298" s="455">
        <f>S282*$G$8/$W282</f>
        <v>12.598583683009871</v>
      </c>
      <c r="D298" s="456">
        <f>T282*$G$8/$W282</f>
        <v>11.122652351606744</v>
      </c>
      <c r="E298" s="456">
        <f>U282*$G$8/$W282</f>
        <v>3.3612803256630168</v>
      </c>
      <c r="F298" s="457">
        <f>V282*$G$8/$W282</f>
        <v>1.9174836397203701</v>
      </c>
      <c r="G298" s="367">
        <f t="shared" si="53"/>
        <v>29.000000000000004</v>
      </c>
      <c r="I298" s="415">
        <v>2</v>
      </c>
      <c r="J298" s="415">
        <v>1</v>
      </c>
      <c r="K298" s="455">
        <f>C298*$C$15/C305</f>
        <v>12.598588039088352</v>
      </c>
      <c r="L298" s="456">
        <f>D298*$D$15/D305</f>
        <v>11.122656535618137</v>
      </c>
      <c r="M298" s="456">
        <f>E298*$E$15/E305</f>
        <v>3.3612804707286617</v>
      </c>
      <c r="N298" s="457">
        <f>F298*$F$15/F305</f>
        <v>1.917480622750029</v>
      </c>
      <c r="O298" s="367">
        <f t="shared" si="54"/>
        <v>29.000005668185182</v>
      </c>
      <c r="Q298" s="415">
        <v>2</v>
      </c>
      <c r="R298" s="415">
        <v>1</v>
      </c>
      <c r="S298" s="455">
        <f>K298*$C$18/K308</f>
        <v>12.598588585547171</v>
      </c>
      <c r="T298" s="456">
        <f>L298*$D$18/L308</f>
        <v>11.122656410754752</v>
      </c>
      <c r="U298" s="456">
        <f>M298*$E$18/M308</f>
        <v>3.3612804648163532</v>
      </c>
      <c r="V298" s="457">
        <f>N298*$F$18/N308</f>
        <v>1.9174829508146973</v>
      </c>
      <c r="W298" s="367">
        <f t="shared" si="55"/>
        <v>29.000008411932974</v>
      </c>
    </row>
    <row r="299" spans="1:23" x14ac:dyDescent="0.25">
      <c r="A299" s="415">
        <v>2</v>
      </c>
      <c r="B299" s="415">
        <v>2</v>
      </c>
      <c r="C299" s="455">
        <f>S283*$G$9/$W283</f>
        <v>2.4014111306012236</v>
      </c>
      <c r="D299" s="456">
        <f>T283*$G$9/$W283</f>
        <v>2.8773423820111348</v>
      </c>
      <c r="E299" s="456">
        <f>U283*$G$9/$W283</f>
        <v>9.6387191132849068</v>
      </c>
      <c r="F299" s="457">
        <f>V283*$G$9/$W283</f>
        <v>5.0825273741027361</v>
      </c>
      <c r="G299" s="367">
        <f t="shared" si="53"/>
        <v>20</v>
      </c>
      <c r="I299" s="415">
        <v>2</v>
      </c>
      <c r="J299" s="415">
        <v>2</v>
      </c>
      <c r="K299" s="455">
        <f>C299*$C$15/C305</f>
        <v>2.4014119609116471</v>
      </c>
      <c r="L299" s="456">
        <f>D299*$D$15/D305</f>
        <v>2.8773434643818616</v>
      </c>
      <c r="M299" s="456">
        <f>E299*$E$15/E305</f>
        <v>9.6387195292713379</v>
      </c>
      <c r="N299" s="457">
        <f>F299*$F$15/F305</f>
        <v>5.0825193772499713</v>
      </c>
      <c r="O299" s="367">
        <f t="shared" si="54"/>
        <v>19.999994331814818</v>
      </c>
      <c r="Q299" s="415">
        <v>2</v>
      </c>
      <c r="R299" s="415">
        <v>2</v>
      </c>
      <c r="S299" s="455">
        <f>K299*$C$19/K309</f>
        <v>2.4014118341078126</v>
      </c>
      <c r="T299" s="456">
        <f>L299*$D$19/L309</f>
        <v>2.8773435031432704</v>
      </c>
      <c r="U299" s="456">
        <f>M299*$E$19/M309</f>
        <v>9.6387195470730163</v>
      </c>
      <c r="V299" s="457">
        <f>N299*$F$19/N309</f>
        <v>5.0825238080043746</v>
      </c>
      <c r="W299" s="367">
        <f t="shared" si="55"/>
        <v>19.999998692328475</v>
      </c>
    </row>
    <row r="300" spans="1:23" x14ac:dyDescent="0.25">
      <c r="A300" s="415">
        <v>3</v>
      </c>
      <c r="B300" s="415">
        <v>1</v>
      </c>
      <c r="C300" s="455">
        <f>S284*$G$10/$W284</f>
        <v>8.1797735835472203</v>
      </c>
      <c r="D300" s="456">
        <f>T284*$G$10/$W284</f>
        <v>6.2029538742815813</v>
      </c>
      <c r="E300" s="456">
        <f>U284*$G$10/$W284</f>
        <v>12.458965783223313</v>
      </c>
      <c r="F300" s="457">
        <f>V284*$G$10/$W284</f>
        <v>6.1583067589478819</v>
      </c>
      <c r="G300" s="367">
        <f t="shared" si="53"/>
        <v>32.999999999999993</v>
      </c>
      <c r="I300" s="415">
        <v>3</v>
      </c>
      <c r="J300" s="415">
        <v>1</v>
      </c>
      <c r="K300" s="455">
        <f>C300*$C$16/C306</f>
        <v>8.1797770125797218</v>
      </c>
      <c r="L300" s="456">
        <f>D300*$D$16/D306</f>
        <v>6.2029563433843764</v>
      </c>
      <c r="M300" s="456">
        <f>E300*$E$16/E306</f>
        <v>12.458972844942133</v>
      </c>
      <c r="N300" s="457">
        <f>F300*$F$16/F306</f>
        <v>6.1582989075441645</v>
      </c>
      <c r="O300" s="367">
        <f t="shared" si="54"/>
        <v>33.000005108450395</v>
      </c>
      <c r="Q300" s="415">
        <v>3</v>
      </c>
      <c r="R300" s="415">
        <v>1</v>
      </c>
      <c r="S300" s="455">
        <f>K300*$C$18/K308</f>
        <v>8.1797773673743439</v>
      </c>
      <c r="T300" s="456">
        <f>L300*$D$18/L308</f>
        <v>6.2029562737497406</v>
      </c>
      <c r="U300" s="456">
        <f>M300*$E$18/M308</f>
        <v>12.458972823027482</v>
      </c>
      <c r="V300" s="457">
        <f>N300*$F$18/N308</f>
        <v>6.1583063845000892</v>
      </c>
      <c r="W300" s="367">
        <f t="shared" si="55"/>
        <v>33.00001284865165</v>
      </c>
    </row>
    <row r="301" spans="1:23" x14ac:dyDescent="0.25">
      <c r="A301" s="415">
        <v>3</v>
      </c>
      <c r="B301" s="415">
        <v>2</v>
      </c>
      <c r="C301" s="458">
        <f>S285*$G$11/$W285</f>
        <v>15.82021635544746</v>
      </c>
      <c r="D301" s="459">
        <f>T285*$G$11/$W285</f>
        <v>9.7970397568770906</v>
      </c>
      <c r="E301" s="459">
        <f>U285*$G$11/$W285</f>
        <v>3.5410251480113457</v>
      </c>
      <c r="F301" s="460">
        <f>V285*$G$11/$W285</f>
        <v>13.841718739664104</v>
      </c>
      <c r="G301" s="367">
        <f t="shared" si="53"/>
        <v>43</v>
      </c>
      <c r="I301" s="415">
        <v>3</v>
      </c>
      <c r="J301" s="415">
        <v>2</v>
      </c>
      <c r="K301" s="458">
        <f>C301*$C$16/C306</f>
        <v>15.82022298742028</v>
      </c>
      <c r="L301" s="459">
        <f>D301*$D$16/D306</f>
        <v>9.7970436566156245</v>
      </c>
      <c r="M301" s="459">
        <f>E301*$E$16/E306</f>
        <v>3.5410271550578667</v>
      </c>
      <c r="N301" s="460">
        <f>F301*$F$16/F306</f>
        <v>13.841701092455835</v>
      </c>
      <c r="O301" s="367">
        <f t="shared" si="54"/>
        <v>42.999994891549605</v>
      </c>
      <c r="Q301" s="415">
        <v>3</v>
      </c>
      <c r="R301" s="415">
        <v>2</v>
      </c>
      <c r="S301" s="458">
        <f>K301*$C$19/K309</f>
        <v>15.82022215205135</v>
      </c>
      <c r="T301" s="459">
        <f>L301*$D$19/L309</f>
        <v>9.7970437885940349</v>
      </c>
      <c r="U301" s="459">
        <f>M301*$E$19/M309</f>
        <v>3.5410271615977633</v>
      </c>
      <c r="V301" s="460">
        <f>N301*$F$19/N309</f>
        <v>13.841713159144327</v>
      </c>
      <c r="W301" s="367">
        <f t="shared" si="55"/>
        <v>43.000006261387476</v>
      </c>
    </row>
    <row r="302" spans="1:23" x14ac:dyDescent="0.25">
      <c r="C302" s="461">
        <f>SUM(C296:C301)</f>
        <v>50.999995909730202</v>
      </c>
      <c r="D302" s="461">
        <f>SUM(D296:D301)</f>
        <v>43.999999726419993</v>
      </c>
      <c r="E302" s="461">
        <f>SUM(E296:E301)</f>
        <v>40.999999593553802</v>
      </c>
      <c r="F302" s="461">
        <f>SUM(F296:F301)</f>
        <v>39.000004770295988</v>
      </c>
      <c r="G302" s="463">
        <f>SUM(G296:G301)</f>
        <v>175</v>
      </c>
      <c r="K302" s="461">
        <f>SUM(K296:K301)</f>
        <v>51</v>
      </c>
      <c r="L302" s="461">
        <f>SUM(L296:L301)</f>
        <v>44</v>
      </c>
      <c r="M302" s="461">
        <f>SUM(M296:M301)</f>
        <v>41</v>
      </c>
      <c r="N302" s="461">
        <f>SUM(N296:N301)</f>
        <v>38.999960181090756</v>
      </c>
      <c r="O302" s="463">
        <f>SUM(O296:O301)</f>
        <v>174.99996018109073</v>
      </c>
      <c r="S302" s="461">
        <f>SUM(S296:S301)</f>
        <v>51</v>
      </c>
      <c r="T302" s="461">
        <f>SUM(T296:T301)</f>
        <v>44</v>
      </c>
      <c r="U302" s="461">
        <f>SUM(U296:U301)</f>
        <v>41</v>
      </c>
      <c r="V302" s="461">
        <f>SUM(V296:V301)</f>
        <v>39</v>
      </c>
      <c r="W302" s="463">
        <f>SUM(W296:W301)</f>
        <v>175</v>
      </c>
    </row>
    <row r="304" spans="1:23" x14ac:dyDescent="0.25">
      <c r="A304" s="415">
        <v>1</v>
      </c>
      <c r="C304" s="445">
        <f>SUMIF(A296:A301,A304,C296:C301)</f>
        <v>12.000011157124435</v>
      </c>
      <c r="D304" s="446">
        <f>SUMIF(A296:A301,A304,D296:D301)</f>
        <v>14.000011361643441</v>
      </c>
      <c r="E304" s="446">
        <f>SUMIF(A296:A301,A304,E296:E301)</f>
        <v>12.000009223371222</v>
      </c>
      <c r="F304" s="447">
        <f>SUMIF(A296:A301,A304,F296:F301)</f>
        <v>11.9999682578609</v>
      </c>
      <c r="G304" s="462">
        <f>SUM(C304:F304)</f>
        <v>50</v>
      </c>
      <c r="I304" s="415">
        <v>1</v>
      </c>
      <c r="K304" s="445">
        <f>SUMIF(I296:I301,I304,K296:K301)</f>
        <v>12</v>
      </c>
      <c r="L304" s="446">
        <f>SUMIF(I296:I301,I304,L296:L301)</f>
        <v>13.999999999999998</v>
      </c>
      <c r="M304" s="446">
        <f>SUMIF(I296:I301,I304,M296:M301)</f>
        <v>12.000000000000002</v>
      </c>
      <c r="N304" s="447">
        <f>SUMIF(I296:I301,I304,N296:N301)</f>
        <v>11.999960181090753</v>
      </c>
      <c r="O304" s="462">
        <f>SUM(K304:N304)</f>
        <v>49.999960181090756</v>
      </c>
      <c r="Q304" s="415">
        <v>1</v>
      </c>
      <c r="S304" s="445">
        <f>SUMIF(Q296:Q301,Q304,S296:S301)</f>
        <v>12.000000060919323</v>
      </c>
      <c r="T304" s="446">
        <f>SUMIF(Q296:Q301,Q304,T296:T301)</f>
        <v>14.000000023758206</v>
      </c>
      <c r="U304" s="446">
        <f>SUMIF(Q296:Q301,Q304,U296:U301)</f>
        <v>12.000000003485386</v>
      </c>
      <c r="V304" s="447">
        <f>SUMIF(Q296:Q301,Q304,V296:V301)</f>
        <v>11.999973697536515</v>
      </c>
      <c r="W304" s="462">
        <f>SUM(S304:V304)</f>
        <v>49.999973785699439</v>
      </c>
    </row>
    <row r="305" spans="1:23" x14ac:dyDescent="0.25">
      <c r="A305" s="415">
        <v>2</v>
      </c>
      <c r="C305" s="448">
        <f>SUMIF(A296:A301,A305,C296:C301)</f>
        <v>14.999994813611094</v>
      </c>
      <c r="D305" s="367">
        <f>SUMIF(A296:A301,A305,D296:D301)</f>
        <v>13.999994733617878</v>
      </c>
      <c r="E305" s="367">
        <f>SUMIF(A296:A301,A305,E296:E301)</f>
        <v>12.999999438947924</v>
      </c>
      <c r="F305" s="364">
        <f>SUMIF(A296:A301,A305,F296:F301)</f>
        <v>7.000011013823106</v>
      </c>
      <c r="G305" s="462">
        <f>SUM(C305:F305)</f>
        <v>49</v>
      </c>
      <c r="I305" s="415">
        <v>2</v>
      </c>
      <c r="K305" s="448">
        <f>SUMIF(I296:I301,I305,K296:K301)</f>
        <v>14.999999999999998</v>
      </c>
      <c r="L305" s="367">
        <f>SUMIF(I296:I301,I305,L296:L301)</f>
        <v>14</v>
      </c>
      <c r="M305" s="367">
        <f>SUMIF(I296:I301,I305,M296:M301)</f>
        <v>13</v>
      </c>
      <c r="N305" s="364">
        <f>SUMIF(I296:I301,I305,N296:N301)</f>
        <v>7</v>
      </c>
      <c r="O305" s="462">
        <f>SUM(K305:N305)</f>
        <v>49</v>
      </c>
      <c r="Q305" s="415">
        <v>2</v>
      </c>
      <c r="S305" s="448">
        <f>SUMIF(Q296:Q301,Q305,S296:S301)</f>
        <v>15.000000419654985</v>
      </c>
      <c r="T305" s="367">
        <f>SUMIF(Q296:Q301,Q305,T296:T301)</f>
        <v>13.999999913898023</v>
      </c>
      <c r="U305" s="367">
        <f>SUMIF(Q296:Q301,Q305,U296:U301)</f>
        <v>13.000000011889369</v>
      </c>
      <c r="V305" s="364">
        <f>SUMIF(Q296:Q301,Q305,V296:V301)</f>
        <v>7.0000067588190724</v>
      </c>
      <c r="W305" s="462">
        <f>SUM(S305:V305)</f>
        <v>49.000007104261442</v>
      </c>
    </row>
    <row r="306" spans="1:23" x14ac:dyDescent="0.25">
      <c r="A306" s="415">
        <v>3</v>
      </c>
      <c r="C306" s="449">
        <f>SUMIF(A296:A301,A306,C296:C301)</f>
        <v>23.99998993899468</v>
      </c>
      <c r="D306" s="450">
        <f>SUMIF(A296:A301,A306,D296:D301)</f>
        <v>15.999993631158672</v>
      </c>
      <c r="E306" s="450">
        <f>SUMIF(A296:A301,A306,E296:E301)</f>
        <v>15.99999093123466</v>
      </c>
      <c r="F306" s="451">
        <f>SUMIF(A296:A301,A306,F296:F301)</f>
        <v>20.000025498611986</v>
      </c>
      <c r="G306" s="462">
        <f>SUM(C306:F306)</f>
        <v>76</v>
      </c>
      <c r="I306" s="415">
        <v>3</v>
      </c>
      <c r="K306" s="449">
        <f>SUMIF(I296:I301,I306,K296:K301)</f>
        <v>24</v>
      </c>
      <c r="L306" s="450">
        <f>SUMIF(I296:I301,I306,L296:L301)</f>
        <v>16</v>
      </c>
      <c r="M306" s="450">
        <f>SUMIF(I296:I301,I306,M296:M301)</f>
        <v>16</v>
      </c>
      <c r="N306" s="451">
        <f>SUMIF(I296:I301,I306,N296:N301)</f>
        <v>20</v>
      </c>
      <c r="O306" s="462">
        <f>SUM(K306:N306)</f>
        <v>76</v>
      </c>
      <c r="Q306" s="415">
        <v>3</v>
      </c>
      <c r="S306" s="449">
        <f>SUMIF(Q296:Q301,Q306,S296:S301)</f>
        <v>23.999999519425693</v>
      </c>
      <c r="T306" s="450">
        <f>SUMIF(Q296:Q301,Q306,T296:T301)</f>
        <v>16.000000062343776</v>
      </c>
      <c r="U306" s="450">
        <f>SUMIF(Q296:Q301,Q306,U296:U301)</f>
        <v>15.999999984625244</v>
      </c>
      <c r="V306" s="451">
        <f>SUMIF(Q296:Q301,Q306,V296:V301)</f>
        <v>20.000019543644417</v>
      </c>
      <c r="W306" s="462">
        <f>SUM(S306:V306)</f>
        <v>76.000019110039133</v>
      </c>
    </row>
    <row r="308" spans="1:23" x14ac:dyDescent="0.25">
      <c r="B308" s="415">
        <v>1</v>
      </c>
      <c r="C308" s="445">
        <f>SUMIF(B296:B301,B308,C296:C301)</f>
        <v>27.999997714788893</v>
      </c>
      <c r="D308" s="446">
        <f>SUMIF(B296:B301,B308,D296:D301)</f>
        <v>23.999999032882897</v>
      </c>
      <c r="E308" s="446">
        <f>SUMIF(B296:B301,B308,E296:E301)</f>
        <v>20.999996811380623</v>
      </c>
      <c r="F308" s="447">
        <f>SUMIF(B296:B301,B308,F296:F301)</f>
        <v>17.00000644094758</v>
      </c>
      <c r="G308" s="462">
        <f>SUM(C308:F308)</f>
        <v>90</v>
      </c>
      <c r="J308" s="415">
        <v>1</v>
      </c>
      <c r="K308" s="445">
        <f>SUMIF(J296:J301,J308,K296:K301)</f>
        <v>27.999998785511025</v>
      </c>
      <c r="L308" s="446">
        <f>SUMIF(J296:J301,J308,L296:L301)</f>
        <v>24.000000269424962</v>
      </c>
      <c r="M308" s="446">
        <f>SUMIF(J296:J301,J308,M296:M301)</f>
        <v>21.000000036937852</v>
      </c>
      <c r="N308" s="447">
        <f>SUMIF(J296:J301,J308,N296:N301)</f>
        <v>16.999979359868966</v>
      </c>
      <c r="O308" s="462">
        <f>SUM(K308:N308)</f>
        <v>89.999978451742805</v>
      </c>
      <c r="R308" s="415">
        <v>1</v>
      </c>
      <c r="S308" s="445">
        <f>SUMIF(R296:R301,R308,S296:S301)</f>
        <v>28</v>
      </c>
      <c r="T308" s="446">
        <f>SUMIF(R296:R301,R308,T296:T301)</f>
        <v>24.000000000000004</v>
      </c>
      <c r="U308" s="446">
        <f>SUMIF(R296:R301,R308,U296:U301)</f>
        <v>21</v>
      </c>
      <c r="V308" s="447">
        <f>SUMIF(R296:R301,R308,V296:V301)</f>
        <v>17</v>
      </c>
      <c r="W308" s="462">
        <f>SUM(S308:V308)</f>
        <v>90</v>
      </c>
    </row>
    <row r="309" spans="1:23" x14ac:dyDescent="0.25">
      <c r="B309" s="415">
        <v>2</v>
      </c>
      <c r="C309" s="449">
        <f>SUMIF(B296:B301,B309,C296:C301)</f>
        <v>22.999998194941316</v>
      </c>
      <c r="D309" s="450">
        <f>SUMIF(B296:B301,B309,D296:D301)</f>
        <v>20.000000693537089</v>
      </c>
      <c r="E309" s="450">
        <f>SUMIF(B296:B301,B309,E296:E301)</f>
        <v>20.000002782173183</v>
      </c>
      <c r="F309" s="451">
        <f>SUMIF(B296:B301,B309,F296:F301)</f>
        <v>21.999998329348408</v>
      </c>
      <c r="G309" s="462">
        <f>SUM(C309:F309)</f>
        <v>85</v>
      </c>
      <c r="J309" s="415">
        <v>2</v>
      </c>
      <c r="K309" s="449">
        <f>SUMIF(J296:J301,J309,K296:K301)</f>
        <v>23.000001214488975</v>
      </c>
      <c r="L309" s="450">
        <f>SUMIF(J296:J301,J309,L296:L301)</f>
        <v>19.999999730575034</v>
      </c>
      <c r="M309" s="450">
        <f>SUMIF(J296:J301,J309,M296:M301)</f>
        <v>19.999999963062152</v>
      </c>
      <c r="N309" s="451">
        <f>SUMIF(J296:J301,J309,N296:N301)</f>
        <v>21.999980821221786</v>
      </c>
      <c r="O309" s="462">
        <f>SUM(K309:N309)</f>
        <v>84.999981729347951</v>
      </c>
      <c r="R309" s="415">
        <v>2</v>
      </c>
      <c r="S309" s="449">
        <f>SUMIF(R296:R301,R309,S296:S301)</f>
        <v>23</v>
      </c>
      <c r="T309" s="450">
        <f>SUMIF(R296:R301,R309,T296:T301)</f>
        <v>20</v>
      </c>
      <c r="U309" s="450">
        <f>SUMIF(R296:R301,R309,U296:U301)</f>
        <v>20</v>
      </c>
      <c r="V309" s="451">
        <f>SUMIF(R296:R301,R309,V296:V301)</f>
        <v>22</v>
      </c>
      <c r="W309" s="462">
        <f>SUM(S309:V309)</f>
        <v>85</v>
      </c>
    </row>
    <row r="311" spans="1:23" x14ac:dyDescent="0.25">
      <c r="A311" s="415" t="s">
        <v>37</v>
      </c>
      <c r="B311" s="415" t="s">
        <v>911</v>
      </c>
      <c r="C311">
        <v>1</v>
      </c>
      <c r="D311">
        <f>C311+1</f>
        <v>2</v>
      </c>
      <c r="E311">
        <f>D311+1</f>
        <v>3</v>
      </c>
      <c r="F311">
        <f>E311+1</f>
        <v>4</v>
      </c>
      <c r="I311" s="415" t="s">
        <v>37</v>
      </c>
      <c r="J311" s="415" t="s">
        <v>911</v>
      </c>
      <c r="K311">
        <v>1</v>
      </c>
      <c r="L311">
        <f>K311+1</f>
        <v>2</v>
      </c>
      <c r="M311">
        <f>L311+1</f>
        <v>3</v>
      </c>
      <c r="N311">
        <f>M311+1</f>
        <v>4</v>
      </c>
      <c r="Q311" s="415" t="s">
        <v>37</v>
      </c>
      <c r="R311" s="415" t="s">
        <v>911</v>
      </c>
      <c r="S311">
        <v>1</v>
      </c>
      <c r="T311">
        <f>S311+1</f>
        <v>2</v>
      </c>
      <c r="U311">
        <f>T311+1</f>
        <v>3</v>
      </c>
      <c r="V311">
        <f>U311+1</f>
        <v>4</v>
      </c>
    </row>
    <row r="312" spans="1:23" x14ac:dyDescent="0.25">
      <c r="A312" s="415">
        <v>1</v>
      </c>
      <c r="B312" s="415">
        <v>1</v>
      </c>
      <c r="C312" s="452">
        <f>S296*$G$6/$W296</f>
        <v>7.2216395305169989</v>
      </c>
      <c r="D312" s="453">
        <f>T296*$G$6/$W296</f>
        <v>6.6743923834056575</v>
      </c>
      <c r="E312" s="453">
        <f>U296*$G$6/$W296</f>
        <v>5.1797506451749831</v>
      </c>
      <c r="F312" s="454">
        <f>V296*$G$6/$W296</f>
        <v>8.9242174409023605</v>
      </c>
      <c r="G312" s="367">
        <f t="shared" ref="G312:G317" si="56">SUM(C312:F312)</f>
        <v>28</v>
      </c>
      <c r="I312" s="415">
        <v>1</v>
      </c>
      <c r="J312" s="415">
        <v>1</v>
      </c>
      <c r="K312" s="452">
        <f>C312*$C$14/C320</f>
        <v>7.221635546402335</v>
      </c>
      <c r="L312" s="453">
        <f>D312*$D$14/D320</f>
        <v>6.6743891696067372</v>
      </c>
      <c r="M312" s="453">
        <f>E312*$E$14/E320</f>
        <v>5.1797482831175978</v>
      </c>
      <c r="N312" s="454">
        <f>F312*F304/F320</f>
        <v>8.9242078410626302</v>
      </c>
      <c r="O312" s="367">
        <f t="shared" ref="O312:O317" si="57">SUM(K312:N312)</f>
        <v>27.999980840189302</v>
      </c>
      <c r="Q312" s="415">
        <v>1</v>
      </c>
      <c r="R312" s="415">
        <v>1</v>
      </c>
      <c r="S312" s="452">
        <f>K312*$C$18/K324</f>
        <v>7.221635732231948</v>
      </c>
      <c r="T312" s="453">
        <f>L312*$D$18/L324</f>
        <v>6.6743891251014782</v>
      </c>
      <c r="U312" s="453">
        <f>M312*$E$18/M324</f>
        <v>5.1797482777067945</v>
      </c>
      <c r="V312" s="454">
        <f>N312*$F$18/N324</f>
        <v>8.9242142594219178</v>
      </c>
      <c r="W312" s="367">
        <f t="shared" ref="W312:W317" si="58">SUM(S312:V312)</f>
        <v>27.999987394462138</v>
      </c>
    </row>
    <row r="313" spans="1:23" x14ac:dyDescent="0.25">
      <c r="A313" s="415">
        <v>1</v>
      </c>
      <c r="B313" s="415">
        <v>2</v>
      </c>
      <c r="C313" s="455">
        <f>S297*$G$7/$W297</f>
        <v>4.7783670897805308</v>
      </c>
      <c r="D313" s="456">
        <f>T297*$G$7/$W297</f>
        <v>7.3256143577632704</v>
      </c>
      <c r="E313" s="456">
        <f>U297*$G$7/$W297</f>
        <v>6.8202548270385437</v>
      </c>
      <c r="F313" s="457">
        <f>V297*$G$7/$W297</f>
        <v>3.0757637254176546</v>
      </c>
      <c r="G313" s="367">
        <f t="shared" si="56"/>
        <v>22</v>
      </c>
      <c r="I313" s="415">
        <v>1</v>
      </c>
      <c r="J313" s="415">
        <v>2</v>
      </c>
      <c r="K313" s="455">
        <f>C313*$C$14/C320</f>
        <v>4.778364453597665</v>
      </c>
      <c r="L313" s="456">
        <f>D313*$D$14/D320</f>
        <v>7.3256108303932628</v>
      </c>
      <c r="M313" s="456">
        <f>E313*$E$14/E320</f>
        <v>6.8202517168824022</v>
      </c>
      <c r="N313" s="457">
        <f>F313*$F$14/F320</f>
        <v>3.0757685527543734</v>
      </c>
      <c r="O313" s="367">
        <f t="shared" si="57"/>
        <v>21.999995553627702</v>
      </c>
      <c r="Q313" s="415">
        <v>1</v>
      </c>
      <c r="R313" s="415">
        <v>2</v>
      </c>
      <c r="S313" s="455">
        <f>K313*$C$19/K325</f>
        <v>4.7783643039090409</v>
      </c>
      <c r="T313" s="456">
        <f>L313*$D$19/L325</f>
        <v>7.3256108890104397</v>
      </c>
      <c r="U313" s="456">
        <f>M313*$E$19/M325</f>
        <v>6.8202517243631116</v>
      </c>
      <c r="V313" s="457">
        <f>N313*$F$19/N325</f>
        <v>3.0757701437188967</v>
      </c>
      <c r="W313" s="367">
        <f t="shared" si="58"/>
        <v>21.999997061001487</v>
      </c>
    </row>
    <row r="314" spans="1:23" x14ac:dyDescent="0.25">
      <c r="A314" s="415">
        <v>2</v>
      </c>
      <c r="B314" s="415">
        <v>1</v>
      </c>
      <c r="C314" s="455">
        <f>S298*$G$8/$W298</f>
        <v>12.598584931117792</v>
      </c>
      <c r="D314" s="456">
        <f>T298*$G$8/$W298</f>
        <v>11.122653184443955</v>
      </c>
      <c r="E314" s="456">
        <f>U298*$G$8/$W298</f>
        <v>3.3612794898212579</v>
      </c>
      <c r="F314" s="457">
        <f>V298*$G$8/$W298</f>
        <v>1.9174823946169945</v>
      </c>
      <c r="G314" s="367">
        <f t="shared" si="56"/>
        <v>28.999999999999996</v>
      </c>
      <c r="I314" s="415">
        <v>2</v>
      </c>
      <c r="J314" s="415">
        <v>1</v>
      </c>
      <c r="K314" s="455">
        <f>C314*$C$15/C321</f>
        <v>12.598587516147624</v>
      </c>
      <c r="L314" s="456">
        <f>D314*$D$15/D321</f>
        <v>11.122655666608967</v>
      </c>
      <c r="M314" s="456">
        <f>E314*$E$15/E321</f>
        <v>3.3612795758937328</v>
      </c>
      <c r="N314" s="457">
        <f>F314*$F$15/F321</f>
        <v>1.9174806045296997</v>
      </c>
      <c r="O314" s="367">
        <f t="shared" si="57"/>
        <v>29.000003363180024</v>
      </c>
      <c r="Q314" s="415">
        <v>2</v>
      </c>
      <c r="R314" s="415">
        <v>1</v>
      </c>
      <c r="S314" s="455">
        <f>K314*$C$18/K324</f>
        <v>12.598587840338816</v>
      </c>
      <c r="T314" s="456">
        <f>L314*$D$18/L324</f>
        <v>11.12265559244238</v>
      </c>
      <c r="U314" s="456">
        <f>M314*$E$18/M324</f>
        <v>3.3612795723825153</v>
      </c>
      <c r="V314" s="457">
        <f>N314*$F$18/N324</f>
        <v>1.9174819835965773</v>
      </c>
      <c r="W314" s="367">
        <f t="shared" si="58"/>
        <v>29.000004988760285</v>
      </c>
    </row>
    <row r="315" spans="1:23" x14ac:dyDescent="0.25">
      <c r="A315" s="415">
        <v>2</v>
      </c>
      <c r="B315" s="415">
        <v>2</v>
      </c>
      <c r="C315" s="455">
        <f>S299*$G$9/$W299</f>
        <v>2.4014119911207166</v>
      </c>
      <c r="D315" s="456">
        <f>T299*$G$9/$W299</f>
        <v>2.8773436912742909</v>
      </c>
      <c r="E315" s="456">
        <f>U299*$G$9/$W299</f>
        <v>9.638720177287011</v>
      </c>
      <c r="F315" s="457">
        <f>V299*$G$9/$W299</f>
        <v>5.0825241403179788</v>
      </c>
      <c r="G315" s="367">
        <f t="shared" si="56"/>
        <v>19.999999999999996</v>
      </c>
      <c r="I315" s="415">
        <v>2</v>
      </c>
      <c r="J315" s="415">
        <v>2</v>
      </c>
      <c r="K315" s="455">
        <f>C315*$C$15/C321</f>
        <v>2.4014124838523743</v>
      </c>
      <c r="L315" s="456">
        <f>D315*$D$15/D321</f>
        <v>2.8773443333910338</v>
      </c>
      <c r="M315" s="456">
        <f>E315*$E$15/E321</f>
        <v>9.6387204241062658</v>
      </c>
      <c r="N315" s="457">
        <f>F315*$F$15/F321</f>
        <v>5.0825193954702996</v>
      </c>
      <c r="O315" s="367">
        <f t="shared" si="57"/>
        <v>19.999996636819972</v>
      </c>
      <c r="Q315" s="415">
        <v>2</v>
      </c>
      <c r="R315" s="415">
        <v>2</v>
      </c>
      <c r="S315" s="455">
        <f>K315*$C$19/K325</f>
        <v>2.4014124086249331</v>
      </c>
      <c r="T315" s="456">
        <f>L315*$D$19/L325</f>
        <v>2.8773443564146159</v>
      </c>
      <c r="U315" s="456">
        <f>M315*$E$19/M325</f>
        <v>9.6387204346783797</v>
      </c>
      <c r="V315" s="457">
        <f>N315*$F$19/N325</f>
        <v>5.0825220244418583</v>
      </c>
      <c r="W315" s="367">
        <f t="shared" si="58"/>
        <v>19.999999224159787</v>
      </c>
    </row>
    <row r="316" spans="1:23" x14ac:dyDescent="0.25">
      <c r="A316" s="415">
        <v>3</v>
      </c>
      <c r="B316" s="415">
        <v>1</v>
      </c>
      <c r="C316" s="455">
        <f>S300*$G$10/$W300</f>
        <v>8.1797741825540697</v>
      </c>
      <c r="D316" s="456">
        <f>T300*$G$10/$W300</f>
        <v>6.2029538586105488</v>
      </c>
      <c r="E316" s="456">
        <f>U300*$G$10/$W300</f>
        <v>12.458967972089924</v>
      </c>
      <c r="F316" s="457">
        <f>V300*$G$10/$W300</f>
        <v>6.1583039867454623</v>
      </c>
      <c r="G316" s="367">
        <f t="shared" si="56"/>
        <v>33</v>
      </c>
      <c r="I316" s="415">
        <v>3</v>
      </c>
      <c r="J316" s="415">
        <v>1</v>
      </c>
      <c r="K316" s="455">
        <f>C316*$C$16/C322</f>
        <v>8.1797762169444166</v>
      </c>
      <c r="L316" s="456">
        <f>D316*$D$16/D322</f>
        <v>6.2029553238178501</v>
      </c>
      <c r="M316" s="456">
        <f>E316*$E$16/E322</f>
        <v>12.458972162925425</v>
      </c>
      <c r="N316" s="457">
        <f>F316*$F$16/F322</f>
        <v>6.1582993278850084</v>
      </c>
      <c r="O316" s="367">
        <f t="shared" si="57"/>
        <v>33.000003031572703</v>
      </c>
      <c r="Q316" s="415">
        <v>3</v>
      </c>
      <c r="R316" s="415">
        <v>1</v>
      </c>
      <c r="S316" s="455">
        <f>K316*$C$18/K324</f>
        <v>8.1797764274292355</v>
      </c>
      <c r="T316" s="456">
        <f>L316*$D$18/L324</f>
        <v>6.2029552824561422</v>
      </c>
      <c r="U316" s="456">
        <f>M316*$E$18/M324</f>
        <v>12.458972149910691</v>
      </c>
      <c r="V316" s="457">
        <f>N316*$F$18/N324</f>
        <v>6.1583037569815042</v>
      </c>
      <c r="W316" s="367">
        <f t="shared" si="58"/>
        <v>33.000007616777573</v>
      </c>
    </row>
    <row r="317" spans="1:23" x14ac:dyDescent="0.25">
      <c r="A317" s="415">
        <v>3</v>
      </c>
      <c r="B317" s="415">
        <v>2</v>
      </c>
      <c r="C317" s="458">
        <f>S301*$G$11/$W301</f>
        <v>15.820219848411201</v>
      </c>
      <c r="D317" s="459">
        <f>T301*$G$11/$W301</f>
        <v>9.7970423620108171</v>
      </c>
      <c r="E317" s="459">
        <f>U301*$G$11/$W301</f>
        <v>3.5410266459759057</v>
      </c>
      <c r="F317" s="460">
        <f>V301*$G$11/$W301</f>
        <v>13.841711143602076</v>
      </c>
      <c r="G317" s="367">
        <f t="shared" si="56"/>
        <v>43</v>
      </c>
      <c r="I317" s="415">
        <v>3</v>
      </c>
      <c r="J317" s="415">
        <v>2</v>
      </c>
      <c r="K317" s="458">
        <f>C317*$C$16/C322</f>
        <v>15.820223783055585</v>
      </c>
      <c r="L317" s="459">
        <f>D317*$D$16/D322</f>
        <v>9.7970446761821499</v>
      </c>
      <c r="M317" s="459">
        <f>E317*$E$16/E322</f>
        <v>3.5410278370745751</v>
      </c>
      <c r="N317" s="460">
        <f>F317*$F$16/F322</f>
        <v>13.841700672114992</v>
      </c>
      <c r="O317" s="367">
        <f t="shared" si="57"/>
        <v>42.999996968427304</v>
      </c>
      <c r="Q317" s="415">
        <v>3</v>
      </c>
      <c r="R317" s="415">
        <v>2</v>
      </c>
      <c r="S317" s="458">
        <f>K317*$C$19/K325</f>
        <v>15.820223287466026</v>
      </c>
      <c r="T317" s="459">
        <f>L317*$D$19/L325</f>
        <v>9.7970447545749462</v>
      </c>
      <c r="U317" s="459">
        <f>M317*$E$19/M325</f>
        <v>3.5410278409585083</v>
      </c>
      <c r="V317" s="460">
        <f>N317*$F$19/N325</f>
        <v>13.841707831839248</v>
      </c>
      <c r="W317" s="367">
        <f t="shared" si="58"/>
        <v>43.000003714838726</v>
      </c>
    </row>
    <row r="318" spans="1:23" x14ac:dyDescent="0.25">
      <c r="C318" s="461">
        <f>SUM(C312:C317)</f>
        <v>50.999997573501304</v>
      </c>
      <c r="D318" s="461">
        <f>SUM(D312:D317)</f>
        <v>43.99999983750854</v>
      </c>
      <c r="E318" s="461">
        <f>SUM(E312:E317)</f>
        <v>40.99999975738762</v>
      </c>
      <c r="F318" s="461">
        <f>SUM(F312:F317)</f>
        <v>39.000002831602529</v>
      </c>
      <c r="G318" s="463">
        <f>SUM(G312:G317)</f>
        <v>175</v>
      </c>
      <c r="K318" s="461">
        <f>SUM(K312:K317)</f>
        <v>51</v>
      </c>
      <c r="L318" s="461">
        <f>SUM(L312:L317)</f>
        <v>44</v>
      </c>
      <c r="M318" s="461">
        <f>SUM(M312:M317)</f>
        <v>41</v>
      </c>
      <c r="N318" s="461">
        <f>SUM(N312:N317)</f>
        <v>38.999976393817008</v>
      </c>
      <c r="O318" s="463">
        <f>SUM(O312:O317)</f>
        <v>174.99997639381701</v>
      </c>
      <c r="S318" s="461">
        <f>SUM(S312:S317)</f>
        <v>51</v>
      </c>
      <c r="T318" s="461">
        <f>SUM(T312:T317)</f>
        <v>44.000000000000007</v>
      </c>
      <c r="U318" s="461">
        <f>SUM(U312:U317)</f>
        <v>41</v>
      </c>
      <c r="V318" s="461">
        <f>SUM(V312:V317)</f>
        <v>39</v>
      </c>
      <c r="W318" s="463">
        <f>SUM(W312:W317)</f>
        <v>175</v>
      </c>
    </row>
    <row r="320" spans="1:23" x14ac:dyDescent="0.25">
      <c r="A320" s="415">
        <v>1</v>
      </c>
      <c r="C320" s="445">
        <f>SUMIF(A312:A317,A320,C312:C317)</f>
        <v>12.00000662029753</v>
      </c>
      <c r="D320" s="446">
        <f>SUMIF(A312:A317,A320,D312:D317)</f>
        <v>14.000006741168928</v>
      </c>
      <c r="E320" s="446">
        <f>SUMIF(A312:A317,A320,E312:E317)</f>
        <v>12.000005472213527</v>
      </c>
      <c r="F320" s="447">
        <f>SUMIF(A312:A317,A320,F312:F317)</f>
        <v>11.999981166320016</v>
      </c>
      <c r="G320" s="462">
        <f>SUM(C320:F320)</f>
        <v>50</v>
      </c>
      <c r="I320" s="415">
        <v>1</v>
      </c>
      <c r="K320" s="445">
        <f>SUMIF(I312:I317,I320,K312:K317)</f>
        <v>12</v>
      </c>
      <c r="L320" s="446">
        <f>SUMIF(I312:I317,I320,L312:L317)</f>
        <v>14</v>
      </c>
      <c r="M320" s="446">
        <f>SUMIF(I312:I317,I320,M312:M317)</f>
        <v>12</v>
      </c>
      <c r="N320" s="447">
        <f>SUMIF(I312:I317,I320,N312:N317)</f>
        <v>11.999976393817004</v>
      </c>
      <c r="O320" s="462">
        <f>SUM(K320:N320)</f>
        <v>49.999976393817008</v>
      </c>
      <c r="Q320" s="415">
        <v>1</v>
      </c>
      <c r="S320" s="445">
        <f>SUMIF(Q312:Q317,Q320,S312:S317)</f>
        <v>12.000000036140989</v>
      </c>
      <c r="T320" s="446">
        <f>SUMIF(Q312:Q317,Q320,T312:T317)</f>
        <v>14.000000014111919</v>
      </c>
      <c r="U320" s="446">
        <f>SUMIF(Q312:Q317,Q320,U312:U317)</f>
        <v>12.000000002069907</v>
      </c>
      <c r="V320" s="447">
        <f>SUMIF(Q312:Q317,Q320,V312:V317)</f>
        <v>11.999984403140814</v>
      </c>
      <c r="W320" s="462">
        <f>SUM(S320:V320)</f>
        <v>49.999984455463633</v>
      </c>
    </row>
    <row r="321" spans="1:23" x14ac:dyDescent="0.25">
      <c r="A321" s="415">
        <v>2</v>
      </c>
      <c r="C321" s="448">
        <f>SUMIF(A312:A317,A321,C312:C317)</f>
        <v>14.999996922238509</v>
      </c>
      <c r="D321" s="367">
        <f>SUMIF(A312:A317,A321,D312:D317)</f>
        <v>13.999996875718246</v>
      </c>
      <c r="E321" s="367">
        <f>SUMIF(A312:A317,A321,E312:E317)</f>
        <v>12.99999966710827</v>
      </c>
      <c r="F321" s="364">
        <f>SUMIF(A312:A317,A321,F312:F317)</f>
        <v>7.0000065349349736</v>
      </c>
      <c r="G321" s="462">
        <f>SUM(C321:F321)</f>
        <v>49</v>
      </c>
      <c r="I321" s="415">
        <v>2</v>
      </c>
      <c r="K321" s="448">
        <f>SUMIF(I312:I317,I321,K312:K317)</f>
        <v>14.999999999999998</v>
      </c>
      <c r="L321" s="367">
        <f>SUMIF(I312:I317,I321,L312:L317)</f>
        <v>14</v>
      </c>
      <c r="M321" s="367">
        <f>SUMIF(I312:I317,I321,M312:M317)</f>
        <v>12.999999999999998</v>
      </c>
      <c r="N321" s="364">
        <f>SUMIF(I312:I317,I321,N312:N317)</f>
        <v>6.9999999999999991</v>
      </c>
      <c r="O321" s="462">
        <f>SUM(K321:N321)</f>
        <v>49</v>
      </c>
      <c r="Q321" s="415">
        <v>2</v>
      </c>
      <c r="S321" s="448">
        <f>SUMIF(Q312:Q317,Q321,S312:S317)</f>
        <v>15.000000248963749</v>
      </c>
      <c r="T321" s="367">
        <f>SUMIF(Q312:Q317,Q321,T312:T317)</f>
        <v>13.999999948856996</v>
      </c>
      <c r="U321" s="367">
        <f>SUMIF(Q312:Q317,Q321,U312:U317)</f>
        <v>13.000000007060894</v>
      </c>
      <c r="V321" s="364">
        <f>SUMIF(Q312:Q317,Q321,V312:V317)</f>
        <v>7.0000040080384354</v>
      </c>
      <c r="W321" s="462">
        <f>SUM(S321:V321)</f>
        <v>49.000004212920082</v>
      </c>
    </row>
    <row r="322" spans="1:23" x14ac:dyDescent="0.25">
      <c r="A322" s="415">
        <v>3</v>
      </c>
      <c r="C322" s="449">
        <f>SUMIF(A312:A317,A322,C312:C317)</f>
        <v>23.999994030965269</v>
      </c>
      <c r="D322" s="450">
        <f>SUMIF(A312:A317,A322,D312:D317)</f>
        <v>15.999996220621366</v>
      </c>
      <c r="E322" s="450">
        <f>SUMIF(A312:A317,A322,E312:E317)</f>
        <v>15.999994618065831</v>
      </c>
      <c r="F322" s="451">
        <f>SUMIF(A312:A317,A322,F312:F317)</f>
        <v>20.000015130347538</v>
      </c>
      <c r="G322" s="462">
        <f>SUM(C322:F322)</f>
        <v>76</v>
      </c>
      <c r="I322" s="415">
        <v>3</v>
      </c>
      <c r="K322" s="449">
        <f>SUMIF(I312:I317,I322,K312:K317)</f>
        <v>24</v>
      </c>
      <c r="L322" s="450">
        <f>SUMIF(I312:I317,I322,L312:L317)</f>
        <v>16</v>
      </c>
      <c r="M322" s="450">
        <f>SUMIF(I312:I317,I322,M312:M317)</f>
        <v>16</v>
      </c>
      <c r="N322" s="451">
        <f>SUMIF(I312:I317,I322,N312:N317)</f>
        <v>20</v>
      </c>
      <c r="O322" s="462">
        <f>SUM(K322:N322)</f>
        <v>76</v>
      </c>
      <c r="Q322" s="415">
        <v>3</v>
      </c>
      <c r="S322" s="449">
        <f>SUMIF(Q312:Q317,Q322,S312:S317)</f>
        <v>23.99999971489526</v>
      </c>
      <c r="T322" s="450">
        <f>SUMIF(Q312:Q317,Q322,T312:T317)</f>
        <v>16.000000037031089</v>
      </c>
      <c r="U322" s="450">
        <f>SUMIF(Q312:Q317,Q322,U312:U317)</f>
        <v>15.999999990869199</v>
      </c>
      <c r="V322" s="451">
        <f>SUMIF(Q312:Q317,Q322,V312:V317)</f>
        <v>20.000011588820751</v>
      </c>
      <c r="W322" s="462">
        <f>SUM(S322:V322)</f>
        <v>76.000011331616307</v>
      </c>
    </row>
    <row r="324" spans="1:23" x14ac:dyDescent="0.25">
      <c r="B324" s="415">
        <v>1</v>
      </c>
      <c r="C324" s="445">
        <f>SUMIF(B312:B317,B324,C312:C317)</f>
        <v>27.99999864418886</v>
      </c>
      <c r="D324" s="446">
        <f>SUMIF(B312:B317,B324,D312:D317)</f>
        <v>23.99999942646016</v>
      </c>
      <c r="E324" s="446">
        <f>SUMIF(B312:B317,B324,E312:E317)</f>
        <v>20.999998107086164</v>
      </c>
      <c r="F324" s="447">
        <f>SUMIF(B312:B317,B324,F312:F317)</f>
        <v>17.000003822264816</v>
      </c>
      <c r="G324" s="462">
        <f>SUM(C324:F324)</f>
        <v>90</v>
      </c>
      <c r="J324" s="415">
        <v>1</v>
      </c>
      <c r="K324" s="445">
        <f>SUMIF(J312:J317,J324,K312:K317)</f>
        <v>27.999999279494375</v>
      </c>
      <c r="L324" s="446">
        <f>SUMIF(J312:J317,J324,L312:L317)</f>
        <v>24.000000160033554</v>
      </c>
      <c r="M324" s="446">
        <f>SUMIF(J312:J317,J324,M312:M317)</f>
        <v>21.000000021936756</v>
      </c>
      <c r="N324" s="447">
        <f>SUMIF(J312:J317,J324,N312:N317)</f>
        <v>16.99998777347734</v>
      </c>
      <c r="O324" s="462">
        <f>SUM(K324:N324)</f>
        <v>89.999987234942026</v>
      </c>
      <c r="R324" s="415">
        <v>1</v>
      </c>
      <c r="S324" s="445">
        <f>SUMIF(R312:R317,R324,S312:S317)</f>
        <v>28</v>
      </c>
      <c r="T324" s="446">
        <f>SUMIF(R312:R317,R324,T312:T317)</f>
        <v>24</v>
      </c>
      <c r="U324" s="446">
        <f>SUMIF(R312:R317,R324,U312:U317)</f>
        <v>21</v>
      </c>
      <c r="V324" s="447">
        <f>SUMIF(R312:R317,R324,V312:V317)</f>
        <v>17</v>
      </c>
      <c r="W324" s="462">
        <f>SUM(S324:V324)</f>
        <v>90</v>
      </c>
    </row>
    <row r="325" spans="1:23" x14ac:dyDescent="0.25">
      <c r="B325" s="415">
        <v>2</v>
      </c>
      <c r="C325" s="449">
        <f>SUMIF(B312:B317,B325,C312:C317)</f>
        <v>22.999998929312447</v>
      </c>
      <c r="D325" s="450">
        <f>SUMIF(B312:B317,B325,D312:D317)</f>
        <v>20.000000411048379</v>
      </c>
      <c r="E325" s="450">
        <f>SUMIF(B312:B317,B325,E312:E317)</f>
        <v>20.00000165030146</v>
      </c>
      <c r="F325" s="451">
        <f>SUMIF(B312:B317,B325,F312:F317)</f>
        <v>21.99999900933771</v>
      </c>
      <c r="G325" s="462">
        <f>SUM(C325:F325)</f>
        <v>85</v>
      </c>
      <c r="J325" s="415">
        <v>2</v>
      </c>
      <c r="K325" s="449">
        <f>SUMIF(J312:J317,J325,K312:K317)</f>
        <v>23.000000720505625</v>
      </c>
      <c r="L325" s="450">
        <f>SUMIF(J312:J317,J325,L312:L317)</f>
        <v>19.999999839966446</v>
      </c>
      <c r="M325" s="450">
        <f>SUMIF(J312:J317,J325,M312:M317)</f>
        <v>19.999999978063244</v>
      </c>
      <c r="N325" s="451">
        <f>SUMIF(J312:J317,J325,N312:N317)</f>
        <v>21.999988620339664</v>
      </c>
      <c r="O325" s="462">
        <f>SUM(K325:N325)</f>
        <v>84.999989158874982</v>
      </c>
      <c r="R325" s="415">
        <v>2</v>
      </c>
      <c r="S325" s="449">
        <f>SUMIF(R312:R317,R325,S312:S317)</f>
        <v>23</v>
      </c>
      <c r="T325" s="450">
        <f>SUMIF(R312:R317,R325,T312:T317)</f>
        <v>20</v>
      </c>
      <c r="U325" s="450">
        <f>SUMIF(R312:R317,R325,U312:U317)</f>
        <v>20</v>
      </c>
      <c r="V325" s="451">
        <f>SUMIF(R312:R317,R325,V312:V317)</f>
        <v>22.000000000000004</v>
      </c>
      <c r="W325" s="462">
        <f>SUM(S325:V325)</f>
        <v>85</v>
      </c>
    </row>
  </sheetData>
  <mergeCells count="2">
    <mergeCell ref="C4:F4"/>
    <mergeCell ref="S4:V4"/>
  </mergeCells>
  <pageMargins left="0.7" right="0.7" top="0.75" bottom="0.75" header="0.3" footer="0.3"/>
  <pageSetup orientation="portrait" r:id="rId1"/>
  <ignoredErrors>
    <ignoredError sqref="G18:G19" formulaRange="1"/>
  </ignoredError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/>
  <dimension ref="A1:X25"/>
  <sheetViews>
    <sheetView workbookViewId="0"/>
  </sheetViews>
  <sheetFormatPr defaultRowHeight="15" x14ac:dyDescent="0.25"/>
  <cols>
    <col min="1" max="2" width="7.42578125" customWidth="1"/>
    <col min="3" max="7" width="7.7109375" customWidth="1"/>
    <col min="8" max="8" width="4" customWidth="1"/>
    <col min="9" max="10" width="7.28515625" customWidth="1"/>
    <col min="11" max="15" width="7.7109375" customWidth="1"/>
    <col min="16" max="16" width="3.85546875" customWidth="1"/>
    <col min="17" max="17" width="5.5703125" customWidth="1"/>
    <col min="18" max="19" width="7.7109375" customWidth="1"/>
  </cols>
  <sheetData>
    <row r="1" spans="1:24" x14ac:dyDescent="0.25">
      <c r="A1" s="1" t="s">
        <v>915</v>
      </c>
      <c r="C1" s="1"/>
      <c r="I1" s="1"/>
      <c r="K1" s="1" t="s">
        <v>913</v>
      </c>
      <c r="R1" s="1" t="s">
        <v>2421</v>
      </c>
    </row>
    <row r="3" spans="1:24" x14ac:dyDescent="0.25">
      <c r="C3" s="1309" t="s">
        <v>912</v>
      </c>
      <c r="D3" s="1309"/>
      <c r="E3" s="1309"/>
      <c r="F3" s="1309"/>
      <c r="K3" s="1309" t="s">
        <v>912</v>
      </c>
      <c r="L3" s="1309"/>
      <c r="M3" s="1309"/>
      <c r="N3" s="1309"/>
      <c r="T3" s="1309" t="s">
        <v>912</v>
      </c>
      <c r="U3" s="1309"/>
      <c r="V3" s="1309"/>
      <c r="W3" s="1309"/>
    </row>
    <row r="4" spans="1:24" x14ac:dyDescent="0.25">
      <c r="A4" s="1074" t="s">
        <v>37</v>
      </c>
      <c r="B4" s="1074" t="s">
        <v>911</v>
      </c>
      <c r="C4">
        <v>1</v>
      </c>
      <c r="D4">
        <f>C4+1</f>
        <v>2</v>
      </c>
      <c r="E4">
        <f>D4+1</f>
        <v>3</v>
      </c>
      <c r="F4">
        <f>E4+1</f>
        <v>4</v>
      </c>
      <c r="I4" s="1074" t="s">
        <v>37</v>
      </c>
      <c r="J4" s="1074" t="s">
        <v>911</v>
      </c>
      <c r="K4">
        <v>1</v>
      </c>
      <c r="L4">
        <f>K4+1</f>
        <v>2</v>
      </c>
      <c r="M4">
        <f>L4+1</f>
        <v>3</v>
      </c>
      <c r="N4">
        <f>M4+1</f>
        <v>4</v>
      </c>
      <c r="R4" s="1074" t="s">
        <v>37</v>
      </c>
      <c r="S4" s="1074" t="s">
        <v>911</v>
      </c>
      <c r="T4">
        <v>1</v>
      </c>
      <c r="U4">
        <f>T4+1</f>
        <v>2</v>
      </c>
      <c r="V4">
        <f>U4+1</f>
        <v>3</v>
      </c>
      <c r="W4">
        <f>V4+1</f>
        <v>4</v>
      </c>
    </row>
    <row r="5" spans="1:24" x14ac:dyDescent="0.25">
      <c r="A5" s="1074">
        <v>1</v>
      </c>
      <c r="B5" s="1074">
        <v>1</v>
      </c>
      <c r="C5" s="452">
        <v>5</v>
      </c>
      <c r="D5" s="453">
        <v>4</v>
      </c>
      <c r="E5" s="453">
        <v>6</v>
      </c>
      <c r="F5" s="454">
        <v>7</v>
      </c>
      <c r="G5" s="367">
        <f t="shared" ref="G5:G10" si="0">SUM(C5:F5)</f>
        <v>22</v>
      </c>
      <c r="I5" s="1074">
        <v>1</v>
      </c>
      <c r="J5" s="1074">
        <v>1</v>
      </c>
      <c r="K5" s="452">
        <v>7</v>
      </c>
      <c r="L5" s="453">
        <v>8</v>
      </c>
      <c r="M5" s="453">
        <v>5</v>
      </c>
      <c r="N5" s="454">
        <v>8</v>
      </c>
      <c r="O5" s="367">
        <f t="shared" ref="O5:O10" si="1">SUM(K5:N5)</f>
        <v>28</v>
      </c>
      <c r="R5" s="1077">
        <f t="array" ref="R5:W10">[1]!IPFP3(A5:F10,K5:N10)</f>
        <v>1</v>
      </c>
      <c r="S5" s="1077">
        <v>1</v>
      </c>
      <c r="T5" s="1083">
        <v>7.1955135782868025</v>
      </c>
      <c r="U5" s="1084">
        <v>6.6468509264688045</v>
      </c>
      <c r="V5" s="1084">
        <v>5.1566887413968407</v>
      </c>
      <c r="W5" s="1079">
        <v>9.0009467538687655</v>
      </c>
      <c r="X5" s="367">
        <f t="shared" ref="X5:X10" si="2">SUM(T5:W5)</f>
        <v>28.000000000021217</v>
      </c>
    </row>
    <row r="6" spans="1:24" x14ac:dyDescent="0.25">
      <c r="A6" s="1074">
        <v>1</v>
      </c>
      <c r="B6" s="1074">
        <v>2</v>
      </c>
      <c r="C6" s="455">
        <v>3</v>
      </c>
      <c r="D6" s="456">
        <v>6</v>
      </c>
      <c r="E6" s="456">
        <v>5</v>
      </c>
      <c r="F6" s="457">
        <v>2</v>
      </c>
      <c r="G6" s="367">
        <f t="shared" si="0"/>
        <v>16</v>
      </c>
      <c r="I6" s="1074">
        <v>1</v>
      </c>
      <c r="J6" s="1074">
        <v>2</v>
      </c>
      <c r="K6" s="455">
        <v>5</v>
      </c>
      <c r="L6" s="456">
        <v>6</v>
      </c>
      <c r="M6" s="456">
        <v>7</v>
      </c>
      <c r="N6" s="457">
        <v>4</v>
      </c>
      <c r="O6" s="367">
        <f t="shared" si="1"/>
        <v>22</v>
      </c>
      <c r="R6" s="1077">
        <v>1</v>
      </c>
      <c r="S6" s="1077">
        <v>2</v>
      </c>
      <c r="T6" s="1085">
        <v>4.8044864217174625</v>
      </c>
      <c r="U6" s="456">
        <v>7.353149073532208</v>
      </c>
      <c r="V6" s="456">
        <v>6.8433112586128901</v>
      </c>
      <c r="W6" s="1080">
        <v>2.9990532461636943</v>
      </c>
      <c r="X6" s="367">
        <f t="shared" si="2"/>
        <v>22.000000000026255</v>
      </c>
    </row>
    <row r="7" spans="1:24" x14ac:dyDescent="0.25">
      <c r="A7" s="1074">
        <v>2</v>
      </c>
      <c r="B7" s="1074">
        <v>1</v>
      </c>
      <c r="C7" s="455">
        <v>9</v>
      </c>
      <c r="D7" s="456">
        <v>11</v>
      </c>
      <c r="E7" s="456">
        <v>3</v>
      </c>
      <c r="F7" s="457">
        <v>1</v>
      </c>
      <c r="G7" s="367">
        <f t="shared" si="0"/>
        <v>24</v>
      </c>
      <c r="I7" s="1074">
        <v>2</v>
      </c>
      <c r="J7" s="1074">
        <v>1</v>
      </c>
      <c r="K7" s="455">
        <v>12</v>
      </c>
      <c r="L7" s="456">
        <v>10</v>
      </c>
      <c r="M7" s="456">
        <v>5</v>
      </c>
      <c r="N7" s="457">
        <v>2</v>
      </c>
      <c r="O7" s="367">
        <f t="shared" si="1"/>
        <v>29</v>
      </c>
      <c r="R7" s="1077">
        <v>2</v>
      </c>
      <c r="S7" s="1077">
        <v>1</v>
      </c>
      <c r="T7" s="1085">
        <v>12.603028997081015</v>
      </c>
      <c r="U7" s="456">
        <v>11.130403486735617</v>
      </c>
      <c r="V7" s="456">
        <v>3.3698651709764826</v>
      </c>
      <c r="W7" s="1080">
        <v>1.8967023451152365</v>
      </c>
      <c r="X7" s="367">
        <f t="shared" si="2"/>
        <v>28.999999999908351</v>
      </c>
    </row>
    <row r="8" spans="1:24" x14ac:dyDescent="0.25">
      <c r="A8" s="1074">
        <v>2</v>
      </c>
      <c r="B8" s="1074">
        <v>2</v>
      </c>
      <c r="C8" s="455">
        <v>2</v>
      </c>
      <c r="D8" s="456">
        <v>5</v>
      </c>
      <c r="E8" s="456">
        <v>7</v>
      </c>
      <c r="F8" s="457">
        <v>3</v>
      </c>
      <c r="G8" s="367">
        <f t="shared" si="0"/>
        <v>17</v>
      </c>
      <c r="I8" s="1074">
        <v>2</v>
      </c>
      <c r="J8" s="1074">
        <v>2</v>
      </c>
      <c r="K8" s="455">
        <v>3</v>
      </c>
      <c r="L8" s="456">
        <v>4</v>
      </c>
      <c r="M8" s="456">
        <v>8</v>
      </c>
      <c r="N8" s="457">
        <v>5</v>
      </c>
      <c r="O8" s="367">
        <f t="shared" si="1"/>
        <v>20</v>
      </c>
      <c r="R8" s="1077">
        <v>2</v>
      </c>
      <c r="S8" s="1077">
        <v>2</v>
      </c>
      <c r="T8" s="1085">
        <v>2.3969710029496647</v>
      </c>
      <c r="U8" s="456">
        <v>2.8695965132608077</v>
      </c>
      <c r="V8" s="456">
        <v>9.6301348290558497</v>
      </c>
      <c r="W8" s="1080">
        <v>5.1032976548748223</v>
      </c>
      <c r="X8" s="367">
        <f t="shared" si="2"/>
        <v>20.000000000141142</v>
      </c>
    </row>
    <row r="9" spans="1:24" x14ac:dyDescent="0.25">
      <c r="A9" s="1074">
        <v>3</v>
      </c>
      <c r="B9" s="1074">
        <v>1</v>
      </c>
      <c r="C9" s="455">
        <v>8</v>
      </c>
      <c r="D9" s="456">
        <v>4</v>
      </c>
      <c r="E9" s="456">
        <v>12</v>
      </c>
      <c r="F9" s="457">
        <v>6</v>
      </c>
      <c r="G9" s="367">
        <f t="shared" si="0"/>
        <v>30</v>
      </c>
      <c r="I9" s="1074">
        <v>3</v>
      </c>
      <c r="J9" s="1074">
        <v>1</v>
      </c>
      <c r="K9" s="455">
        <v>9</v>
      </c>
      <c r="L9" s="456">
        <v>6</v>
      </c>
      <c r="M9" s="456">
        <v>11</v>
      </c>
      <c r="N9" s="457">
        <v>7</v>
      </c>
      <c r="O9" s="367">
        <f t="shared" si="1"/>
        <v>33</v>
      </c>
      <c r="R9" s="1077">
        <v>3</v>
      </c>
      <c r="S9" s="1077">
        <v>1</v>
      </c>
      <c r="T9" s="1085">
        <v>8.2014574246321814</v>
      </c>
      <c r="U9" s="456">
        <v>6.2227455867955799</v>
      </c>
      <c r="V9" s="456">
        <v>12.473446087626675</v>
      </c>
      <c r="W9" s="1080">
        <v>6.1023509010159991</v>
      </c>
      <c r="X9" s="367">
        <f t="shared" si="2"/>
        <v>33.000000000070429</v>
      </c>
    </row>
    <row r="10" spans="1:24" x14ac:dyDescent="0.25">
      <c r="A10" s="1074">
        <v>3</v>
      </c>
      <c r="B10" s="1074">
        <v>2</v>
      </c>
      <c r="C10" s="458">
        <v>13</v>
      </c>
      <c r="D10" s="459">
        <v>8</v>
      </c>
      <c r="E10" s="459">
        <v>2</v>
      </c>
      <c r="F10" s="460">
        <v>11</v>
      </c>
      <c r="G10" s="367">
        <f t="shared" si="0"/>
        <v>34</v>
      </c>
      <c r="I10" s="1074">
        <v>3</v>
      </c>
      <c r="J10" s="1074">
        <v>2</v>
      </c>
      <c r="K10" s="458">
        <v>15</v>
      </c>
      <c r="L10" s="459">
        <v>10</v>
      </c>
      <c r="M10" s="459">
        <v>5</v>
      </c>
      <c r="N10" s="460">
        <v>13</v>
      </c>
      <c r="O10" s="367">
        <f t="shared" si="1"/>
        <v>43</v>
      </c>
      <c r="R10" s="1077">
        <v>3</v>
      </c>
      <c r="S10" s="1077">
        <v>2</v>
      </c>
      <c r="T10" s="458">
        <v>15.798542575332872</v>
      </c>
      <c r="U10" s="1081">
        <v>9.7772544132069825</v>
      </c>
      <c r="V10" s="1081">
        <v>3.5265539123312597</v>
      </c>
      <c r="W10" s="1082">
        <v>13.897649098961482</v>
      </c>
      <c r="X10" s="367">
        <f t="shared" si="2"/>
        <v>42.999999999832596</v>
      </c>
    </row>
    <row r="11" spans="1:24" x14ac:dyDescent="0.25">
      <c r="C11" s="461">
        <f>SUM(C5:C10)</f>
        <v>40</v>
      </c>
      <c r="D11" s="461">
        <f>SUM(D5:D10)</f>
        <v>38</v>
      </c>
      <c r="E11" s="461">
        <f>SUM(E5:E10)</f>
        <v>35</v>
      </c>
      <c r="F11" s="461">
        <f>SUM(F5:F10)</f>
        <v>30</v>
      </c>
      <c r="G11" s="463">
        <f>SUM(G5:G10)</f>
        <v>143</v>
      </c>
      <c r="K11" s="461">
        <f>SUM(K5:K10)</f>
        <v>51</v>
      </c>
      <c r="L11" s="461">
        <f>SUM(L5:L10)</f>
        <v>44</v>
      </c>
      <c r="M11" s="461">
        <f>SUM(M5:M10)</f>
        <v>41</v>
      </c>
      <c r="N11" s="461">
        <f>SUM(N5:N10)</f>
        <v>39</v>
      </c>
      <c r="O11" s="463">
        <f>SUM(O5:O10)</f>
        <v>175</v>
      </c>
      <c r="T11" s="461">
        <f>SUM(T5:T10)</f>
        <v>51</v>
      </c>
      <c r="U11" s="461">
        <f>SUM(U5:U10)</f>
        <v>44</v>
      </c>
      <c r="V11" s="461">
        <f>SUM(V5:V10)</f>
        <v>41</v>
      </c>
      <c r="W11" s="461">
        <f>SUM(W5:W10)</f>
        <v>39</v>
      </c>
      <c r="X11" s="463">
        <f>SUM(X5:X10)</f>
        <v>175</v>
      </c>
    </row>
    <row r="12" spans="1:24" x14ac:dyDescent="0.25">
      <c r="O12" s="444"/>
      <c r="X12" s="444"/>
    </row>
    <row r="13" spans="1:24" x14ac:dyDescent="0.25">
      <c r="A13" s="1074">
        <v>1</v>
      </c>
      <c r="C13" s="445">
        <f>SUMIF(A5:A10,A13,C5:C10)</f>
        <v>8</v>
      </c>
      <c r="D13" s="446">
        <f>SUMIF(A5:A10,A13,D5:D10)</f>
        <v>10</v>
      </c>
      <c r="E13" s="446">
        <f>SUMIF(A5:A10,A13,E5:E10)</f>
        <v>11</v>
      </c>
      <c r="F13" s="447">
        <f>SUMIF(A5:A10,A13,F5:F10)</f>
        <v>9</v>
      </c>
      <c r="G13" s="462">
        <f>SUM(C13:F13)</f>
        <v>38</v>
      </c>
      <c r="I13" s="1074">
        <v>1</v>
      </c>
      <c r="K13" s="445">
        <f>SUMIF(I5:I10,I13,K5:K10)</f>
        <v>12</v>
      </c>
      <c r="L13" s="446">
        <f>SUMIF(I5:I10,I13,L5:L10)</f>
        <v>14</v>
      </c>
      <c r="M13" s="446">
        <f>SUMIF(I5:I10,I13,M5:M10)</f>
        <v>12</v>
      </c>
      <c r="N13" s="447">
        <f>SUMIF(I5:I10,I13,N5:N10)</f>
        <v>12</v>
      </c>
      <c r="O13" s="462">
        <f>SUM(K13:N13)</f>
        <v>50</v>
      </c>
      <c r="R13" s="1074">
        <v>1</v>
      </c>
      <c r="T13" s="445">
        <f>SUMIF(R5:R10,R13,T5:T10)</f>
        <v>12.000000000004265</v>
      </c>
      <c r="U13" s="446">
        <f>SUMIF(R5:R10,R13,U5:U10)</f>
        <v>14.000000000001013</v>
      </c>
      <c r="V13" s="446">
        <f>SUMIF(R5:R10,R13,V5:V10)</f>
        <v>12.000000000009731</v>
      </c>
      <c r="W13" s="447">
        <f>SUMIF(R5:R10,R13,W5:W10)</f>
        <v>12.000000000032459</v>
      </c>
      <c r="X13" s="462">
        <f>SUM(T13:W13)</f>
        <v>50.000000000047464</v>
      </c>
    </row>
    <row r="14" spans="1:24" x14ac:dyDescent="0.25">
      <c r="A14" s="1074">
        <v>2</v>
      </c>
      <c r="C14" s="448">
        <f>SUMIF(A5:A10,A14,C5:C10)</f>
        <v>11</v>
      </c>
      <c r="D14" s="367">
        <f>SUMIF(A5:A10,A14,D5:D10)</f>
        <v>16</v>
      </c>
      <c r="E14" s="367">
        <f>SUMIF(A5:A10,A14,E5:E10)</f>
        <v>10</v>
      </c>
      <c r="F14" s="364">
        <f>SUMIF(A5:A10,A14,F5:F10)</f>
        <v>4</v>
      </c>
      <c r="G14" s="462">
        <f>SUM(C14:F14)</f>
        <v>41</v>
      </c>
      <c r="I14" s="1074">
        <v>2</v>
      </c>
      <c r="K14" s="448">
        <f>SUMIF(I5:I10,I14,K5:K10)</f>
        <v>15</v>
      </c>
      <c r="L14" s="367">
        <f>SUMIF(I5:I10,I14,L5:L10)</f>
        <v>14</v>
      </c>
      <c r="M14" s="367">
        <f>SUMIF(I5:I10,I14,M5:M10)</f>
        <v>13</v>
      </c>
      <c r="N14" s="364">
        <f>SUMIF(I5:I10,I14,N5:N10)</f>
        <v>7</v>
      </c>
      <c r="O14" s="462">
        <f>SUM(K14:N14)</f>
        <v>49</v>
      </c>
      <c r="R14" s="1074">
        <v>2</v>
      </c>
      <c r="T14" s="448">
        <f>SUMIF(R5:R10,R14,T5:T10)</f>
        <v>15.000000000030679</v>
      </c>
      <c r="U14" s="367">
        <f>SUMIF(R5:R10,R14,U5:U10)</f>
        <v>13.999999999996424</v>
      </c>
      <c r="V14" s="367">
        <f>SUMIF(R5:R10,R14,V5:V10)</f>
        <v>13.000000000032333</v>
      </c>
      <c r="W14" s="364">
        <f>SUMIF(R5:R10,R14,W5:W10)</f>
        <v>6.9999999999900586</v>
      </c>
      <c r="X14" s="462">
        <f>SUM(T14:W14)</f>
        <v>49.000000000049496</v>
      </c>
    </row>
    <row r="15" spans="1:24" x14ac:dyDescent="0.25">
      <c r="A15" s="1074">
        <v>3</v>
      </c>
      <c r="C15" s="449">
        <f>SUMIF(A5:A10,A15,C5:C10)</f>
        <v>21</v>
      </c>
      <c r="D15" s="450">
        <f>SUMIF(A5:A10,A15,D5:D10)</f>
        <v>12</v>
      </c>
      <c r="E15" s="450">
        <f>SUMIF(A5:A10,A15,E5:E10)</f>
        <v>14</v>
      </c>
      <c r="F15" s="451">
        <f>SUMIF(A5:A10,A15,F5:F10)</f>
        <v>17</v>
      </c>
      <c r="G15" s="462">
        <f>SUM(C15:F15)</f>
        <v>64</v>
      </c>
      <c r="I15" s="1074">
        <v>3</v>
      </c>
      <c r="K15" s="449">
        <f>SUMIF(I5:I10,I15,K5:K10)</f>
        <v>24</v>
      </c>
      <c r="L15" s="450">
        <f>SUMIF(I5:I10,I15,L5:L10)</f>
        <v>16</v>
      </c>
      <c r="M15" s="450">
        <f>SUMIF(I5:I10,I15,M5:M10)</f>
        <v>16</v>
      </c>
      <c r="N15" s="451">
        <f>SUMIF(I5:I10,I15,N5:N10)</f>
        <v>20</v>
      </c>
      <c r="O15" s="462">
        <f>SUM(K15:N15)</f>
        <v>76</v>
      </c>
      <c r="R15" s="1074">
        <v>3</v>
      </c>
      <c r="T15" s="449">
        <f>SUMIF(R5:R10,R15,T5:T10)</f>
        <v>23.999999999965056</v>
      </c>
      <c r="U15" s="450">
        <f>SUMIF(R5:R10,R15,U5:U10)</f>
        <v>16.000000000002562</v>
      </c>
      <c r="V15" s="450">
        <f>SUMIF(R5:R10,R15,V5:V10)</f>
        <v>15.999999999957934</v>
      </c>
      <c r="W15" s="451">
        <f>SUMIF(R5:R10,R15,W5:W10)</f>
        <v>19.999999999977483</v>
      </c>
      <c r="X15" s="462">
        <f>SUM(T15:W15)</f>
        <v>75.999999999903025</v>
      </c>
    </row>
    <row r="17" spans="2:24" x14ac:dyDescent="0.25">
      <c r="B17" s="1074">
        <v>1</v>
      </c>
      <c r="C17" s="445">
        <f>SUMIF(B5:B10,B17,C5:C10)</f>
        <v>22</v>
      </c>
      <c r="D17" s="446">
        <f>SUMIF(B5:B10,B17,D5:D10)</f>
        <v>19</v>
      </c>
      <c r="E17" s="446">
        <f>SUMIF(B5:B10,B17,E5:E10)</f>
        <v>21</v>
      </c>
      <c r="F17" s="447">
        <f>SUMIF(B5:B10,B17,F5:F10)</f>
        <v>14</v>
      </c>
      <c r="G17" s="462">
        <f>SUM(C17:F17)</f>
        <v>76</v>
      </c>
      <c r="J17" s="1074">
        <v>1</v>
      </c>
      <c r="K17" s="445">
        <f>SUMIF(J5:J10,J17,K5:K10)</f>
        <v>28</v>
      </c>
      <c r="L17" s="446">
        <f>SUMIF(J5:J10,J17,L5:L10)</f>
        <v>24</v>
      </c>
      <c r="M17" s="446">
        <f>SUMIF(J5:J10,J17,M5:M10)</f>
        <v>21</v>
      </c>
      <c r="N17" s="447">
        <f>SUMIF(J5:J10,J17,N5:N10)</f>
        <v>17</v>
      </c>
      <c r="O17" s="462">
        <f>SUM(K17:N17)</f>
        <v>90</v>
      </c>
      <c r="S17" s="1074">
        <v>1</v>
      </c>
      <c r="T17" s="445">
        <f>SUMIF(S5:S10,S17,T5:T10)</f>
        <v>28</v>
      </c>
      <c r="U17" s="446">
        <f>SUMIF(S5:S10,S17,U5:U10)</f>
        <v>24</v>
      </c>
      <c r="V17" s="446">
        <f>SUMIF(S5:S10,S17,V5:V10)</f>
        <v>21</v>
      </c>
      <c r="W17" s="447">
        <f>SUMIF(S5:S10,S17,W5:W10)</f>
        <v>17</v>
      </c>
      <c r="X17" s="462">
        <f>SUM(T17:W17)</f>
        <v>90</v>
      </c>
    </row>
    <row r="18" spans="2:24" x14ac:dyDescent="0.25">
      <c r="B18" s="1074">
        <v>2</v>
      </c>
      <c r="C18" s="449">
        <f>SUMIF(B5:B10,B18,C5:C10)</f>
        <v>18</v>
      </c>
      <c r="D18" s="450">
        <f>SUMIF(B5:B10,B18,D5:D10)</f>
        <v>19</v>
      </c>
      <c r="E18" s="450">
        <f>SUMIF(B5:B10,B18,E5:E10)</f>
        <v>14</v>
      </c>
      <c r="F18" s="451">
        <f>SUMIF(B5:B10,B18,F5:F10)</f>
        <v>16</v>
      </c>
      <c r="G18" s="462">
        <f>SUM(C18:F18)</f>
        <v>67</v>
      </c>
      <c r="J18" s="1074">
        <v>2</v>
      </c>
      <c r="K18" s="449">
        <f>SUMIF(J5:J10,J18,K5:K10)</f>
        <v>23</v>
      </c>
      <c r="L18" s="450">
        <f>SUMIF(J5:J10,J18,L5:L10)</f>
        <v>20</v>
      </c>
      <c r="M18" s="450">
        <f>SUMIF(J5:J10,J18,M5:M10)</f>
        <v>20</v>
      </c>
      <c r="N18" s="451">
        <f>SUMIF(J5:J10,J18,N5:N10)</f>
        <v>22</v>
      </c>
      <c r="O18" s="462">
        <f>SUM(K18:N18)</f>
        <v>85</v>
      </c>
      <c r="S18" s="1074">
        <v>2</v>
      </c>
      <c r="T18" s="449">
        <f>SUMIF(S5:S10,S18,T5:T10)</f>
        <v>23</v>
      </c>
      <c r="U18" s="450">
        <f>SUMIF(S5:S10,S18,U5:U10)</f>
        <v>20</v>
      </c>
      <c r="V18" s="450">
        <f>SUMIF(S5:S10,S18,V5:V10)</f>
        <v>20</v>
      </c>
      <c r="W18" s="451">
        <f>SUMIF(S5:S10,S18,W5:W10)</f>
        <v>22</v>
      </c>
      <c r="X18" s="462">
        <f>SUM(T18:W18)</f>
        <v>85</v>
      </c>
    </row>
    <row r="19" spans="2:24" x14ac:dyDescent="0.25">
      <c r="O19" s="444"/>
    </row>
    <row r="20" spans="2:24" x14ac:dyDescent="0.25">
      <c r="O20" s="444"/>
    </row>
    <row r="21" spans="2:24" x14ac:dyDescent="0.25">
      <c r="O21" s="444"/>
    </row>
    <row r="22" spans="2:24" x14ac:dyDescent="0.25">
      <c r="O22" s="444"/>
    </row>
    <row r="23" spans="2:24" x14ac:dyDescent="0.25">
      <c r="O23" s="444"/>
    </row>
    <row r="24" spans="2:24" x14ac:dyDescent="0.25">
      <c r="O24" s="444"/>
    </row>
    <row r="25" spans="2:24" x14ac:dyDescent="0.25">
      <c r="O25" s="444"/>
    </row>
  </sheetData>
  <mergeCells count="3">
    <mergeCell ref="C3:F3"/>
    <mergeCell ref="K3:N3"/>
    <mergeCell ref="T3:W3"/>
  </mergeCells>
  <pageMargins left="0.7" right="0.7" top="0.75" bottom="0.75" header="0.3" footer="0.3"/>
  <ignoredErrors>
    <ignoredError sqref="G5:G10 C11 K11 O5:O10" formulaRange="1"/>
  </ignoredError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T151"/>
  <sheetViews>
    <sheetView workbookViewId="0"/>
  </sheetViews>
  <sheetFormatPr defaultRowHeight="15" x14ac:dyDescent="0.25"/>
  <cols>
    <col min="1" max="1" width="4.28515625" customWidth="1"/>
    <col min="2" max="20" width="7.5703125" customWidth="1"/>
  </cols>
  <sheetData>
    <row r="1" spans="1:20" x14ac:dyDescent="0.25">
      <c r="A1" s="1" t="s">
        <v>100</v>
      </c>
    </row>
    <row r="3" spans="1:20" x14ac:dyDescent="0.25">
      <c r="B3" t="s">
        <v>34</v>
      </c>
      <c r="C3" s="15">
        <v>0.1</v>
      </c>
    </row>
    <row r="4" spans="1:20" x14ac:dyDescent="0.25">
      <c r="B4" t="s">
        <v>101</v>
      </c>
    </row>
    <row r="5" spans="1:20" x14ac:dyDescent="0.25">
      <c r="A5" s="13" t="s">
        <v>60</v>
      </c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  <c r="K5">
        <v>11</v>
      </c>
      <c r="L5">
        <v>12</v>
      </c>
      <c r="M5">
        <v>13</v>
      </c>
      <c r="N5">
        <v>14</v>
      </c>
      <c r="O5">
        <v>15</v>
      </c>
      <c r="P5">
        <v>16</v>
      </c>
      <c r="Q5">
        <v>17</v>
      </c>
      <c r="R5">
        <v>18</v>
      </c>
      <c r="S5">
        <v>19</v>
      </c>
      <c r="T5">
        <v>20</v>
      </c>
    </row>
    <row r="6" spans="1:20" x14ac:dyDescent="0.25">
      <c r="A6">
        <v>1</v>
      </c>
      <c r="B6" s="1109">
        <v>8.9290000000000003</v>
      </c>
      <c r="C6" s="979">
        <v>13.436999999999999</v>
      </c>
      <c r="D6" s="979">
        <v>16.358000000000001</v>
      </c>
      <c r="E6" s="979">
        <v>18.488</v>
      </c>
      <c r="F6" s="979">
        <v>20.149999999999999</v>
      </c>
      <c r="G6" s="979">
        <v>21.504000000000001</v>
      </c>
      <c r="H6" s="979">
        <v>22.641999999999999</v>
      </c>
      <c r="I6" s="979">
        <v>23.620999999999999</v>
      </c>
      <c r="J6" s="979">
        <v>24.477</v>
      </c>
      <c r="K6" s="979">
        <v>25.236999999999998</v>
      </c>
      <c r="L6" s="979">
        <v>25.917999999999999</v>
      </c>
      <c r="M6" s="979">
        <v>26.536000000000001</v>
      </c>
      <c r="N6" s="979">
        <v>27.1</v>
      </c>
      <c r="O6" s="979">
        <v>27.617999999999999</v>
      </c>
      <c r="P6" s="979">
        <v>28.097000000000001</v>
      </c>
      <c r="Q6" s="979">
        <v>28.542000000000002</v>
      </c>
      <c r="R6" s="979">
        <v>28.957999999999998</v>
      </c>
      <c r="S6" s="979">
        <v>29.347000000000001</v>
      </c>
      <c r="T6" s="1110">
        <v>29.713000000000001</v>
      </c>
    </row>
    <row r="7" spans="1:20" x14ac:dyDescent="0.25">
      <c r="A7">
        <v>2</v>
      </c>
      <c r="B7" s="627">
        <v>4.1289999999999996</v>
      </c>
      <c r="C7" s="45">
        <v>5.7329999999999997</v>
      </c>
      <c r="D7" s="45">
        <v>6.7720000000000002</v>
      </c>
      <c r="E7" s="45">
        <v>7.5380000000000003</v>
      </c>
      <c r="F7" s="45">
        <v>8.1389999999999993</v>
      </c>
      <c r="G7" s="45">
        <v>8.6329999999999991</v>
      </c>
      <c r="H7" s="45">
        <v>9.0489999999999995</v>
      </c>
      <c r="I7" s="45">
        <v>9.4090000000000007</v>
      </c>
      <c r="J7" s="45">
        <v>9.7249999999999996</v>
      </c>
      <c r="K7" s="45">
        <v>10.006</v>
      </c>
      <c r="L7" s="45">
        <v>10.259</v>
      </c>
      <c r="M7" s="45">
        <v>10.488</v>
      </c>
      <c r="N7" s="45">
        <v>10.698</v>
      </c>
      <c r="O7" s="45">
        <v>10.891</v>
      </c>
      <c r="P7" s="45">
        <v>11.07</v>
      </c>
      <c r="Q7" s="45">
        <v>11.237</v>
      </c>
      <c r="R7" s="45">
        <v>11.391999999999999</v>
      </c>
      <c r="S7" s="45">
        <v>11.538</v>
      </c>
      <c r="T7" s="628">
        <v>11.676</v>
      </c>
    </row>
    <row r="8" spans="1:20" x14ac:dyDescent="0.25">
      <c r="A8">
        <v>3</v>
      </c>
      <c r="B8" s="627">
        <v>3.3279999999999998</v>
      </c>
      <c r="C8" s="45">
        <v>4.4669999999999996</v>
      </c>
      <c r="D8" s="45">
        <v>5.1989999999999998</v>
      </c>
      <c r="E8" s="45">
        <v>5.7380000000000004</v>
      </c>
      <c r="F8" s="45">
        <v>6.1619999999999999</v>
      </c>
      <c r="G8" s="45">
        <v>6.5110000000000001</v>
      </c>
      <c r="H8" s="45">
        <v>6.806</v>
      </c>
      <c r="I8" s="45">
        <v>7.0620000000000003</v>
      </c>
      <c r="J8" s="45">
        <v>7.2869999999999999</v>
      </c>
      <c r="K8" s="45">
        <v>7.4870000000000001</v>
      </c>
      <c r="L8" s="45">
        <v>7.6669999999999998</v>
      </c>
      <c r="M8" s="45">
        <v>7.8310000000000004</v>
      </c>
      <c r="N8" s="45">
        <v>7.9820000000000002</v>
      </c>
      <c r="O8" s="45">
        <v>8.1199999999999992</v>
      </c>
      <c r="P8" s="45">
        <v>8.2479999999999993</v>
      </c>
      <c r="Q8" s="45">
        <v>8.3680000000000003</v>
      </c>
      <c r="R8" s="45">
        <v>8.4789999999999992</v>
      </c>
      <c r="S8" s="45">
        <v>8.5839999999999996</v>
      </c>
      <c r="T8" s="628">
        <v>8.6829999999999998</v>
      </c>
    </row>
    <row r="9" spans="1:20" x14ac:dyDescent="0.25">
      <c r="A9">
        <v>4</v>
      </c>
      <c r="B9" s="627">
        <v>3.0150000000000001</v>
      </c>
      <c r="C9" s="45">
        <v>3.976</v>
      </c>
      <c r="D9" s="45">
        <v>4.5860000000000003</v>
      </c>
      <c r="E9" s="45">
        <v>5.0350000000000001</v>
      </c>
      <c r="F9" s="45">
        <v>5.3879999999999999</v>
      </c>
      <c r="G9" s="45">
        <v>5.6790000000000003</v>
      </c>
      <c r="H9" s="45">
        <v>5.9260000000000002</v>
      </c>
      <c r="I9" s="45">
        <v>6.1390000000000002</v>
      </c>
      <c r="J9" s="45">
        <v>6.327</v>
      </c>
      <c r="K9" s="45">
        <v>6.4939999999999998</v>
      </c>
      <c r="L9" s="45">
        <v>6.6449999999999996</v>
      </c>
      <c r="M9" s="45">
        <v>6.7830000000000004</v>
      </c>
      <c r="N9" s="45">
        <v>6.9089999999999998</v>
      </c>
      <c r="O9" s="45">
        <v>7.0250000000000004</v>
      </c>
      <c r="P9" s="45">
        <v>7.1319999999999997</v>
      </c>
      <c r="Q9" s="45">
        <v>7.2329999999999997</v>
      </c>
      <c r="R9" s="45">
        <v>7.3259999999999996</v>
      </c>
      <c r="S9" s="45">
        <v>7.4139999999999997</v>
      </c>
      <c r="T9" s="628">
        <v>7.4969999999999999</v>
      </c>
    </row>
    <row r="10" spans="1:20" x14ac:dyDescent="0.25">
      <c r="A10">
        <v>5</v>
      </c>
      <c r="B10" s="627">
        <v>2.85</v>
      </c>
      <c r="C10" s="45">
        <v>3.7170000000000001</v>
      </c>
      <c r="D10" s="45">
        <v>4.2640000000000002</v>
      </c>
      <c r="E10" s="45">
        <v>4.6639999999999997</v>
      </c>
      <c r="F10" s="45">
        <v>4.9790000000000001</v>
      </c>
      <c r="G10" s="45">
        <v>5.2380000000000004</v>
      </c>
      <c r="H10" s="45">
        <v>5.4580000000000002</v>
      </c>
      <c r="I10" s="45">
        <v>5.6479999999999997</v>
      </c>
      <c r="J10" s="45">
        <v>5.8159999999999998</v>
      </c>
      <c r="K10" s="45">
        <v>5.9649999999999999</v>
      </c>
      <c r="L10" s="45">
        <v>6.1</v>
      </c>
      <c r="M10" s="45">
        <v>6.2229999999999999</v>
      </c>
      <c r="N10" s="45">
        <v>6.3360000000000003</v>
      </c>
      <c r="O10" s="45">
        <v>6.4390000000000001</v>
      </c>
      <c r="P10" s="45">
        <v>6.5359999999999996</v>
      </c>
      <c r="Q10" s="45">
        <v>6.6260000000000003</v>
      </c>
      <c r="R10" s="45">
        <v>6.71</v>
      </c>
      <c r="S10" s="45">
        <v>6.7880000000000003</v>
      </c>
      <c r="T10" s="628">
        <v>6.8630000000000004</v>
      </c>
    </row>
    <row r="11" spans="1:20" x14ac:dyDescent="0.25">
      <c r="A11">
        <v>6</v>
      </c>
      <c r="B11" s="627">
        <v>2.7480000000000002</v>
      </c>
      <c r="C11" s="45">
        <v>3.5579999999999998</v>
      </c>
      <c r="D11" s="45">
        <v>4.0650000000000004</v>
      </c>
      <c r="E11" s="45">
        <v>4.4349999999999996</v>
      </c>
      <c r="F11" s="45">
        <v>4.726</v>
      </c>
      <c r="G11" s="45">
        <v>4.9660000000000002</v>
      </c>
      <c r="H11" s="45">
        <v>5.1680000000000001</v>
      </c>
      <c r="I11" s="45">
        <v>5.3440000000000003</v>
      </c>
      <c r="J11" s="45">
        <v>5.4989999999999997</v>
      </c>
      <c r="K11" s="45">
        <v>5.6369999999999996</v>
      </c>
      <c r="L11" s="45">
        <v>5.7619999999999996</v>
      </c>
      <c r="M11" s="45">
        <v>5.875</v>
      </c>
      <c r="N11" s="45">
        <v>5.9790000000000001</v>
      </c>
      <c r="O11" s="45">
        <v>6.0750000000000002</v>
      </c>
      <c r="P11" s="45">
        <v>6.1639999999999997</v>
      </c>
      <c r="Q11" s="45">
        <v>6.2469999999999999</v>
      </c>
      <c r="R11" s="45">
        <v>6.3250000000000002</v>
      </c>
      <c r="S11" s="45">
        <v>6.3979999999999997</v>
      </c>
      <c r="T11" s="628">
        <v>6.4660000000000002</v>
      </c>
    </row>
    <row r="12" spans="1:20" x14ac:dyDescent="0.25">
      <c r="A12">
        <v>7</v>
      </c>
      <c r="B12" s="627">
        <v>2.6789999999999998</v>
      </c>
      <c r="C12" s="45">
        <v>3.4510000000000001</v>
      </c>
      <c r="D12" s="45">
        <v>3.931</v>
      </c>
      <c r="E12" s="45">
        <v>4.28</v>
      </c>
      <c r="F12" s="45">
        <v>4.5549999999999997</v>
      </c>
      <c r="G12" s="45">
        <v>4.78</v>
      </c>
      <c r="H12" s="45">
        <v>4.9710000000000001</v>
      </c>
      <c r="I12" s="45">
        <v>5.1369999999999996</v>
      </c>
      <c r="J12" s="45">
        <v>5.2830000000000004</v>
      </c>
      <c r="K12" s="45">
        <v>5.4130000000000003</v>
      </c>
      <c r="L12" s="45">
        <v>5.53</v>
      </c>
      <c r="M12" s="45">
        <v>5.6369999999999996</v>
      </c>
      <c r="N12" s="45">
        <v>5.7350000000000003</v>
      </c>
      <c r="O12" s="45">
        <v>5.8259999999999996</v>
      </c>
      <c r="P12" s="45">
        <v>5.91</v>
      </c>
      <c r="Q12" s="45">
        <v>5.9880000000000004</v>
      </c>
      <c r="R12" s="45">
        <v>6.0609999999999999</v>
      </c>
      <c r="S12" s="45">
        <v>6.13</v>
      </c>
      <c r="T12" s="628">
        <v>6.1950000000000003</v>
      </c>
    </row>
    <row r="13" spans="1:20" x14ac:dyDescent="0.25">
      <c r="A13">
        <v>8</v>
      </c>
      <c r="B13" s="627">
        <v>2.63</v>
      </c>
      <c r="C13" s="45">
        <v>3.3740000000000001</v>
      </c>
      <c r="D13" s="45">
        <v>3.8340000000000001</v>
      </c>
      <c r="E13" s="45">
        <v>4.1689999999999996</v>
      </c>
      <c r="F13" s="45">
        <v>4.431</v>
      </c>
      <c r="G13" s="45">
        <v>4.6459999999999999</v>
      </c>
      <c r="H13" s="45">
        <v>4.8289999999999997</v>
      </c>
      <c r="I13" s="45">
        <v>4.9870000000000001</v>
      </c>
      <c r="J13" s="45">
        <v>5.1260000000000003</v>
      </c>
      <c r="K13" s="45">
        <v>5.25</v>
      </c>
      <c r="L13" s="45">
        <v>5.3620000000000001</v>
      </c>
      <c r="M13" s="45">
        <v>5.4640000000000004</v>
      </c>
      <c r="N13" s="45">
        <v>5.5579999999999998</v>
      </c>
      <c r="O13" s="45">
        <v>5.6440000000000001</v>
      </c>
      <c r="P13" s="45">
        <v>5.7240000000000002</v>
      </c>
      <c r="Q13" s="45">
        <v>5.7990000000000004</v>
      </c>
      <c r="R13" s="45">
        <v>5.8689999999999998</v>
      </c>
      <c r="S13" s="45">
        <v>5.9349999999999996</v>
      </c>
      <c r="T13" s="628">
        <v>5.9969999999999999</v>
      </c>
    </row>
    <row r="14" spans="1:20" x14ac:dyDescent="0.25">
      <c r="A14">
        <v>9</v>
      </c>
      <c r="B14" s="627">
        <v>2.5920000000000001</v>
      </c>
      <c r="C14" s="45">
        <v>3.3159999999999998</v>
      </c>
      <c r="D14" s="45">
        <v>3.7610000000000001</v>
      </c>
      <c r="E14" s="45">
        <v>4.0839999999999996</v>
      </c>
      <c r="F14" s="45">
        <v>4.3369999999999997</v>
      </c>
      <c r="G14" s="45">
        <v>4.5449999999999999</v>
      </c>
      <c r="H14" s="45">
        <v>4.7210000000000001</v>
      </c>
      <c r="I14" s="45">
        <v>4.8730000000000002</v>
      </c>
      <c r="J14" s="45">
        <v>5.0069999999999997</v>
      </c>
      <c r="K14" s="45">
        <v>5.1260000000000003</v>
      </c>
      <c r="L14" s="45">
        <v>5.234</v>
      </c>
      <c r="M14" s="45">
        <v>5.3330000000000002</v>
      </c>
      <c r="N14" s="45">
        <v>5.423</v>
      </c>
      <c r="O14" s="45">
        <v>5.5060000000000002</v>
      </c>
      <c r="P14" s="45">
        <v>5.5830000000000002</v>
      </c>
      <c r="Q14" s="45">
        <v>5.6550000000000002</v>
      </c>
      <c r="R14" s="45">
        <v>5.7220000000000004</v>
      </c>
      <c r="S14" s="45">
        <v>5.7859999999999996</v>
      </c>
      <c r="T14" s="628">
        <v>5.8449999999999998</v>
      </c>
    </row>
    <row r="15" spans="1:20" x14ac:dyDescent="0.25">
      <c r="A15">
        <v>10</v>
      </c>
      <c r="B15" s="627">
        <v>2.5630000000000002</v>
      </c>
      <c r="C15" s="45">
        <v>3.27</v>
      </c>
      <c r="D15" s="45">
        <v>3.7040000000000002</v>
      </c>
      <c r="E15" s="45">
        <v>4.0179999999999998</v>
      </c>
      <c r="F15" s="45">
        <v>4.2640000000000002</v>
      </c>
      <c r="G15" s="45">
        <v>4.4649999999999999</v>
      </c>
      <c r="H15" s="45">
        <v>4.6360000000000001</v>
      </c>
      <c r="I15" s="45">
        <v>4.7830000000000004</v>
      </c>
      <c r="J15" s="45">
        <v>4.9130000000000003</v>
      </c>
      <c r="K15" s="45">
        <v>5.0289999999999999</v>
      </c>
      <c r="L15" s="45">
        <v>5.1340000000000003</v>
      </c>
      <c r="M15" s="45">
        <v>5.2290000000000001</v>
      </c>
      <c r="N15" s="45">
        <v>5.3159999999999998</v>
      </c>
      <c r="O15" s="45">
        <v>5.3970000000000002</v>
      </c>
      <c r="P15" s="45">
        <v>5.4720000000000004</v>
      </c>
      <c r="Q15" s="45">
        <v>5.5419999999999998</v>
      </c>
      <c r="R15" s="45">
        <v>5.6070000000000002</v>
      </c>
      <c r="S15" s="45">
        <v>5.6680000000000001</v>
      </c>
      <c r="T15" s="628">
        <v>5.726</v>
      </c>
    </row>
    <row r="16" spans="1:20" x14ac:dyDescent="0.25">
      <c r="A16">
        <v>11</v>
      </c>
      <c r="B16" s="627">
        <v>2.54</v>
      </c>
      <c r="C16" s="45">
        <v>3.234</v>
      </c>
      <c r="D16" s="45">
        <v>3.6579999999999999</v>
      </c>
      <c r="E16" s="45">
        <v>3.9649999999999999</v>
      </c>
      <c r="F16" s="45">
        <v>4.2050000000000001</v>
      </c>
      <c r="G16" s="45">
        <v>4.4009999999999998</v>
      </c>
      <c r="H16" s="45">
        <v>4.5670000000000002</v>
      </c>
      <c r="I16" s="45">
        <v>4.7110000000000003</v>
      </c>
      <c r="J16" s="45">
        <v>4.8380000000000001</v>
      </c>
      <c r="K16" s="45">
        <v>4.9509999999999996</v>
      </c>
      <c r="L16" s="45">
        <v>5.0529999999999999</v>
      </c>
      <c r="M16" s="45">
        <v>5.1449999999999996</v>
      </c>
      <c r="N16" s="45">
        <v>5.2309999999999999</v>
      </c>
      <c r="O16" s="45">
        <v>5.3090000000000002</v>
      </c>
      <c r="P16" s="45">
        <v>5.3819999999999997</v>
      </c>
      <c r="Q16" s="45">
        <v>5.45</v>
      </c>
      <c r="R16" s="45">
        <v>5.5140000000000002</v>
      </c>
      <c r="S16" s="45">
        <v>5.5730000000000004</v>
      </c>
      <c r="T16" s="628">
        <v>5.63</v>
      </c>
    </row>
    <row r="17" spans="1:20" x14ac:dyDescent="0.25">
      <c r="A17">
        <v>12</v>
      </c>
      <c r="B17" s="627">
        <v>2.5209999999999999</v>
      </c>
      <c r="C17" s="45">
        <v>3.2040000000000002</v>
      </c>
      <c r="D17" s="45">
        <v>3.621</v>
      </c>
      <c r="E17" s="45">
        <v>3.9209999999999998</v>
      </c>
      <c r="F17" s="45">
        <v>4.1559999999999997</v>
      </c>
      <c r="G17" s="45">
        <v>4.3490000000000002</v>
      </c>
      <c r="H17" s="45">
        <v>4.5110000000000001</v>
      </c>
      <c r="I17" s="45">
        <v>4.6520000000000001</v>
      </c>
      <c r="J17" s="45">
        <v>4.7759999999999998</v>
      </c>
      <c r="K17" s="45">
        <v>4.8860000000000001</v>
      </c>
      <c r="L17" s="45">
        <v>4.9859999999999998</v>
      </c>
      <c r="M17" s="45">
        <v>5.0759999999999996</v>
      </c>
      <c r="N17" s="45">
        <v>5.16</v>
      </c>
      <c r="O17" s="45">
        <v>5.2359999999999998</v>
      </c>
      <c r="P17" s="45">
        <v>5.3079999999999998</v>
      </c>
      <c r="Q17" s="45">
        <v>5.3739999999999997</v>
      </c>
      <c r="R17" s="45">
        <v>5.4359999999999999</v>
      </c>
      <c r="S17" s="45">
        <v>5.4950000000000001</v>
      </c>
      <c r="T17" s="628">
        <v>5.55</v>
      </c>
    </row>
    <row r="18" spans="1:20" x14ac:dyDescent="0.25">
      <c r="A18">
        <v>13</v>
      </c>
      <c r="B18" s="627">
        <v>2.504</v>
      </c>
      <c r="C18" s="45">
        <v>3.1789999999999998</v>
      </c>
      <c r="D18" s="45">
        <v>3.589</v>
      </c>
      <c r="E18" s="45">
        <v>3.8849999999999998</v>
      </c>
      <c r="F18" s="45">
        <v>4.1159999999999997</v>
      </c>
      <c r="G18" s="45">
        <v>4.3040000000000003</v>
      </c>
      <c r="H18" s="45">
        <v>4.4640000000000004</v>
      </c>
      <c r="I18" s="45">
        <v>4.6020000000000003</v>
      </c>
      <c r="J18" s="45">
        <v>4.7240000000000002</v>
      </c>
      <c r="K18" s="45">
        <v>4.8319999999999999</v>
      </c>
      <c r="L18" s="45">
        <v>4.93</v>
      </c>
      <c r="M18" s="45">
        <v>5.0190000000000001</v>
      </c>
      <c r="N18" s="45">
        <v>5.0999999999999996</v>
      </c>
      <c r="O18" s="45">
        <v>5.1749999999999998</v>
      </c>
      <c r="P18" s="45">
        <v>5.2450000000000001</v>
      </c>
      <c r="Q18" s="45">
        <v>5.31</v>
      </c>
      <c r="R18" s="45">
        <v>5.3710000000000004</v>
      </c>
      <c r="S18" s="45">
        <v>5.4290000000000003</v>
      </c>
      <c r="T18" s="628">
        <v>5.4829999999999997</v>
      </c>
    </row>
    <row r="19" spans="1:20" x14ac:dyDescent="0.25">
      <c r="A19">
        <v>14</v>
      </c>
      <c r="B19" s="627">
        <v>2.4910000000000001</v>
      </c>
      <c r="C19" s="45">
        <v>3.1579999999999999</v>
      </c>
      <c r="D19" s="45">
        <v>3.5630000000000002</v>
      </c>
      <c r="E19" s="45">
        <v>3.8540000000000001</v>
      </c>
      <c r="F19" s="45">
        <v>4.0810000000000004</v>
      </c>
      <c r="G19" s="45">
        <v>4.2670000000000003</v>
      </c>
      <c r="H19" s="45">
        <v>4.4240000000000004</v>
      </c>
      <c r="I19" s="45">
        <v>4.5599999999999996</v>
      </c>
      <c r="J19" s="45">
        <v>4.6790000000000003</v>
      </c>
      <c r="K19" s="45">
        <v>4.7859999999999996</v>
      </c>
      <c r="L19" s="45">
        <v>4.8819999999999997</v>
      </c>
      <c r="M19" s="45">
        <v>4.9690000000000003</v>
      </c>
      <c r="N19" s="45">
        <v>5.05</v>
      </c>
      <c r="O19" s="45">
        <v>5.1239999999999997</v>
      </c>
      <c r="P19" s="45">
        <v>5.1920000000000002</v>
      </c>
      <c r="Q19" s="45">
        <v>5.2560000000000002</v>
      </c>
      <c r="R19" s="45">
        <v>5.3159999999999998</v>
      </c>
      <c r="S19" s="45">
        <v>5.3719999999999999</v>
      </c>
      <c r="T19" s="628">
        <v>5.4260000000000002</v>
      </c>
    </row>
    <row r="20" spans="1:20" x14ac:dyDescent="0.25">
      <c r="A20">
        <v>15</v>
      </c>
      <c r="B20" s="627">
        <v>2.4790000000000001</v>
      </c>
      <c r="C20" s="45">
        <v>3.14</v>
      </c>
      <c r="D20" s="45">
        <v>3.54</v>
      </c>
      <c r="E20" s="45">
        <v>3.8279999999999998</v>
      </c>
      <c r="F20" s="45">
        <v>4.0519999999999996</v>
      </c>
      <c r="G20" s="45">
        <v>4.2350000000000003</v>
      </c>
      <c r="H20" s="45">
        <v>4.3899999999999997</v>
      </c>
      <c r="I20" s="45">
        <v>4.524</v>
      </c>
      <c r="J20" s="45">
        <v>4.641</v>
      </c>
      <c r="K20" s="45">
        <v>4.7460000000000004</v>
      </c>
      <c r="L20" s="45">
        <v>4.8410000000000002</v>
      </c>
      <c r="M20" s="45">
        <v>4.9269999999999996</v>
      </c>
      <c r="N20" s="45">
        <v>5.0060000000000002</v>
      </c>
      <c r="O20" s="45">
        <v>5.0789999999999997</v>
      </c>
      <c r="P20" s="45">
        <v>5.1459999999999999</v>
      </c>
      <c r="Q20" s="45">
        <v>5.2089999999999996</v>
      </c>
      <c r="R20" s="45">
        <v>5.2679999999999998</v>
      </c>
      <c r="S20" s="45">
        <v>5.3239999999999998</v>
      </c>
      <c r="T20" s="628">
        <v>5.3760000000000003</v>
      </c>
    </row>
    <row r="21" spans="1:20" x14ac:dyDescent="0.25">
      <c r="A21">
        <v>16</v>
      </c>
      <c r="B21" s="627">
        <v>2.4689999999999999</v>
      </c>
      <c r="C21" s="45">
        <v>3.1240000000000001</v>
      </c>
      <c r="D21" s="45">
        <v>3.52</v>
      </c>
      <c r="E21" s="45">
        <v>3.8039999999999998</v>
      </c>
      <c r="F21" s="45">
        <v>4.0259999999999998</v>
      </c>
      <c r="G21" s="45">
        <v>4.2069999999999999</v>
      </c>
      <c r="H21" s="45">
        <v>4.3600000000000003</v>
      </c>
      <c r="I21" s="45">
        <v>4.492</v>
      </c>
      <c r="J21" s="45">
        <v>4.6079999999999997</v>
      </c>
      <c r="K21" s="45">
        <v>4.7119999999999997</v>
      </c>
      <c r="L21" s="45">
        <v>4.8049999999999997</v>
      </c>
      <c r="M21" s="45">
        <v>4.8899999999999997</v>
      </c>
      <c r="N21" s="45">
        <v>4.968</v>
      </c>
      <c r="O21" s="45">
        <v>5.04</v>
      </c>
      <c r="P21" s="45">
        <v>5.1059999999999999</v>
      </c>
      <c r="Q21" s="45">
        <v>5.1689999999999996</v>
      </c>
      <c r="R21" s="45">
        <v>5.2270000000000003</v>
      </c>
      <c r="S21" s="45">
        <v>5.282</v>
      </c>
      <c r="T21" s="628">
        <v>5.3330000000000002</v>
      </c>
    </row>
    <row r="22" spans="1:20" x14ac:dyDescent="0.25">
      <c r="A22">
        <v>17</v>
      </c>
      <c r="B22" s="627">
        <v>2.46</v>
      </c>
      <c r="C22" s="45">
        <v>3.11</v>
      </c>
      <c r="D22" s="45">
        <v>3.5030000000000001</v>
      </c>
      <c r="E22" s="45">
        <v>3.7839999999999998</v>
      </c>
      <c r="F22" s="45">
        <v>4.0030000000000001</v>
      </c>
      <c r="G22" s="45">
        <v>4.1820000000000004</v>
      </c>
      <c r="H22" s="45">
        <v>4.3339999999999996</v>
      </c>
      <c r="I22" s="45">
        <v>4.4640000000000004</v>
      </c>
      <c r="J22" s="45">
        <v>4.5789999999999997</v>
      </c>
      <c r="K22" s="45">
        <v>4.681</v>
      </c>
      <c r="L22" s="45">
        <v>4.774</v>
      </c>
      <c r="M22" s="45">
        <v>4.8570000000000002</v>
      </c>
      <c r="N22" s="45">
        <v>4.9340000000000002</v>
      </c>
      <c r="O22" s="45">
        <v>5.0049999999999999</v>
      </c>
      <c r="P22" s="45">
        <v>5.0709999999999997</v>
      </c>
      <c r="Q22" s="45">
        <v>5.133</v>
      </c>
      <c r="R22" s="45">
        <v>5.19</v>
      </c>
      <c r="S22" s="45">
        <v>5.2439999999999998</v>
      </c>
      <c r="T22" s="628">
        <v>5.2949999999999999</v>
      </c>
    </row>
    <row r="23" spans="1:20" x14ac:dyDescent="0.25">
      <c r="A23">
        <v>18</v>
      </c>
      <c r="B23" s="627">
        <v>2.452</v>
      </c>
      <c r="C23" s="45">
        <v>3.0979999999999999</v>
      </c>
      <c r="D23" s="45">
        <v>3.4870000000000001</v>
      </c>
      <c r="E23" s="45">
        <v>3.766</v>
      </c>
      <c r="F23" s="45">
        <v>3.984</v>
      </c>
      <c r="G23" s="45">
        <v>4.1609999999999996</v>
      </c>
      <c r="H23" s="45">
        <v>4.3099999999999996</v>
      </c>
      <c r="I23" s="45">
        <v>4.4400000000000004</v>
      </c>
      <c r="J23" s="45">
        <v>4.5529999999999999</v>
      </c>
      <c r="K23" s="45">
        <v>4.6539999999999999</v>
      </c>
      <c r="L23" s="45">
        <v>4.7460000000000004</v>
      </c>
      <c r="M23" s="45">
        <v>4.8289999999999997</v>
      </c>
      <c r="N23" s="45">
        <v>4.9050000000000002</v>
      </c>
      <c r="O23" s="45">
        <v>4.9749999999999996</v>
      </c>
      <c r="P23" s="45">
        <v>5.04</v>
      </c>
      <c r="Q23" s="45">
        <v>5.101</v>
      </c>
      <c r="R23" s="45">
        <v>5.1580000000000004</v>
      </c>
      <c r="S23" s="45">
        <v>5.2110000000000003</v>
      </c>
      <c r="T23" s="628">
        <v>5.2619999999999996</v>
      </c>
    </row>
    <row r="24" spans="1:20" x14ac:dyDescent="0.25">
      <c r="A24">
        <v>19</v>
      </c>
      <c r="B24" s="627">
        <v>2.4449999999999998</v>
      </c>
      <c r="C24" s="45">
        <v>3.0870000000000002</v>
      </c>
      <c r="D24" s="45">
        <v>3.4740000000000002</v>
      </c>
      <c r="E24" s="45">
        <v>3.7509999999999999</v>
      </c>
      <c r="F24" s="45">
        <v>3.9660000000000002</v>
      </c>
      <c r="G24" s="45">
        <v>4.1420000000000003</v>
      </c>
      <c r="H24" s="45">
        <v>4.29</v>
      </c>
      <c r="I24" s="45">
        <v>4.4180000000000001</v>
      </c>
      <c r="J24" s="45">
        <v>4.53</v>
      </c>
      <c r="K24" s="45">
        <v>4.63</v>
      </c>
      <c r="L24" s="45">
        <v>4.7210000000000001</v>
      </c>
      <c r="M24" s="45">
        <v>4.8029999999999999</v>
      </c>
      <c r="N24" s="45">
        <v>4.8780000000000001</v>
      </c>
      <c r="O24" s="45">
        <v>4.9480000000000004</v>
      </c>
      <c r="P24" s="45">
        <v>5.0119999999999996</v>
      </c>
      <c r="Q24" s="45">
        <v>5.0720000000000001</v>
      </c>
      <c r="R24" s="45">
        <v>5.1289999999999996</v>
      </c>
      <c r="S24" s="45">
        <v>5.1820000000000004</v>
      </c>
      <c r="T24" s="628">
        <v>5.2320000000000002</v>
      </c>
    </row>
    <row r="25" spans="1:20" x14ac:dyDescent="0.25">
      <c r="A25">
        <v>20</v>
      </c>
      <c r="B25" s="627">
        <v>2.4390000000000001</v>
      </c>
      <c r="C25" s="45">
        <v>3.077</v>
      </c>
      <c r="D25" s="45">
        <v>3.4620000000000002</v>
      </c>
      <c r="E25" s="45">
        <v>3.7360000000000002</v>
      </c>
      <c r="F25" s="45">
        <v>3.95</v>
      </c>
      <c r="G25" s="45">
        <v>4.1239999999999997</v>
      </c>
      <c r="H25" s="45">
        <v>4.2709999999999999</v>
      </c>
      <c r="I25" s="45">
        <v>4.3979999999999997</v>
      </c>
      <c r="J25" s="45">
        <v>4.51</v>
      </c>
      <c r="K25" s="45">
        <v>4.609</v>
      </c>
      <c r="L25" s="45">
        <v>4.6989999999999998</v>
      </c>
      <c r="M25" s="45">
        <v>4.78</v>
      </c>
      <c r="N25" s="45">
        <v>4.8550000000000004</v>
      </c>
      <c r="O25" s="45">
        <v>4.923</v>
      </c>
      <c r="P25" s="45">
        <v>4.9870000000000001</v>
      </c>
      <c r="Q25" s="45">
        <v>5.0469999999999997</v>
      </c>
      <c r="R25" s="45">
        <v>5.1029999999999998</v>
      </c>
      <c r="S25" s="45">
        <v>5.1550000000000002</v>
      </c>
      <c r="T25" s="628">
        <v>5.2050000000000001</v>
      </c>
    </row>
    <row r="26" spans="1:20" x14ac:dyDescent="0.25">
      <c r="A26">
        <v>21</v>
      </c>
      <c r="B26" s="627">
        <v>2.4329999999999998</v>
      </c>
      <c r="C26" s="45">
        <v>3.069</v>
      </c>
      <c r="D26" s="45">
        <v>3.4510000000000001</v>
      </c>
      <c r="E26" s="45">
        <v>3.7240000000000002</v>
      </c>
      <c r="F26" s="45">
        <v>3.9359999999999999</v>
      </c>
      <c r="G26" s="45">
        <v>4.109</v>
      </c>
      <c r="H26" s="45">
        <v>4.2549999999999999</v>
      </c>
      <c r="I26" s="45">
        <v>4.38</v>
      </c>
      <c r="J26" s="45">
        <v>4.4909999999999997</v>
      </c>
      <c r="K26" s="45">
        <v>4.59</v>
      </c>
      <c r="L26" s="45">
        <v>4.6779999999999999</v>
      </c>
      <c r="M26" s="45">
        <v>4.7590000000000003</v>
      </c>
      <c r="N26" s="45">
        <v>4.8330000000000002</v>
      </c>
      <c r="O26" s="45">
        <v>4.9009999999999998</v>
      </c>
      <c r="P26" s="45">
        <v>4.9649999999999999</v>
      </c>
      <c r="Q26" s="45">
        <v>5.024</v>
      </c>
      <c r="R26" s="45">
        <v>5.0789999999999997</v>
      </c>
      <c r="S26" s="45">
        <v>5.1310000000000002</v>
      </c>
      <c r="T26" s="628">
        <v>5.18</v>
      </c>
    </row>
    <row r="27" spans="1:20" x14ac:dyDescent="0.25">
      <c r="A27">
        <v>22</v>
      </c>
      <c r="B27" s="627">
        <v>2.4279999999999999</v>
      </c>
      <c r="C27" s="45">
        <v>3.0609999999999999</v>
      </c>
      <c r="D27" s="45">
        <v>3.4409999999999998</v>
      </c>
      <c r="E27" s="45">
        <v>3.7120000000000002</v>
      </c>
      <c r="F27" s="45">
        <v>3.923</v>
      </c>
      <c r="G27" s="45">
        <v>4.0949999999999998</v>
      </c>
      <c r="H27" s="45">
        <v>4.2389999999999999</v>
      </c>
      <c r="I27" s="45">
        <v>4.3639999999999999</v>
      </c>
      <c r="J27" s="45">
        <v>4.4740000000000002</v>
      </c>
      <c r="K27" s="45">
        <v>4.5720000000000001</v>
      </c>
      <c r="L27" s="45">
        <v>4.66</v>
      </c>
      <c r="M27" s="45">
        <v>4.74</v>
      </c>
      <c r="N27" s="45">
        <v>4.8140000000000001</v>
      </c>
      <c r="O27" s="45">
        <v>4.8819999999999997</v>
      </c>
      <c r="P27" s="45">
        <v>4.944</v>
      </c>
      <c r="Q27" s="45">
        <v>5.0030000000000001</v>
      </c>
      <c r="R27" s="45">
        <v>5.0579999999999998</v>
      </c>
      <c r="S27" s="45">
        <v>5.109</v>
      </c>
      <c r="T27" s="628">
        <v>5.1580000000000004</v>
      </c>
    </row>
    <row r="28" spans="1:20" x14ac:dyDescent="0.25">
      <c r="A28">
        <v>23</v>
      </c>
      <c r="B28" s="627">
        <v>2.4239999999999999</v>
      </c>
      <c r="C28" s="45">
        <v>3.0539999999999998</v>
      </c>
      <c r="D28" s="45">
        <v>3.4319999999999999</v>
      </c>
      <c r="E28" s="45">
        <v>3.7010000000000001</v>
      </c>
      <c r="F28" s="45">
        <v>3.911</v>
      </c>
      <c r="G28" s="45">
        <v>4.0819999999999999</v>
      </c>
      <c r="H28" s="45">
        <v>4.226</v>
      </c>
      <c r="I28" s="45">
        <v>4.3499999999999996</v>
      </c>
      <c r="J28" s="45">
        <v>4.4589999999999996</v>
      </c>
      <c r="K28" s="45">
        <v>4.556</v>
      </c>
      <c r="L28" s="45">
        <v>4.6440000000000001</v>
      </c>
      <c r="M28" s="45">
        <v>4.7229999999999999</v>
      </c>
      <c r="N28" s="45">
        <v>4.7960000000000003</v>
      </c>
      <c r="O28" s="45">
        <v>4.8630000000000004</v>
      </c>
      <c r="P28" s="45">
        <v>4.9260000000000002</v>
      </c>
      <c r="Q28" s="45">
        <v>4.984</v>
      </c>
      <c r="R28" s="45">
        <v>5.0380000000000003</v>
      </c>
      <c r="S28" s="45">
        <v>5.0890000000000004</v>
      </c>
      <c r="T28" s="628">
        <v>5.1379999999999999</v>
      </c>
    </row>
    <row r="29" spans="1:20" x14ac:dyDescent="0.25">
      <c r="A29">
        <v>24</v>
      </c>
      <c r="B29" s="627">
        <v>2.42</v>
      </c>
      <c r="C29" s="45">
        <v>3.0470000000000002</v>
      </c>
      <c r="D29" s="45">
        <v>3.423</v>
      </c>
      <c r="E29" s="45">
        <v>3.6920000000000002</v>
      </c>
      <c r="F29" s="45">
        <v>3.9</v>
      </c>
      <c r="G29" s="45">
        <v>4.07</v>
      </c>
      <c r="H29" s="45">
        <v>4.2130000000000001</v>
      </c>
      <c r="I29" s="45">
        <v>4.3360000000000003</v>
      </c>
      <c r="J29" s="45">
        <v>4.4450000000000003</v>
      </c>
      <c r="K29" s="45">
        <v>4.5410000000000004</v>
      </c>
      <c r="L29" s="45">
        <v>4.6280000000000001</v>
      </c>
      <c r="M29" s="45">
        <v>4.7069999999999999</v>
      </c>
      <c r="N29" s="45">
        <v>4.78</v>
      </c>
      <c r="O29" s="45">
        <v>4.8470000000000004</v>
      </c>
      <c r="P29" s="45">
        <v>4.9089999999999998</v>
      </c>
      <c r="Q29" s="45">
        <v>4.9660000000000002</v>
      </c>
      <c r="R29" s="45">
        <v>5.0199999999999996</v>
      </c>
      <c r="S29" s="45">
        <v>5.0709999999999997</v>
      </c>
      <c r="T29" s="628">
        <v>5.1189999999999998</v>
      </c>
    </row>
    <row r="30" spans="1:20" x14ac:dyDescent="0.25">
      <c r="A30">
        <v>25</v>
      </c>
      <c r="B30" s="627">
        <v>2.4159999999999999</v>
      </c>
      <c r="C30" s="45">
        <v>3.0409999999999999</v>
      </c>
      <c r="D30" s="45">
        <v>3.4159999999999999</v>
      </c>
      <c r="E30" s="45">
        <v>3.6829999999999998</v>
      </c>
      <c r="F30" s="45">
        <v>3.89</v>
      </c>
      <c r="G30" s="45">
        <v>4.0590000000000002</v>
      </c>
      <c r="H30" s="45">
        <v>4.2009999999999996</v>
      </c>
      <c r="I30" s="45">
        <v>4.3239999999999998</v>
      </c>
      <c r="J30" s="45">
        <v>4.4320000000000004</v>
      </c>
      <c r="K30" s="45">
        <v>4.5279999999999996</v>
      </c>
      <c r="L30" s="45">
        <v>4.6139999999999999</v>
      </c>
      <c r="M30" s="45">
        <v>4.6929999999999996</v>
      </c>
      <c r="N30" s="45">
        <v>4.7649999999999997</v>
      </c>
      <c r="O30" s="45">
        <v>4.8310000000000004</v>
      </c>
      <c r="P30" s="45">
        <v>4.8929999999999998</v>
      </c>
      <c r="Q30" s="45">
        <v>4.95</v>
      </c>
      <c r="R30" s="45">
        <v>5.0039999999999996</v>
      </c>
      <c r="S30" s="45">
        <v>5.0549999999999997</v>
      </c>
      <c r="T30" s="628">
        <v>5.1020000000000003</v>
      </c>
    </row>
    <row r="31" spans="1:20" x14ac:dyDescent="0.25">
      <c r="A31">
        <v>26</v>
      </c>
      <c r="B31" s="627">
        <v>2.4119999999999999</v>
      </c>
      <c r="C31" s="45">
        <v>3.036</v>
      </c>
      <c r="D31" s="45">
        <v>3.4089999999999998</v>
      </c>
      <c r="E31" s="45">
        <v>3.6749999999999998</v>
      </c>
      <c r="F31" s="45">
        <v>3.8809999999999998</v>
      </c>
      <c r="G31" s="45">
        <v>4.0490000000000004</v>
      </c>
      <c r="H31" s="45">
        <v>4.1909999999999998</v>
      </c>
      <c r="I31" s="45">
        <v>4.3129999999999997</v>
      </c>
      <c r="J31" s="45">
        <v>4.42</v>
      </c>
      <c r="K31" s="45">
        <v>4.5149999999999997</v>
      </c>
      <c r="L31" s="45">
        <v>4.601</v>
      </c>
      <c r="M31" s="45">
        <v>4.68</v>
      </c>
      <c r="N31" s="45">
        <v>4.7510000000000003</v>
      </c>
      <c r="O31" s="45">
        <v>4.8170000000000002</v>
      </c>
      <c r="P31" s="45">
        <v>4.8780000000000001</v>
      </c>
      <c r="Q31" s="45">
        <v>4.9359999999999999</v>
      </c>
      <c r="R31" s="45">
        <v>4.9889999999999999</v>
      </c>
      <c r="S31" s="45">
        <v>5.0389999999999997</v>
      </c>
      <c r="T31" s="628">
        <v>5.0860000000000003</v>
      </c>
    </row>
    <row r="32" spans="1:20" x14ac:dyDescent="0.25">
      <c r="A32">
        <v>27</v>
      </c>
      <c r="B32" s="627">
        <v>2.4089999999999998</v>
      </c>
      <c r="C32" s="45">
        <v>3.03</v>
      </c>
      <c r="D32" s="45">
        <v>3.4020000000000001</v>
      </c>
      <c r="E32" s="45">
        <v>3.6669999999999998</v>
      </c>
      <c r="F32" s="45">
        <v>3.8730000000000002</v>
      </c>
      <c r="G32" s="45">
        <v>4.04</v>
      </c>
      <c r="H32" s="45">
        <v>4.181</v>
      </c>
      <c r="I32" s="45">
        <v>4.3019999999999996</v>
      </c>
      <c r="J32" s="45">
        <v>4.4089999999999998</v>
      </c>
      <c r="K32" s="45">
        <v>4.5039999999999996</v>
      </c>
      <c r="L32" s="45">
        <v>4.59</v>
      </c>
      <c r="M32" s="45">
        <v>4.6669999999999998</v>
      </c>
      <c r="N32" s="45">
        <v>4.7389999999999999</v>
      </c>
      <c r="O32" s="45">
        <v>4.8040000000000003</v>
      </c>
      <c r="P32" s="45">
        <v>4.8650000000000002</v>
      </c>
      <c r="Q32" s="45">
        <v>4.9219999999999997</v>
      </c>
      <c r="R32" s="45">
        <v>4.9749999999999996</v>
      </c>
      <c r="S32" s="45">
        <v>5.0250000000000004</v>
      </c>
      <c r="T32" s="628">
        <v>5.0720000000000001</v>
      </c>
    </row>
    <row r="33" spans="1:20" x14ac:dyDescent="0.25">
      <c r="A33">
        <v>28</v>
      </c>
      <c r="B33" s="627">
        <v>2.4060000000000001</v>
      </c>
      <c r="C33" s="45">
        <v>3.0259999999999998</v>
      </c>
      <c r="D33" s="45">
        <v>3.3959999999999999</v>
      </c>
      <c r="E33" s="45">
        <v>3.66</v>
      </c>
      <c r="F33" s="45">
        <v>3.8650000000000002</v>
      </c>
      <c r="G33" s="45">
        <v>4.032</v>
      </c>
      <c r="H33" s="45">
        <v>4.1719999999999997</v>
      </c>
      <c r="I33" s="45">
        <v>4.2930000000000001</v>
      </c>
      <c r="J33" s="45">
        <v>4.399</v>
      </c>
      <c r="K33" s="45">
        <v>4.4930000000000003</v>
      </c>
      <c r="L33" s="45">
        <v>4.5789999999999997</v>
      </c>
      <c r="M33" s="45">
        <v>4.6559999999999997</v>
      </c>
      <c r="N33" s="45">
        <v>4.7270000000000003</v>
      </c>
      <c r="O33" s="45">
        <v>4.7919999999999998</v>
      </c>
      <c r="P33" s="45">
        <v>4.8529999999999998</v>
      </c>
      <c r="Q33" s="45">
        <v>4.9089999999999998</v>
      </c>
      <c r="R33" s="45">
        <v>4.9619999999999997</v>
      </c>
      <c r="S33" s="45">
        <v>5.0119999999999996</v>
      </c>
      <c r="T33" s="628">
        <v>5.0579999999999998</v>
      </c>
    </row>
    <row r="34" spans="1:20" x14ac:dyDescent="0.25">
      <c r="A34">
        <v>29</v>
      </c>
      <c r="B34" s="627">
        <v>2.403</v>
      </c>
      <c r="C34" s="45">
        <v>3.0209999999999999</v>
      </c>
      <c r="D34" s="45">
        <v>3.391</v>
      </c>
      <c r="E34" s="45">
        <v>3.6539999999999999</v>
      </c>
      <c r="F34" s="45">
        <v>3.8580000000000001</v>
      </c>
      <c r="G34" s="45">
        <v>4.024</v>
      </c>
      <c r="H34" s="45">
        <v>4.1630000000000003</v>
      </c>
      <c r="I34" s="45">
        <v>4.2839999999999998</v>
      </c>
      <c r="J34" s="45">
        <v>4.3890000000000002</v>
      </c>
      <c r="K34" s="45">
        <v>4.484</v>
      </c>
      <c r="L34" s="45">
        <v>4.5679999999999996</v>
      </c>
      <c r="M34" s="45">
        <v>4.6449999999999996</v>
      </c>
      <c r="N34" s="45">
        <v>4.7160000000000002</v>
      </c>
      <c r="O34" s="45">
        <v>4.7809999999999997</v>
      </c>
      <c r="P34" s="45">
        <v>4.8410000000000002</v>
      </c>
      <c r="Q34" s="45">
        <v>4.8970000000000002</v>
      </c>
      <c r="R34" s="45">
        <v>4.95</v>
      </c>
      <c r="S34" s="45">
        <v>4.9989999999999997</v>
      </c>
      <c r="T34" s="628">
        <v>5.0460000000000003</v>
      </c>
    </row>
    <row r="35" spans="1:20" x14ac:dyDescent="0.25">
      <c r="A35">
        <v>30</v>
      </c>
      <c r="B35" s="627">
        <v>2.4</v>
      </c>
      <c r="C35" s="45">
        <v>3.0169999999999999</v>
      </c>
      <c r="D35" s="45">
        <v>3.3860000000000001</v>
      </c>
      <c r="E35" s="45">
        <v>3.6480000000000001</v>
      </c>
      <c r="F35" s="45">
        <v>3.851</v>
      </c>
      <c r="G35" s="45">
        <v>4.016</v>
      </c>
      <c r="H35" s="45">
        <v>4.1550000000000002</v>
      </c>
      <c r="I35" s="45">
        <v>4.2750000000000004</v>
      </c>
      <c r="J35" s="45">
        <v>4.3810000000000002</v>
      </c>
      <c r="K35" s="45">
        <v>4.4740000000000002</v>
      </c>
      <c r="L35" s="45">
        <v>4.5590000000000002</v>
      </c>
      <c r="M35" s="45">
        <v>4.6349999999999998</v>
      </c>
      <c r="N35" s="45">
        <v>4.7060000000000004</v>
      </c>
      <c r="O35" s="45">
        <v>4.7699999999999996</v>
      </c>
      <c r="P35" s="45">
        <v>4.83</v>
      </c>
      <c r="Q35" s="45">
        <v>4.8860000000000001</v>
      </c>
      <c r="R35" s="45">
        <v>4.9390000000000001</v>
      </c>
      <c r="S35" s="45">
        <v>4.9880000000000004</v>
      </c>
      <c r="T35" s="628">
        <v>5.0339999999999998</v>
      </c>
    </row>
    <row r="36" spans="1:20" x14ac:dyDescent="0.25">
      <c r="A36">
        <v>31</v>
      </c>
      <c r="B36" s="627">
        <v>2.3980000000000001</v>
      </c>
      <c r="C36" s="45">
        <v>3.0129999999999999</v>
      </c>
      <c r="D36" s="45">
        <v>3.3809999999999998</v>
      </c>
      <c r="E36" s="45">
        <v>3.6419999999999999</v>
      </c>
      <c r="F36" s="45">
        <v>3.8450000000000002</v>
      </c>
      <c r="G36" s="45">
        <v>4.0090000000000003</v>
      </c>
      <c r="H36" s="45">
        <v>4.1479999999999997</v>
      </c>
      <c r="I36" s="45">
        <v>4.2679999999999998</v>
      </c>
      <c r="J36" s="45">
        <v>4.3719999999999999</v>
      </c>
      <c r="K36" s="45">
        <v>4.4660000000000002</v>
      </c>
      <c r="L36" s="45">
        <v>4.55</v>
      </c>
      <c r="M36" s="45">
        <v>4.6260000000000003</v>
      </c>
      <c r="N36" s="45">
        <v>4.6959999999999997</v>
      </c>
      <c r="O36" s="45">
        <v>4.76</v>
      </c>
      <c r="P36" s="45">
        <v>4.82</v>
      </c>
      <c r="Q36" s="45">
        <v>4.8760000000000003</v>
      </c>
      <c r="R36" s="45">
        <v>4.9279999999999999</v>
      </c>
      <c r="S36" s="45">
        <v>4.9770000000000003</v>
      </c>
      <c r="T36" s="628">
        <v>5.0229999999999997</v>
      </c>
    </row>
    <row r="37" spans="1:20" x14ac:dyDescent="0.25">
      <c r="A37">
        <v>32</v>
      </c>
      <c r="B37" s="627">
        <v>2.3959999999999999</v>
      </c>
      <c r="C37" s="45">
        <v>3.01</v>
      </c>
      <c r="D37" s="45">
        <v>3.3759999999999999</v>
      </c>
      <c r="E37" s="45">
        <v>3.637</v>
      </c>
      <c r="F37" s="45">
        <v>3.839</v>
      </c>
      <c r="G37" s="45">
        <v>4.0030000000000001</v>
      </c>
      <c r="H37" s="45">
        <v>4.141</v>
      </c>
      <c r="I37" s="45">
        <v>4.26</v>
      </c>
      <c r="J37" s="45">
        <v>4.3650000000000002</v>
      </c>
      <c r="K37" s="45">
        <v>4.4580000000000002</v>
      </c>
      <c r="L37" s="45">
        <v>4.5410000000000004</v>
      </c>
      <c r="M37" s="45">
        <v>4.617</v>
      </c>
      <c r="N37" s="45">
        <v>4.6870000000000003</v>
      </c>
      <c r="O37" s="45">
        <v>4.7510000000000003</v>
      </c>
      <c r="P37" s="45">
        <v>4.8109999999999999</v>
      </c>
      <c r="Q37" s="45">
        <v>4.8659999999999997</v>
      </c>
      <c r="R37" s="45">
        <v>4.9180000000000001</v>
      </c>
      <c r="S37" s="45">
        <v>4.9669999999999996</v>
      </c>
      <c r="T37" s="628">
        <v>5.0129999999999999</v>
      </c>
    </row>
    <row r="38" spans="1:20" x14ac:dyDescent="0.25">
      <c r="A38">
        <v>33</v>
      </c>
      <c r="B38" s="627">
        <v>2.3929999999999998</v>
      </c>
      <c r="C38" s="45">
        <v>3.0059999999999998</v>
      </c>
      <c r="D38" s="45">
        <v>3.3719999999999999</v>
      </c>
      <c r="E38" s="45">
        <v>3.6320000000000001</v>
      </c>
      <c r="F38" s="45">
        <v>3.8330000000000002</v>
      </c>
      <c r="G38" s="45">
        <v>3.9969999999999999</v>
      </c>
      <c r="H38" s="45">
        <v>4.1349999999999998</v>
      </c>
      <c r="I38" s="45">
        <v>4.2530000000000001</v>
      </c>
      <c r="J38" s="45">
        <v>4.3570000000000002</v>
      </c>
      <c r="K38" s="45">
        <v>4.45</v>
      </c>
      <c r="L38" s="45">
        <v>4.5330000000000004</v>
      </c>
      <c r="M38" s="45">
        <v>4.609</v>
      </c>
      <c r="N38" s="45">
        <v>4.6790000000000003</v>
      </c>
      <c r="O38" s="45">
        <v>4.7430000000000003</v>
      </c>
      <c r="P38" s="45">
        <v>4.8019999999999996</v>
      </c>
      <c r="Q38" s="45">
        <v>4.8570000000000002</v>
      </c>
      <c r="R38" s="45">
        <v>4.9089999999999998</v>
      </c>
      <c r="S38" s="45">
        <v>4.9569999999999999</v>
      </c>
      <c r="T38" s="628">
        <v>5.0030000000000001</v>
      </c>
    </row>
    <row r="39" spans="1:20" x14ac:dyDescent="0.25">
      <c r="A39">
        <v>34</v>
      </c>
      <c r="B39" s="627">
        <v>2.391</v>
      </c>
      <c r="C39" s="45">
        <v>3.0030000000000001</v>
      </c>
      <c r="D39" s="45">
        <v>3.3679999999999999</v>
      </c>
      <c r="E39" s="45">
        <v>3.6269999999999998</v>
      </c>
      <c r="F39" s="45">
        <v>3.8279999999999998</v>
      </c>
      <c r="G39" s="45">
        <v>3.9910000000000001</v>
      </c>
      <c r="H39" s="45">
        <v>4.1289999999999996</v>
      </c>
      <c r="I39" s="45">
        <v>4.2469999999999999</v>
      </c>
      <c r="J39" s="45">
        <v>4.351</v>
      </c>
      <c r="K39" s="45">
        <v>4.4429999999999996</v>
      </c>
      <c r="L39" s="45">
        <v>4.5259999999999998</v>
      </c>
      <c r="M39" s="45">
        <v>4.6020000000000003</v>
      </c>
      <c r="N39" s="45">
        <v>4.6710000000000003</v>
      </c>
      <c r="O39" s="45">
        <v>4.734</v>
      </c>
      <c r="P39" s="45">
        <v>4.7939999999999996</v>
      </c>
      <c r="Q39" s="45">
        <v>4.8490000000000002</v>
      </c>
      <c r="R39" s="45">
        <v>4.9000000000000004</v>
      </c>
      <c r="S39" s="45">
        <v>4.9489999999999998</v>
      </c>
      <c r="T39" s="628">
        <v>4.9939999999999998</v>
      </c>
    </row>
    <row r="40" spans="1:20" x14ac:dyDescent="0.25">
      <c r="A40">
        <v>35</v>
      </c>
      <c r="B40" s="627">
        <v>2.3889999999999998</v>
      </c>
      <c r="C40" s="45">
        <v>3</v>
      </c>
      <c r="D40" s="45">
        <v>3.3639999999999999</v>
      </c>
      <c r="E40" s="45">
        <v>3.6230000000000002</v>
      </c>
      <c r="F40" s="45">
        <v>3.823</v>
      </c>
      <c r="G40" s="45">
        <v>3.9860000000000002</v>
      </c>
      <c r="H40" s="45">
        <v>4.1230000000000002</v>
      </c>
      <c r="I40" s="45">
        <v>4.2409999999999997</v>
      </c>
      <c r="J40" s="45">
        <v>4.3440000000000003</v>
      </c>
      <c r="K40" s="45">
        <v>4.4359999999999999</v>
      </c>
      <c r="L40" s="45">
        <v>4.5190000000000001</v>
      </c>
      <c r="M40" s="45">
        <v>4.5940000000000003</v>
      </c>
      <c r="N40" s="45">
        <v>4.6630000000000003</v>
      </c>
      <c r="O40" s="45">
        <v>4.7270000000000003</v>
      </c>
      <c r="P40" s="45">
        <v>4.7859999999999996</v>
      </c>
      <c r="Q40" s="45">
        <v>4.8410000000000002</v>
      </c>
      <c r="R40" s="45">
        <v>4.8920000000000003</v>
      </c>
      <c r="S40" s="45">
        <v>4.9400000000000004</v>
      </c>
      <c r="T40" s="628">
        <v>4.9859999999999998</v>
      </c>
    </row>
    <row r="41" spans="1:20" x14ac:dyDescent="0.25">
      <c r="A41">
        <v>36</v>
      </c>
      <c r="B41" s="627">
        <v>2.3879999999999999</v>
      </c>
      <c r="C41" s="45">
        <v>2.9980000000000002</v>
      </c>
      <c r="D41" s="45">
        <v>3.3610000000000002</v>
      </c>
      <c r="E41" s="45">
        <v>3.6190000000000002</v>
      </c>
      <c r="F41" s="45">
        <v>3.819</v>
      </c>
      <c r="G41" s="45">
        <v>3.9809999999999999</v>
      </c>
      <c r="H41" s="45">
        <v>4.117</v>
      </c>
      <c r="I41" s="45">
        <v>4.2350000000000003</v>
      </c>
      <c r="J41" s="45">
        <v>4.3380000000000001</v>
      </c>
      <c r="K41" s="45">
        <v>4.43</v>
      </c>
      <c r="L41" s="45">
        <v>4.5119999999999996</v>
      </c>
      <c r="M41" s="45">
        <v>4.5880000000000001</v>
      </c>
      <c r="N41" s="45">
        <v>4.6559999999999997</v>
      </c>
      <c r="O41" s="45">
        <v>4.72</v>
      </c>
      <c r="P41" s="45">
        <v>4.7779999999999996</v>
      </c>
      <c r="Q41" s="45">
        <v>4.8330000000000002</v>
      </c>
      <c r="R41" s="45">
        <v>4.8840000000000003</v>
      </c>
      <c r="S41" s="45">
        <v>4.9320000000000004</v>
      </c>
      <c r="T41" s="628">
        <v>4.9779999999999998</v>
      </c>
    </row>
    <row r="42" spans="1:20" x14ac:dyDescent="0.25">
      <c r="A42">
        <v>37</v>
      </c>
      <c r="B42" s="627">
        <v>2.3860000000000001</v>
      </c>
      <c r="C42" s="45">
        <v>2.9950000000000001</v>
      </c>
      <c r="D42" s="45">
        <v>3.3570000000000002</v>
      </c>
      <c r="E42" s="45">
        <v>3.6150000000000002</v>
      </c>
      <c r="F42" s="45">
        <v>3.8140000000000001</v>
      </c>
      <c r="G42" s="45">
        <v>3.976</v>
      </c>
      <c r="H42" s="45">
        <v>4.1120000000000001</v>
      </c>
      <c r="I42" s="45">
        <v>4.2300000000000004</v>
      </c>
      <c r="J42" s="45">
        <v>4.3319999999999999</v>
      </c>
      <c r="K42" s="45">
        <v>4.4240000000000004</v>
      </c>
      <c r="L42" s="45">
        <v>4.5060000000000002</v>
      </c>
      <c r="M42" s="45">
        <v>4.5810000000000004</v>
      </c>
      <c r="N42" s="45">
        <v>4.6500000000000004</v>
      </c>
      <c r="O42" s="45">
        <v>4.7130000000000001</v>
      </c>
      <c r="P42" s="45">
        <v>4.7709999999999999</v>
      </c>
      <c r="Q42" s="45">
        <v>4.8259999999999996</v>
      </c>
      <c r="R42" s="45">
        <v>4.8769999999999998</v>
      </c>
      <c r="S42" s="45">
        <v>4.9249999999999998</v>
      </c>
      <c r="T42" s="628">
        <v>4.97</v>
      </c>
    </row>
    <row r="43" spans="1:20" x14ac:dyDescent="0.25">
      <c r="A43">
        <v>38</v>
      </c>
      <c r="B43" s="627">
        <v>2.3839999999999999</v>
      </c>
      <c r="C43" s="45">
        <v>2.992</v>
      </c>
      <c r="D43" s="45">
        <v>3.3540000000000001</v>
      </c>
      <c r="E43" s="45">
        <v>3.6110000000000002</v>
      </c>
      <c r="F43" s="45">
        <v>3.81</v>
      </c>
      <c r="G43" s="45">
        <v>3.972</v>
      </c>
      <c r="H43" s="45">
        <v>4.1070000000000002</v>
      </c>
      <c r="I43" s="45">
        <v>4.2240000000000002</v>
      </c>
      <c r="J43" s="45">
        <v>4.327</v>
      </c>
      <c r="K43" s="45">
        <v>4.4180000000000001</v>
      </c>
      <c r="L43" s="45">
        <v>4.5</v>
      </c>
      <c r="M43" s="45">
        <v>4.5750000000000002</v>
      </c>
      <c r="N43" s="45">
        <v>4.6429999999999998</v>
      </c>
      <c r="O43" s="45">
        <v>4.7060000000000004</v>
      </c>
      <c r="P43" s="45">
        <v>4.7649999999999997</v>
      </c>
      <c r="Q43" s="45">
        <v>4.819</v>
      </c>
      <c r="R43" s="45">
        <v>4.87</v>
      </c>
      <c r="S43" s="45">
        <v>4.9180000000000001</v>
      </c>
      <c r="T43" s="628">
        <v>4.9630000000000001</v>
      </c>
    </row>
    <row r="44" spans="1:20" x14ac:dyDescent="0.25">
      <c r="A44">
        <v>39</v>
      </c>
      <c r="B44" s="627">
        <v>2.383</v>
      </c>
      <c r="C44" s="45">
        <v>2.99</v>
      </c>
      <c r="D44" s="45">
        <v>3.351</v>
      </c>
      <c r="E44" s="45">
        <v>3.6080000000000001</v>
      </c>
      <c r="F44" s="45">
        <v>3.806</v>
      </c>
      <c r="G44" s="45">
        <v>3.9670000000000001</v>
      </c>
      <c r="H44" s="45">
        <v>4.1029999999999998</v>
      </c>
      <c r="I44" s="45">
        <v>4.22</v>
      </c>
      <c r="J44" s="45">
        <v>4.3220000000000001</v>
      </c>
      <c r="K44" s="45">
        <v>4.4130000000000003</v>
      </c>
      <c r="L44" s="45">
        <v>4.4950000000000001</v>
      </c>
      <c r="M44" s="45">
        <v>4.569</v>
      </c>
      <c r="N44" s="45">
        <v>4.6369999999999996</v>
      </c>
      <c r="O44" s="45">
        <v>4.7</v>
      </c>
      <c r="P44" s="45">
        <v>4.758</v>
      </c>
      <c r="Q44" s="45">
        <v>4.8120000000000003</v>
      </c>
      <c r="R44" s="45">
        <v>4.8630000000000004</v>
      </c>
      <c r="S44" s="45">
        <v>4.9109999999999996</v>
      </c>
      <c r="T44" s="628">
        <v>4.9560000000000004</v>
      </c>
    </row>
    <row r="45" spans="1:20" x14ac:dyDescent="0.25">
      <c r="A45">
        <v>40</v>
      </c>
      <c r="B45" s="627">
        <v>2.3809999999999998</v>
      </c>
      <c r="C45" s="45">
        <v>2.988</v>
      </c>
      <c r="D45" s="45">
        <v>3.3479999999999999</v>
      </c>
      <c r="E45" s="45">
        <v>3.605</v>
      </c>
      <c r="F45" s="45">
        <v>3.802</v>
      </c>
      <c r="G45" s="45">
        <v>3.9630000000000001</v>
      </c>
      <c r="H45" s="45">
        <v>4.0990000000000002</v>
      </c>
      <c r="I45" s="45">
        <v>4.2149999999999999</v>
      </c>
      <c r="J45" s="45">
        <v>4.3170000000000002</v>
      </c>
      <c r="K45" s="45">
        <v>4.4080000000000004</v>
      </c>
      <c r="L45" s="45">
        <v>4.49</v>
      </c>
      <c r="M45" s="45">
        <v>4.5640000000000001</v>
      </c>
      <c r="N45" s="45">
        <v>4.6319999999999997</v>
      </c>
      <c r="O45" s="45">
        <v>4.694</v>
      </c>
      <c r="P45" s="45">
        <v>4.7519999999999998</v>
      </c>
      <c r="Q45" s="45">
        <v>4.806</v>
      </c>
      <c r="R45" s="45">
        <v>4.8570000000000002</v>
      </c>
      <c r="S45" s="45">
        <v>4.9039999999999999</v>
      </c>
      <c r="T45" s="628">
        <v>4.9489999999999998</v>
      </c>
    </row>
    <row r="46" spans="1:20" x14ac:dyDescent="0.25">
      <c r="A46">
        <v>48</v>
      </c>
      <c r="B46" s="627">
        <v>2.3719999999999999</v>
      </c>
      <c r="C46" s="45">
        <v>2.9729999999999999</v>
      </c>
      <c r="D46" s="45">
        <v>3.33</v>
      </c>
      <c r="E46" s="45">
        <v>3.5830000000000002</v>
      </c>
      <c r="F46" s="45">
        <v>3.778</v>
      </c>
      <c r="G46" s="45">
        <v>3.9369999999999998</v>
      </c>
      <c r="H46" s="45">
        <v>4.07</v>
      </c>
      <c r="I46" s="45">
        <v>4.1849999999999996</v>
      </c>
      <c r="J46" s="45">
        <v>4.2850000000000001</v>
      </c>
      <c r="K46" s="45">
        <v>4.375</v>
      </c>
      <c r="L46" s="45">
        <v>4.4550000000000001</v>
      </c>
      <c r="M46" s="45">
        <v>4.5279999999999996</v>
      </c>
      <c r="N46" s="45">
        <v>4.5949999999999998</v>
      </c>
      <c r="O46" s="45">
        <v>4.6559999999999997</v>
      </c>
      <c r="P46" s="45">
        <v>4.7130000000000001</v>
      </c>
      <c r="Q46" s="45">
        <v>4.766</v>
      </c>
      <c r="R46" s="45">
        <v>4.8159999999999998</v>
      </c>
      <c r="S46" s="45">
        <v>4.8630000000000004</v>
      </c>
      <c r="T46" s="628">
        <v>4.907</v>
      </c>
    </row>
    <row r="47" spans="1:20" x14ac:dyDescent="0.25">
      <c r="A47">
        <v>60</v>
      </c>
      <c r="B47" s="627">
        <v>2.363</v>
      </c>
      <c r="C47" s="45">
        <v>2.9590000000000001</v>
      </c>
      <c r="D47" s="45">
        <v>3.3119999999999998</v>
      </c>
      <c r="E47" s="45">
        <v>3.5619999999999998</v>
      </c>
      <c r="F47" s="45">
        <v>3.7549999999999999</v>
      </c>
      <c r="G47" s="45">
        <v>3.911</v>
      </c>
      <c r="H47" s="45">
        <v>4.0419999999999998</v>
      </c>
      <c r="I47" s="45">
        <v>4.1550000000000002</v>
      </c>
      <c r="J47" s="45">
        <v>4.2539999999999996</v>
      </c>
      <c r="K47" s="45">
        <v>4.3419999999999996</v>
      </c>
      <c r="L47" s="45">
        <v>4.4210000000000003</v>
      </c>
      <c r="M47" s="45">
        <v>4.4930000000000003</v>
      </c>
      <c r="N47" s="45">
        <v>4.5579999999999998</v>
      </c>
      <c r="O47" s="45">
        <v>4.6189999999999998</v>
      </c>
      <c r="P47" s="45">
        <v>4.6749999999999998</v>
      </c>
      <c r="Q47" s="45">
        <v>4.7270000000000003</v>
      </c>
      <c r="R47" s="45">
        <v>4.7750000000000004</v>
      </c>
      <c r="S47" s="45">
        <v>4.8209999999999997</v>
      </c>
      <c r="T47" s="628">
        <v>4.8639999999999999</v>
      </c>
    </row>
    <row r="48" spans="1:20" x14ac:dyDescent="0.25">
      <c r="A48">
        <v>80</v>
      </c>
      <c r="B48" s="627">
        <v>2.3530000000000002</v>
      </c>
      <c r="C48" s="45">
        <v>2.9449999999999998</v>
      </c>
      <c r="D48" s="45">
        <v>3.294</v>
      </c>
      <c r="E48" s="45">
        <v>3.5409999999999999</v>
      </c>
      <c r="F48" s="45">
        <v>3.7309999999999999</v>
      </c>
      <c r="G48" s="45">
        <v>3.8849999999999998</v>
      </c>
      <c r="H48" s="45">
        <v>4.0140000000000002</v>
      </c>
      <c r="I48" s="45">
        <v>4.125</v>
      </c>
      <c r="J48" s="45">
        <v>4.2229999999999999</v>
      </c>
      <c r="K48" s="45">
        <v>4.3090000000000002</v>
      </c>
      <c r="L48" s="45">
        <v>4.3869999999999996</v>
      </c>
      <c r="M48" s="45">
        <v>4.4569999999999999</v>
      </c>
      <c r="N48" s="45">
        <v>4.5209999999999999</v>
      </c>
      <c r="O48" s="45">
        <v>4.5810000000000004</v>
      </c>
      <c r="P48" s="45">
        <v>4.6360000000000001</v>
      </c>
      <c r="Q48" s="45">
        <v>4.6870000000000003</v>
      </c>
      <c r="R48" s="45">
        <v>4.7350000000000003</v>
      </c>
      <c r="S48" s="45">
        <v>4.78</v>
      </c>
      <c r="T48" s="628">
        <v>4.8220000000000001</v>
      </c>
    </row>
    <row r="49" spans="1:20" x14ac:dyDescent="0.25">
      <c r="A49">
        <v>120</v>
      </c>
      <c r="B49" s="627">
        <v>2.3439999999999999</v>
      </c>
      <c r="C49" s="45">
        <v>2.93</v>
      </c>
      <c r="D49" s="45">
        <v>3.2759999999999998</v>
      </c>
      <c r="E49" s="45">
        <v>3.52</v>
      </c>
      <c r="F49" s="45">
        <v>3.7069999999999999</v>
      </c>
      <c r="G49" s="45">
        <v>3.859</v>
      </c>
      <c r="H49" s="45">
        <v>3.9860000000000002</v>
      </c>
      <c r="I49" s="45">
        <v>4.0960000000000001</v>
      </c>
      <c r="J49" s="45">
        <v>4.1909999999999998</v>
      </c>
      <c r="K49" s="45">
        <v>4.2759999999999998</v>
      </c>
      <c r="L49" s="45">
        <v>4.3529999999999998</v>
      </c>
      <c r="M49" s="45">
        <v>4.4219999999999997</v>
      </c>
      <c r="N49" s="45">
        <v>4.4850000000000003</v>
      </c>
      <c r="O49" s="45">
        <v>4.5430000000000001</v>
      </c>
      <c r="P49" s="45">
        <v>4.5970000000000004</v>
      </c>
      <c r="Q49" s="45">
        <v>4.6470000000000002</v>
      </c>
      <c r="R49" s="45">
        <v>4.694</v>
      </c>
      <c r="S49" s="45">
        <v>4.7380000000000004</v>
      </c>
      <c r="T49" s="628">
        <v>4.7789999999999999</v>
      </c>
    </row>
    <row r="50" spans="1:20" x14ac:dyDescent="0.25">
      <c r="A50">
        <v>240</v>
      </c>
      <c r="B50" s="627">
        <v>2.335</v>
      </c>
      <c r="C50" s="45">
        <v>2.9159999999999999</v>
      </c>
      <c r="D50" s="45">
        <v>3.258</v>
      </c>
      <c r="E50" s="45">
        <v>3.4990000000000001</v>
      </c>
      <c r="F50" s="45">
        <v>3.6840000000000002</v>
      </c>
      <c r="G50" s="45">
        <v>3.8340000000000001</v>
      </c>
      <c r="H50" s="45">
        <v>3.9590000000000001</v>
      </c>
      <c r="I50" s="45">
        <v>4.0659999999999998</v>
      </c>
      <c r="J50" s="45">
        <v>4.16</v>
      </c>
      <c r="K50" s="45">
        <v>4.2439999999999998</v>
      </c>
      <c r="L50" s="45">
        <v>4.319</v>
      </c>
      <c r="M50" s="45">
        <v>4.3860000000000001</v>
      </c>
      <c r="N50" s="45">
        <v>4.4480000000000004</v>
      </c>
      <c r="O50" s="45">
        <v>4.5049999999999999</v>
      </c>
      <c r="P50" s="45">
        <v>4.5579999999999998</v>
      </c>
      <c r="Q50" s="45">
        <v>4.6070000000000002</v>
      </c>
      <c r="R50" s="45">
        <v>4.6529999999999996</v>
      </c>
      <c r="S50" s="45">
        <v>4.6959999999999997</v>
      </c>
      <c r="T50" s="628">
        <v>4.7370000000000001</v>
      </c>
    </row>
    <row r="51" spans="1:20" x14ac:dyDescent="0.25">
      <c r="A51" s="13" t="s">
        <v>102</v>
      </c>
      <c r="B51" s="629">
        <v>2.3260000000000001</v>
      </c>
      <c r="C51" s="981">
        <v>2.9020000000000001</v>
      </c>
      <c r="D51" s="981">
        <v>3.24</v>
      </c>
      <c r="E51" s="981">
        <v>3.4780000000000002</v>
      </c>
      <c r="F51" s="981">
        <v>3.661</v>
      </c>
      <c r="G51" s="981">
        <v>3.8079999999999998</v>
      </c>
      <c r="H51" s="981">
        <v>3.931</v>
      </c>
      <c r="I51" s="981">
        <v>4.0369999999999999</v>
      </c>
      <c r="J51" s="981">
        <v>4.1289999999999996</v>
      </c>
      <c r="K51" s="981">
        <v>4.2110000000000003</v>
      </c>
      <c r="L51" s="981">
        <v>4.2850000000000001</v>
      </c>
      <c r="M51" s="981">
        <v>4.351</v>
      </c>
      <c r="N51" s="981">
        <v>4.4119999999999999</v>
      </c>
      <c r="O51" s="981">
        <v>4.468</v>
      </c>
      <c r="P51" s="981">
        <v>4.5190000000000001</v>
      </c>
      <c r="Q51" s="981">
        <v>4.5679999999999996</v>
      </c>
      <c r="R51" s="981">
        <v>4.6120000000000001</v>
      </c>
      <c r="S51" s="981">
        <v>4.6539999999999999</v>
      </c>
      <c r="T51" s="630">
        <v>4.694</v>
      </c>
    </row>
    <row r="53" spans="1:20" x14ac:dyDescent="0.25">
      <c r="B53" t="s">
        <v>34</v>
      </c>
      <c r="C53">
        <v>0.05</v>
      </c>
    </row>
    <row r="54" spans="1:20" x14ac:dyDescent="0.25">
      <c r="B54" t="s">
        <v>101</v>
      </c>
    </row>
    <row r="55" spans="1:20" x14ac:dyDescent="0.25">
      <c r="A55" s="13" t="s">
        <v>60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</row>
    <row r="56" spans="1:20" x14ac:dyDescent="0.25">
      <c r="A56">
        <v>1</v>
      </c>
      <c r="B56" s="1109">
        <v>17.969000000000001</v>
      </c>
      <c r="C56" s="979">
        <v>26.975999999999999</v>
      </c>
      <c r="D56" s="979">
        <v>32.819000000000003</v>
      </c>
      <c r="E56" s="979">
        <v>37.082000000000001</v>
      </c>
      <c r="F56" s="979">
        <v>40.408000000000001</v>
      </c>
      <c r="G56" s="979">
        <v>43.119</v>
      </c>
      <c r="H56" s="979">
        <v>45.396999999999998</v>
      </c>
      <c r="I56" s="979">
        <v>47.356999999999999</v>
      </c>
      <c r="J56" s="979">
        <v>49.070999999999998</v>
      </c>
      <c r="K56" s="979">
        <v>50.591999999999999</v>
      </c>
      <c r="L56" s="979">
        <v>51.957000000000001</v>
      </c>
      <c r="M56" s="979">
        <v>53.194000000000003</v>
      </c>
      <c r="N56" s="979">
        <v>54.323</v>
      </c>
      <c r="O56" s="979">
        <v>55.360999999999997</v>
      </c>
      <c r="P56" s="979">
        <v>56.32</v>
      </c>
      <c r="Q56" s="979">
        <v>57.212000000000003</v>
      </c>
      <c r="R56" s="979">
        <v>58.043999999999997</v>
      </c>
      <c r="S56" s="979">
        <v>58.823999999999998</v>
      </c>
      <c r="T56" s="1110">
        <v>59.558</v>
      </c>
    </row>
    <row r="57" spans="1:20" x14ac:dyDescent="0.25">
      <c r="A57">
        <v>2</v>
      </c>
      <c r="B57" s="627">
        <v>6.085</v>
      </c>
      <c r="C57" s="45">
        <v>8.3309999999999995</v>
      </c>
      <c r="D57" s="45">
        <v>9.798</v>
      </c>
      <c r="E57" s="45">
        <v>10.881</v>
      </c>
      <c r="F57" s="45">
        <v>11.734</v>
      </c>
      <c r="G57" s="45">
        <v>12.435</v>
      </c>
      <c r="H57" s="45">
        <v>13.026999999999999</v>
      </c>
      <c r="I57" s="45">
        <v>13.539</v>
      </c>
      <c r="J57" s="45">
        <v>13.988</v>
      </c>
      <c r="K57" s="45">
        <v>14.388999999999999</v>
      </c>
      <c r="L57" s="45">
        <v>14.749000000000001</v>
      </c>
      <c r="M57" s="45">
        <v>15.076000000000001</v>
      </c>
      <c r="N57" s="45">
        <v>15.375</v>
      </c>
      <c r="O57" s="45">
        <v>15.65</v>
      </c>
      <c r="P57" s="45">
        <v>15.904999999999999</v>
      </c>
      <c r="Q57" s="45">
        <v>16.143000000000001</v>
      </c>
      <c r="R57" s="45">
        <v>16.364999999999998</v>
      </c>
      <c r="S57" s="45">
        <v>16.573</v>
      </c>
      <c r="T57" s="628">
        <v>16.768999999999998</v>
      </c>
    </row>
    <row r="58" spans="1:20" x14ac:dyDescent="0.25">
      <c r="A58">
        <v>3</v>
      </c>
      <c r="B58" s="627">
        <v>4.5010000000000003</v>
      </c>
      <c r="C58" s="45">
        <v>5.91</v>
      </c>
      <c r="D58" s="45">
        <v>6.8250000000000002</v>
      </c>
      <c r="E58" s="45">
        <v>7.5019999999999998</v>
      </c>
      <c r="F58" s="45">
        <v>8.0370000000000008</v>
      </c>
      <c r="G58" s="45">
        <v>8.4779999999999998</v>
      </c>
      <c r="H58" s="45">
        <v>8.8520000000000003</v>
      </c>
      <c r="I58" s="45">
        <v>9.1769999999999996</v>
      </c>
      <c r="J58" s="45">
        <v>9.4619999999999997</v>
      </c>
      <c r="K58" s="45">
        <v>9.7170000000000005</v>
      </c>
      <c r="L58" s="45">
        <v>9.9459999999999997</v>
      </c>
      <c r="M58" s="45">
        <v>10.154999999999999</v>
      </c>
      <c r="N58" s="45">
        <v>10.346</v>
      </c>
      <c r="O58" s="45">
        <v>10.522</v>
      </c>
      <c r="P58" s="45">
        <v>10.686</v>
      </c>
      <c r="Q58" s="45">
        <v>10.837999999999999</v>
      </c>
      <c r="R58" s="45">
        <v>10.98</v>
      </c>
      <c r="S58" s="45">
        <v>11.114000000000001</v>
      </c>
      <c r="T58" s="628">
        <v>11.24</v>
      </c>
    </row>
    <row r="59" spans="1:20" x14ac:dyDescent="0.25">
      <c r="A59">
        <v>4</v>
      </c>
      <c r="B59" s="627">
        <v>3.9260000000000002</v>
      </c>
      <c r="C59" s="45">
        <v>5.04</v>
      </c>
      <c r="D59" s="45">
        <v>5.7569999999999997</v>
      </c>
      <c r="E59" s="45">
        <v>6.2869999999999999</v>
      </c>
      <c r="F59" s="45">
        <v>6.7060000000000004</v>
      </c>
      <c r="G59" s="45">
        <v>7.0529999999999999</v>
      </c>
      <c r="H59" s="45">
        <v>7.3470000000000004</v>
      </c>
      <c r="I59" s="45">
        <v>7.6020000000000003</v>
      </c>
      <c r="J59" s="45">
        <v>7.8259999999999996</v>
      </c>
      <c r="K59" s="45">
        <v>8.0269999999999992</v>
      </c>
      <c r="L59" s="45">
        <v>8.2080000000000002</v>
      </c>
      <c r="M59" s="45">
        <v>8.3729999999999993</v>
      </c>
      <c r="N59" s="45">
        <v>8.5239999999999991</v>
      </c>
      <c r="O59" s="45">
        <v>8.6639999999999997</v>
      </c>
      <c r="P59" s="45">
        <v>8.7929999999999993</v>
      </c>
      <c r="Q59" s="45">
        <v>8.9139999999999997</v>
      </c>
      <c r="R59" s="45">
        <v>9.0269999999999992</v>
      </c>
      <c r="S59" s="45">
        <v>9.1329999999999991</v>
      </c>
      <c r="T59" s="628">
        <v>9.2330000000000005</v>
      </c>
    </row>
    <row r="60" spans="1:20" x14ac:dyDescent="0.25">
      <c r="A60">
        <v>5</v>
      </c>
      <c r="B60" s="627">
        <v>3.6349999999999998</v>
      </c>
      <c r="C60" s="45">
        <v>4.6020000000000003</v>
      </c>
      <c r="D60" s="45">
        <v>5.218</v>
      </c>
      <c r="E60" s="45">
        <v>5.673</v>
      </c>
      <c r="F60" s="45">
        <v>6.0330000000000004</v>
      </c>
      <c r="G60" s="45">
        <v>6.33</v>
      </c>
      <c r="H60" s="45">
        <v>6.5819999999999999</v>
      </c>
      <c r="I60" s="45">
        <v>6.8010000000000002</v>
      </c>
      <c r="J60" s="45">
        <v>6.9950000000000001</v>
      </c>
      <c r="K60" s="45">
        <v>7.1669999999999998</v>
      </c>
      <c r="L60" s="45">
        <v>7.3230000000000004</v>
      </c>
      <c r="M60" s="45">
        <v>7.4660000000000002</v>
      </c>
      <c r="N60" s="45">
        <v>7.5960000000000001</v>
      </c>
      <c r="O60" s="45">
        <v>7.7160000000000002</v>
      </c>
      <c r="P60" s="45">
        <v>7.8280000000000003</v>
      </c>
      <c r="Q60" s="45">
        <v>7.9320000000000004</v>
      </c>
      <c r="R60" s="45">
        <v>8.0299999999999994</v>
      </c>
      <c r="S60" s="45">
        <v>8.1219999999999999</v>
      </c>
      <c r="T60" s="628">
        <v>8.2080000000000002</v>
      </c>
    </row>
    <row r="61" spans="1:20" x14ac:dyDescent="0.25">
      <c r="A61">
        <v>6</v>
      </c>
      <c r="B61" s="627">
        <v>3.46</v>
      </c>
      <c r="C61" s="45">
        <v>4.3390000000000004</v>
      </c>
      <c r="D61" s="45">
        <v>4.8959999999999999</v>
      </c>
      <c r="E61" s="45">
        <v>5.3049999999999997</v>
      </c>
      <c r="F61" s="45">
        <v>5.6280000000000001</v>
      </c>
      <c r="G61" s="45">
        <v>5.8949999999999996</v>
      </c>
      <c r="H61" s="45">
        <v>6.1219999999999999</v>
      </c>
      <c r="I61" s="45">
        <v>6.319</v>
      </c>
      <c r="J61" s="45">
        <v>6.4930000000000003</v>
      </c>
      <c r="K61" s="45">
        <v>6.649</v>
      </c>
      <c r="L61" s="45">
        <v>6.7889999999999997</v>
      </c>
      <c r="M61" s="45">
        <v>6.9169999999999998</v>
      </c>
      <c r="N61" s="45">
        <v>7.0339999999999998</v>
      </c>
      <c r="O61" s="45">
        <v>7.1429999999999998</v>
      </c>
      <c r="P61" s="45">
        <v>7.2439999999999998</v>
      </c>
      <c r="Q61" s="45">
        <v>7.3380000000000001</v>
      </c>
      <c r="R61" s="45">
        <v>7.4260000000000002</v>
      </c>
      <c r="S61" s="45">
        <v>7.508</v>
      </c>
      <c r="T61" s="628">
        <v>7.5860000000000003</v>
      </c>
    </row>
    <row r="62" spans="1:20" x14ac:dyDescent="0.25">
      <c r="A62">
        <v>7</v>
      </c>
      <c r="B62" s="627">
        <v>3.3439999999999999</v>
      </c>
      <c r="C62" s="45">
        <v>4.165</v>
      </c>
      <c r="D62" s="45">
        <v>4.681</v>
      </c>
      <c r="E62" s="45">
        <v>5.0599999999999996</v>
      </c>
      <c r="F62" s="45">
        <v>5.359</v>
      </c>
      <c r="G62" s="45">
        <v>5.6059999999999999</v>
      </c>
      <c r="H62" s="45">
        <v>5.8150000000000004</v>
      </c>
      <c r="I62" s="45">
        <v>5.9969999999999999</v>
      </c>
      <c r="J62" s="45">
        <v>6.1580000000000004</v>
      </c>
      <c r="K62" s="45">
        <v>6.3019999999999996</v>
      </c>
      <c r="L62" s="45">
        <v>6.431</v>
      </c>
      <c r="M62" s="45">
        <v>6.55</v>
      </c>
      <c r="N62" s="45">
        <v>6.6580000000000004</v>
      </c>
      <c r="O62" s="45">
        <v>6.7590000000000003</v>
      </c>
      <c r="P62" s="45">
        <v>6.8520000000000003</v>
      </c>
      <c r="Q62" s="45">
        <v>6.9390000000000001</v>
      </c>
      <c r="R62" s="45">
        <v>7.02</v>
      </c>
      <c r="S62" s="45">
        <v>7.0970000000000004</v>
      </c>
      <c r="T62" s="628">
        <v>7.1689999999999996</v>
      </c>
    </row>
    <row r="63" spans="1:20" x14ac:dyDescent="0.25">
      <c r="A63">
        <v>8</v>
      </c>
      <c r="B63" s="627">
        <v>3.2610000000000001</v>
      </c>
      <c r="C63" s="45">
        <v>4.0410000000000004</v>
      </c>
      <c r="D63" s="45">
        <v>4.5289999999999999</v>
      </c>
      <c r="E63" s="45">
        <v>4.8860000000000001</v>
      </c>
      <c r="F63" s="45">
        <v>5.1669999999999998</v>
      </c>
      <c r="G63" s="45">
        <v>5.399</v>
      </c>
      <c r="H63" s="45">
        <v>5.5960000000000001</v>
      </c>
      <c r="I63" s="45">
        <v>5.7670000000000003</v>
      </c>
      <c r="J63" s="45">
        <v>5.9180000000000001</v>
      </c>
      <c r="K63" s="45">
        <v>6.0529999999999999</v>
      </c>
      <c r="L63" s="45">
        <v>6.1749999999999998</v>
      </c>
      <c r="M63" s="45">
        <v>6.2869999999999999</v>
      </c>
      <c r="N63" s="45">
        <v>6.3890000000000002</v>
      </c>
      <c r="O63" s="45">
        <v>6.4829999999999997</v>
      </c>
      <c r="P63" s="45">
        <v>6.5709999999999997</v>
      </c>
      <c r="Q63" s="45">
        <v>6.6529999999999996</v>
      </c>
      <c r="R63" s="45">
        <v>6.7290000000000001</v>
      </c>
      <c r="S63" s="45">
        <v>6.8010000000000002</v>
      </c>
      <c r="T63" s="628">
        <v>6.8689999999999998</v>
      </c>
    </row>
    <row r="64" spans="1:20" x14ac:dyDescent="0.25">
      <c r="A64">
        <v>9</v>
      </c>
      <c r="B64" s="627">
        <v>3.1989999999999998</v>
      </c>
      <c r="C64" s="45">
        <v>3.948</v>
      </c>
      <c r="D64" s="45">
        <v>4.415</v>
      </c>
      <c r="E64" s="45">
        <v>4.7549999999999999</v>
      </c>
      <c r="F64" s="45">
        <v>5.024</v>
      </c>
      <c r="G64" s="45">
        <v>5.2439999999999998</v>
      </c>
      <c r="H64" s="45">
        <v>5.4320000000000004</v>
      </c>
      <c r="I64" s="45">
        <v>5.5949999999999998</v>
      </c>
      <c r="J64" s="45">
        <v>5.7380000000000004</v>
      </c>
      <c r="K64" s="45">
        <v>5.867</v>
      </c>
      <c r="L64" s="45">
        <v>5.9829999999999997</v>
      </c>
      <c r="M64" s="45">
        <v>6.0890000000000004</v>
      </c>
      <c r="N64" s="45">
        <v>6.1859999999999999</v>
      </c>
      <c r="O64" s="45">
        <v>6.2759999999999998</v>
      </c>
      <c r="P64" s="45">
        <v>6.359</v>
      </c>
      <c r="Q64" s="45">
        <v>6.4370000000000003</v>
      </c>
      <c r="R64" s="45">
        <v>6.51</v>
      </c>
      <c r="S64" s="45">
        <v>6.5789999999999997</v>
      </c>
      <c r="T64" s="628">
        <v>6.6429999999999998</v>
      </c>
    </row>
    <row r="65" spans="1:20" x14ac:dyDescent="0.25">
      <c r="A65">
        <v>10</v>
      </c>
      <c r="B65" s="627">
        <v>3.1509999999999998</v>
      </c>
      <c r="C65" s="45">
        <v>3.8769999999999998</v>
      </c>
      <c r="D65" s="45">
        <v>4.327</v>
      </c>
      <c r="E65" s="45">
        <v>4.6539999999999999</v>
      </c>
      <c r="F65" s="45">
        <v>4.9119999999999999</v>
      </c>
      <c r="G65" s="45">
        <v>5.1239999999999997</v>
      </c>
      <c r="H65" s="45">
        <v>5.3040000000000003</v>
      </c>
      <c r="I65" s="45">
        <v>5.46</v>
      </c>
      <c r="J65" s="45">
        <v>5.5979999999999999</v>
      </c>
      <c r="K65" s="45">
        <v>5.7220000000000004</v>
      </c>
      <c r="L65" s="45">
        <v>5.8330000000000002</v>
      </c>
      <c r="M65" s="45">
        <v>5.9349999999999996</v>
      </c>
      <c r="N65" s="45">
        <v>6.0279999999999996</v>
      </c>
      <c r="O65" s="45">
        <v>6.1139999999999999</v>
      </c>
      <c r="P65" s="45">
        <v>6.194</v>
      </c>
      <c r="Q65" s="45">
        <v>6.2690000000000001</v>
      </c>
      <c r="R65" s="45">
        <v>6.3390000000000004</v>
      </c>
      <c r="S65" s="45">
        <v>6.4050000000000002</v>
      </c>
      <c r="T65" s="628">
        <v>6.4669999999999996</v>
      </c>
    </row>
    <row r="66" spans="1:20" x14ac:dyDescent="0.25">
      <c r="A66">
        <v>11</v>
      </c>
      <c r="B66" s="627">
        <v>3.113</v>
      </c>
      <c r="C66" s="45">
        <v>3.82</v>
      </c>
      <c r="D66" s="45">
        <v>4.2560000000000002</v>
      </c>
      <c r="E66" s="45">
        <v>4.5739999999999998</v>
      </c>
      <c r="F66" s="45">
        <v>4.8230000000000004</v>
      </c>
      <c r="G66" s="45">
        <v>5.0279999999999996</v>
      </c>
      <c r="H66" s="45">
        <v>5.202</v>
      </c>
      <c r="I66" s="45">
        <v>5.3529999999999998</v>
      </c>
      <c r="J66" s="45">
        <v>5.4859999999999998</v>
      </c>
      <c r="K66" s="45">
        <v>5.6050000000000004</v>
      </c>
      <c r="L66" s="45">
        <v>5.7130000000000001</v>
      </c>
      <c r="M66" s="45">
        <v>5.8109999999999999</v>
      </c>
      <c r="N66" s="45">
        <v>5.9009999999999998</v>
      </c>
      <c r="O66" s="45">
        <v>5.984</v>
      </c>
      <c r="P66" s="45">
        <v>6.0620000000000003</v>
      </c>
      <c r="Q66" s="45">
        <v>6.1340000000000003</v>
      </c>
      <c r="R66" s="45">
        <v>6.202</v>
      </c>
      <c r="S66" s="45">
        <v>6.2649999999999997</v>
      </c>
      <c r="T66" s="628">
        <v>6.3250000000000002</v>
      </c>
    </row>
    <row r="67" spans="1:20" x14ac:dyDescent="0.25">
      <c r="A67">
        <v>12</v>
      </c>
      <c r="B67" s="627">
        <v>3.081</v>
      </c>
      <c r="C67" s="45">
        <v>3.7730000000000001</v>
      </c>
      <c r="D67" s="45">
        <v>4.1989999999999998</v>
      </c>
      <c r="E67" s="45">
        <v>4.508</v>
      </c>
      <c r="F67" s="45">
        <v>4.75</v>
      </c>
      <c r="G67" s="45">
        <v>4.95</v>
      </c>
      <c r="H67" s="45">
        <v>5.1189999999999998</v>
      </c>
      <c r="I67" s="45">
        <v>5.2649999999999997</v>
      </c>
      <c r="J67" s="45">
        <v>5.3949999999999996</v>
      </c>
      <c r="K67" s="45">
        <v>5.51</v>
      </c>
      <c r="L67" s="45">
        <v>5.6150000000000002</v>
      </c>
      <c r="M67" s="45">
        <v>5.71</v>
      </c>
      <c r="N67" s="45">
        <v>5.7969999999999997</v>
      </c>
      <c r="O67" s="45">
        <v>5.8780000000000001</v>
      </c>
      <c r="P67" s="45">
        <v>5.9530000000000003</v>
      </c>
      <c r="Q67" s="45">
        <v>6.0229999999999997</v>
      </c>
      <c r="R67" s="45">
        <v>6.0890000000000004</v>
      </c>
      <c r="S67" s="45">
        <v>6.1509999999999998</v>
      </c>
      <c r="T67" s="628">
        <v>6.2089999999999996</v>
      </c>
    </row>
    <row r="68" spans="1:20" x14ac:dyDescent="0.25">
      <c r="A68">
        <v>13</v>
      </c>
      <c r="B68" s="627">
        <v>3.0550000000000002</v>
      </c>
      <c r="C68" s="45">
        <v>3.734</v>
      </c>
      <c r="D68" s="45">
        <v>4.1509999999999998</v>
      </c>
      <c r="E68" s="45">
        <v>4.4530000000000003</v>
      </c>
      <c r="F68" s="45">
        <v>4.6900000000000004</v>
      </c>
      <c r="G68" s="45">
        <v>4.8840000000000003</v>
      </c>
      <c r="H68" s="45">
        <v>5.0490000000000004</v>
      </c>
      <c r="I68" s="45">
        <v>5.1920000000000002</v>
      </c>
      <c r="J68" s="45">
        <v>5.3179999999999996</v>
      </c>
      <c r="K68" s="45">
        <v>5.431</v>
      </c>
      <c r="L68" s="45">
        <v>5.5330000000000004</v>
      </c>
      <c r="M68" s="45">
        <v>5.625</v>
      </c>
      <c r="N68" s="45">
        <v>5.7110000000000003</v>
      </c>
      <c r="O68" s="45">
        <v>5.7889999999999997</v>
      </c>
      <c r="P68" s="45">
        <v>5.8620000000000001</v>
      </c>
      <c r="Q68" s="45">
        <v>5.931</v>
      </c>
      <c r="R68" s="45">
        <v>5.9950000000000001</v>
      </c>
      <c r="S68" s="45">
        <v>6.0549999999999997</v>
      </c>
      <c r="T68" s="628">
        <v>6.1120000000000001</v>
      </c>
    </row>
    <row r="69" spans="1:20" x14ac:dyDescent="0.25">
      <c r="A69">
        <v>14</v>
      </c>
      <c r="B69" s="627">
        <v>3.0329999999999999</v>
      </c>
      <c r="C69" s="45">
        <v>3.7010000000000001</v>
      </c>
      <c r="D69" s="45">
        <v>4.1109999999999998</v>
      </c>
      <c r="E69" s="45">
        <v>4.407</v>
      </c>
      <c r="F69" s="45">
        <v>4.6390000000000002</v>
      </c>
      <c r="G69" s="45">
        <v>4.8289999999999997</v>
      </c>
      <c r="H69" s="45">
        <v>4.99</v>
      </c>
      <c r="I69" s="45">
        <v>5.13</v>
      </c>
      <c r="J69" s="45">
        <v>5.2530000000000001</v>
      </c>
      <c r="K69" s="45">
        <v>5.3639999999999999</v>
      </c>
      <c r="L69" s="45">
        <v>5.4630000000000001</v>
      </c>
      <c r="M69" s="45">
        <v>5.5540000000000003</v>
      </c>
      <c r="N69" s="45">
        <v>5.6369999999999996</v>
      </c>
      <c r="O69" s="45">
        <v>5.7140000000000004</v>
      </c>
      <c r="P69" s="45">
        <v>5.7850000000000001</v>
      </c>
      <c r="Q69" s="45">
        <v>5.8520000000000003</v>
      </c>
      <c r="R69" s="45">
        <v>5.915</v>
      </c>
      <c r="S69" s="45">
        <v>5.9729999999999999</v>
      </c>
      <c r="T69" s="628">
        <v>6.0289999999999999</v>
      </c>
    </row>
    <row r="70" spans="1:20" x14ac:dyDescent="0.25">
      <c r="A70">
        <v>15</v>
      </c>
      <c r="B70" s="627">
        <v>3.0139999999999998</v>
      </c>
      <c r="C70" s="45">
        <v>3.673</v>
      </c>
      <c r="D70" s="45">
        <v>4.0759999999999996</v>
      </c>
      <c r="E70" s="45">
        <v>4.367</v>
      </c>
      <c r="F70" s="45">
        <v>4.5949999999999998</v>
      </c>
      <c r="G70" s="45">
        <v>4.782</v>
      </c>
      <c r="H70" s="45">
        <v>4.9400000000000004</v>
      </c>
      <c r="I70" s="45">
        <v>5.077</v>
      </c>
      <c r="J70" s="45">
        <v>5.1980000000000004</v>
      </c>
      <c r="K70" s="45">
        <v>5.306</v>
      </c>
      <c r="L70" s="45">
        <v>5.4029999999999996</v>
      </c>
      <c r="M70" s="45">
        <v>5.492</v>
      </c>
      <c r="N70" s="45">
        <v>5.5739999999999998</v>
      </c>
      <c r="O70" s="45">
        <v>5.649</v>
      </c>
      <c r="P70" s="45">
        <v>5.7190000000000003</v>
      </c>
      <c r="Q70" s="45">
        <v>5.7850000000000001</v>
      </c>
      <c r="R70" s="45">
        <v>5.8460000000000001</v>
      </c>
      <c r="S70" s="45">
        <v>5.9039999999999999</v>
      </c>
      <c r="T70" s="628">
        <v>5.9580000000000002</v>
      </c>
    </row>
    <row r="71" spans="1:20" x14ac:dyDescent="0.25">
      <c r="A71">
        <v>16</v>
      </c>
      <c r="B71" s="627">
        <v>2.9980000000000002</v>
      </c>
      <c r="C71" s="45">
        <v>3.649</v>
      </c>
      <c r="D71" s="45">
        <v>4.0460000000000003</v>
      </c>
      <c r="E71" s="45">
        <v>4.3330000000000002</v>
      </c>
      <c r="F71" s="45">
        <v>4.5570000000000004</v>
      </c>
      <c r="G71" s="45">
        <v>4.7409999999999997</v>
      </c>
      <c r="H71" s="45">
        <v>4.8959999999999999</v>
      </c>
      <c r="I71" s="45">
        <v>5.0309999999999997</v>
      </c>
      <c r="J71" s="45">
        <v>5.15</v>
      </c>
      <c r="K71" s="45">
        <v>5.2560000000000002</v>
      </c>
      <c r="L71" s="45">
        <v>5.3520000000000003</v>
      </c>
      <c r="M71" s="45">
        <v>5.4390000000000001</v>
      </c>
      <c r="N71" s="45">
        <v>5.5190000000000001</v>
      </c>
      <c r="O71" s="45">
        <v>5.593</v>
      </c>
      <c r="P71" s="45">
        <v>5.6619999999999999</v>
      </c>
      <c r="Q71" s="45">
        <v>5.726</v>
      </c>
      <c r="R71" s="45">
        <v>5.7859999999999996</v>
      </c>
      <c r="S71" s="45">
        <v>5.843</v>
      </c>
      <c r="T71" s="628">
        <v>5.8959999999999999</v>
      </c>
    </row>
    <row r="72" spans="1:20" x14ac:dyDescent="0.25">
      <c r="A72">
        <v>17</v>
      </c>
      <c r="B72" s="627">
        <v>2.984</v>
      </c>
      <c r="C72" s="45">
        <v>3.6280000000000001</v>
      </c>
      <c r="D72" s="45">
        <v>4.0199999999999996</v>
      </c>
      <c r="E72" s="45">
        <v>4.3029999999999999</v>
      </c>
      <c r="F72" s="45">
        <v>4.524</v>
      </c>
      <c r="G72" s="45">
        <v>4.7050000000000001</v>
      </c>
      <c r="H72" s="45">
        <v>4.8579999999999997</v>
      </c>
      <c r="I72" s="45">
        <v>4.9909999999999997</v>
      </c>
      <c r="J72" s="45">
        <v>5.1079999999999997</v>
      </c>
      <c r="K72" s="45">
        <v>5.2119999999999997</v>
      </c>
      <c r="L72" s="45">
        <v>5.306</v>
      </c>
      <c r="M72" s="45">
        <v>5.3920000000000003</v>
      </c>
      <c r="N72" s="45">
        <v>5.4710000000000001</v>
      </c>
      <c r="O72" s="45">
        <v>5.5439999999999996</v>
      </c>
      <c r="P72" s="45">
        <v>5.6120000000000001</v>
      </c>
      <c r="Q72" s="45">
        <v>5.6749999999999998</v>
      </c>
      <c r="R72" s="45">
        <v>5.734</v>
      </c>
      <c r="S72" s="45">
        <v>5.79</v>
      </c>
      <c r="T72" s="628">
        <v>5.8419999999999996</v>
      </c>
    </row>
    <row r="73" spans="1:20" x14ac:dyDescent="0.25">
      <c r="A73">
        <v>18</v>
      </c>
      <c r="B73" s="627">
        <v>2.9710000000000001</v>
      </c>
      <c r="C73" s="45">
        <v>3.609</v>
      </c>
      <c r="D73" s="45">
        <v>3.9969999999999999</v>
      </c>
      <c r="E73" s="45">
        <v>4.2759999999999998</v>
      </c>
      <c r="F73" s="45">
        <v>4.4939999999999998</v>
      </c>
      <c r="G73" s="45">
        <v>4.673</v>
      </c>
      <c r="H73" s="45">
        <v>4.8239999999999998</v>
      </c>
      <c r="I73" s="45">
        <v>4.9550000000000001</v>
      </c>
      <c r="J73" s="45">
        <v>5.0709999999999997</v>
      </c>
      <c r="K73" s="45">
        <v>5.173</v>
      </c>
      <c r="L73" s="45">
        <v>5.266</v>
      </c>
      <c r="M73" s="45">
        <v>5.351</v>
      </c>
      <c r="N73" s="45">
        <v>5.4290000000000003</v>
      </c>
      <c r="O73" s="45">
        <v>5.5010000000000003</v>
      </c>
      <c r="P73" s="45">
        <v>5.5670000000000002</v>
      </c>
      <c r="Q73" s="45">
        <v>5.6289999999999996</v>
      </c>
      <c r="R73" s="45">
        <v>5.6879999999999997</v>
      </c>
      <c r="S73" s="45">
        <v>5.7430000000000003</v>
      </c>
      <c r="T73" s="628">
        <v>5.7939999999999996</v>
      </c>
    </row>
    <row r="74" spans="1:20" x14ac:dyDescent="0.25">
      <c r="A74">
        <v>19</v>
      </c>
      <c r="B74" s="627">
        <v>2.96</v>
      </c>
      <c r="C74" s="45">
        <v>3.593</v>
      </c>
      <c r="D74" s="45">
        <v>3.9769999999999999</v>
      </c>
      <c r="E74" s="45">
        <v>4.2530000000000001</v>
      </c>
      <c r="F74" s="45">
        <v>4.468</v>
      </c>
      <c r="G74" s="45">
        <v>4.6449999999999996</v>
      </c>
      <c r="H74" s="45">
        <v>4.7939999999999996</v>
      </c>
      <c r="I74" s="45">
        <v>4.9240000000000004</v>
      </c>
      <c r="J74" s="45">
        <v>5.0369999999999999</v>
      </c>
      <c r="K74" s="45">
        <v>5.1390000000000002</v>
      </c>
      <c r="L74" s="45">
        <v>5.2309999999999999</v>
      </c>
      <c r="M74" s="45">
        <v>5.3140000000000001</v>
      </c>
      <c r="N74" s="45">
        <v>5.391</v>
      </c>
      <c r="O74" s="45">
        <v>5.4619999999999997</v>
      </c>
      <c r="P74" s="45">
        <v>5.5279999999999996</v>
      </c>
      <c r="Q74" s="45">
        <v>5.5890000000000004</v>
      </c>
      <c r="R74" s="45">
        <v>5.6470000000000002</v>
      </c>
      <c r="S74" s="45">
        <v>5.7009999999999996</v>
      </c>
      <c r="T74" s="628">
        <v>5.7519999999999998</v>
      </c>
    </row>
    <row r="75" spans="1:20" x14ac:dyDescent="0.25">
      <c r="A75">
        <v>20</v>
      </c>
      <c r="B75" s="627">
        <v>2.95</v>
      </c>
      <c r="C75" s="45">
        <v>3.5779999999999998</v>
      </c>
      <c r="D75" s="45">
        <v>3.9580000000000002</v>
      </c>
      <c r="E75" s="45">
        <v>4.2320000000000002</v>
      </c>
      <c r="F75" s="45">
        <v>4.4450000000000003</v>
      </c>
      <c r="G75" s="45">
        <v>4.62</v>
      </c>
      <c r="H75" s="45">
        <v>4.7679999999999998</v>
      </c>
      <c r="I75" s="45">
        <v>4.8949999999999996</v>
      </c>
      <c r="J75" s="45">
        <v>5.008</v>
      </c>
      <c r="K75" s="45">
        <v>5.1079999999999997</v>
      </c>
      <c r="L75" s="45">
        <v>5.1989999999999998</v>
      </c>
      <c r="M75" s="45">
        <v>5.282</v>
      </c>
      <c r="N75" s="45">
        <v>5.3570000000000002</v>
      </c>
      <c r="O75" s="45">
        <v>5.4269999999999996</v>
      </c>
      <c r="P75" s="45">
        <v>5.492</v>
      </c>
      <c r="Q75" s="45">
        <v>5.5529999999999999</v>
      </c>
      <c r="R75" s="45">
        <v>5.61</v>
      </c>
      <c r="S75" s="45">
        <v>5.6630000000000003</v>
      </c>
      <c r="T75" s="628">
        <v>5.7140000000000004</v>
      </c>
    </row>
    <row r="76" spans="1:20" x14ac:dyDescent="0.25">
      <c r="A76">
        <v>21</v>
      </c>
      <c r="B76" s="627">
        <v>2.9409999999999998</v>
      </c>
      <c r="C76" s="45">
        <v>3.5649999999999999</v>
      </c>
      <c r="D76" s="45">
        <v>3.9420000000000002</v>
      </c>
      <c r="E76" s="45">
        <v>4.2130000000000001</v>
      </c>
      <c r="F76" s="45">
        <v>4.4240000000000004</v>
      </c>
      <c r="G76" s="45">
        <v>4.5970000000000004</v>
      </c>
      <c r="H76" s="45">
        <v>4.7430000000000003</v>
      </c>
      <c r="I76" s="45">
        <v>4.87</v>
      </c>
      <c r="J76" s="45">
        <v>4.9809999999999999</v>
      </c>
      <c r="K76" s="45">
        <v>5.0810000000000004</v>
      </c>
      <c r="L76" s="45">
        <v>5.17</v>
      </c>
      <c r="M76" s="45">
        <v>5.2519999999999998</v>
      </c>
      <c r="N76" s="45">
        <v>5.327</v>
      </c>
      <c r="O76" s="45">
        <v>5.3959999999999999</v>
      </c>
      <c r="P76" s="45">
        <v>5.46</v>
      </c>
      <c r="Q76" s="45">
        <v>5.52</v>
      </c>
      <c r="R76" s="45">
        <v>5.5759999999999996</v>
      </c>
      <c r="S76" s="45">
        <v>5.6289999999999996</v>
      </c>
      <c r="T76" s="628">
        <v>5.6790000000000003</v>
      </c>
    </row>
    <row r="77" spans="1:20" x14ac:dyDescent="0.25">
      <c r="A77">
        <v>22</v>
      </c>
      <c r="B77" s="627">
        <v>2.9329999999999998</v>
      </c>
      <c r="C77" s="45">
        <v>3.5529999999999999</v>
      </c>
      <c r="D77" s="45">
        <v>3.927</v>
      </c>
      <c r="E77" s="45">
        <v>4.1959999999999997</v>
      </c>
      <c r="F77" s="45">
        <v>4.4050000000000002</v>
      </c>
      <c r="G77" s="45">
        <v>4.577</v>
      </c>
      <c r="H77" s="45">
        <v>4.7220000000000004</v>
      </c>
      <c r="I77" s="45">
        <v>4.8470000000000004</v>
      </c>
      <c r="J77" s="45">
        <v>4.9569999999999999</v>
      </c>
      <c r="K77" s="45">
        <v>5.056</v>
      </c>
      <c r="L77" s="45">
        <v>5.1440000000000001</v>
      </c>
      <c r="M77" s="45">
        <v>5.2249999999999996</v>
      </c>
      <c r="N77" s="45">
        <v>5.2990000000000004</v>
      </c>
      <c r="O77" s="45">
        <v>5.3680000000000003</v>
      </c>
      <c r="P77" s="45">
        <v>5.431</v>
      </c>
      <c r="Q77" s="45">
        <v>5.4909999999999997</v>
      </c>
      <c r="R77" s="45">
        <v>5.5460000000000003</v>
      </c>
      <c r="S77" s="45">
        <v>5.5990000000000002</v>
      </c>
      <c r="T77" s="628">
        <v>5.6479999999999997</v>
      </c>
    </row>
    <row r="78" spans="1:20" x14ac:dyDescent="0.25">
      <c r="A78">
        <v>23</v>
      </c>
      <c r="B78" s="627">
        <v>2.9260000000000002</v>
      </c>
      <c r="C78" s="45">
        <v>3.5419999999999998</v>
      </c>
      <c r="D78" s="45">
        <v>3.9140000000000001</v>
      </c>
      <c r="E78" s="45">
        <v>4.18</v>
      </c>
      <c r="F78" s="45">
        <v>4.3879999999999999</v>
      </c>
      <c r="G78" s="45">
        <v>4.5579999999999998</v>
      </c>
      <c r="H78" s="45">
        <v>4.702</v>
      </c>
      <c r="I78" s="45">
        <v>4.8259999999999996</v>
      </c>
      <c r="J78" s="45">
        <v>4.9349999999999996</v>
      </c>
      <c r="K78" s="45">
        <v>5.0330000000000004</v>
      </c>
      <c r="L78" s="45">
        <v>5.1210000000000004</v>
      </c>
      <c r="M78" s="45">
        <v>5.2009999999999996</v>
      </c>
      <c r="N78" s="45">
        <v>5.274</v>
      </c>
      <c r="O78" s="45">
        <v>5.3419999999999996</v>
      </c>
      <c r="P78" s="45">
        <v>5.4050000000000002</v>
      </c>
      <c r="Q78" s="45">
        <v>5.4640000000000004</v>
      </c>
      <c r="R78" s="45">
        <v>5.5190000000000001</v>
      </c>
      <c r="S78" s="45">
        <v>5.5709999999999997</v>
      </c>
      <c r="T78" s="628">
        <v>5.62</v>
      </c>
    </row>
    <row r="79" spans="1:20" x14ac:dyDescent="0.25">
      <c r="A79">
        <v>24</v>
      </c>
      <c r="B79" s="627">
        <v>2.919</v>
      </c>
      <c r="C79" s="45">
        <v>3.532</v>
      </c>
      <c r="D79" s="45">
        <v>3.9009999999999998</v>
      </c>
      <c r="E79" s="45">
        <v>4.1660000000000004</v>
      </c>
      <c r="F79" s="45">
        <v>4.3730000000000002</v>
      </c>
      <c r="G79" s="45">
        <v>4.5410000000000004</v>
      </c>
      <c r="H79" s="45">
        <v>4.6840000000000002</v>
      </c>
      <c r="I79" s="45">
        <v>4.8070000000000004</v>
      </c>
      <c r="J79" s="45">
        <v>4.915</v>
      </c>
      <c r="K79" s="45">
        <v>5.0119999999999996</v>
      </c>
      <c r="L79" s="45">
        <v>5.0990000000000002</v>
      </c>
      <c r="M79" s="45">
        <v>5.1790000000000003</v>
      </c>
      <c r="N79" s="45">
        <v>5.2510000000000003</v>
      </c>
      <c r="O79" s="45">
        <v>5.319</v>
      </c>
      <c r="P79" s="45">
        <v>5.3810000000000002</v>
      </c>
      <c r="Q79" s="45">
        <v>5.4390000000000001</v>
      </c>
      <c r="R79" s="45">
        <v>5.4939999999999998</v>
      </c>
      <c r="S79" s="45">
        <v>5.5449999999999999</v>
      </c>
      <c r="T79" s="628">
        <v>5.5940000000000003</v>
      </c>
    </row>
    <row r="80" spans="1:20" x14ac:dyDescent="0.25">
      <c r="A80">
        <v>25</v>
      </c>
      <c r="B80" s="627">
        <v>2.9129999999999998</v>
      </c>
      <c r="C80" s="45">
        <v>3.5230000000000001</v>
      </c>
      <c r="D80" s="45">
        <v>3.89</v>
      </c>
      <c r="E80" s="45">
        <v>4.1529999999999996</v>
      </c>
      <c r="F80" s="45">
        <v>4.3579999999999997</v>
      </c>
      <c r="G80" s="45">
        <v>4.5259999999999998</v>
      </c>
      <c r="H80" s="45">
        <v>4.6669999999999998</v>
      </c>
      <c r="I80" s="45">
        <v>4.7889999999999997</v>
      </c>
      <c r="J80" s="45">
        <v>4.8970000000000002</v>
      </c>
      <c r="K80" s="45">
        <v>4.9930000000000003</v>
      </c>
      <c r="L80" s="45">
        <v>5.0789999999999997</v>
      </c>
      <c r="M80" s="45">
        <v>5.1580000000000004</v>
      </c>
      <c r="N80" s="45">
        <v>5.23</v>
      </c>
      <c r="O80" s="45">
        <v>5.2969999999999997</v>
      </c>
      <c r="P80" s="45">
        <v>5.359</v>
      </c>
      <c r="Q80" s="45">
        <v>5.4169999999999998</v>
      </c>
      <c r="R80" s="45">
        <v>5.4710000000000001</v>
      </c>
      <c r="S80" s="45">
        <v>5.5220000000000002</v>
      </c>
      <c r="T80" s="628">
        <v>5.57</v>
      </c>
    </row>
    <row r="81" spans="1:20" x14ac:dyDescent="0.25">
      <c r="A81">
        <v>26</v>
      </c>
      <c r="B81" s="627">
        <v>2.907</v>
      </c>
      <c r="C81" s="45">
        <v>3.5139999999999998</v>
      </c>
      <c r="D81" s="45">
        <v>3.88</v>
      </c>
      <c r="E81" s="45">
        <v>4.141</v>
      </c>
      <c r="F81" s="45">
        <v>4.3449999999999998</v>
      </c>
      <c r="G81" s="45">
        <v>4.5110000000000001</v>
      </c>
      <c r="H81" s="45">
        <v>4.6520000000000001</v>
      </c>
      <c r="I81" s="45">
        <v>4.7729999999999997</v>
      </c>
      <c r="J81" s="45">
        <v>4.88</v>
      </c>
      <c r="K81" s="45">
        <v>4.9749999999999996</v>
      </c>
      <c r="L81" s="45">
        <v>5.0609999999999999</v>
      </c>
      <c r="M81" s="45">
        <v>5.1390000000000002</v>
      </c>
      <c r="N81" s="45">
        <v>5.2110000000000003</v>
      </c>
      <c r="O81" s="45">
        <v>5.2770000000000001</v>
      </c>
      <c r="P81" s="45">
        <v>5.3390000000000004</v>
      </c>
      <c r="Q81" s="45">
        <v>5.3959999999999999</v>
      </c>
      <c r="R81" s="45">
        <v>5.45</v>
      </c>
      <c r="S81" s="45">
        <v>5.5</v>
      </c>
      <c r="T81" s="628">
        <v>5.548</v>
      </c>
    </row>
    <row r="82" spans="1:20" x14ac:dyDescent="0.25">
      <c r="A82">
        <v>27</v>
      </c>
      <c r="B82" s="627">
        <v>2.9020000000000001</v>
      </c>
      <c r="C82" s="45">
        <v>3.5059999999999998</v>
      </c>
      <c r="D82" s="45">
        <v>3.87</v>
      </c>
      <c r="E82" s="45">
        <v>4.13</v>
      </c>
      <c r="F82" s="45">
        <v>4.3330000000000002</v>
      </c>
      <c r="G82" s="45">
        <v>4.4980000000000002</v>
      </c>
      <c r="H82" s="45">
        <v>4.6379999999999999</v>
      </c>
      <c r="I82" s="45">
        <v>4.758</v>
      </c>
      <c r="J82" s="45">
        <v>4.8639999999999999</v>
      </c>
      <c r="K82" s="45">
        <v>4.9589999999999996</v>
      </c>
      <c r="L82" s="45">
        <v>5.0439999999999996</v>
      </c>
      <c r="M82" s="45">
        <v>5.1219999999999999</v>
      </c>
      <c r="N82" s="45">
        <v>5.1929999999999996</v>
      </c>
      <c r="O82" s="45">
        <v>5.2590000000000003</v>
      </c>
      <c r="P82" s="45">
        <v>5.32</v>
      </c>
      <c r="Q82" s="45">
        <v>5.3769999999999998</v>
      </c>
      <c r="R82" s="45">
        <v>5.43</v>
      </c>
      <c r="S82" s="45">
        <v>5.48</v>
      </c>
      <c r="T82" s="628">
        <v>5.5279999999999996</v>
      </c>
    </row>
    <row r="83" spans="1:20" x14ac:dyDescent="0.25">
      <c r="A83">
        <v>28</v>
      </c>
      <c r="B83" s="627">
        <v>2.8969999999999998</v>
      </c>
      <c r="C83" s="45">
        <v>3.4990000000000001</v>
      </c>
      <c r="D83" s="45">
        <v>3.8610000000000002</v>
      </c>
      <c r="E83" s="45">
        <v>4.12</v>
      </c>
      <c r="F83" s="45">
        <v>4.3220000000000001</v>
      </c>
      <c r="G83" s="45">
        <v>4.4859999999999998</v>
      </c>
      <c r="H83" s="45">
        <v>4.625</v>
      </c>
      <c r="I83" s="45">
        <v>4.7450000000000001</v>
      </c>
      <c r="J83" s="45">
        <v>4.8499999999999996</v>
      </c>
      <c r="K83" s="45">
        <v>4.944</v>
      </c>
      <c r="L83" s="45">
        <v>5.0289999999999999</v>
      </c>
      <c r="M83" s="45">
        <v>5.1059999999999999</v>
      </c>
      <c r="N83" s="45">
        <v>5.1769999999999996</v>
      </c>
      <c r="O83" s="45">
        <v>5.242</v>
      </c>
      <c r="P83" s="45">
        <v>5.3019999999999996</v>
      </c>
      <c r="Q83" s="45">
        <v>5.359</v>
      </c>
      <c r="R83" s="45">
        <v>5.4119999999999999</v>
      </c>
      <c r="S83" s="45">
        <v>5.4619999999999997</v>
      </c>
      <c r="T83" s="628">
        <v>5.5090000000000003</v>
      </c>
    </row>
    <row r="84" spans="1:20" x14ac:dyDescent="0.25">
      <c r="A84">
        <v>29</v>
      </c>
      <c r="B84" s="627">
        <v>2.8919999999999999</v>
      </c>
      <c r="C84" s="45">
        <v>3.4929999999999999</v>
      </c>
      <c r="D84" s="45">
        <v>3.8530000000000002</v>
      </c>
      <c r="E84" s="45">
        <v>4.1109999999999998</v>
      </c>
      <c r="F84" s="45">
        <v>4.3109999999999999</v>
      </c>
      <c r="G84" s="45">
        <v>4.4749999999999996</v>
      </c>
      <c r="H84" s="45">
        <v>4.6130000000000004</v>
      </c>
      <c r="I84" s="45">
        <v>4.7320000000000002</v>
      </c>
      <c r="J84" s="45">
        <v>4.8369999999999997</v>
      </c>
      <c r="K84" s="45">
        <v>4.93</v>
      </c>
      <c r="L84" s="45">
        <v>5.0140000000000002</v>
      </c>
      <c r="M84" s="45">
        <v>5.0910000000000002</v>
      </c>
      <c r="N84" s="45">
        <v>5.1609999999999996</v>
      </c>
      <c r="O84" s="45">
        <v>5.226</v>
      </c>
      <c r="P84" s="45">
        <v>5.2859999999999996</v>
      </c>
      <c r="Q84" s="45">
        <v>5.3419999999999996</v>
      </c>
      <c r="R84" s="45">
        <v>5.3949999999999996</v>
      </c>
      <c r="S84" s="45">
        <v>5.4450000000000003</v>
      </c>
      <c r="T84" s="628">
        <v>5.4909999999999997</v>
      </c>
    </row>
    <row r="85" spans="1:20" x14ac:dyDescent="0.25">
      <c r="A85">
        <v>30</v>
      </c>
      <c r="B85" s="627">
        <v>2.8879999999999999</v>
      </c>
      <c r="C85" s="45">
        <v>3.4860000000000002</v>
      </c>
      <c r="D85" s="45">
        <v>3.8450000000000002</v>
      </c>
      <c r="E85" s="45">
        <v>4.1020000000000003</v>
      </c>
      <c r="F85" s="45">
        <v>4.3010000000000002</v>
      </c>
      <c r="G85" s="45">
        <v>4.4640000000000004</v>
      </c>
      <c r="H85" s="45">
        <v>4.601</v>
      </c>
      <c r="I85" s="45">
        <v>4.72</v>
      </c>
      <c r="J85" s="45">
        <v>4.8239999999999998</v>
      </c>
      <c r="K85" s="45">
        <v>4.9169999999999998</v>
      </c>
      <c r="L85" s="45">
        <v>5.0010000000000003</v>
      </c>
      <c r="M85" s="45">
        <v>5.077</v>
      </c>
      <c r="N85" s="45">
        <v>5.1470000000000002</v>
      </c>
      <c r="O85" s="45">
        <v>5.2110000000000003</v>
      </c>
      <c r="P85" s="45">
        <v>5.2709999999999999</v>
      </c>
      <c r="Q85" s="45">
        <v>5.327</v>
      </c>
      <c r="R85" s="45">
        <v>5.3789999999999996</v>
      </c>
      <c r="S85" s="45">
        <v>5.4290000000000003</v>
      </c>
      <c r="T85" s="628">
        <v>5.4749999999999996</v>
      </c>
    </row>
    <row r="86" spans="1:20" x14ac:dyDescent="0.25">
      <c r="A86">
        <v>31</v>
      </c>
      <c r="B86" s="627">
        <v>2.8839999999999999</v>
      </c>
      <c r="C86" s="45">
        <v>3.4809999999999999</v>
      </c>
      <c r="D86" s="45">
        <v>3.8380000000000001</v>
      </c>
      <c r="E86" s="45">
        <v>4.0940000000000003</v>
      </c>
      <c r="F86" s="45">
        <v>4.2919999999999998</v>
      </c>
      <c r="G86" s="45">
        <v>4.4539999999999997</v>
      </c>
      <c r="H86" s="45">
        <v>4.5910000000000002</v>
      </c>
      <c r="I86" s="45">
        <v>4.7089999999999996</v>
      </c>
      <c r="J86" s="45">
        <v>4.8120000000000003</v>
      </c>
      <c r="K86" s="45">
        <v>4.9050000000000002</v>
      </c>
      <c r="L86" s="45">
        <v>4.9880000000000004</v>
      </c>
      <c r="M86" s="45">
        <v>5.0640000000000001</v>
      </c>
      <c r="N86" s="45">
        <v>5.1340000000000003</v>
      </c>
      <c r="O86" s="45">
        <v>5.1980000000000004</v>
      </c>
      <c r="P86" s="45">
        <v>5.2569999999999997</v>
      </c>
      <c r="Q86" s="45">
        <v>5.3129999999999997</v>
      </c>
      <c r="R86" s="45">
        <v>5.3650000000000002</v>
      </c>
      <c r="S86" s="45">
        <v>5.4139999999999997</v>
      </c>
      <c r="T86" s="628">
        <v>5.46</v>
      </c>
    </row>
    <row r="87" spans="1:20" x14ac:dyDescent="0.25">
      <c r="A87">
        <v>32</v>
      </c>
      <c r="B87" s="627">
        <v>2.8809999999999998</v>
      </c>
      <c r="C87" s="45">
        <v>3.4750000000000001</v>
      </c>
      <c r="D87" s="45">
        <v>3.8319999999999999</v>
      </c>
      <c r="E87" s="45">
        <v>4.0860000000000003</v>
      </c>
      <c r="F87" s="45">
        <v>4.2839999999999998</v>
      </c>
      <c r="G87" s="45">
        <v>4.4450000000000003</v>
      </c>
      <c r="H87" s="45">
        <v>4.5810000000000004</v>
      </c>
      <c r="I87" s="45">
        <v>4.6980000000000004</v>
      </c>
      <c r="J87" s="45">
        <v>4.8019999999999996</v>
      </c>
      <c r="K87" s="45">
        <v>4.8940000000000001</v>
      </c>
      <c r="L87" s="45">
        <v>4.976</v>
      </c>
      <c r="M87" s="45">
        <v>5.0519999999999996</v>
      </c>
      <c r="N87" s="45">
        <v>5.1210000000000004</v>
      </c>
      <c r="O87" s="45">
        <v>5.1849999999999996</v>
      </c>
      <c r="P87" s="45">
        <v>5.2439999999999998</v>
      </c>
      <c r="Q87" s="45">
        <v>5.2990000000000004</v>
      </c>
      <c r="R87" s="45">
        <v>5.351</v>
      </c>
      <c r="S87" s="45">
        <v>5.4</v>
      </c>
      <c r="T87" s="628">
        <v>5.4450000000000003</v>
      </c>
    </row>
    <row r="88" spans="1:20" x14ac:dyDescent="0.25">
      <c r="A88">
        <v>33</v>
      </c>
      <c r="B88" s="627">
        <v>2.8769999999999998</v>
      </c>
      <c r="C88" s="45">
        <v>3.47</v>
      </c>
      <c r="D88" s="45">
        <v>3.8250000000000002</v>
      </c>
      <c r="E88" s="45">
        <v>4.0789999999999997</v>
      </c>
      <c r="F88" s="45">
        <v>4.2759999999999998</v>
      </c>
      <c r="G88" s="45">
        <v>4.4359999999999999</v>
      </c>
      <c r="H88" s="45">
        <v>4.5720000000000001</v>
      </c>
      <c r="I88" s="45">
        <v>4.6890000000000001</v>
      </c>
      <c r="J88" s="45">
        <v>4.7910000000000004</v>
      </c>
      <c r="K88" s="45">
        <v>4.883</v>
      </c>
      <c r="L88" s="45">
        <v>4.9649999999999999</v>
      </c>
      <c r="M88" s="45">
        <v>5.04</v>
      </c>
      <c r="N88" s="45">
        <v>5.109</v>
      </c>
      <c r="O88" s="45">
        <v>5.173</v>
      </c>
      <c r="P88" s="45">
        <v>5.2320000000000002</v>
      </c>
      <c r="Q88" s="45">
        <v>5.2869999999999999</v>
      </c>
      <c r="R88" s="45">
        <v>5.3380000000000001</v>
      </c>
      <c r="S88" s="45">
        <v>5.3860000000000001</v>
      </c>
      <c r="T88" s="628">
        <v>5.4320000000000004</v>
      </c>
    </row>
    <row r="89" spans="1:20" x14ac:dyDescent="0.25">
      <c r="A89">
        <v>34</v>
      </c>
      <c r="B89" s="627">
        <v>2.8740000000000001</v>
      </c>
      <c r="C89" s="45">
        <v>3.4649999999999999</v>
      </c>
      <c r="D89" s="45">
        <v>3.82</v>
      </c>
      <c r="E89" s="45">
        <v>4.0720000000000001</v>
      </c>
      <c r="F89" s="45">
        <v>4.2679999999999998</v>
      </c>
      <c r="G89" s="45">
        <v>4.4279999999999999</v>
      </c>
      <c r="H89" s="45">
        <v>4.5629999999999997</v>
      </c>
      <c r="I89" s="45">
        <v>4.68</v>
      </c>
      <c r="J89" s="45">
        <v>4.782</v>
      </c>
      <c r="K89" s="45">
        <v>4.8730000000000002</v>
      </c>
      <c r="L89" s="45">
        <v>4.9550000000000001</v>
      </c>
      <c r="M89" s="45">
        <v>5.03</v>
      </c>
      <c r="N89" s="45">
        <v>5.0979999999999999</v>
      </c>
      <c r="O89" s="45">
        <v>5.1609999999999996</v>
      </c>
      <c r="P89" s="45">
        <v>5.22</v>
      </c>
      <c r="Q89" s="45">
        <v>5.2750000000000004</v>
      </c>
      <c r="R89" s="45">
        <v>5.3259999999999996</v>
      </c>
      <c r="S89" s="45">
        <v>5.3739999999999997</v>
      </c>
      <c r="T89" s="628">
        <v>5.42</v>
      </c>
    </row>
    <row r="90" spans="1:20" x14ac:dyDescent="0.25">
      <c r="A90">
        <v>35</v>
      </c>
      <c r="B90" s="627">
        <v>2.871</v>
      </c>
      <c r="C90" s="45">
        <v>3.4609999999999999</v>
      </c>
      <c r="D90" s="45">
        <v>3.8140000000000001</v>
      </c>
      <c r="E90" s="45">
        <v>4.0659999999999998</v>
      </c>
      <c r="F90" s="45">
        <v>4.2610000000000001</v>
      </c>
      <c r="G90" s="45">
        <v>4.4210000000000003</v>
      </c>
      <c r="H90" s="45">
        <v>4.5549999999999997</v>
      </c>
      <c r="I90" s="45">
        <v>4.6710000000000003</v>
      </c>
      <c r="J90" s="45">
        <v>4.7729999999999997</v>
      </c>
      <c r="K90" s="45">
        <v>4.8630000000000004</v>
      </c>
      <c r="L90" s="45">
        <v>4.9450000000000003</v>
      </c>
      <c r="M90" s="45">
        <v>5.0199999999999996</v>
      </c>
      <c r="N90" s="45">
        <v>5.0880000000000001</v>
      </c>
      <c r="O90" s="45">
        <v>5.1509999999999998</v>
      </c>
      <c r="P90" s="45">
        <v>5.2089999999999996</v>
      </c>
      <c r="Q90" s="45">
        <v>5.2640000000000002</v>
      </c>
      <c r="R90" s="45">
        <v>5.3150000000000004</v>
      </c>
      <c r="S90" s="45">
        <v>5.3620000000000001</v>
      </c>
      <c r="T90" s="628">
        <v>5.4080000000000004</v>
      </c>
    </row>
    <row r="91" spans="1:20" x14ac:dyDescent="0.25">
      <c r="A91">
        <v>36</v>
      </c>
      <c r="B91" s="627">
        <v>2.8679999999999999</v>
      </c>
      <c r="C91" s="45">
        <v>3.4569999999999999</v>
      </c>
      <c r="D91" s="45">
        <v>3.8090000000000002</v>
      </c>
      <c r="E91" s="45">
        <v>4.0599999999999996</v>
      </c>
      <c r="F91" s="45">
        <v>4.2549999999999999</v>
      </c>
      <c r="G91" s="45">
        <v>4.4139999999999997</v>
      </c>
      <c r="H91" s="45">
        <v>4.5469999999999997</v>
      </c>
      <c r="I91" s="45">
        <v>4.6630000000000003</v>
      </c>
      <c r="J91" s="45">
        <v>4.7640000000000002</v>
      </c>
      <c r="K91" s="45">
        <v>4.8550000000000004</v>
      </c>
      <c r="L91" s="45">
        <v>4.9359999999999999</v>
      </c>
      <c r="M91" s="45">
        <v>5.01</v>
      </c>
      <c r="N91" s="45">
        <v>5.0780000000000003</v>
      </c>
      <c r="O91" s="45">
        <v>5.141</v>
      </c>
      <c r="P91" s="45">
        <v>5.1989999999999998</v>
      </c>
      <c r="Q91" s="45">
        <v>5.2530000000000001</v>
      </c>
      <c r="R91" s="45">
        <v>5.3040000000000003</v>
      </c>
      <c r="S91" s="45">
        <v>5.3520000000000003</v>
      </c>
      <c r="T91" s="628">
        <v>5.3970000000000002</v>
      </c>
    </row>
    <row r="92" spans="1:20" x14ac:dyDescent="0.25">
      <c r="A92">
        <v>37</v>
      </c>
      <c r="B92" s="627">
        <v>2.8650000000000002</v>
      </c>
      <c r="C92" s="45">
        <v>3.4529999999999998</v>
      </c>
      <c r="D92" s="45">
        <v>3.8039999999999998</v>
      </c>
      <c r="E92" s="45">
        <v>4.0540000000000003</v>
      </c>
      <c r="F92" s="45">
        <v>4.2489999999999997</v>
      </c>
      <c r="G92" s="45">
        <v>4.407</v>
      </c>
      <c r="H92" s="45">
        <v>4.54</v>
      </c>
      <c r="I92" s="45">
        <v>4.6550000000000002</v>
      </c>
      <c r="J92" s="45">
        <v>4.7560000000000002</v>
      </c>
      <c r="K92" s="45">
        <v>4.8460000000000001</v>
      </c>
      <c r="L92" s="45">
        <v>4.9269999999999996</v>
      </c>
      <c r="M92" s="45">
        <v>5.0010000000000003</v>
      </c>
      <c r="N92" s="45">
        <v>5.069</v>
      </c>
      <c r="O92" s="45">
        <v>5.1310000000000002</v>
      </c>
      <c r="P92" s="45">
        <v>5.1890000000000001</v>
      </c>
      <c r="Q92" s="45">
        <v>5.2430000000000003</v>
      </c>
      <c r="R92" s="45">
        <v>5.2939999999999996</v>
      </c>
      <c r="S92" s="45">
        <v>5.3410000000000002</v>
      </c>
      <c r="T92" s="628">
        <v>5.3860000000000001</v>
      </c>
    </row>
    <row r="93" spans="1:20" x14ac:dyDescent="0.25">
      <c r="A93">
        <v>38</v>
      </c>
      <c r="B93" s="627">
        <v>2.863</v>
      </c>
      <c r="C93" s="45">
        <v>3.4489999999999998</v>
      </c>
      <c r="D93" s="45">
        <v>3.7989999999999999</v>
      </c>
      <c r="E93" s="45">
        <v>4.0490000000000004</v>
      </c>
      <c r="F93" s="45">
        <v>4.2430000000000003</v>
      </c>
      <c r="G93" s="45">
        <v>4.4000000000000004</v>
      </c>
      <c r="H93" s="45">
        <v>4.5330000000000004</v>
      </c>
      <c r="I93" s="45">
        <v>4.6479999999999997</v>
      </c>
      <c r="J93" s="45">
        <v>4.7489999999999997</v>
      </c>
      <c r="K93" s="45">
        <v>4.8380000000000001</v>
      </c>
      <c r="L93" s="45">
        <v>4.9189999999999996</v>
      </c>
      <c r="M93" s="45">
        <v>4.9930000000000003</v>
      </c>
      <c r="N93" s="45">
        <v>5.0599999999999996</v>
      </c>
      <c r="O93" s="45">
        <v>5.1219999999999999</v>
      </c>
      <c r="P93" s="45">
        <v>5.18</v>
      </c>
      <c r="Q93" s="45">
        <v>5.234</v>
      </c>
      <c r="R93" s="45">
        <v>5.2839999999999998</v>
      </c>
      <c r="S93" s="45">
        <v>5.3310000000000004</v>
      </c>
      <c r="T93" s="628">
        <v>5.3760000000000003</v>
      </c>
    </row>
    <row r="94" spans="1:20" x14ac:dyDescent="0.25">
      <c r="A94">
        <v>39</v>
      </c>
      <c r="B94" s="627">
        <v>2.8610000000000002</v>
      </c>
      <c r="C94" s="45">
        <v>3.4449999999999998</v>
      </c>
      <c r="D94" s="45">
        <v>3.7949999999999999</v>
      </c>
      <c r="E94" s="45">
        <v>4.0439999999999996</v>
      </c>
      <c r="F94" s="45">
        <v>4.2370000000000001</v>
      </c>
      <c r="G94" s="45">
        <v>4.3940000000000001</v>
      </c>
      <c r="H94" s="45">
        <v>4.5270000000000001</v>
      </c>
      <c r="I94" s="45">
        <v>4.641</v>
      </c>
      <c r="J94" s="45">
        <v>4.7409999999999997</v>
      </c>
      <c r="K94" s="45">
        <v>4.8310000000000004</v>
      </c>
      <c r="L94" s="45">
        <v>4.9109999999999996</v>
      </c>
      <c r="M94" s="45">
        <v>4.9850000000000003</v>
      </c>
      <c r="N94" s="45">
        <v>5.0519999999999996</v>
      </c>
      <c r="O94" s="45">
        <v>5.1139999999999999</v>
      </c>
      <c r="P94" s="45">
        <v>5.1710000000000003</v>
      </c>
      <c r="Q94" s="45">
        <v>5.2249999999999996</v>
      </c>
      <c r="R94" s="45">
        <v>5.2750000000000004</v>
      </c>
      <c r="S94" s="45">
        <v>5.3220000000000001</v>
      </c>
      <c r="T94" s="628">
        <v>5.367</v>
      </c>
    </row>
    <row r="95" spans="1:20" x14ac:dyDescent="0.25">
      <c r="A95">
        <v>40</v>
      </c>
      <c r="B95" s="627">
        <v>2.8580000000000001</v>
      </c>
      <c r="C95" s="45">
        <v>3.4420000000000002</v>
      </c>
      <c r="D95" s="45">
        <v>3.7909999999999999</v>
      </c>
      <c r="E95" s="45">
        <v>4.0389999999999997</v>
      </c>
      <c r="F95" s="45">
        <v>4.2320000000000002</v>
      </c>
      <c r="G95" s="45">
        <v>4.3879999999999999</v>
      </c>
      <c r="H95" s="45">
        <v>4.5209999999999999</v>
      </c>
      <c r="I95" s="45">
        <v>4.6340000000000003</v>
      </c>
      <c r="J95" s="45">
        <v>4.7350000000000003</v>
      </c>
      <c r="K95" s="45">
        <v>4.8239999999999998</v>
      </c>
      <c r="L95" s="45">
        <v>4.9039999999999999</v>
      </c>
      <c r="M95" s="45">
        <v>4.9770000000000003</v>
      </c>
      <c r="N95" s="45">
        <v>5.0439999999999996</v>
      </c>
      <c r="O95" s="45">
        <v>5.1059999999999999</v>
      </c>
      <c r="P95" s="45">
        <v>5.1630000000000003</v>
      </c>
      <c r="Q95" s="45">
        <v>5.2160000000000002</v>
      </c>
      <c r="R95" s="45">
        <v>5.266</v>
      </c>
      <c r="S95" s="45">
        <v>5.3129999999999997</v>
      </c>
      <c r="T95" s="628">
        <v>5.3579999999999997</v>
      </c>
    </row>
    <row r="96" spans="1:20" x14ac:dyDescent="0.25">
      <c r="A96">
        <v>48</v>
      </c>
      <c r="B96" s="627">
        <v>2.843</v>
      </c>
      <c r="C96" s="45">
        <v>3.42</v>
      </c>
      <c r="D96" s="45">
        <v>3.7639999999999998</v>
      </c>
      <c r="E96" s="45">
        <v>4.008</v>
      </c>
      <c r="F96" s="45">
        <v>4.1970000000000001</v>
      </c>
      <c r="G96" s="45">
        <v>4.351</v>
      </c>
      <c r="H96" s="45">
        <v>4.4809999999999999</v>
      </c>
      <c r="I96" s="45">
        <v>4.5919999999999996</v>
      </c>
      <c r="J96" s="45">
        <v>4.6900000000000004</v>
      </c>
      <c r="K96" s="45">
        <v>4.7770000000000001</v>
      </c>
      <c r="L96" s="45">
        <v>4.8559999999999999</v>
      </c>
      <c r="M96" s="45">
        <v>4.9269999999999996</v>
      </c>
      <c r="N96" s="45">
        <v>4.9930000000000003</v>
      </c>
      <c r="O96" s="45">
        <v>5.0529999999999999</v>
      </c>
      <c r="P96" s="45">
        <v>5.109</v>
      </c>
      <c r="Q96" s="45">
        <v>5.1609999999999996</v>
      </c>
      <c r="R96" s="45">
        <v>5.21</v>
      </c>
      <c r="S96" s="45">
        <v>5.2560000000000002</v>
      </c>
      <c r="T96" s="628">
        <v>5.2990000000000004</v>
      </c>
    </row>
    <row r="97" spans="1:20" x14ac:dyDescent="0.25">
      <c r="A97">
        <v>60</v>
      </c>
      <c r="B97" s="627">
        <v>2.8290000000000002</v>
      </c>
      <c r="C97" s="45">
        <v>3.399</v>
      </c>
      <c r="D97" s="45">
        <v>3.7370000000000001</v>
      </c>
      <c r="E97" s="45">
        <v>3.9769999999999999</v>
      </c>
      <c r="F97" s="45">
        <v>4.1630000000000003</v>
      </c>
      <c r="G97" s="45">
        <v>4.3140000000000001</v>
      </c>
      <c r="H97" s="45">
        <v>4.4409999999999998</v>
      </c>
      <c r="I97" s="45">
        <v>4.55</v>
      </c>
      <c r="J97" s="45">
        <v>4.6459999999999999</v>
      </c>
      <c r="K97" s="45">
        <v>4.7320000000000002</v>
      </c>
      <c r="L97" s="45">
        <v>4.8079999999999998</v>
      </c>
      <c r="M97" s="45">
        <v>4.8780000000000001</v>
      </c>
      <c r="N97" s="45">
        <v>4.9420000000000002</v>
      </c>
      <c r="O97" s="45">
        <v>5.0010000000000003</v>
      </c>
      <c r="P97" s="45">
        <v>5.056</v>
      </c>
      <c r="Q97" s="45">
        <v>5.1070000000000002</v>
      </c>
      <c r="R97" s="45">
        <v>5.1539999999999999</v>
      </c>
      <c r="S97" s="45">
        <v>5.1989999999999998</v>
      </c>
      <c r="T97" s="628">
        <v>5.2409999999999997</v>
      </c>
    </row>
    <row r="98" spans="1:20" x14ac:dyDescent="0.25">
      <c r="A98">
        <v>80</v>
      </c>
      <c r="B98" s="627">
        <v>2.8140000000000001</v>
      </c>
      <c r="C98" s="45">
        <v>3.3769999999999998</v>
      </c>
      <c r="D98" s="45">
        <v>3.7109999999999999</v>
      </c>
      <c r="E98" s="45">
        <v>3.9470000000000001</v>
      </c>
      <c r="F98" s="45">
        <v>4.1289999999999996</v>
      </c>
      <c r="G98" s="45">
        <v>4.2770000000000001</v>
      </c>
      <c r="H98" s="45">
        <v>4.4020000000000001</v>
      </c>
      <c r="I98" s="45">
        <v>4.5090000000000003</v>
      </c>
      <c r="J98" s="45">
        <v>4.6029999999999998</v>
      </c>
      <c r="K98" s="45">
        <v>4.6859999999999999</v>
      </c>
      <c r="L98" s="45">
        <v>4.7610000000000001</v>
      </c>
      <c r="M98" s="45">
        <v>4.8289999999999997</v>
      </c>
      <c r="N98" s="45">
        <v>4.8920000000000003</v>
      </c>
      <c r="O98" s="45">
        <v>4.9489999999999998</v>
      </c>
      <c r="P98" s="45">
        <v>5.0030000000000001</v>
      </c>
      <c r="Q98" s="45">
        <v>5.0519999999999996</v>
      </c>
      <c r="R98" s="45">
        <v>5.0990000000000002</v>
      </c>
      <c r="S98" s="45">
        <v>5.1420000000000003</v>
      </c>
      <c r="T98" s="628">
        <v>5.1829999999999998</v>
      </c>
    </row>
    <row r="99" spans="1:20" x14ac:dyDescent="0.25">
      <c r="A99">
        <v>120</v>
      </c>
      <c r="B99" s="627">
        <v>2.8</v>
      </c>
      <c r="C99" s="45">
        <v>3.3559999999999999</v>
      </c>
      <c r="D99" s="45">
        <v>3.6850000000000001</v>
      </c>
      <c r="E99" s="45">
        <v>3.9169999999999998</v>
      </c>
      <c r="F99" s="45">
        <v>4.0960000000000001</v>
      </c>
      <c r="G99" s="45">
        <v>4.2409999999999997</v>
      </c>
      <c r="H99" s="45">
        <v>4.3630000000000004</v>
      </c>
      <c r="I99" s="45">
        <v>4.468</v>
      </c>
      <c r="J99" s="45">
        <v>4.5599999999999996</v>
      </c>
      <c r="K99" s="45">
        <v>4.641</v>
      </c>
      <c r="L99" s="45">
        <v>4.7140000000000004</v>
      </c>
      <c r="M99" s="45">
        <v>4.7809999999999997</v>
      </c>
      <c r="N99" s="45">
        <v>4.8419999999999996</v>
      </c>
      <c r="O99" s="45">
        <v>4.8979999999999997</v>
      </c>
      <c r="P99" s="45">
        <v>4.95</v>
      </c>
      <c r="Q99" s="45">
        <v>4.9980000000000002</v>
      </c>
      <c r="R99" s="45">
        <v>5.0430000000000001</v>
      </c>
      <c r="S99" s="45">
        <v>5.0860000000000003</v>
      </c>
      <c r="T99" s="628">
        <v>5.1260000000000003</v>
      </c>
    </row>
    <row r="100" spans="1:20" x14ac:dyDescent="0.25">
      <c r="A100">
        <v>240</v>
      </c>
      <c r="B100" s="627">
        <v>2.786</v>
      </c>
      <c r="C100" s="45">
        <v>3.335</v>
      </c>
      <c r="D100" s="45">
        <v>3.6589999999999998</v>
      </c>
      <c r="E100" s="45">
        <v>3.887</v>
      </c>
      <c r="F100" s="45">
        <v>4.0629999999999997</v>
      </c>
      <c r="G100" s="45">
        <v>4.2050000000000001</v>
      </c>
      <c r="H100" s="45">
        <v>4.3239999999999998</v>
      </c>
      <c r="I100" s="45">
        <v>4.4269999999999996</v>
      </c>
      <c r="J100" s="45">
        <v>4.5170000000000003</v>
      </c>
      <c r="K100" s="45">
        <v>4.5960000000000001</v>
      </c>
      <c r="L100" s="45">
        <v>4.6680000000000001</v>
      </c>
      <c r="M100" s="45">
        <v>4.7329999999999997</v>
      </c>
      <c r="N100" s="45">
        <v>4.7919999999999998</v>
      </c>
      <c r="O100" s="45">
        <v>4.8470000000000004</v>
      </c>
      <c r="P100" s="45">
        <v>4.8970000000000002</v>
      </c>
      <c r="Q100" s="45">
        <v>4.944</v>
      </c>
      <c r="R100" s="45">
        <v>4.9880000000000004</v>
      </c>
      <c r="S100" s="45">
        <v>5.03</v>
      </c>
      <c r="T100" s="628">
        <v>5.069</v>
      </c>
    </row>
    <row r="101" spans="1:20" x14ac:dyDescent="0.25">
      <c r="A101" s="13" t="s">
        <v>102</v>
      </c>
      <c r="B101" s="629">
        <v>2.7719999999999998</v>
      </c>
      <c r="C101" s="981">
        <v>3.3140000000000001</v>
      </c>
      <c r="D101" s="981">
        <v>3.633</v>
      </c>
      <c r="E101" s="981">
        <v>3.8580000000000001</v>
      </c>
      <c r="F101" s="981">
        <v>4.03</v>
      </c>
      <c r="G101" s="981">
        <v>4.17</v>
      </c>
      <c r="H101" s="981">
        <v>4.2859999999999996</v>
      </c>
      <c r="I101" s="981">
        <v>4.3869999999999996</v>
      </c>
      <c r="J101" s="981">
        <v>4.4740000000000002</v>
      </c>
      <c r="K101" s="981">
        <v>4.5519999999999996</v>
      </c>
      <c r="L101" s="981">
        <v>4.6219999999999999</v>
      </c>
      <c r="M101" s="981">
        <v>4.6849999999999996</v>
      </c>
      <c r="N101" s="981">
        <v>4.7430000000000003</v>
      </c>
      <c r="O101" s="981">
        <v>4.7960000000000003</v>
      </c>
      <c r="P101" s="981">
        <v>4.8449999999999998</v>
      </c>
      <c r="Q101" s="981">
        <v>4.891</v>
      </c>
      <c r="R101" s="981">
        <v>4.9340000000000002</v>
      </c>
      <c r="S101" s="981">
        <v>4.9740000000000002</v>
      </c>
      <c r="T101" s="630">
        <v>5.0119999999999996</v>
      </c>
    </row>
    <row r="103" spans="1:20" x14ac:dyDescent="0.25">
      <c r="B103" t="s">
        <v>34</v>
      </c>
      <c r="C103">
        <v>0.01</v>
      </c>
    </row>
    <row r="104" spans="1:20" x14ac:dyDescent="0.25">
      <c r="B104" t="s">
        <v>101</v>
      </c>
    </row>
    <row r="105" spans="1:20" x14ac:dyDescent="0.25">
      <c r="A105" s="13" t="s">
        <v>60</v>
      </c>
      <c r="B105">
        <v>2</v>
      </c>
      <c r="C105">
        <v>3</v>
      </c>
      <c r="D105">
        <v>4</v>
      </c>
      <c r="E105">
        <v>5</v>
      </c>
      <c r="F105">
        <v>6</v>
      </c>
      <c r="G105">
        <v>7</v>
      </c>
      <c r="H105">
        <v>8</v>
      </c>
      <c r="I105">
        <v>9</v>
      </c>
      <c r="J105">
        <v>10</v>
      </c>
      <c r="K105">
        <v>11</v>
      </c>
      <c r="L105">
        <v>12</v>
      </c>
      <c r="M105">
        <v>13</v>
      </c>
      <c r="N105">
        <v>14</v>
      </c>
      <c r="O105">
        <v>15</v>
      </c>
      <c r="P105">
        <v>16</v>
      </c>
      <c r="Q105">
        <v>17</v>
      </c>
      <c r="R105">
        <v>18</v>
      </c>
      <c r="S105">
        <v>19</v>
      </c>
      <c r="T105">
        <v>20</v>
      </c>
    </row>
    <row r="106" spans="1:20" x14ac:dyDescent="0.25">
      <c r="A106">
        <v>1</v>
      </c>
      <c r="B106" s="1109">
        <v>90.024000000000001</v>
      </c>
      <c r="C106" s="979">
        <v>135.041</v>
      </c>
      <c r="D106" s="979">
        <v>164.25800000000001</v>
      </c>
      <c r="E106" s="979">
        <v>185.57499999999999</v>
      </c>
      <c r="F106" s="979">
        <v>202.21</v>
      </c>
      <c r="G106" s="979">
        <v>215.76900000000001</v>
      </c>
      <c r="H106" s="979">
        <v>227.166</v>
      </c>
      <c r="I106" s="979">
        <v>236.96600000000001</v>
      </c>
      <c r="J106" s="979">
        <v>245.542</v>
      </c>
      <c r="K106" s="979">
        <v>253.15100000000001</v>
      </c>
      <c r="L106" s="979">
        <v>259.97899999999998</v>
      </c>
      <c r="M106" s="979">
        <v>266.16500000000002</v>
      </c>
      <c r="N106" s="979">
        <v>271.81200000000001</v>
      </c>
      <c r="O106" s="979">
        <v>277.00299999999999</v>
      </c>
      <c r="P106" s="979">
        <v>281.803</v>
      </c>
      <c r="Q106" s="979">
        <v>286.26299999999998</v>
      </c>
      <c r="R106" s="979">
        <v>290.42599999999999</v>
      </c>
      <c r="S106" s="979">
        <v>294.32799999999997</v>
      </c>
      <c r="T106" s="1110">
        <v>297.99700000000001</v>
      </c>
    </row>
    <row r="107" spans="1:20" x14ac:dyDescent="0.25">
      <c r="A107">
        <v>2</v>
      </c>
      <c r="B107" s="627">
        <v>14.036</v>
      </c>
      <c r="C107" s="45">
        <v>19.018999999999998</v>
      </c>
      <c r="D107" s="45">
        <v>22.294</v>
      </c>
      <c r="E107" s="45">
        <v>24.716999999999999</v>
      </c>
      <c r="F107" s="45">
        <v>26.629000000000001</v>
      </c>
      <c r="G107" s="45">
        <v>28.201000000000001</v>
      </c>
      <c r="H107" s="45">
        <v>29.53</v>
      </c>
      <c r="I107" s="45">
        <v>30.678999999999998</v>
      </c>
      <c r="J107" s="45">
        <v>31.689</v>
      </c>
      <c r="K107" s="45">
        <v>32.588999999999999</v>
      </c>
      <c r="L107" s="45">
        <v>33.398000000000003</v>
      </c>
      <c r="M107" s="45">
        <v>34.134</v>
      </c>
      <c r="N107" s="45">
        <v>34.805999999999997</v>
      </c>
      <c r="O107" s="45">
        <v>35.426000000000002</v>
      </c>
      <c r="P107" s="45">
        <v>36</v>
      </c>
      <c r="Q107" s="45">
        <v>36.533999999999999</v>
      </c>
      <c r="R107" s="45">
        <v>37.033999999999999</v>
      </c>
      <c r="S107" s="45">
        <v>37.502000000000002</v>
      </c>
      <c r="T107" s="628">
        <v>37.942999999999998</v>
      </c>
    </row>
    <row r="108" spans="1:20" x14ac:dyDescent="0.25">
      <c r="A108">
        <v>3</v>
      </c>
      <c r="B108" s="627">
        <v>8.26</v>
      </c>
      <c r="C108" s="45">
        <v>10.619</v>
      </c>
      <c r="D108" s="45">
        <v>12.17</v>
      </c>
      <c r="E108" s="45">
        <v>13.324</v>
      </c>
      <c r="F108" s="45">
        <v>14.241</v>
      </c>
      <c r="G108" s="45">
        <v>14.997999999999999</v>
      </c>
      <c r="H108" s="45">
        <v>15.641</v>
      </c>
      <c r="I108" s="45">
        <v>16.199000000000002</v>
      </c>
      <c r="J108" s="45">
        <v>16.690999999999999</v>
      </c>
      <c r="K108" s="45">
        <v>17.13</v>
      </c>
      <c r="L108" s="45">
        <v>17.526</v>
      </c>
      <c r="M108" s="45">
        <v>17.887</v>
      </c>
      <c r="N108" s="45">
        <v>18.216999999999999</v>
      </c>
      <c r="O108" s="45">
        <v>18.521999999999998</v>
      </c>
      <c r="P108" s="45">
        <v>18.805</v>
      </c>
      <c r="Q108" s="45">
        <v>19.068000000000001</v>
      </c>
      <c r="R108" s="45">
        <v>19.315000000000001</v>
      </c>
      <c r="S108" s="45">
        <v>19.545999999999999</v>
      </c>
      <c r="T108" s="628">
        <v>19.765000000000001</v>
      </c>
    </row>
    <row r="109" spans="1:20" x14ac:dyDescent="0.25">
      <c r="A109">
        <v>4</v>
      </c>
      <c r="B109" s="627">
        <v>6.5110000000000001</v>
      </c>
      <c r="C109" s="45">
        <v>8.1199999999999992</v>
      </c>
      <c r="D109" s="45">
        <v>9.173</v>
      </c>
      <c r="E109" s="45">
        <v>9.9580000000000002</v>
      </c>
      <c r="F109" s="45">
        <v>10.583</v>
      </c>
      <c r="G109" s="45">
        <v>11.101000000000001</v>
      </c>
      <c r="H109" s="45">
        <v>11.542</v>
      </c>
      <c r="I109" s="45">
        <v>11.925000000000001</v>
      </c>
      <c r="J109" s="45">
        <v>12.263999999999999</v>
      </c>
      <c r="K109" s="45">
        <v>12.567</v>
      </c>
      <c r="L109" s="45">
        <v>12.84</v>
      </c>
      <c r="M109" s="45">
        <v>13.09</v>
      </c>
      <c r="N109" s="45">
        <v>13.318</v>
      </c>
      <c r="O109" s="45">
        <v>13.53</v>
      </c>
      <c r="P109" s="45">
        <v>13.726000000000001</v>
      </c>
      <c r="Q109" s="45">
        <v>13.909000000000001</v>
      </c>
      <c r="R109" s="45">
        <v>14.081</v>
      </c>
      <c r="S109" s="45">
        <v>14.242000000000001</v>
      </c>
      <c r="T109" s="628">
        <v>14.394</v>
      </c>
    </row>
    <row r="110" spans="1:20" x14ac:dyDescent="0.25">
      <c r="A110">
        <v>5</v>
      </c>
      <c r="B110" s="627">
        <v>5.702</v>
      </c>
      <c r="C110" s="45">
        <v>6.976</v>
      </c>
      <c r="D110" s="45">
        <v>7.8040000000000003</v>
      </c>
      <c r="E110" s="45">
        <v>8.4209999999999994</v>
      </c>
      <c r="F110" s="45">
        <v>8.9130000000000003</v>
      </c>
      <c r="G110" s="45">
        <v>9.3209999999999997</v>
      </c>
      <c r="H110" s="45">
        <v>9.6690000000000005</v>
      </c>
      <c r="I110" s="45">
        <v>9.9710000000000001</v>
      </c>
      <c r="J110" s="45">
        <v>10.239000000000001</v>
      </c>
      <c r="K110" s="45">
        <v>10.478999999999999</v>
      </c>
      <c r="L110" s="45">
        <v>10.696</v>
      </c>
      <c r="M110" s="45">
        <v>10.894</v>
      </c>
      <c r="N110" s="45">
        <v>11.076000000000001</v>
      </c>
      <c r="O110" s="45">
        <v>11.244</v>
      </c>
      <c r="P110" s="45">
        <v>11.4</v>
      </c>
      <c r="Q110" s="45">
        <v>11.545</v>
      </c>
      <c r="R110" s="45">
        <v>11.682</v>
      </c>
      <c r="S110" s="45">
        <v>11.811</v>
      </c>
      <c r="T110" s="628">
        <v>11.932</v>
      </c>
    </row>
    <row r="111" spans="1:20" x14ac:dyDescent="0.25">
      <c r="A111">
        <v>6</v>
      </c>
      <c r="B111" s="627">
        <v>5.2430000000000003</v>
      </c>
      <c r="C111" s="45">
        <v>6.3310000000000004</v>
      </c>
      <c r="D111" s="45">
        <v>7.0330000000000004</v>
      </c>
      <c r="E111" s="45">
        <v>7.556</v>
      </c>
      <c r="F111" s="45">
        <v>7.9720000000000004</v>
      </c>
      <c r="G111" s="45">
        <v>8.3179999999999996</v>
      </c>
      <c r="H111" s="45">
        <v>8.6120000000000001</v>
      </c>
      <c r="I111" s="45">
        <v>8.8689999999999998</v>
      </c>
      <c r="J111" s="45">
        <v>9.0969999999999995</v>
      </c>
      <c r="K111" s="45">
        <v>9.3000000000000007</v>
      </c>
      <c r="L111" s="45">
        <v>9.4849999999999994</v>
      </c>
      <c r="M111" s="45">
        <v>9.6530000000000005</v>
      </c>
      <c r="N111" s="45">
        <v>9.8079999999999998</v>
      </c>
      <c r="O111" s="45">
        <v>9.9510000000000005</v>
      </c>
      <c r="P111" s="45">
        <v>10.084</v>
      </c>
      <c r="Q111" s="45">
        <v>10.208</v>
      </c>
      <c r="R111" s="45">
        <v>10.324999999999999</v>
      </c>
      <c r="S111" s="45">
        <v>10.433999999999999</v>
      </c>
      <c r="T111" s="628">
        <v>10.538</v>
      </c>
    </row>
    <row r="112" spans="1:20" x14ac:dyDescent="0.25">
      <c r="A112">
        <v>7</v>
      </c>
      <c r="B112" s="627">
        <v>4.9489999999999998</v>
      </c>
      <c r="C112" s="45">
        <v>5.9189999999999996</v>
      </c>
      <c r="D112" s="45">
        <v>6.5419999999999998</v>
      </c>
      <c r="E112" s="45">
        <v>7.0049999999999999</v>
      </c>
      <c r="F112" s="45">
        <v>7.3730000000000002</v>
      </c>
      <c r="G112" s="45">
        <v>7.6779999999999999</v>
      </c>
      <c r="H112" s="45">
        <v>7.9390000000000001</v>
      </c>
      <c r="I112" s="45">
        <v>8.1660000000000004</v>
      </c>
      <c r="J112" s="45">
        <v>8.3670000000000009</v>
      </c>
      <c r="K112" s="45">
        <v>8.548</v>
      </c>
      <c r="L112" s="45">
        <v>8.7110000000000003</v>
      </c>
      <c r="M112" s="45">
        <v>8.86</v>
      </c>
      <c r="N112" s="45">
        <v>8.9969999999999999</v>
      </c>
      <c r="O112" s="45">
        <v>9.1240000000000006</v>
      </c>
      <c r="P112" s="45">
        <v>9.2420000000000009</v>
      </c>
      <c r="Q112" s="45">
        <v>9.3529999999999998</v>
      </c>
      <c r="R112" s="45">
        <v>9.4559999999999995</v>
      </c>
      <c r="S112" s="45">
        <v>9.5530000000000008</v>
      </c>
      <c r="T112" s="628">
        <v>9.6449999999999996</v>
      </c>
    </row>
    <row r="113" spans="1:20" x14ac:dyDescent="0.25">
      <c r="A113">
        <v>8</v>
      </c>
      <c r="B113" s="627">
        <v>4.7450000000000001</v>
      </c>
      <c r="C113" s="45">
        <v>5.6349999999999998</v>
      </c>
      <c r="D113" s="45">
        <v>6.2039999999999997</v>
      </c>
      <c r="E113" s="45">
        <v>6.625</v>
      </c>
      <c r="F113" s="45">
        <v>6.9589999999999996</v>
      </c>
      <c r="G113" s="45">
        <v>7.2370000000000001</v>
      </c>
      <c r="H113" s="45">
        <v>7.4740000000000002</v>
      </c>
      <c r="I113" s="45">
        <v>7.68</v>
      </c>
      <c r="J113" s="45">
        <v>7.8630000000000004</v>
      </c>
      <c r="K113" s="45">
        <v>8.0269999999999992</v>
      </c>
      <c r="L113" s="45">
        <v>8.1760000000000002</v>
      </c>
      <c r="M113" s="45">
        <v>8.3109999999999999</v>
      </c>
      <c r="N113" s="45">
        <v>8.4359999999999999</v>
      </c>
      <c r="O113" s="45">
        <v>8.5519999999999996</v>
      </c>
      <c r="P113" s="45">
        <v>8.6590000000000007</v>
      </c>
      <c r="Q113" s="45">
        <v>8.76</v>
      </c>
      <c r="R113" s="45">
        <v>8.8539999999999992</v>
      </c>
      <c r="S113" s="45">
        <v>8.9429999999999996</v>
      </c>
      <c r="T113" s="628">
        <v>9.0269999999999992</v>
      </c>
    </row>
    <row r="114" spans="1:20" x14ac:dyDescent="0.25">
      <c r="A114">
        <v>9</v>
      </c>
      <c r="B114" s="627">
        <v>4.5960000000000001</v>
      </c>
      <c r="C114" s="45">
        <v>5.4279999999999999</v>
      </c>
      <c r="D114" s="45">
        <v>5.9569999999999999</v>
      </c>
      <c r="E114" s="45">
        <v>6.3470000000000004</v>
      </c>
      <c r="F114" s="45">
        <v>6.657</v>
      </c>
      <c r="G114" s="45">
        <v>6.915</v>
      </c>
      <c r="H114" s="45">
        <v>7.1340000000000003</v>
      </c>
      <c r="I114" s="45">
        <v>7.3250000000000002</v>
      </c>
      <c r="J114" s="45">
        <v>7.4939999999999998</v>
      </c>
      <c r="K114" s="45">
        <v>7.6459999999999999</v>
      </c>
      <c r="L114" s="45">
        <v>7.7839999999999998</v>
      </c>
      <c r="M114" s="45">
        <v>7.91</v>
      </c>
      <c r="N114" s="45">
        <v>8.0250000000000004</v>
      </c>
      <c r="O114" s="45">
        <v>8.1319999999999997</v>
      </c>
      <c r="P114" s="45">
        <v>8.2319999999999993</v>
      </c>
      <c r="Q114" s="45">
        <v>8.3249999999999993</v>
      </c>
      <c r="R114" s="45">
        <v>8.4120000000000008</v>
      </c>
      <c r="S114" s="45">
        <v>8.4949999999999992</v>
      </c>
      <c r="T114" s="628">
        <v>8.5730000000000004</v>
      </c>
    </row>
    <row r="115" spans="1:20" x14ac:dyDescent="0.25">
      <c r="A115">
        <v>10</v>
      </c>
      <c r="B115" s="627">
        <v>4.4820000000000002</v>
      </c>
      <c r="C115" s="45">
        <v>5.27</v>
      </c>
      <c r="D115" s="45">
        <v>5.7690000000000001</v>
      </c>
      <c r="E115" s="45">
        <v>6.1360000000000001</v>
      </c>
      <c r="F115" s="45">
        <v>6.4279999999999999</v>
      </c>
      <c r="G115" s="45">
        <v>6.6689999999999996</v>
      </c>
      <c r="H115" s="45">
        <v>6.875</v>
      </c>
      <c r="I115" s="45">
        <v>7.0540000000000003</v>
      </c>
      <c r="J115" s="45">
        <v>7.2130000000000001</v>
      </c>
      <c r="K115" s="45">
        <v>7.3559999999999999</v>
      </c>
      <c r="L115" s="45">
        <v>7.4850000000000003</v>
      </c>
      <c r="M115" s="45">
        <v>7.6029999999999998</v>
      </c>
      <c r="N115" s="45">
        <v>7.7119999999999997</v>
      </c>
      <c r="O115" s="45">
        <v>7.8120000000000003</v>
      </c>
      <c r="P115" s="45">
        <v>7.9059999999999997</v>
      </c>
      <c r="Q115" s="45">
        <v>7.9930000000000003</v>
      </c>
      <c r="R115" s="45">
        <v>8.0749999999999993</v>
      </c>
      <c r="S115" s="45">
        <v>8.1530000000000005</v>
      </c>
      <c r="T115" s="628">
        <v>8.2260000000000009</v>
      </c>
    </row>
    <row r="116" spans="1:20" x14ac:dyDescent="0.25">
      <c r="A116">
        <v>11</v>
      </c>
      <c r="B116" s="627">
        <v>4.3920000000000003</v>
      </c>
      <c r="C116" s="45">
        <v>5.1459999999999999</v>
      </c>
      <c r="D116" s="45">
        <v>5.6210000000000004</v>
      </c>
      <c r="E116" s="45">
        <v>5.97</v>
      </c>
      <c r="F116" s="45">
        <v>6.2469999999999999</v>
      </c>
      <c r="G116" s="45">
        <v>6.476</v>
      </c>
      <c r="H116" s="45">
        <v>6.6710000000000003</v>
      </c>
      <c r="I116" s="45">
        <v>6.8410000000000002</v>
      </c>
      <c r="J116" s="45">
        <v>6.992</v>
      </c>
      <c r="K116" s="45">
        <v>7.1269999999999998</v>
      </c>
      <c r="L116" s="45">
        <v>7.25</v>
      </c>
      <c r="M116" s="45">
        <v>7.3620000000000001</v>
      </c>
      <c r="N116" s="45">
        <v>7.4640000000000004</v>
      </c>
      <c r="O116" s="45">
        <v>7.56</v>
      </c>
      <c r="P116" s="45">
        <v>7.6479999999999997</v>
      </c>
      <c r="Q116" s="45">
        <v>7.7309999999999999</v>
      </c>
      <c r="R116" s="45">
        <v>7.8090000000000002</v>
      </c>
      <c r="S116" s="45">
        <v>7.883</v>
      </c>
      <c r="T116" s="628">
        <v>7.952</v>
      </c>
    </row>
    <row r="117" spans="1:20" x14ac:dyDescent="0.25">
      <c r="A117">
        <v>12</v>
      </c>
      <c r="B117" s="627">
        <v>4.32</v>
      </c>
      <c r="C117" s="45">
        <v>5.0460000000000003</v>
      </c>
      <c r="D117" s="45">
        <v>5.5019999999999998</v>
      </c>
      <c r="E117" s="45">
        <v>5.8360000000000003</v>
      </c>
      <c r="F117" s="45">
        <v>6.101</v>
      </c>
      <c r="G117" s="45">
        <v>6.32</v>
      </c>
      <c r="H117" s="45">
        <v>6.5069999999999997</v>
      </c>
      <c r="I117" s="45">
        <v>6.67</v>
      </c>
      <c r="J117" s="45">
        <v>6.8140000000000001</v>
      </c>
      <c r="K117" s="45">
        <v>6.9429999999999996</v>
      </c>
      <c r="L117" s="45">
        <v>7.06</v>
      </c>
      <c r="M117" s="45">
        <v>7.1660000000000004</v>
      </c>
      <c r="N117" s="45">
        <v>7.2649999999999997</v>
      </c>
      <c r="O117" s="45">
        <v>7.3559999999999999</v>
      </c>
      <c r="P117" s="45">
        <v>7.4409999999999998</v>
      </c>
      <c r="Q117" s="45">
        <v>7.52</v>
      </c>
      <c r="R117" s="45">
        <v>7.5940000000000003</v>
      </c>
      <c r="S117" s="45">
        <v>7.6639999999999997</v>
      </c>
      <c r="T117" s="628">
        <v>7.73</v>
      </c>
    </row>
    <row r="118" spans="1:20" x14ac:dyDescent="0.25">
      <c r="A118">
        <v>13</v>
      </c>
      <c r="B118" s="627">
        <v>4.26</v>
      </c>
      <c r="C118" s="45">
        <v>4.9640000000000004</v>
      </c>
      <c r="D118" s="45">
        <v>5.4039999999999999</v>
      </c>
      <c r="E118" s="45">
        <v>5.726</v>
      </c>
      <c r="F118" s="45">
        <v>5.9809999999999999</v>
      </c>
      <c r="G118" s="45">
        <v>6.1920000000000002</v>
      </c>
      <c r="H118" s="45">
        <v>6.3719999999999999</v>
      </c>
      <c r="I118" s="45">
        <v>6.5279999999999996</v>
      </c>
      <c r="J118" s="45">
        <v>6.6660000000000004</v>
      </c>
      <c r="K118" s="45">
        <v>6.7910000000000004</v>
      </c>
      <c r="L118" s="45">
        <v>6.9029999999999996</v>
      </c>
      <c r="M118" s="45">
        <v>7.0060000000000002</v>
      </c>
      <c r="N118" s="45">
        <v>7.1</v>
      </c>
      <c r="O118" s="45">
        <v>7.1879999999999997</v>
      </c>
      <c r="P118" s="45">
        <v>7.2690000000000001</v>
      </c>
      <c r="Q118" s="45">
        <v>7.3449999999999998</v>
      </c>
      <c r="R118" s="45">
        <v>7.4169999999999998</v>
      </c>
      <c r="S118" s="45">
        <v>7.484</v>
      </c>
      <c r="T118" s="628">
        <v>7.548</v>
      </c>
    </row>
    <row r="119" spans="1:20" x14ac:dyDescent="0.25">
      <c r="A119">
        <v>14</v>
      </c>
      <c r="B119" s="627">
        <v>4.21</v>
      </c>
      <c r="C119" s="45">
        <v>4.8949999999999996</v>
      </c>
      <c r="D119" s="45">
        <v>5.3220000000000001</v>
      </c>
      <c r="E119" s="45">
        <v>5.6340000000000003</v>
      </c>
      <c r="F119" s="45">
        <v>5.8810000000000002</v>
      </c>
      <c r="G119" s="45">
        <v>6.085</v>
      </c>
      <c r="H119" s="45">
        <v>6.258</v>
      </c>
      <c r="I119" s="45">
        <v>6.4089999999999998</v>
      </c>
      <c r="J119" s="45">
        <v>6.5430000000000001</v>
      </c>
      <c r="K119" s="45">
        <v>6.6630000000000003</v>
      </c>
      <c r="L119" s="45">
        <v>6.7720000000000002</v>
      </c>
      <c r="M119" s="45">
        <v>6.8710000000000004</v>
      </c>
      <c r="N119" s="45">
        <v>6.9619999999999997</v>
      </c>
      <c r="O119" s="45">
        <v>7.0469999999999997</v>
      </c>
      <c r="P119" s="45">
        <v>7.125</v>
      </c>
      <c r="Q119" s="45">
        <v>7.1989999999999998</v>
      </c>
      <c r="R119" s="45">
        <v>7.2679999999999998</v>
      </c>
      <c r="S119" s="45">
        <v>7.3330000000000002</v>
      </c>
      <c r="T119" s="628">
        <v>7.3940000000000001</v>
      </c>
    </row>
    <row r="120" spans="1:20" x14ac:dyDescent="0.25">
      <c r="A120">
        <v>15</v>
      </c>
      <c r="B120" s="627">
        <v>4.1669999999999998</v>
      </c>
      <c r="C120" s="45">
        <v>4.8360000000000003</v>
      </c>
      <c r="D120" s="45">
        <v>5.2519999999999998</v>
      </c>
      <c r="E120" s="45">
        <v>5.556</v>
      </c>
      <c r="F120" s="45">
        <v>5.7960000000000003</v>
      </c>
      <c r="G120" s="45">
        <v>5.9939999999999998</v>
      </c>
      <c r="H120" s="45">
        <v>6.1619999999999999</v>
      </c>
      <c r="I120" s="45">
        <v>6.3090000000000002</v>
      </c>
      <c r="J120" s="45">
        <v>6.4379999999999997</v>
      </c>
      <c r="K120" s="45">
        <v>6.5549999999999997</v>
      </c>
      <c r="L120" s="45">
        <v>6.66</v>
      </c>
      <c r="M120" s="45">
        <v>6.7560000000000002</v>
      </c>
      <c r="N120" s="45">
        <v>6.8449999999999998</v>
      </c>
      <c r="O120" s="45">
        <v>6.9269999999999996</v>
      </c>
      <c r="P120" s="45">
        <v>7.0030000000000001</v>
      </c>
      <c r="Q120" s="45">
        <v>7.0739999999999998</v>
      </c>
      <c r="R120" s="45">
        <v>7.141</v>
      </c>
      <c r="S120" s="45">
        <v>7.2039999999999997</v>
      </c>
      <c r="T120" s="628">
        <v>7.2640000000000002</v>
      </c>
    </row>
    <row r="121" spans="1:20" x14ac:dyDescent="0.25">
      <c r="A121">
        <v>16</v>
      </c>
      <c r="B121" s="627">
        <v>4.1310000000000002</v>
      </c>
      <c r="C121" s="45">
        <v>4.7859999999999996</v>
      </c>
      <c r="D121" s="45">
        <v>5.1920000000000002</v>
      </c>
      <c r="E121" s="45">
        <v>5.4889999999999999</v>
      </c>
      <c r="F121" s="45">
        <v>5.7220000000000004</v>
      </c>
      <c r="G121" s="45">
        <v>5.915</v>
      </c>
      <c r="H121" s="45">
        <v>6.0789999999999997</v>
      </c>
      <c r="I121" s="45">
        <v>6.2220000000000004</v>
      </c>
      <c r="J121" s="45">
        <v>6.3479999999999999</v>
      </c>
      <c r="K121" s="45">
        <v>6.4610000000000003</v>
      </c>
      <c r="L121" s="45">
        <v>6.5640000000000001</v>
      </c>
      <c r="M121" s="45">
        <v>6.6580000000000004</v>
      </c>
      <c r="N121" s="45">
        <v>6.7439999999999998</v>
      </c>
      <c r="O121" s="45">
        <v>6.8230000000000004</v>
      </c>
      <c r="P121" s="45">
        <v>6.8970000000000002</v>
      </c>
      <c r="Q121" s="45">
        <v>6.9669999999999996</v>
      </c>
      <c r="R121" s="45">
        <v>7.032</v>
      </c>
      <c r="S121" s="45">
        <v>7.093</v>
      </c>
      <c r="T121" s="628">
        <v>7.1509999999999998</v>
      </c>
    </row>
    <row r="122" spans="1:20" x14ac:dyDescent="0.25">
      <c r="A122">
        <v>17</v>
      </c>
      <c r="B122" s="627">
        <v>4.0990000000000002</v>
      </c>
      <c r="C122" s="45">
        <v>4.742</v>
      </c>
      <c r="D122" s="45">
        <v>5.14</v>
      </c>
      <c r="E122" s="45">
        <v>5.43</v>
      </c>
      <c r="F122" s="45">
        <v>5.6589999999999998</v>
      </c>
      <c r="G122" s="45">
        <v>5.8470000000000004</v>
      </c>
      <c r="H122" s="45">
        <v>6.0069999999999997</v>
      </c>
      <c r="I122" s="45">
        <v>6.1470000000000002</v>
      </c>
      <c r="J122" s="45">
        <v>6.27</v>
      </c>
      <c r="K122" s="45">
        <v>6.38</v>
      </c>
      <c r="L122" s="45">
        <v>6.48</v>
      </c>
      <c r="M122" s="45">
        <v>6.5720000000000001</v>
      </c>
      <c r="N122" s="45">
        <v>6.6559999999999997</v>
      </c>
      <c r="O122" s="45">
        <v>6.7329999999999997</v>
      </c>
      <c r="P122" s="45">
        <v>6.806</v>
      </c>
      <c r="Q122" s="45">
        <v>6.8730000000000002</v>
      </c>
      <c r="R122" s="45">
        <v>6.9370000000000003</v>
      </c>
      <c r="S122" s="45">
        <v>6.9969999999999999</v>
      </c>
      <c r="T122" s="628">
        <v>7.0529999999999999</v>
      </c>
    </row>
    <row r="123" spans="1:20" x14ac:dyDescent="0.25">
      <c r="A123">
        <v>18</v>
      </c>
      <c r="B123" s="627">
        <v>4.0709999999999997</v>
      </c>
      <c r="C123" s="45">
        <v>4.7030000000000003</v>
      </c>
      <c r="D123" s="45">
        <v>5.0940000000000003</v>
      </c>
      <c r="E123" s="45">
        <v>5.3789999999999996</v>
      </c>
      <c r="F123" s="45">
        <v>5.6029999999999998</v>
      </c>
      <c r="G123" s="45">
        <v>5.7869999999999999</v>
      </c>
      <c r="H123" s="45">
        <v>5.944</v>
      </c>
      <c r="I123" s="45">
        <v>6.0810000000000004</v>
      </c>
      <c r="J123" s="45">
        <v>6.2009999999999996</v>
      </c>
      <c r="K123" s="45">
        <v>6.3090000000000002</v>
      </c>
      <c r="L123" s="45">
        <v>6.407</v>
      </c>
      <c r="M123" s="45">
        <v>6.4960000000000004</v>
      </c>
      <c r="N123" s="45">
        <v>6.5789999999999997</v>
      </c>
      <c r="O123" s="45">
        <v>6.6550000000000002</v>
      </c>
      <c r="P123" s="45">
        <v>6.7249999999999996</v>
      </c>
      <c r="Q123" s="45">
        <v>6.7910000000000004</v>
      </c>
      <c r="R123" s="45">
        <v>6.8540000000000001</v>
      </c>
      <c r="S123" s="45">
        <v>6.9119999999999999</v>
      </c>
      <c r="T123" s="628">
        <v>6.9669999999999996</v>
      </c>
    </row>
    <row r="124" spans="1:20" x14ac:dyDescent="0.25">
      <c r="A124">
        <v>19</v>
      </c>
      <c r="B124" s="627">
        <v>4.0460000000000003</v>
      </c>
      <c r="C124" s="45">
        <v>4.6689999999999996</v>
      </c>
      <c r="D124" s="45">
        <v>5.0540000000000003</v>
      </c>
      <c r="E124" s="45">
        <v>5.3339999999999996</v>
      </c>
      <c r="F124" s="45">
        <v>5.5529999999999999</v>
      </c>
      <c r="G124" s="45">
        <v>5.7350000000000003</v>
      </c>
      <c r="H124" s="45">
        <v>5.8890000000000002</v>
      </c>
      <c r="I124" s="45">
        <v>6.0220000000000002</v>
      </c>
      <c r="J124" s="45">
        <v>6.141</v>
      </c>
      <c r="K124" s="45">
        <v>6.2460000000000004</v>
      </c>
      <c r="L124" s="45">
        <v>6.3419999999999996</v>
      </c>
      <c r="M124" s="45">
        <v>6.43</v>
      </c>
      <c r="N124" s="45">
        <v>6.51</v>
      </c>
      <c r="O124" s="45">
        <v>6.585</v>
      </c>
      <c r="P124" s="45">
        <v>6.6539999999999999</v>
      </c>
      <c r="Q124" s="45">
        <v>6.7190000000000003</v>
      </c>
      <c r="R124" s="45">
        <v>6.78</v>
      </c>
      <c r="S124" s="45">
        <v>6.8369999999999997</v>
      </c>
      <c r="T124" s="628">
        <v>6.891</v>
      </c>
    </row>
    <row r="125" spans="1:20" x14ac:dyDescent="0.25">
      <c r="A125">
        <v>20</v>
      </c>
      <c r="B125" s="627">
        <v>4.024</v>
      </c>
      <c r="C125" s="45">
        <v>4.6390000000000002</v>
      </c>
      <c r="D125" s="45">
        <v>5.0179999999999998</v>
      </c>
      <c r="E125" s="45">
        <v>5.2930000000000001</v>
      </c>
      <c r="F125" s="45">
        <v>5.51</v>
      </c>
      <c r="G125" s="45">
        <v>5.6879999999999997</v>
      </c>
      <c r="H125" s="45">
        <v>5.8390000000000004</v>
      </c>
      <c r="I125" s="45">
        <v>5.97</v>
      </c>
      <c r="J125" s="45">
        <v>6.0860000000000003</v>
      </c>
      <c r="K125" s="45">
        <v>6.19</v>
      </c>
      <c r="L125" s="45">
        <v>6.2850000000000001</v>
      </c>
      <c r="M125" s="45">
        <v>6.37</v>
      </c>
      <c r="N125" s="45">
        <v>6.4489999999999998</v>
      </c>
      <c r="O125" s="45">
        <v>6.5229999999999997</v>
      </c>
      <c r="P125" s="45">
        <v>6.5910000000000002</v>
      </c>
      <c r="Q125" s="45">
        <v>6.6539999999999999</v>
      </c>
      <c r="R125" s="45">
        <v>6.7140000000000004</v>
      </c>
      <c r="S125" s="45">
        <v>6.77</v>
      </c>
      <c r="T125" s="628">
        <v>6.8230000000000004</v>
      </c>
    </row>
    <row r="126" spans="1:20" x14ac:dyDescent="0.25">
      <c r="A126">
        <v>21</v>
      </c>
      <c r="B126" s="627">
        <v>4.0039999999999996</v>
      </c>
      <c r="C126" s="45">
        <v>4.6120000000000001</v>
      </c>
      <c r="D126" s="45">
        <v>4.9859999999999998</v>
      </c>
      <c r="E126" s="45">
        <v>5.2569999999999997</v>
      </c>
      <c r="F126" s="45">
        <v>5.47</v>
      </c>
      <c r="G126" s="45">
        <v>5.6459999999999999</v>
      </c>
      <c r="H126" s="45">
        <v>5.7939999999999996</v>
      </c>
      <c r="I126" s="45">
        <v>5.9240000000000004</v>
      </c>
      <c r="J126" s="45">
        <v>6.0380000000000003</v>
      </c>
      <c r="K126" s="45">
        <v>6.14</v>
      </c>
      <c r="L126" s="45">
        <v>6.2329999999999997</v>
      </c>
      <c r="M126" s="45">
        <v>6.3170000000000002</v>
      </c>
      <c r="N126" s="45">
        <v>6.3949999999999996</v>
      </c>
      <c r="O126" s="45">
        <v>6.4669999999999996</v>
      </c>
      <c r="P126" s="45">
        <v>6.5339999999999998</v>
      </c>
      <c r="Q126" s="45">
        <v>6.5960000000000001</v>
      </c>
      <c r="R126" s="45">
        <v>6.6550000000000002</v>
      </c>
      <c r="S126" s="45">
        <v>6.71</v>
      </c>
      <c r="T126" s="628">
        <v>6.7619999999999996</v>
      </c>
    </row>
    <row r="127" spans="1:20" x14ac:dyDescent="0.25">
      <c r="A127">
        <v>22</v>
      </c>
      <c r="B127" s="627">
        <v>3.9860000000000002</v>
      </c>
      <c r="C127" s="45">
        <v>4.5880000000000001</v>
      </c>
      <c r="D127" s="45">
        <v>4.9569999999999999</v>
      </c>
      <c r="E127" s="45">
        <v>5.2249999999999996</v>
      </c>
      <c r="F127" s="45">
        <v>5.4349999999999996</v>
      </c>
      <c r="G127" s="45">
        <v>5.6079999999999997</v>
      </c>
      <c r="H127" s="45">
        <v>5.7539999999999996</v>
      </c>
      <c r="I127" s="45">
        <v>5.8819999999999997</v>
      </c>
      <c r="J127" s="45">
        <v>5.9939999999999998</v>
      </c>
      <c r="K127" s="45">
        <v>6.0949999999999998</v>
      </c>
      <c r="L127" s="45">
        <v>6.1859999999999999</v>
      </c>
      <c r="M127" s="45">
        <v>6.2690000000000001</v>
      </c>
      <c r="N127" s="45">
        <v>6.3460000000000001</v>
      </c>
      <c r="O127" s="45">
        <v>6.4169999999999998</v>
      </c>
      <c r="P127" s="45">
        <v>6.4820000000000002</v>
      </c>
      <c r="Q127" s="45">
        <v>6.5439999999999996</v>
      </c>
      <c r="R127" s="45">
        <v>6.6020000000000003</v>
      </c>
      <c r="S127" s="45">
        <v>6.6559999999999997</v>
      </c>
      <c r="T127" s="628">
        <v>6.7069999999999999</v>
      </c>
    </row>
    <row r="128" spans="1:20" x14ac:dyDescent="0.25">
      <c r="A128">
        <v>23</v>
      </c>
      <c r="B128" s="627">
        <v>3.97</v>
      </c>
      <c r="C128" s="45">
        <v>4.5659999999999998</v>
      </c>
      <c r="D128" s="45">
        <v>4.931</v>
      </c>
      <c r="E128" s="45">
        <v>5.1950000000000003</v>
      </c>
      <c r="F128" s="45">
        <v>5.4029999999999996</v>
      </c>
      <c r="G128" s="45">
        <v>5.5730000000000004</v>
      </c>
      <c r="H128" s="45">
        <v>5.718</v>
      </c>
      <c r="I128" s="45">
        <v>5.8440000000000003</v>
      </c>
      <c r="J128" s="45">
        <v>5.9550000000000001</v>
      </c>
      <c r="K128" s="45">
        <v>6.0540000000000003</v>
      </c>
      <c r="L128" s="45">
        <v>6.1440000000000001</v>
      </c>
      <c r="M128" s="45">
        <v>6.226</v>
      </c>
      <c r="N128" s="45">
        <v>6.3010000000000002</v>
      </c>
      <c r="O128" s="45">
        <v>6.3710000000000004</v>
      </c>
      <c r="P128" s="45">
        <v>6.4359999999999999</v>
      </c>
      <c r="Q128" s="45">
        <v>6.4969999999999999</v>
      </c>
      <c r="R128" s="45">
        <v>6.5529999999999999</v>
      </c>
      <c r="S128" s="45">
        <v>6.6070000000000002</v>
      </c>
      <c r="T128" s="628">
        <v>6.6580000000000004</v>
      </c>
    </row>
    <row r="129" spans="1:20" x14ac:dyDescent="0.25">
      <c r="A129">
        <v>24</v>
      </c>
      <c r="B129" s="627">
        <v>3.9550000000000001</v>
      </c>
      <c r="C129" s="45">
        <v>4.5460000000000003</v>
      </c>
      <c r="D129" s="45">
        <v>4.907</v>
      </c>
      <c r="E129" s="45">
        <v>5.1680000000000001</v>
      </c>
      <c r="F129" s="45">
        <v>5.3730000000000002</v>
      </c>
      <c r="G129" s="45">
        <v>5.5419999999999998</v>
      </c>
      <c r="H129" s="45">
        <v>5.6849999999999996</v>
      </c>
      <c r="I129" s="45">
        <v>5.8090000000000002</v>
      </c>
      <c r="J129" s="45">
        <v>5.9189999999999996</v>
      </c>
      <c r="K129" s="45">
        <v>6.0170000000000003</v>
      </c>
      <c r="L129" s="45">
        <v>6.1050000000000004</v>
      </c>
      <c r="M129" s="45">
        <v>6.1859999999999999</v>
      </c>
      <c r="N129" s="45">
        <v>6.2610000000000001</v>
      </c>
      <c r="O129" s="45">
        <v>6.33</v>
      </c>
      <c r="P129" s="45">
        <v>6.3940000000000001</v>
      </c>
      <c r="Q129" s="45">
        <v>6.4530000000000003</v>
      </c>
      <c r="R129" s="45">
        <v>6.51</v>
      </c>
      <c r="S129" s="45">
        <v>6.5620000000000003</v>
      </c>
      <c r="T129" s="628">
        <v>6.6120000000000001</v>
      </c>
    </row>
    <row r="130" spans="1:20" x14ac:dyDescent="0.25">
      <c r="A130">
        <v>25</v>
      </c>
      <c r="B130" s="627">
        <v>3.9420000000000002</v>
      </c>
      <c r="C130" s="45">
        <v>4.5270000000000001</v>
      </c>
      <c r="D130" s="45">
        <v>4.8849999999999998</v>
      </c>
      <c r="E130" s="45">
        <v>5.1440000000000001</v>
      </c>
      <c r="F130" s="45">
        <v>5.3470000000000004</v>
      </c>
      <c r="G130" s="45">
        <v>5.5129999999999999</v>
      </c>
      <c r="H130" s="45">
        <v>5.6550000000000002</v>
      </c>
      <c r="I130" s="45">
        <v>5.7779999999999996</v>
      </c>
      <c r="J130" s="45">
        <v>5.8860000000000001</v>
      </c>
      <c r="K130" s="45">
        <v>5.9829999999999997</v>
      </c>
      <c r="L130" s="45">
        <v>6.07</v>
      </c>
      <c r="M130" s="45">
        <v>6.15</v>
      </c>
      <c r="N130" s="45">
        <v>6.2240000000000002</v>
      </c>
      <c r="O130" s="45">
        <v>6.2919999999999998</v>
      </c>
      <c r="P130" s="45">
        <v>6.3550000000000004</v>
      </c>
      <c r="Q130" s="45">
        <v>6.4139999999999997</v>
      </c>
      <c r="R130" s="45">
        <v>6.4690000000000003</v>
      </c>
      <c r="S130" s="45">
        <v>6.5220000000000002</v>
      </c>
      <c r="T130" s="628">
        <v>6.5709999999999997</v>
      </c>
    </row>
    <row r="131" spans="1:20" x14ac:dyDescent="0.25">
      <c r="A131">
        <v>26</v>
      </c>
      <c r="B131" s="627">
        <v>3.93</v>
      </c>
      <c r="C131" s="45">
        <v>4.51</v>
      </c>
      <c r="D131" s="45">
        <v>4.8650000000000002</v>
      </c>
      <c r="E131" s="45">
        <v>5.1210000000000004</v>
      </c>
      <c r="F131" s="45">
        <v>5.3220000000000001</v>
      </c>
      <c r="G131" s="45">
        <v>5.4870000000000001</v>
      </c>
      <c r="H131" s="45">
        <v>5.6269999999999998</v>
      </c>
      <c r="I131" s="45">
        <v>5.7489999999999997</v>
      </c>
      <c r="J131" s="45">
        <v>5.8559999999999999</v>
      </c>
      <c r="K131" s="45">
        <v>5.9509999999999996</v>
      </c>
      <c r="L131" s="45">
        <v>6.0380000000000003</v>
      </c>
      <c r="M131" s="45">
        <v>6.117</v>
      </c>
      <c r="N131" s="45">
        <v>6.19</v>
      </c>
      <c r="O131" s="45">
        <v>6.2569999999999997</v>
      </c>
      <c r="P131" s="45">
        <v>6.319</v>
      </c>
      <c r="Q131" s="45">
        <v>6.3780000000000001</v>
      </c>
      <c r="R131" s="45">
        <v>6.4320000000000004</v>
      </c>
      <c r="S131" s="45">
        <v>6.484</v>
      </c>
      <c r="T131" s="628">
        <v>6.5330000000000004</v>
      </c>
    </row>
    <row r="132" spans="1:20" x14ac:dyDescent="0.25">
      <c r="A132">
        <v>27</v>
      </c>
      <c r="B132" s="627">
        <v>3.9180000000000001</v>
      </c>
      <c r="C132" s="45">
        <v>4.4950000000000001</v>
      </c>
      <c r="D132" s="45">
        <v>4.8470000000000004</v>
      </c>
      <c r="E132" s="45">
        <v>5.101</v>
      </c>
      <c r="F132" s="45">
        <v>5.3</v>
      </c>
      <c r="G132" s="45">
        <v>5.4630000000000001</v>
      </c>
      <c r="H132" s="45">
        <v>5.6020000000000003</v>
      </c>
      <c r="I132" s="45">
        <v>5.7220000000000004</v>
      </c>
      <c r="J132" s="45">
        <v>5.8280000000000003</v>
      </c>
      <c r="K132" s="45">
        <v>5.923</v>
      </c>
      <c r="L132" s="45">
        <v>6.008</v>
      </c>
      <c r="M132" s="45">
        <v>6.0869999999999997</v>
      </c>
      <c r="N132" s="45">
        <v>6.1580000000000004</v>
      </c>
      <c r="O132" s="45">
        <v>6.2249999999999996</v>
      </c>
      <c r="P132" s="45">
        <v>6.2869999999999999</v>
      </c>
      <c r="Q132" s="45">
        <v>6.3440000000000003</v>
      </c>
      <c r="R132" s="45">
        <v>6.399</v>
      </c>
      <c r="S132" s="45">
        <v>6.45</v>
      </c>
      <c r="T132" s="628">
        <v>6.4980000000000002</v>
      </c>
    </row>
    <row r="133" spans="1:20" x14ac:dyDescent="0.25">
      <c r="A133">
        <v>28</v>
      </c>
      <c r="B133" s="627">
        <v>3.9079999999999999</v>
      </c>
      <c r="C133" s="45">
        <v>4.4809999999999999</v>
      </c>
      <c r="D133" s="45">
        <v>4.83</v>
      </c>
      <c r="E133" s="45">
        <v>5.0819999999999999</v>
      </c>
      <c r="F133" s="45">
        <v>5.2789999999999999</v>
      </c>
      <c r="G133" s="45">
        <v>5.4409999999999998</v>
      </c>
      <c r="H133" s="45">
        <v>5.5780000000000003</v>
      </c>
      <c r="I133" s="45">
        <v>5.6970000000000001</v>
      </c>
      <c r="J133" s="45">
        <v>5.8019999999999996</v>
      </c>
      <c r="K133" s="45">
        <v>5.8959999999999999</v>
      </c>
      <c r="L133" s="45">
        <v>5.9809999999999999</v>
      </c>
      <c r="M133" s="45">
        <v>6.0579999999999998</v>
      </c>
      <c r="N133" s="45">
        <v>6.1289999999999996</v>
      </c>
      <c r="O133" s="45">
        <v>6.1950000000000003</v>
      </c>
      <c r="P133" s="45">
        <v>6.2560000000000002</v>
      </c>
      <c r="Q133" s="45">
        <v>6.3140000000000001</v>
      </c>
      <c r="R133" s="45">
        <v>6.367</v>
      </c>
      <c r="S133" s="45">
        <v>6.4180000000000001</v>
      </c>
      <c r="T133" s="628">
        <v>6.4649999999999999</v>
      </c>
    </row>
    <row r="134" spans="1:20" x14ac:dyDescent="0.25">
      <c r="A134">
        <v>29</v>
      </c>
      <c r="B134" s="627">
        <v>3.8980000000000001</v>
      </c>
      <c r="C134" s="45">
        <v>4.4669999999999996</v>
      </c>
      <c r="D134" s="45">
        <v>4.8140000000000001</v>
      </c>
      <c r="E134" s="45">
        <v>5.0640000000000001</v>
      </c>
      <c r="F134" s="45">
        <v>5.26</v>
      </c>
      <c r="G134" s="45">
        <v>5.42</v>
      </c>
      <c r="H134" s="45">
        <v>5.556</v>
      </c>
      <c r="I134" s="45">
        <v>5.6740000000000004</v>
      </c>
      <c r="J134" s="45">
        <v>5.7779999999999996</v>
      </c>
      <c r="K134" s="45">
        <v>5.8710000000000004</v>
      </c>
      <c r="L134" s="45">
        <v>5.9550000000000001</v>
      </c>
      <c r="M134" s="45">
        <v>6.032</v>
      </c>
      <c r="N134" s="45">
        <v>6.1029999999999998</v>
      </c>
      <c r="O134" s="45">
        <v>6.1680000000000001</v>
      </c>
      <c r="P134" s="45">
        <v>6.2279999999999998</v>
      </c>
      <c r="Q134" s="45">
        <v>6.2850000000000001</v>
      </c>
      <c r="R134" s="45">
        <v>6.3380000000000001</v>
      </c>
      <c r="S134" s="45">
        <v>6.3879999999999999</v>
      </c>
      <c r="T134" s="628">
        <v>6.4349999999999996</v>
      </c>
    </row>
    <row r="135" spans="1:20" x14ac:dyDescent="0.25">
      <c r="A135">
        <v>30</v>
      </c>
      <c r="B135" s="627">
        <v>3.8889999999999998</v>
      </c>
      <c r="C135" s="45">
        <v>4.4550000000000001</v>
      </c>
      <c r="D135" s="45">
        <v>4.7990000000000004</v>
      </c>
      <c r="E135" s="45">
        <v>5.048</v>
      </c>
      <c r="F135" s="45">
        <v>5.242</v>
      </c>
      <c r="G135" s="45">
        <v>5.4009999999999998</v>
      </c>
      <c r="H135" s="45">
        <v>5.5359999999999996</v>
      </c>
      <c r="I135" s="45">
        <v>5.6529999999999996</v>
      </c>
      <c r="J135" s="45">
        <v>5.7560000000000002</v>
      </c>
      <c r="K135" s="45">
        <v>5.8479999999999999</v>
      </c>
      <c r="L135" s="45">
        <v>5.9320000000000004</v>
      </c>
      <c r="M135" s="45">
        <v>6.008</v>
      </c>
      <c r="N135" s="45">
        <v>6.0780000000000003</v>
      </c>
      <c r="O135" s="45">
        <v>6.1420000000000003</v>
      </c>
      <c r="P135" s="45">
        <v>6.202</v>
      </c>
      <c r="Q135" s="45">
        <v>6.258</v>
      </c>
      <c r="R135" s="45">
        <v>6.3109999999999999</v>
      </c>
      <c r="S135" s="45">
        <v>6.3609999999999998</v>
      </c>
      <c r="T135" s="628">
        <v>6.407</v>
      </c>
    </row>
    <row r="136" spans="1:20" x14ac:dyDescent="0.25">
      <c r="A136">
        <v>31</v>
      </c>
      <c r="B136" s="627">
        <v>3.8809999999999998</v>
      </c>
      <c r="C136" s="45">
        <v>4.4429999999999996</v>
      </c>
      <c r="D136" s="45">
        <v>4.7859999999999996</v>
      </c>
      <c r="E136" s="45">
        <v>5.032</v>
      </c>
      <c r="F136" s="45">
        <v>5.2249999999999996</v>
      </c>
      <c r="G136" s="45">
        <v>5.383</v>
      </c>
      <c r="H136" s="45">
        <v>5.5170000000000003</v>
      </c>
      <c r="I136" s="45">
        <v>5.633</v>
      </c>
      <c r="J136" s="45">
        <v>5.7359999999999998</v>
      </c>
      <c r="K136" s="45">
        <v>5.827</v>
      </c>
      <c r="L136" s="45">
        <v>5.91</v>
      </c>
      <c r="M136" s="45">
        <v>5.9850000000000003</v>
      </c>
      <c r="N136" s="45">
        <v>6.0549999999999997</v>
      </c>
      <c r="O136" s="45">
        <v>6.1189999999999998</v>
      </c>
      <c r="P136" s="45">
        <v>6.1779999999999999</v>
      </c>
      <c r="Q136" s="45">
        <v>6.234</v>
      </c>
      <c r="R136" s="45">
        <v>6.2859999999999996</v>
      </c>
      <c r="S136" s="45">
        <v>6.335</v>
      </c>
      <c r="T136" s="628">
        <v>6.3810000000000002</v>
      </c>
    </row>
    <row r="137" spans="1:20" x14ac:dyDescent="0.25">
      <c r="A137">
        <v>32</v>
      </c>
      <c r="B137" s="627">
        <v>3.8730000000000002</v>
      </c>
      <c r="C137" s="45">
        <v>4.4329999999999998</v>
      </c>
      <c r="D137" s="45">
        <v>4.7729999999999997</v>
      </c>
      <c r="E137" s="45">
        <v>5.0179999999999998</v>
      </c>
      <c r="F137" s="45">
        <v>5.21</v>
      </c>
      <c r="G137" s="45">
        <v>5.367</v>
      </c>
      <c r="H137" s="45">
        <v>5.5</v>
      </c>
      <c r="I137" s="45">
        <v>5.6150000000000002</v>
      </c>
      <c r="J137" s="45">
        <v>5.7160000000000002</v>
      </c>
      <c r="K137" s="45">
        <v>5.8070000000000004</v>
      </c>
      <c r="L137" s="45">
        <v>5.8890000000000002</v>
      </c>
      <c r="M137" s="45">
        <v>5.9640000000000004</v>
      </c>
      <c r="N137" s="45">
        <v>6.0330000000000004</v>
      </c>
      <c r="O137" s="45">
        <v>6.0960000000000001</v>
      </c>
      <c r="P137" s="45">
        <v>6.1550000000000002</v>
      </c>
      <c r="Q137" s="45">
        <v>6.2110000000000003</v>
      </c>
      <c r="R137" s="45">
        <v>6.2619999999999996</v>
      </c>
      <c r="S137" s="45">
        <v>6.3109999999999999</v>
      </c>
      <c r="T137" s="628">
        <v>6.3570000000000002</v>
      </c>
    </row>
    <row r="138" spans="1:20" x14ac:dyDescent="0.25">
      <c r="A138">
        <v>33</v>
      </c>
      <c r="B138" s="627">
        <v>3.8650000000000002</v>
      </c>
      <c r="C138" s="45">
        <v>4.423</v>
      </c>
      <c r="D138" s="45">
        <v>4.7610000000000001</v>
      </c>
      <c r="E138" s="45">
        <v>5.0049999999999999</v>
      </c>
      <c r="F138" s="45">
        <v>5.1950000000000003</v>
      </c>
      <c r="G138" s="45">
        <v>5.351</v>
      </c>
      <c r="H138" s="45">
        <v>5.4829999999999997</v>
      </c>
      <c r="I138" s="45">
        <v>5.5979999999999999</v>
      </c>
      <c r="J138" s="45">
        <v>5.6980000000000004</v>
      </c>
      <c r="K138" s="45">
        <v>5.7889999999999997</v>
      </c>
      <c r="L138" s="45">
        <v>5.87</v>
      </c>
      <c r="M138" s="45">
        <v>5.944</v>
      </c>
      <c r="N138" s="45">
        <v>6.0129999999999999</v>
      </c>
      <c r="O138" s="45">
        <v>6.0759999999999996</v>
      </c>
      <c r="P138" s="45">
        <v>6.1340000000000003</v>
      </c>
      <c r="Q138" s="45">
        <v>6.1890000000000001</v>
      </c>
      <c r="R138" s="45">
        <v>6.24</v>
      </c>
      <c r="S138" s="45">
        <v>6.2889999999999997</v>
      </c>
      <c r="T138" s="628">
        <v>6.3339999999999996</v>
      </c>
    </row>
    <row r="139" spans="1:20" x14ac:dyDescent="0.25">
      <c r="A139">
        <v>34</v>
      </c>
      <c r="B139" s="627">
        <v>3.859</v>
      </c>
      <c r="C139" s="45">
        <v>4.4130000000000003</v>
      </c>
      <c r="D139" s="45">
        <v>4.75</v>
      </c>
      <c r="E139" s="45">
        <v>4.992</v>
      </c>
      <c r="F139" s="45">
        <v>5.181</v>
      </c>
      <c r="G139" s="45">
        <v>5.3360000000000003</v>
      </c>
      <c r="H139" s="45">
        <v>5.468</v>
      </c>
      <c r="I139" s="45">
        <v>5.5810000000000004</v>
      </c>
      <c r="J139" s="45">
        <v>5.6820000000000004</v>
      </c>
      <c r="K139" s="45">
        <v>5.7709999999999999</v>
      </c>
      <c r="L139" s="45">
        <v>5.8520000000000003</v>
      </c>
      <c r="M139" s="45">
        <v>5.9260000000000002</v>
      </c>
      <c r="N139" s="45">
        <v>5.9939999999999998</v>
      </c>
      <c r="O139" s="45">
        <v>6.056</v>
      </c>
      <c r="P139" s="45">
        <v>6.1139999999999999</v>
      </c>
      <c r="Q139" s="45">
        <v>6.1689999999999996</v>
      </c>
      <c r="R139" s="45">
        <v>6.22</v>
      </c>
      <c r="S139" s="45">
        <v>6.2679999999999998</v>
      </c>
      <c r="T139" s="628">
        <v>6.3129999999999997</v>
      </c>
    </row>
    <row r="140" spans="1:20" x14ac:dyDescent="0.25">
      <c r="A140">
        <v>35</v>
      </c>
      <c r="B140" s="627">
        <v>3.8519999999999999</v>
      </c>
      <c r="C140" s="45">
        <v>4.4039999999999999</v>
      </c>
      <c r="D140" s="45">
        <v>4.7389999999999999</v>
      </c>
      <c r="E140" s="45">
        <v>4.9800000000000004</v>
      </c>
      <c r="F140" s="45">
        <v>5.1689999999999996</v>
      </c>
      <c r="G140" s="45">
        <v>5.3230000000000004</v>
      </c>
      <c r="H140" s="45">
        <v>5.4530000000000003</v>
      </c>
      <c r="I140" s="45">
        <v>5.5659999999999998</v>
      </c>
      <c r="J140" s="45">
        <v>5.6660000000000004</v>
      </c>
      <c r="K140" s="45">
        <v>5.7549999999999999</v>
      </c>
      <c r="L140" s="45">
        <v>5.835</v>
      </c>
      <c r="M140" s="45">
        <v>5.9080000000000004</v>
      </c>
      <c r="N140" s="45">
        <v>5.976</v>
      </c>
      <c r="O140" s="45">
        <v>6.0380000000000003</v>
      </c>
      <c r="P140" s="45">
        <v>6.0960000000000001</v>
      </c>
      <c r="Q140" s="45">
        <v>6.15</v>
      </c>
      <c r="R140" s="45">
        <v>6.2</v>
      </c>
      <c r="S140" s="45">
        <v>6.2480000000000002</v>
      </c>
      <c r="T140" s="628">
        <v>6.2930000000000001</v>
      </c>
    </row>
    <row r="141" spans="1:20" x14ac:dyDescent="0.25">
      <c r="A141">
        <v>36</v>
      </c>
      <c r="B141" s="627">
        <v>3.8460000000000001</v>
      </c>
      <c r="C141" s="45">
        <v>4.3959999999999999</v>
      </c>
      <c r="D141" s="45">
        <v>4.7290000000000001</v>
      </c>
      <c r="E141" s="45">
        <v>4.9690000000000003</v>
      </c>
      <c r="F141" s="45">
        <v>5.1559999999999997</v>
      </c>
      <c r="G141" s="45">
        <v>5.31</v>
      </c>
      <c r="H141" s="45">
        <v>5.4390000000000001</v>
      </c>
      <c r="I141" s="45">
        <v>5.5519999999999996</v>
      </c>
      <c r="J141" s="45">
        <v>5.6509999999999998</v>
      </c>
      <c r="K141" s="45">
        <v>5.7389999999999999</v>
      </c>
      <c r="L141" s="45">
        <v>5.819</v>
      </c>
      <c r="M141" s="45">
        <v>5.8920000000000003</v>
      </c>
      <c r="N141" s="45">
        <v>5.9589999999999996</v>
      </c>
      <c r="O141" s="45">
        <v>6.0209999999999999</v>
      </c>
      <c r="P141" s="45">
        <v>6.0780000000000003</v>
      </c>
      <c r="Q141" s="45">
        <v>6.1319999999999997</v>
      </c>
      <c r="R141" s="45">
        <v>6.1820000000000004</v>
      </c>
      <c r="S141" s="45">
        <v>6.2290000000000001</v>
      </c>
      <c r="T141" s="628">
        <v>6.274</v>
      </c>
    </row>
    <row r="142" spans="1:20" x14ac:dyDescent="0.25">
      <c r="A142">
        <v>37</v>
      </c>
      <c r="B142" s="627">
        <v>3.84</v>
      </c>
      <c r="C142" s="45">
        <v>4.3879999999999999</v>
      </c>
      <c r="D142" s="45">
        <v>4.72</v>
      </c>
      <c r="E142" s="45">
        <v>4.9589999999999996</v>
      </c>
      <c r="F142" s="45">
        <v>5.1449999999999996</v>
      </c>
      <c r="G142" s="45">
        <v>5.298</v>
      </c>
      <c r="H142" s="45">
        <v>5.4269999999999996</v>
      </c>
      <c r="I142" s="45">
        <v>5.5380000000000003</v>
      </c>
      <c r="J142" s="45">
        <v>5.6369999999999996</v>
      </c>
      <c r="K142" s="45">
        <v>5.7249999999999996</v>
      </c>
      <c r="L142" s="45">
        <v>5.8040000000000003</v>
      </c>
      <c r="M142" s="45">
        <v>5.8760000000000003</v>
      </c>
      <c r="N142" s="45">
        <v>5.9429999999999996</v>
      </c>
      <c r="O142" s="45">
        <v>6.0039999999999996</v>
      </c>
      <c r="P142" s="45">
        <v>6.0609999999999999</v>
      </c>
      <c r="Q142" s="45">
        <v>6.1150000000000002</v>
      </c>
      <c r="R142" s="45">
        <v>6.165</v>
      </c>
      <c r="S142" s="45">
        <v>6.2119999999999997</v>
      </c>
      <c r="T142" s="628">
        <v>6.2560000000000002</v>
      </c>
    </row>
    <row r="143" spans="1:20" x14ac:dyDescent="0.25">
      <c r="A143">
        <v>38</v>
      </c>
      <c r="B143" s="627">
        <v>3.835</v>
      </c>
      <c r="C143" s="45">
        <v>4.3810000000000002</v>
      </c>
      <c r="D143" s="45">
        <v>4.7110000000000003</v>
      </c>
      <c r="E143" s="45">
        <v>4.9489999999999998</v>
      </c>
      <c r="F143" s="45">
        <v>5.1340000000000003</v>
      </c>
      <c r="G143" s="45">
        <v>5.2859999999999996</v>
      </c>
      <c r="H143" s="45">
        <v>5.4139999999999997</v>
      </c>
      <c r="I143" s="45">
        <v>5.5259999999999998</v>
      </c>
      <c r="J143" s="45">
        <v>5.6230000000000002</v>
      </c>
      <c r="K143" s="45">
        <v>5.7110000000000003</v>
      </c>
      <c r="L143" s="45">
        <v>5.79</v>
      </c>
      <c r="M143" s="45">
        <v>5.8620000000000001</v>
      </c>
      <c r="N143" s="45">
        <v>5.9279999999999999</v>
      </c>
      <c r="O143" s="45">
        <v>5.9889999999999999</v>
      </c>
      <c r="P143" s="45">
        <v>6.0460000000000003</v>
      </c>
      <c r="Q143" s="45">
        <v>6.0990000000000002</v>
      </c>
      <c r="R143" s="45">
        <v>6.1479999999999997</v>
      </c>
      <c r="S143" s="45">
        <v>6.1950000000000003</v>
      </c>
      <c r="T143" s="628">
        <v>6.2389999999999999</v>
      </c>
    </row>
    <row r="144" spans="1:20" x14ac:dyDescent="0.25">
      <c r="A144">
        <v>39</v>
      </c>
      <c r="B144" s="627">
        <v>3.83</v>
      </c>
      <c r="C144" s="45">
        <v>4.3739999999999997</v>
      </c>
      <c r="D144" s="45">
        <v>4.7030000000000003</v>
      </c>
      <c r="E144" s="45">
        <v>4.9400000000000004</v>
      </c>
      <c r="F144" s="45">
        <v>5.1239999999999997</v>
      </c>
      <c r="G144" s="45">
        <v>5.2750000000000004</v>
      </c>
      <c r="H144" s="45">
        <v>5.4029999999999996</v>
      </c>
      <c r="I144" s="45">
        <v>5.5129999999999999</v>
      </c>
      <c r="J144" s="45">
        <v>5.6109999999999998</v>
      </c>
      <c r="K144" s="45">
        <v>5.6980000000000004</v>
      </c>
      <c r="L144" s="45">
        <v>5.7759999999999998</v>
      </c>
      <c r="M144" s="45">
        <v>5.8479999999999999</v>
      </c>
      <c r="N144" s="45">
        <v>5.9139999999999997</v>
      </c>
      <c r="O144" s="45">
        <v>5.9740000000000002</v>
      </c>
      <c r="P144" s="45">
        <v>6.0309999999999997</v>
      </c>
      <c r="Q144" s="45">
        <v>6.0839999999999996</v>
      </c>
      <c r="R144" s="45">
        <v>6.133</v>
      </c>
      <c r="S144" s="45">
        <v>6.1790000000000003</v>
      </c>
      <c r="T144" s="628">
        <v>6.2229999999999999</v>
      </c>
    </row>
    <row r="145" spans="1:20" x14ac:dyDescent="0.25">
      <c r="A145">
        <v>40</v>
      </c>
      <c r="B145" s="627">
        <v>3.8250000000000002</v>
      </c>
      <c r="C145" s="45">
        <v>4.367</v>
      </c>
      <c r="D145" s="45">
        <v>4.6950000000000003</v>
      </c>
      <c r="E145" s="45">
        <v>4.931</v>
      </c>
      <c r="F145" s="45">
        <v>5.1139999999999999</v>
      </c>
      <c r="G145" s="45">
        <v>5.2649999999999997</v>
      </c>
      <c r="H145" s="45">
        <v>5.3920000000000003</v>
      </c>
      <c r="I145" s="45">
        <v>5.5019999999999998</v>
      </c>
      <c r="J145" s="45">
        <v>5.5990000000000002</v>
      </c>
      <c r="K145" s="45">
        <v>5.6849999999999996</v>
      </c>
      <c r="L145" s="45">
        <v>5.7640000000000002</v>
      </c>
      <c r="M145" s="45">
        <v>5.835</v>
      </c>
      <c r="N145" s="45">
        <v>5.9</v>
      </c>
      <c r="O145" s="45">
        <v>5.9610000000000003</v>
      </c>
      <c r="P145" s="45">
        <v>6.0170000000000003</v>
      </c>
      <c r="Q145" s="45">
        <v>6.069</v>
      </c>
      <c r="R145" s="45">
        <v>6.1180000000000003</v>
      </c>
      <c r="S145" s="45">
        <v>6.165</v>
      </c>
      <c r="T145" s="628">
        <v>6.2080000000000002</v>
      </c>
    </row>
    <row r="146" spans="1:20" x14ac:dyDescent="0.25">
      <c r="A146">
        <v>48</v>
      </c>
      <c r="B146" s="627">
        <v>3.7930000000000001</v>
      </c>
      <c r="C146" s="45">
        <v>4.3239999999999998</v>
      </c>
      <c r="D146" s="45">
        <v>4.6440000000000001</v>
      </c>
      <c r="E146" s="45">
        <v>4.8739999999999997</v>
      </c>
      <c r="F146" s="45">
        <v>5.0519999999999996</v>
      </c>
      <c r="G146" s="45">
        <v>5.1980000000000004</v>
      </c>
      <c r="H146" s="45">
        <v>5.3220000000000001</v>
      </c>
      <c r="I146" s="45">
        <v>5.4279999999999999</v>
      </c>
      <c r="J146" s="45">
        <v>5.5220000000000002</v>
      </c>
      <c r="K146" s="45">
        <v>5.6059999999999999</v>
      </c>
      <c r="L146" s="45">
        <v>5.681</v>
      </c>
      <c r="M146" s="45">
        <v>5.75</v>
      </c>
      <c r="N146" s="45">
        <v>5.8140000000000001</v>
      </c>
      <c r="O146" s="45">
        <v>5.8719999999999999</v>
      </c>
      <c r="P146" s="45">
        <v>5.9260000000000002</v>
      </c>
      <c r="Q146" s="45">
        <v>5.9770000000000003</v>
      </c>
      <c r="R146" s="45">
        <v>6.024</v>
      </c>
      <c r="S146" s="45">
        <v>6.069</v>
      </c>
      <c r="T146" s="628">
        <v>6.1109999999999998</v>
      </c>
    </row>
    <row r="147" spans="1:20" x14ac:dyDescent="0.25">
      <c r="A147">
        <v>60</v>
      </c>
      <c r="B147" s="627">
        <v>3.762</v>
      </c>
      <c r="C147" s="45">
        <v>4.282</v>
      </c>
      <c r="D147" s="45">
        <v>4.5940000000000003</v>
      </c>
      <c r="E147" s="45">
        <v>4.8179999999999996</v>
      </c>
      <c r="F147" s="45">
        <v>4.9909999999999997</v>
      </c>
      <c r="G147" s="45">
        <v>5.133</v>
      </c>
      <c r="H147" s="45">
        <v>5.2530000000000001</v>
      </c>
      <c r="I147" s="45">
        <v>5.3559999999999999</v>
      </c>
      <c r="J147" s="45">
        <v>5.4470000000000001</v>
      </c>
      <c r="K147" s="45">
        <v>5.5279999999999996</v>
      </c>
      <c r="L147" s="45">
        <v>5.601</v>
      </c>
      <c r="M147" s="45">
        <v>5.6669999999999998</v>
      </c>
      <c r="N147" s="45">
        <v>5.7279999999999998</v>
      </c>
      <c r="O147" s="45">
        <v>5.7839999999999998</v>
      </c>
      <c r="P147" s="45">
        <v>5.8369999999999997</v>
      </c>
      <c r="Q147" s="45">
        <v>5.8860000000000001</v>
      </c>
      <c r="R147" s="45">
        <v>5.931</v>
      </c>
      <c r="S147" s="45">
        <v>5.9740000000000002</v>
      </c>
      <c r="T147" s="628">
        <v>6.0149999999999997</v>
      </c>
    </row>
    <row r="148" spans="1:20" x14ac:dyDescent="0.25">
      <c r="A148">
        <v>80</v>
      </c>
      <c r="B148" s="627">
        <v>3.7320000000000002</v>
      </c>
      <c r="C148" s="45">
        <v>4.2409999999999997</v>
      </c>
      <c r="D148" s="45">
        <v>4.5449999999999999</v>
      </c>
      <c r="E148" s="45">
        <v>4.7629999999999999</v>
      </c>
      <c r="F148" s="45">
        <v>4.931</v>
      </c>
      <c r="G148" s="45">
        <v>5.069</v>
      </c>
      <c r="H148" s="45">
        <v>5.1849999999999996</v>
      </c>
      <c r="I148" s="45">
        <v>5.2839999999999998</v>
      </c>
      <c r="J148" s="45">
        <v>5.3719999999999999</v>
      </c>
      <c r="K148" s="45">
        <v>5.4509999999999996</v>
      </c>
      <c r="L148" s="45">
        <v>5.5209999999999999</v>
      </c>
      <c r="M148" s="45">
        <v>5.585</v>
      </c>
      <c r="N148" s="45">
        <v>5.6440000000000001</v>
      </c>
      <c r="O148" s="45">
        <v>5.6980000000000004</v>
      </c>
      <c r="P148" s="45">
        <v>5.7489999999999997</v>
      </c>
      <c r="Q148" s="45">
        <v>5.7960000000000003</v>
      </c>
      <c r="R148" s="45">
        <v>5.84</v>
      </c>
      <c r="S148" s="45">
        <v>5.8810000000000002</v>
      </c>
      <c r="T148" s="628">
        <v>5.92</v>
      </c>
    </row>
    <row r="149" spans="1:20" x14ac:dyDescent="0.25">
      <c r="A149">
        <v>120</v>
      </c>
      <c r="B149" s="627">
        <v>3.702</v>
      </c>
      <c r="C149" s="45">
        <v>4.2</v>
      </c>
      <c r="D149" s="45">
        <v>4.4969999999999999</v>
      </c>
      <c r="E149" s="45">
        <v>4.7089999999999996</v>
      </c>
      <c r="F149" s="45">
        <v>4.8719999999999999</v>
      </c>
      <c r="G149" s="45">
        <v>5.0049999999999999</v>
      </c>
      <c r="H149" s="45">
        <v>5.1180000000000003</v>
      </c>
      <c r="I149" s="45">
        <v>5.2140000000000004</v>
      </c>
      <c r="J149" s="45">
        <v>5.2990000000000004</v>
      </c>
      <c r="K149" s="45">
        <v>5.375</v>
      </c>
      <c r="L149" s="45">
        <v>5.4429999999999996</v>
      </c>
      <c r="M149" s="45">
        <v>5.5049999999999999</v>
      </c>
      <c r="N149" s="45">
        <v>5.5609999999999999</v>
      </c>
      <c r="O149" s="45">
        <v>5.6139999999999999</v>
      </c>
      <c r="P149" s="45">
        <v>5.6619999999999999</v>
      </c>
      <c r="Q149" s="45">
        <v>5.7080000000000002</v>
      </c>
      <c r="R149" s="45">
        <v>5.75</v>
      </c>
      <c r="S149" s="45">
        <v>5.79</v>
      </c>
      <c r="T149" s="628">
        <v>5.827</v>
      </c>
    </row>
    <row r="150" spans="1:20" x14ac:dyDescent="0.25">
      <c r="A150">
        <v>240</v>
      </c>
      <c r="B150" s="627">
        <v>3.6720000000000002</v>
      </c>
      <c r="C150" s="45">
        <v>4.16</v>
      </c>
      <c r="D150" s="45">
        <v>4.45</v>
      </c>
      <c r="E150" s="45">
        <v>4.6550000000000002</v>
      </c>
      <c r="F150" s="45">
        <v>4.8140000000000001</v>
      </c>
      <c r="G150" s="45">
        <v>4.9429999999999996</v>
      </c>
      <c r="H150" s="45">
        <v>5.0519999999999996</v>
      </c>
      <c r="I150" s="45">
        <v>5.1449999999999996</v>
      </c>
      <c r="J150" s="45">
        <v>5.2270000000000003</v>
      </c>
      <c r="K150" s="45">
        <v>5.3</v>
      </c>
      <c r="L150" s="45">
        <v>5.3659999999999997</v>
      </c>
      <c r="M150" s="45">
        <v>5.4260000000000002</v>
      </c>
      <c r="N150" s="45">
        <v>5.48</v>
      </c>
      <c r="O150" s="45">
        <v>5.53</v>
      </c>
      <c r="P150" s="45">
        <v>5.577</v>
      </c>
      <c r="Q150" s="45">
        <v>5.6210000000000004</v>
      </c>
      <c r="R150" s="45">
        <v>5.6609999999999996</v>
      </c>
      <c r="S150" s="45">
        <v>5.6989999999999998</v>
      </c>
      <c r="T150" s="628">
        <v>5.7350000000000003</v>
      </c>
    </row>
    <row r="151" spans="1:20" x14ac:dyDescent="0.25">
      <c r="A151" s="13" t="s">
        <v>102</v>
      </c>
      <c r="B151" s="629">
        <v>3.6429999999999998</v>
      </c>
      <c r="C151" s="981">
        <v>4.12</v>
      </c>
      <c r="D151" s="981">
        <v>4.4029999999999996</v>
      </c>
      <c r="E151" s="981">
        <v>4.6029999999999998</v>
      </c>
      <c r="F151" s="981">
        <v>4.7569999999999997</v>
      </c>
      <c r="G151" s="981">
        <v>4.8819999999999997</v>
      </c>
      <c r="H151" s="981">
        <v>4.9870000000000001</v>
      </c>
      <c r="I151" s="981">
        <v>5.0780000000000003</v>
      </c>
      <c r="J151" s="981">
        <v>5.157</v>
      </c>
      <c r="K151" s="981">
        <v>5.2270000000000003</v>
      </c>
      <c r="L151" s="981">
        <v>5.29</v>
      </c>
      <c r="M151" s="981">
        <v>5.3479999999999999</v>
      </c>
      <c r="N151" s="981">
        <v>5.4</v>
      </c>
      <c r="O151" s="981">
        <v>5.4480000000000004</v>
      </c>
      <c r="P151" s="981">
        <v>5.4930000000000003</v>
      </c>
      <c r="Q151" s="981">
        <v>5.5350000000000001</v>
      </c>
      <c r="R151" s="981">
        <v>5.5739999999999998</v>
      </c>
      <c r="S151" s="981">
        <v>5.6109999999999998</v>
      </c>
      <c r="T151" s="630">
        <v>5.6449999999999996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W151"/>
  <sheetViews>
    <sheetView workbookViewId="0"/>
  </sheetViews>
  <sheetFormatPr defaultRowHeight="15" x14ac:dyDescent="0.25"/>
  <cols>
    <col min="1" max="1" width="5.5703125" customWidth="1"/>
    <col min="2" max="23" width="6.7109375" customWidth="1"/>
  </cols>
  <sheetData>
    <row r="1" spans="1:23" x14ac:dyDescent="0.25">
      <c r="A1" s="1" t="s">
        <v>100</v>
      </c>
    </row>
    <row r="3" spans="1:23" x14ac:dyDescent="0.25">
      <c r="A3" t="s">
        <v>34</v>
      </c>
      <c r="B3">
        <v>0.01</v>
      </c>
    </row>
    <row r="4" spans="1:23" x14ac:dyDescent="0.25">
      <c r="B4" t="s">
        <v>101</v>
      </c>
    </row>
    <row r="5" spans="1:23" x14ac:dyDescent="0.25">
      <c r="A5" s="13" t="s">
        <v>60</v>
      </c>
      <c r="B5">
        <v>2</v>
      </c>
      <c r="C5">
        <f>B5+1</f>
        <v>3</v>
      </c>
      <c r="D5">
        <f t="shared" ref="D5:L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v>13</v>
      </c>
      <c r="N5">
        <f>M5+1</f>
        <v>14</v>
      </c>
      <c r="O5">
        <f>N5+1</f>
        <v>15</v>
      </c>
      <c r="P5">
        <f>O5+1</f>
        <v>16</v>
      </c>
      <c r="Q5">
        <f>P5+2</f>
        <v>18</v>
      </c>
      <c r="R5">
        <f>Q5+2</f>
        <v>20</v>
      </c>
      <c r="S5">
        <f>R5+4</f>
        <v>24</v>
      </c>
      <c r="T5">
        <f>S5+4</f>
        <v>28</v>
      </c>
      <c r="U5">
        <f>T5+4</f>
        <v>32</v>
      </c>
      <c r="V5">
        <f>U5+4</f>
        <v>36</v>
      </c>
      <c r="W5">
        <f>V5+4</f>
        <v>40</v>
      </c>
    </row>
    <row r="6" spans="1:23" ht="15.75" customHeight="1" x14ac:dyDescent="0.25">
      <c r="A6">
        <v>1</v>
      </c>
      <c r="B6" s="3">
        <v>90.03</v>
      </c>
      <c r="C6" s="965">
        <v>135</v>
      </c>
      <c r="D6" s="827">
        <v>164.3</v>
      </c>
      <c r="E6" s="827">
        <v>185.6</v>
      </c>
      <c r="F6" s="827">
        <v>202.2</v>
      </c>
      <c r="G6" s="827">
        <v>215.8</v>
      </c>
      <c r="H6" s="827">
        <v>227.2</v>
      </c>
      <c r="I6" s="965">
        <v>237</v>
      </c>
      <c r="J6" s="827">
        <v>245.6</v>
      </c>
      <c r="K6" s="827">
        <v>253.2</v>
      </c>
      <c r="L6" s="965">
        <v>260</v>
      </c>
      <c r="M6" s="827">
        <v>266.2</v>
      </c>
      <c r="N6" s="827">
        <v>271.8</v>
      </c>
      <c r="O6" s="965">
        <v>277</v>
      </c>
      <c r="P6" s="827">
        <v>281.8</v>
      </c>
      <c r="Q6" s="827">
        <v>290.39999999999998</v>
      </c>
      <c r="R6" s="965">
        <v>298</v>
      </c>
      <c r="S6" s="827">
        <v>310.8</v>
      </c>
      <c r="T6" s="827">
        <v>321.3</v>
      </c>
      <c r="U6" s="827">
        <v>330.3</v>
      </c>
      <c r="V6" s="965">
        <v>338</v>
      </c>
      <c r="W6" s="5">
        <v>344.8</v>
      </c>
    </row>
    <row r="7" spans="1:23" x14ac:dyDescent="0.25">
      <c r="A7">
        <v>2</v>
      </c>
      <c r="B7" s="532">
        <v>14.04</v>
      </c>
      <c r="C7" s="7">
        <v>19.02</v>
      </c>
      <c r="D7" s="7">
        <v>22.29</v>
      </c>
      <c r="E7" s="7">
        <v>24.72</v>
      </c>
      <c r="F7" s="7">
        <v>26.63</v>
      </c>
      <c r="G7" s="43">
        <v>28.2</v>
      </c>
      <c r="H7" s="7">
        <v>29.53</v>
      </c>
      <c r="I7" s="7">
        <v>30.68</v>
      </c>
      <c r="J7" s="7">
        <v>31.69</v>
      </c>
      <c r="K7" s="7">
        <v>32.590000000000003</v>
      </c>
      <c r="L7" s="43">
        <v>33.4</v>
      </c>
      <c r="M7" s="7">
        <v>34.130000000000003</v>
      </c>
      <c r="N7" s="7">
        <v>34.81</v>
      </c>
      <c r="O7" s="7">
        <v>35.43</v>
      </c>
      <c r="P7" s="43">
        <v>36</v>
      </c>
      <c r="Q7" s="7">
        <v>37.03</v>
      </c>
      <c r="R7" s="7">
        <v>37.950000000000003</v>
      </c>
      <c r="S7" s="7">
        <v>39.49</v>
      </c>
      <c r="T7" s="7">
        <v>40.76</v>
      </c>
      <c r="U7" s="7">
        <v>41.84</v>
      </c>
      <c r="V7" s="7">
        <v>42.78</v>
      </c>
      <c r="W7" s="533">
        <v>43.61</v>
      </c>
    </row>
    <row r="8" spans="1:23" x14ac:dyDescent="0.25">
      <c r="A8">
        <v>3</v>
      </c>
      <c r="B8" s="532">
        <v>8.2609999999999992</v>
      </c>
      <c r="C8" s="7">
        <v>10.62</v>
      </c>
      <c r="D8" s="7">
        <v>12.17</v>
      </c>
      <c r="E8" s="7">
        <v>13.33</v>
      </c>
      <c r="F8" s="7">
        <v>14.24</v>
      </c>
      <c r="G8" s="43">
        <v>15</v>
      </c>
      <c r="H8" s="7">
        <v>15.64</v>
      </c>
      <c r="I8" s="43">
        <v>16.2</v>
      </c>
      <c r="J8" s="7">
        <v>16.690000000000001</v>
      </c>
      <c r="K8" s="7">
        <v>17.13</v>
      </c>
      <c r="L8" s="7">
        <v>17.53</v>
      </c>
      <c r="M8" s="7">
        <v>17.89</v>
      </c>
      <c r="N8" s="7">
        <v>18.22</v>
      </c>
      <c r="O8" s="7">
        <v>18.52</v>
      </c>
      <c r="P8" s="7">
        <v>18.809999999999999</v>
      </c>
      <c r="Q8" s="7">
        <v>19.32</v>
      </c>
      <c r="R8" s="7">
        <v>19.77</v>
      </c>
      <c r="S8" s="7">
        <v>20.53</v>
      </c>
      <c r="T8" s="7">
        <v>21.16</v>
      </c>
      <c r="U8" s="43">
        <v>21.7</v>
      </c>
      <c r="V8" s="7">
        <v>22.17</v>
      </c>
      <c r="W8" s="533">
        <v>22.59</v>
      </c>
    </row>
    <row r="9" spans="1:23" x14ac:dyDescent="0.25">
      <c r="A9">
        <v>4</v>
      </c>
      <c r="B9" s="532">
        <v>6.5119999999999996</v>
      </c>
      <c r="C9" s="45">
        <v>8.1199999999999992</v>
      </c>
      <c r="D9" s="7">
        <v>9.173</v>
      </c>
      <c r="E9" s="7">
        <v>9.9580000000000002</v>
      </c>
      <c r="F9" s="7">
        <v>10.58</v>
      </c>
      <c r="G9" s="43">
        <v>11.1</v>
      </c>
      <c r="H9" s="7">
        <v>11.55</v>
      </c>
      <c r="I9" s="7">
        <v>11.93</v>
      </c>
      <c r="J9" s="7">
        <v>12.27</v>
      </c>
      <c r="K9" s="7">
        <v>12.57</v>
      </c>
      <c r="L9" s="7">
        <v>12.84</v>
      </c>
      <c r="M9" s="7">
        <v>13.09</v>
      </c>
      <c r="N9" s="7">
        <v>13.32</v>
      </c>
      <c r="O9" s="7">
        <v>13.53</v>
      </c>
      <c r="P9" s="7">
        <v>13.73</v>
      </c>
      <c r="Q9" s="7">
        <v>14.08</v>
      </c>
      <c r="R9" s="43">
        <v>14.4</v>
      </c>
      <c r="S9" s="7">
        <v>14.93</v>
      </c>
      <c r="T9" s="7">
        <v>15.37</v>
      </c>
      <c r="U9" s="7">
        <v>15.75</v>
      </c>
      <c r="V9" s="7">
        <v>16.079999999999998</v>
      </c>
      <c r="W9" s="533">
        <v>16.37</v>
      </c>
    </row>
    <row r="10" spans="1:23" x14ac:dyDescent="0.25">
      <c r="A10">
        <v>5</v>
      </c>
      <c r="B10" s="532">
        <v>5.702</v>
      </c>
      <c r="C10" s="7">
        <v>6.976</v>
      </c>
      <c r="D10" s="7">
        <v>7.8040000000000003</v>
      </c>
      <c r="E10" s="7">
        <v>8.4209999999999994</v>
      </c>
      <c r="F10" s="7">
        <v>8.9130000000000003</v>
      </c>
      <c r="G10" s="7">
        <v>9.3209999999999997</v>
      </c>
      <c r="H10" s="7">
        <v>9.6690000000000005</v>
      </c>
      <c r="I10" s="7">
        <v>9.9719999999999995</v>
      </c>
      <c r="J10" s="7">
        <v>10.24</v>
      </c>
      <c r="K10" s="7">
        <v>10.48</v>
      </c>
      <c r="L10" s="43">
        <v>10.7</v>
      </c>
      <c r="M10" s="7">
        <v>10.89</v>
      </c>
      <c r="N10" s="7">
        <v>11.08</v>
      </c>
      <c r="O10" s="7">
        <v>11.24</v>
      </c>
      <c r="P10" s="43">
        <v>11.4</v>
      </c>
      <c r="Q10" s="7">
        <v>11.68</v>
      </c>
      <c r="R10" s="7">
        <v>11.93</v>
      </c>
      <c r="S10" s="7">
        <v>12.36</v>
      </c>
      <c r="T10" s="7">
        <v>12.71</v>
      </c>
      <c r="U10" s="7">
        <v>13.02</v>
      </c>
      <c r="V10" s="7">
        <v>13.28</v>
      </c>
      <c r="W10" s="533">
        <v>13.52</v>
      </c>
    </row>
    <row r="11" spans="1:23" x14ac:dyDescent="0.25">
      <c r="A11">
        <v>6</v>
      </c>
      <c r="B11" s="532">
        <v>5.2430000000000003</v>
      </c>
      <c r="C11" s="7">
        <v>6.3310000000000004</v>
      </c>
      <c r="D11" s="7">
        <v>7.0330000000000004</v>
      </c>
      <c r="E11" s="7">
        <v>7.556</v>
      </c>
      <c r="F11" s="7">
        <v>7.9729999999999999</v>
      </c>
      <c r="G11" s="7">
        <v>8.3179999999999996</v>
      </c>
      <c r="H11" s="7">
        <v>8.6129999999999995</v>
      </c>
      <c r="I11" s="7">
        <v>8.8689999999999998</v>
      </c>
      <c r="J11" s="7">
        <v>9.0969999999999995</v>
      </c>
      <c r="K11" s="7">
        <v>9.3010000000000002</v>
      </c>
      <c r="L11" s="7">
        <v>9.4849999999999994</v>
      </c>
      <c r="M11" s="7">
        <v>9.6530000000000005</v>
      </c>
      <c r="N11" s="7">
        <v>9.8079999999999998</v>
      </c>
      <c r="O11" s="7">
        <v>9.9510000000000005</v>
      </c>
      <c r="P11" s="7">
        <v>10.08</v>
      </c>
      <c r="Q11" s="7">
        <v>10.32</v>
      </c>
      <c r="R11" s="7">
        <v>10.54</v>
      </c>
      <c r="S11" s="7">
        <v>10.91</v>
      </c>
      <c r="T11" s="7">
        <v>11.21</v>
      </c>
      <c r="U11" s="7">
        <v>11.47</v>
      </c>
      <c r="V11" s="7">
        <v>11.69</v>
      </c>
      <c r="W11" s="573">
        <v>11.9</v>
      </c>
    </row>
    <row r="12" spans="1:23" x14ac:dyDescent="0.25">
      <c r="A12">
        <v>7</v>
      </c>
      <c r="B12" s="627">
        <v>4.9489999999999998</v>
      </c>
      <c r="C12" s="45">
        <v>5.9189999999999996</v>
      </c>
      <c r="D12" s="45">
        <v>6.5430000000000001</v>
      </c>
      <c r="E12" s="45">
        <v>7.0049999999999999</v>
      </c>
      <c r="F12" s="45">
        <v>7.3730000000000002</v>
      </c>
      <c r="G12" s="45">
        <v>7.6790000000000003</v>
      </c>
      <c r="H12" s="45">
        <v>7.9390000000000001</v>
      </c>
      <c r="I12" s="45">
        <v>8.1660000000000004</v>
      </c>
      <c r="J12" s="45">
        <v>8.3680000000000003</v>
      </c>
      <c r="K12" s="45">
        <v>8.548</v>
      </c>
      <c r="L12" s="45">
        <v>8.7110000000000003</v>
      </c>
      <c r="M12" s="45">
        <v>8.86</v>
      </c>
      <c r="N12" s="45">
        <v>8.9969999999999999</v>
      </c>
      <c r="O12" s="45">
        <v>9.1240000000000006</v>
      </c>
      <c r="P12" s="45">
        <v>9.2420000000000009</v>
      </c>
      <c r="Q12" s="45">
        <v>9.4559999999999995</v>
      </c>
      <c r="R12" s="45">
        <v>9.6460000000000008</v>
      </c>
      <c r="S12" s="45">
        <v>9.9700000000000006</v>
      </c>
      <c r="T12" s="43">
        <v>10.24</v>
      </c>
      <c r="U12" s="43">
        <v>10.47</v>
      </c>
      <c r="V12" s="43">
        <v>10.67</v>
      </c>
      <c r="W12" s="573">
        <v>10.85</v>
      </c>
    </row>
    <row r="13" spans="1:23" x14ac:dyDescent="0.25">
      <c r="A13">
        <v>8</v>
      </c>
      <c r="B13" s="627">
        <v>4.7460000000000004</v>
      </c>
      <c r="C13" s="45">
        <v>5.6349999999999998</v>
      </c>
      <c r="D13" s="45">
        <v>6.2039999999999997</v>
      </c>
      <c r="E13" s="45">
        <v>6.625</v>
      </c>
      <c r="F13" s="45">
        <v>6.96</v>
      </c>
      <c r="G13" s="45">
        <v>7.2370000000000001</v>
      </c>
      <c r="H13" s="45">
        <v>7.4740000000000002</v>
      </c>
      <c r="I13" s="45">
        <v>7.681</v>
      </c>
      <c r="J13" s="45">
        <v>7.8630000000000004</v>
      </c>
      <c r="K13" s="45">
        <v>8.0269999999999992</v>
      </c>
      <c r="L13" s="45">
        <v>8.1760000000000002</v>
      </c>
      <c r="M13" s="45">
        <v>8.3119999999999994</v>
      </c>
      <c r="N13" s="45">
        <v>8.4359999999999999</v>
      </c>
      <c r="O13" s="45">
        <v>8.5519999999999996</v>
      </c>
      <c r="P13" s="45">
        <v>8.6590000000000007</v>
      </c>
      <c r="Q13" s="45">
        <v>8.8539999999999992</v>
      </c>
      <c r="R13" s="45">
        <v>9.0269999999999992</v>
      </c>
      <c r="S13" s="45">
        <v>9.3219999999999992</v>
      </c>
      <c r="T13" s="45">
        <v>9.5690000000000008</v>
      </c>
      <c r="U13" s="45">
        <v>9.7789999999999999</v>
      </c>
      <c r="V13" s="45">
        <v>9.9640000000000004</v>
      </c>
      <c r="W13" s="573">
        <v>10.130000000000001</v>
      </c>
    </row>
    <row r="14" spans="1:23" x14ac:dyDescent="0.25">
      <c r="A14">
        <v>9</v>
      </c>
      <c r="B14" s="627">
        <v>4.5960000000000001</v>
      </c>
      <c r="C14" s="45">
        <v>5.4279999999999999</v>
      </c>
      <c r="D14" s="45">
        <v>5.9569999999999999</v>
      </c>
      <c r="E14" s="45">
        <v>6.3479999999999999</v>
      </c>
      <c r="F14" s="45">
        <v>6.6580000000000004</v>
      </c>
      <c r="G14" s="45">
        <v>6.915</v>
      </c>
      <c r="H14" s="45">
        <v>7.1340000000000003</v>
      </c>
      <c r="I14" s="45">
        <v>7.3250000000000002</v>
      </c>
      <c r="J14" s="45">
        <v>7.4950000000000001</v>
      </c>
      <c r="K14" s="45">
        <v>7.6470000000000002</v>
      </c>
      <c r="L14" s="45">
        <v>7.7839999999999998</v>
      </c>
      <c r="M14" s="45">
        <v>7.91</v>
      </c>
      <c r="N14" s="45">
        <v>8.0250000000000004</v>
      </c>
      <c r="O14" s="45">
        <v>8.1319999999999997</v>
      </c>
      <c r="P14" s="45">
        <v>8.2319999999999993</v>
      </c>
      <c r="Q14" s="45">
        <v>8.4120000000000008</v>
      </c>
      <c r="R14" s="45">
        <v>8.5730000000000004</v>
      </c>
      <c r="S14" s="45">
        <v>8.8469999999999995</v>
      </c>
      <c r="T14" s="45">
        <v>9.0749999999999993</v>
      </c>
      <c r="U14" s="45">
        <v>9.2710000000000008</v>
      </c>
      <c r="V14" s="45">
        <v>9.4429999999999996</v>
      </c>
      <c r="W14" s="628">
        <v>9.5939999999999994</v>
      </c>
    </row>
    <row r="15" spans="1:23" x14ac:dyDescent="0.25">
      <c r="A15">
        <v>10</v>
      </c>
      <c r="B15" s="627">
        <v>4.4820000000000002</v>
      </c>
      <c r="C15" s="45">
        <v>5.27</v>
      </c>
      <c r="D15" s="45">
        <v>5.7690000000000001</v>
      </c>
      <c r="E15" s="45">
        <v>6.1360000000000001</v>
      </c>
      <c r="F15" s="45">
        <v>6.4279999999999999</v>
      </c>
      <c r="G15" s="45">
        <v>6.6689999999999996</v>
      </c>
      <c r="H15" s="45">
        <v>6.875</v>
      </c>
      <c r="I15" s="45">
        <v>7.0549999999999997</v>
      </c>
      <c r="J15" s="45">
        <v>7.2130000000000001</v>
      </c>
      <c r="K15" s="45">
        <v>7.3559999999999999</v>
      </c>
      <c r="L15" s="45">
        <v>7.4850000000000003</v>
      </c>
      <c r="M15" s="45">
        <v>7.6029999999999998</v>
      </c>
      <c r="N15" s="45">
        <v>7.7119999999999997</v>
      </c>
      <c r="O15" s="45">
        <v>7.8120000000000003</v>
      </c>
      <c r="P15" s="45">
        <v>7.9059999999999997</v>
      </c>
      <c r="Q15" s="45">
        <v>8.0760000000000005</v>
      </c>
      <c r="R15" s="45">
        <v>8.2260000000000009</v>
      </c>
      <c r="S15" s="45">
        <v>8.4830000000000005</v>
      </c>
      <c r="T15" s="45">
        <v>8.6980000000000004</v>
      </c>
      <c r="U15" s="45">
        <v>8.8829999999999991</v>
      </c>
      <c r="V15" s="45">
        <v>9.0440000000000005</v>
      </c>
      <c r="W15" s="628">
        <v>9.1869999999999994</v>
      </c>
    </row>
    <row r="16" spans="1:23" x14ac:dyDescent="0.25">
      <c r="A16">
        <v>11</v>
      </c>
      <c r="B16" s="627">
        <v>4.3920000000000003</v>
      </c>
      <c r="C16" s="45">
        <v>5.1459999999999999</v>
      </c>
      <c r="D16" s="45">
        <v>5.6210000000000004</v>
      </c>
      <c r="E16" s="45">
        <v>5.97</v>
      </c>
      <c r="F16" s="45">
        <v>6.2469999999999999</v>
      </c>
      <c r="G16" s="45">
        <v>6.476</v>
      </c>
      <c r="H16" s="45">
        <v>6.6719999999999997</v>
      </c>
      <c r="I16" s="45">
        <v>6.8419999999999996</v>
      </c>
      <c r="J16" s="45">
        <v>6.992</v>
      </c>
      <c r="K16" s="45">
        <v>7.1280000000000001</v>
      </c>
      <c r="L16" s="45">
        <v>7.25</v>
      </c>
      <c r="M16" s="45">
        <v>7.3620000000000001</v>
      </c>
      <c r="N16" s="45">
        <v>7.4649999999999999</v>
      </c>
      <c r="O16" s="45">
        <v>7.56</v>
      </c>
      <c r="P16" s="45">
        <v>7.649</v>
      </c>
      <c r="Q16" s="45">
        <v>7.8090000000000002</v>
      </c>
      <c r="R16" s="45">
        <v>7.952</v>
      </c>
      <c r="S16" s="45">
        <v>8.1959999999999997</v>
      </c>
      <c r="T16" s="45">
        <v>8.4</v>
      </c>
      <c r="U16" s="45">
        <v>8.5749999999999993</v>
      </c>
      <c r="V16" s="45">
        <v>8.7279999999999998</v>
      </c>
      <c r="W16" s="628">
        <v>8.8640000000000008</v>
      </c>
    </row>
    <row r="17" spans="1:23" x14ac:dyDescent="0.25">
      <c r="A17">
        <v>12</v>
      </c>
      <c r="B17" s="627">
        <v>4.32</v>
      </c>
      <c r="C17" s="45">
        <v>5.0460000000000003</v>
      </c>
      <c r="D17" s="45">
        <v>5.5019999999999998</v>
      </c>
      <c r="E17" s="45">
        <v>5.8360000000000003</v>
      </c>
      <c r="F17" s="45">
        <v>6.101</v>
      </c>
      <c r="G17" s="45">
        <v>6.3209999999999997</v>
      </c>
      <c r="H17" s="45">
        <v>6.5069999999999997</v>
      </c>
      <c r="I17" s="45">
        <v>6.67</v>
      </c>
      <c r="J17" s="45">
        <v>6.8140000000000001</v>
      </c>
      <c r="K17" s="45">
        <v>6.9429999999999996</v>
      </c>
      <c r="L17" s="45">
        <v>7.06</v>
      </c>
      <c r="M17" s="45">
        <v>7.1669999999999998</v>
      </c>
      <c r="N17" s="45">
        <v>7.2649999999999997</v>
      </c>
      <c r="O17" s="45">
        <v>7.3559999999999999</v>
      </c>
      <c r="P17" s="45">
        <v>7.4409999999999998</v>
      </c>
      <c r="Q17" s="45">
        <v>7.5940000000000003</v>
      </c>
      <c r="R17" s="45">
        <v>7.7309999999999999</v>
      </c>
      <c r="S17" s="45">
        <v>7.9640000000000004</v>
      </c>
      <c r="T17" s="45">
        <v>8.1590000000000007</v>
      </c>
      <c r="U17" s="45">
        <v>8.327</v>
      </c>
      <c r="V17" s="45">
        <v>8.4730000000000008</v>
      </c>
      <c r="W17" s="628">
        <v>8.6029999999999998</v>
      </c>
    </row>
    <row r="18" spans="1:23" x14ac:dyDescent="0.25">
      <c r="A18">
        <v>13</v>
      </c>
      <c r="B18" s="627">
        <v>4.26</v>
      </c>
      <c r="C18" s="45">
        <v>4.9640000000000004</v>
      </c>
      <c r="D18" s="45">
        <v>5.4039999999999999</v>
      </c>
      <c r="E18" s="45">
        <v>5.7270000000000003</v>
      </c>
      <c r="F18" s="45">
        <v>5.9809999999999999</v>
      </c>
      <c r="G18" s="45">
        <v>6.1920000000000002</v>
      </c>
      <c r="H18" s="45">
        <v>6.3719999999999999</v>
      </c>
      <c r="I18" s="45">
        <v>6.5279999999999996</v>
      </c>
      <c r="J18" s="45">
        <v>6.6669999999999998</v>
      </c>
      <c r="K18" s="45">
        <v>6.7910000000000004</v>
      </c>
      <c r="L18" s="45">
        <v>6.9029999999999996</v>
      </c>
      <c r="M18" s="45">
        <v>7.0060000000000002</v>
      </c>
      <c r="N18" s="45">
        <v>7.101</v>
      </c>
      <c r="O18" s="45">
        <v>7.1879999999999997</v>
      </c>
      <c r="P18" s="45">
        <v>7.2690000000000001</v>
      </c>
      <c r="Q18" s="45">
        <v>7.4169999999999998</v>
      </c>
      <c r="R18" s="45">
        <v>7.548</v>
      </c>
      <c r="S18" s="45">
        <v>7.7720000000000002</v>
      </c>
      <c r="T18" s="45">
        <v>7.96</v>
      </c>
      <c r="U18" s="45">
        <v>8.1210000000000004</v>
      </c>
      <c r="V18" s="45">
        <v>8.2620000000000005</v>
      </c>
      <c r="W18" s="628">
        <v>8.3870000000000005</v>
      </c>
    </row>
    <row r="19" spans="1:23" x14ac:dyDescent="0.25">
      <c r="A19">
        <v>14</v>
      </c>
      <c r="B19" s="627">
        <v>4.21</v>
      </c>
      <c r="C19" s="45">
        <v>4.8949999999999996</v>
      </c>
      <c r="D19" s="45">
        <v>5.3220000000000001</v>
      </c>
      <c r="E19" s="45">
        <v>5.6340000000000003</v>
      </c>
      <c r="F19" s="45">
        <v>5.8810000000000002</v>
      </c>
      <c r="G19" s="45">
        <v>6.085</v>
      </c>
      <c r="H19" s="45">
        <v>6.258</v>
      </c>
      <c r="I19" s="45">
        <v>6.4089999999999998</v>
      </c>
      <c r="J19" s="45">
        <v>6.5430000000000001</v>
      </c>
      <c r="K19" s="45">
        <v>6.6639999999999997</v>
      </c>
      <c r="L19" s="45">
        <v>6.7720000000000002</v>
      </c>
      <c r="M19" s="45">
        <v>5.8710000000000004</v>
      </c>
      <c r="N19" s="45">
        <v>6.9619999999999997</v>
      </c>
      <c r="O19" s="45">
        <v>7.0469999999999997</v>
      </c>
      <c r="P19" s="45">
        <v>7.1260000000000003</v>
      </c>
      <c r="Q19" s="45">
        <v>7.2679999999999998</v>
      </c>
      <c r="R19" s="45">
        <v>7.3949999999999996</v>
      </c>
      <c r="S19" s="45">
        <v>7.6109999999999998</v>
      </c>
      <c r="T19" s="45">
        <v>7.7919999999999998</v>
      </c>
      <c r="U19" s="45">
        <v>7.9480000000000004</v>
      </c>
      <c r="V19" s="45">
        <v>8.0839999999999996</v>
      </c>
      <c r="W19" s="628">
        <v>8.2040000000000006</v>
      </c>
    </row>
    <row r="20" spans="1:23" x14ac:dyDescent="0.25">
      <c r="A20">
        <v>15</v>
      </c>
      <c r="B20" s="627">
        <v>4.1680000000000001</v>
      </c>
      <c r="C20" s="45">
        <v>4.8360000000000003</v>
      </c>
      <c r="D20" s="45">
        <v>5.2519999999999998</v>
      </c>
      <c r="E20" s="45">
        <v>5.556</v>
      </c>
      <c r="F20" s="45">
        <v>5.7960000000000003</v>
      </c>
      <c r="G20" s="45">
        <v>5.9939999999999998</v>
      </c>
      <c r="H20" s="45">
        <v>6.1619999999999999</v>
      </c>
      <c r="I20" s="45">
        <v>6.3090000000000002</v>
      </c>
      <c r="J20" s="45">
        <v>6.4390000000000001</v>
      </c>
      <c r="K20" s="45">
        <v>6.5549999999999997</v>
      </c>
      <c r="L20" s="45">
        <v>6.66</v>
      </c>
      <c r="M20" s="45">
        <v>5.7569999999999997</v>
      </c>
      <c r="N20" s="45">
        <v>6.8449999999999998</v>
      </c>
      <c r="O20" s="45">
        <v>6.9269999999999996</v>
      </c>
      <c r="P20" s="45">
        <v>7.0030000000000001</v>
      </c>
      <c r="Q20" s="45">
        <v>7.1420000000000003</v>
      </c>
      <c r="R20" s="45">
        <v>7.2640000000000002</v>
      </c>
      <c r="S20" s="45">
        <v>7.4740000000000002</v>
      </c>
      <c r="T20" s="45">
        <v>7.65</v>
      </c>
      <c r="U20" s="45">
        <v>7.8</v>
      </c>
      <c r="V20" s="45">
        <v>7.9320000000000004</v>
      </c>
      <c r="W20" s="628">
        <v>8.0489999999999995</v>
      </c>
    </row>
    <row r="21" spans="1:23" x14ac:dyDescent="0.25">
      <c r="A21">
        <v>16</v>
      </c>
      <c r="B21" s="627">
        <v>4.1310000000000002</v>
      </c>
      <c r="C21" s="45">
        <v>4.7859999999999996</v>
      </c>
      <c r="D21" s="45">
        <v>5.1920000000000002</v>
      </c>
      <c r="E21" s="45">
        <v>5.4889999999999999</v>
      </c>
      <c r="F21" s="45">
        <v>5.7220000000000004</v>
      </c>
      <c r="G21" s="45">
        <v>5.915</v>
      </c>
      <c r="H21" s="45">
        <v>6.0789999999999997</v>
      </c>
      <c r="I21" s="45">
        <v>6.2220000000000004</v>
      </c>
      <c r="J21" s="45">
        <v>6.3490000000000002</v>
      </c>
      <c r="K21" s="45">
        <v>6.4619999999999997</v>
      </c>
      <c r="L21" s="45">
        <v>6.5640000000000001</v>
      </c>
      <c r="M21" s="45">
        <v>5.6580000000000004</v>
      </c>
      <c r="N21" s="45">
        <v>6.7439999999999998</v>
      </c>
      <c r="O21" s="45">
        <v>6.8230000000000004</v>
      </c>
      <c r="P21" s="45">
        <v>6.8979999999999997</v>
      </c>
      <c r="Q21" s="45">
        <v>7.032</v>
      </c>
      <c r="R21" s="45">
        <v>7.1520000000000001</v>
      </c>
      <c r="S21" s="45">
        <v>7.3559999999999999</v>
      </c>
      <c r="T21" s="45">
        <v>7.5270000000000001</v>
      </c>
      <c r="U21" s="45">
        <v>7.673</v>
      </c>
      <c r="V21" s="45">
        <v>7.8019999999999996</v>
      </c>
      <c r="W21" s="628">
        <v>7.9160000000000004</v>
      </c>
    </row>
    <row r="22" spans="1:23" x14ac:dyDescent="0.25">
      <c r="A22">
        <v>17</v>
      </c>
      <c r="B22" s="627">
        <v>4.0990000000000002</v>
      </c>
      <c r="C22" s="45">
        <v>4.742</v>
      </c>
      <c r="D22" s="45">
        <v>5.14</v>
      </c>
      <c r="E22" s="45">
        <v>5.43</v>
      </c>
      <c r="F22" s="45">
        <v>5.6589999999999998</v>
      </c>
      <c r="G22" s="45">
        <v>5.8470000000000004</v>
      </c>
      <c r="H22" s="45">
        <v>6.0069999999999997</v>
      </c>
      <c r="I22" s="45">
        <v>6.1470000000000002</v>
      </c>
      <c r="J22" s="45">
        <v>6.27</v>
      </c>
      <c r="K22" s="45">
        <v>6.3810000000000002</v>
      </c>
      <c r="L22" s="45">
        <v>6.48</v>
      </c>
      <c r="M22" s="45">
        <v>5.5720000000000001</v>
      </c>
      <c r="N22" s="45">
        <v>6.6559999999999997</v>
      </c>
      <c r="O22" s="45">
        <v>6.734</v>
      </c>
      <c r="P22" s="45">
        <v>6.806</v>
      </c>
      <c r="Q22" s="45">
        <v>6.9370000000000003</v>
      </c>
      <c r="R22" s="45">
        <v>7.0529999999999999</v>
      </c>
      <c r="S22" s="45">
        <v>7.2530000000000001</v>
      </c>
      <c r="T22" s="45">
        <v>7.42</v>
      </c>
      <c r="U22" s="45">
        <v>7.5629999999999997</v>
      </c>
      <c r="V22" s="45">
        <v>7.6870000000000003</v>
      </c>
      <c r="W22" s="628">
        <v>7.7990000000000004</v>
      </c>
    </row>
    <row r="23" spans="1:23" x14ac:dyDescent="0.25">
      <c r="A23">
        <v>18</v>
      </c>
      <c r="B23" s="627">
        <v>4.0709999999999997</v>
      </c>
      <c r="C23" s="45">
        <v>4.7030000000000003</v>
      </c>
      <c r="D23" s="45">
        <v>5.0940000000000003</v>
      </c>
      <c r="E23" s="45">
        <v>5.3789999999999996</v>
      </c>
      <c r="F23" s="45">
        <v>5.6029999999999998</v>
      </c>
      <c r="G23" s="45">
        <v>5.7880000000000003</v>
      </c>
      <c r="H23" s="45">
        <v>5.944</v>
      </c>
      <c r="I23" s="45">
        <v>6.0810000000000004</v>
      </c>
      <c r="J23" s="45">
        <v>6.2009999999999996</v>
      </c>
      <c r="K23" s="45">
        <v>6.31</v>
      </c>
      <c r="L23" s="45">
        <v>6.407</v>
      </c>
      <c r="M23" s="45">
        <v>5.4969999999999999</v>
      </c>
      <c r="N23" s="45">
        <v>6.5789999999999997</v>
      </c>
      <c r="O23" s="45">
        <v>6.6550000000000002</v>
      </c>
      <c r="P23" s="45">
        <v>6.7249999999999996</v>
      </c>
      <c r="Q23" s="45">
        <v>6.8540000000000001</v>
      </c>
      <c r="R23" s="45">
        <v>6.968</v>
      </c>
      <c r="S23" s="45">
        <v>7.1630000000000003</v>
      </c>
      <c r="T23" s="45">
        <v>7.3250000000000002</v>
      </c>
      <c r="U23" s="45">
        <v>7.4649999999999999</v>
      </c>
      <c r="V23" s="45">
        <v>7.5869999999999997</v>
      </c>
      <c r="W23" s="628">
        <v>7.6959999999999997</v>
      </c>
    </row>
    <row r="24" spans="1:23" x14ac:dyDescent="0.25">
      <c r="A24">
        <v>19</v>
      </c>
      <c r="B24" s="627">
        <v>4.0460000000000003</v>
      </c>
      <c r="C24" s="45">
        <v>1.67</v>
      </c>
      <c r="D24" s="45">
        <v>5.0540000000000003</v>
      </c>
      <c r="E24" s="45">
        <v>5.3339999999999996</v>
      </c>
      <c r="F24" s="45">
        <v>5.5540000000000003</v>
      </c>
      <c r="G24" s="45">
        <v>5.7350000000000003</v>
      </c>
      <c r="H24" s="45">
        <v>5.8890000000000002</v>
      </c>
      <c r="I24" s="45">
        <v>6.0220000000000002</v>
      </c>
      <c r="J24" s="45">
        <v>6.141</v>
      </c>
      <c r="K24" s="45">
        <v>6.2469999999999999</v>
      </c>
      <c r="L24" s="45">
        <v>6.3419999999999996</v>
      </c>
      <c r="M24" s="45">
        <v>5.43</v>
      </c>
      <c r="N24" s="45">
        <v>6.51</v>
      </c>
      <c r="O24" s="45">
        <v>6.585</v>
      </c>
      <c r="P24" s="45">
        <v>6.6539999999999999</v>
      </c>
      <c r="Q24" s="45">
        <v>6.78</v>
      </c>
      <c r="R24" s="45">
        <v>6.891</v>
      </c>
      <c r="S24" s="45">
        <v>7.0819999999999999</v>
      </c>
      <c r="T24" s="45">
        <v>7.242</v>
      </c>
      <c r="U24" s="45">
        <v>7.3789999999999996</v>
      </c>
      <c r="V24" s="45">
        <v>7.4980000000000002</v>
      </c>
      <c r="W24" s="628">
        <v>7.6050000000000004</v>
      </c>
    </row>
    <row r="25" spans="1:23" x14ac:dyDescent="0.25">
      <c r="A25">
        <v>20</v>
      </c>
      <c r="B25" s="627">
        <v>4.024</v>
      </c>
      <c r="C25" s="45">
        <v>4.6390000000000002</v>
      </c>
      <c r="D25" s="45">
        <v>5.0179999999999998</v>
      </c>
      <c r="E25" s="45">
        <v>5.2939999999999996</v>
      </c>
      <c r="F25" s="45">
        <v>5.51</v>
      </c>
      <c r="G25" s="45">
        <v>5.6879999999999997</v>
      </c>
      <c r="H25" s="45">
        <v>5.8390000000000004</v>
      </c>
      <c r="I25" s="45">
        <v>5.97</v>
      </c>
      <c r="J25" s="45">
        <v>6.0869999999999997</v>
      </c>
      <c r="K25" s="45">
        <v>6.1909999999999998</v>
      </c>
      <c r="L25" s="45">
        <v>6.2850000000000001</v>
      </c>
      <c r="M25" s="45">
        <v>5.3710000000000004</v>
      </c>
      <c r="N25" s="45">
        <v>6.45</v>
      </c>
      <c r="O25" s="45">
        <v>6.5229999999999997</v>
      </c>
      <c r="P25" s="45">
        <v>6.5910000000000002</v>
      </c>
      <c r="Q25" s="45">
        <v>6.7140000000000004</v>
      </c>
      <c r="R25" s="45">
        <v>6.8230000000000004</v>
      </c>
      <c r="S25" s="45">
        <v>7.0110000000000001</v>
      </c>
      <c r="T25" s="45">
        <v>7.1680000000000001</v>
      </c>
      <c r="U25" s="45">
        <v>7.3019999999999996</v>
      </c>
      <c r="V25" s="45">
        <v>7.4189999999999996</v>
      </c>
      <c r="W25" s="628">
        <v>7.5229999999999997</v>
      </c>
    </row>
    <row r="26" spans="1:23" x14ac:dyDescent="0.25">
      <c r="A26">
        <v>24</v>
      </c>
      <c r="B26" s="627">
        <v>3.956</v>
      </c>
      <c r="C26" s="45">
        <v>4.5460000000000003</v>
      </c>
      <c r="D26" s="45">
        <v>4.907</v>
      </c>
      <c r="E26" s="45">
        <v>5.1680000000000001</v>
      </c>
      <c r="F26" s="45">
        <v>5.3739999999999997</v>
      </c>
      <c r="G26" s="45">
        <v>5.5419999999999998</v>
      </c>
      <c r="H26" s="45">
        <v>5.6849999999999996</v>
      </c>
      <c r="I26" s="45">
        <v>5.8090000000000002</v>
      </c>
      <c r="J26" s="45">
        <v>5.9189999999999996</v>
      </c>
      <c r="K26" s="45">
        <v>6.0170000000000003</v>
      </c>
      <c r="L26" s="45">
        <v>6.1059999999999999</v>
      </c>
      <c r="M26" s="45">
        <v>5.1859999999999999</v>
      </c>
      <c r="N26" s="45">
        <v>6.2610000000000001</v>
      </c>
      <c r="O26" s="45">
        <v>6.33</v>
      </c>
      <c r="P26" s="45">
        <v>6.3940000000000001</v>
      </c>
      <c r="Q26" s="45">
        <v>6.51</v>
      </c>
      <c r="R26" s="45">
        <v>6.6120000000000001</v>
      </c>
      <c r="S26" s="45">
        <v>6.7889999999999997</v>
      </c>
      <c r="T26" s="45">
        <v>6.9359999999999999</v>
      </c>
      <c r="U26" s="45">
        <v>7.0620000000000003</v>
      </c>
      <c r="V26" s="45">
        <v>7.173</v>
      </c>
      <c r="W26" s="628">
        <v>7.27</v>
      </c>
    </row>
    <row r="27" spans="1:23" x14ac:dyDescent="0.25">
      <c r="A27">
        <v>30</v>
      </c>
      <c r="B27" s="627">
        <v>3.8889999999999998</v>
      </c>
      <c r="C27" s="45">
        <v>4.4550000000000001</v>
      </c>
      <c r="D27" s="45">
        <v>4.7990000000000004</v>
      </c>
      <c r="E27" s="45">
        <v>5.048</v>
      </c>
      <c r="F27" s="45">
        <v>5.242</v>
      </c>
      <c r="G27" s="45">
        <v>5.4009999999999998</v>
      </c>
      <c r="H27" s="45">
        <v>5.5359999999999996</v>
      </c>
      <c r="I27" s="45">
        <v>5.6529999999999996</v>
      </c>
      <c r="J27" s="45">
        <v>5.7560000000000002</v>
      </c>
      <c r="K27" s="45">
        <v>5.8490000000000002</v>
      </c>
      <c r="L27" s="45">
        <v>5.9320000000000004</v>
      </c>
      <c r="M27" s="45">
        <v>5.008</v>
      </c>
      <c r="N27" s="45">
        <v>6.0780000000000003</v>
      </c>
      <c r="O27" s="45">
        <v>6.1429999999999998</v>
      </c>
      <c r="P27" s="45">
        <v>6.2030000000000003</v>
      </c>
      <c r="Q27" s="45">
        <v>6.3109999999999999</v>
      </c>
      <c r="R27" s="45">
        <v>6.407</v>
      </c>
      <c r="S27" s="45">
        <v>6.5720000000000001</v>
      </c>
      <c r="T27" s="45">
        <v>6.71</v>
      </c>
      <c r="U27" s="45">
        <v>6.8280000000000003</v>
      </c>
      <c r="V27" s="45">
        <v>6.9320000000000004</v>
      </c>
      <c r="W27" s="628">
        <v>7.0229999999999997</v>
      </c>
    </row>
    <row r="28" spans="1:23" x14ac:dyDescent="0.25">
      <c r="A28">
        <v>40</v>
      </c>
      <c r="B28" s="627">
        <v>3.8250000000000002</v>
      </c>
      <c r="C28" s="45">
        <v>4.367</v>
      </c>
      <c r="D28" s="45">
        <v>4.6959999999999997</v>
      </c>
      <c r="E28" s="45">
        <v>4.931</v>
      </c>
      <c r="F28" s="45">
        <v>5.1139999999999999</v>
      </c>
      <c r="G28" s="45">
        <v>5.2649999999999997</v>
      </c>
      <c r="H28" s="45">
        <v>5.3920000000000003</v>
      </c>
      <c r="I28" s="45">
        <v>5.5019999999999998</v>
      </c>
      <c r="J28" s="45">
        <v>5.5990000000000002</v>
      </c>
      <c r="K28" s="45">
        <v>5.6859999999999999</v>
      </c>
      <c r="L28" s="45">
        <v>5.7640000000000002</v>
      </c>
      <c r="M28" s="45">
        <v>5.835</v>
      </c>
      <c r="N28" s="45">
        <v>5.9</v>
      </c>
      <c r="O28" s="45">
        <v>5.9610000000000003</v>
      </c>
      <c r="P28" s="45">
        <v>6.0170000000000003</v>
      </c>
      <c r="Q28" s="45">
        <v>6.1189999999999998</v>
      </c>
      <c r="R28" s="45">
        <v>6.2089999999999996</v>
      </c>
      <c r="S28" s="45">
        <v>6.3620000000000001</v>
      </c>
      <c r="T28" s="45">
        <v>6.49</v>
      </c>
      <c r="U28" s="45">
        <v>6.6</v>
      </c>
      <c r="V28" s="45">
        <v>6.6970000000000001</v>
      </c>
      <c r="W28" s="628">
        <v>6.782</v>
      </c>
    </row>
    <row r="29" spans="1:23" x14ac:dyDescent="0.25">
      <c r="A29">
        <v>60</v>
      </c>
      <c r="B29" s="627">
        <v>3.762</v>
      </c>
      <c r="C29" s="45">
        <v>4.282</v>
      </c>
      <c r="D29" s="45">
        <v>4.5949999999999998</v>
      </c>
      <c r="E29" s="45">
        <v>4.8179999999999996</v>
      </c>
      <c r="F29" s="45">
        <v>4.9909999999999997</v>
      </c>
      <c r="G29" s="45">
        <v>5.133</v>
      </c>
      <c r="H29" s="45">
        <v>5.2530000000000001</v>
      </c>
      <c r="I29" s="45">
        <v>5.3559999999999999</v>
      </c>
      <c r="J29" s="45">
        <v>5.4470000000000001</v>
      </c>
      <c r="K29" s="45">
        <v>5.5279999999999996</v>
      </c>
      <c r="L29" s="45">
        <v>5.601</v>
      </c>
      <c r="M29" s="45">
        <v>5.6669999999999998</v>
      </c>
      <c r="N29" s="45">
        <v>5.7279999999999998</v>
      </c>
      <c r="O29" s="45">
        <v>5.7850000000000001</v>
      </c>
      <c r="P29" s="45">
        <v>5.8369999999999997</v>
      </c>
      <c r="Q29" s="45">
        <v>5.931</v>
      </c>
      <c r="R29" s="45">
        <v>6.0149999999999997</v>
      </c>
      <c r="S29" s="45">
        <v>6.1580000000000004</v>
      </c>
      <c r="T29" s="45">
        <v>6.2770000000000001</v>
      </c>
      <c r="U29" s="45">
        <v>6.3780000000000001</v>
      </c>
      <c r="V29" s="45">
        <v>6.4669999999999996</v>
      </c>
      <c r="W29" s="628">
        <v>6.5460000000000003</v>
      </c>
    </row>
    <row r="30" spans="1:23" x14ac:dyDescent="0.25">
      <c r="A30">
        <v>120</v>
      </c>
      <c r="B30" s="627">
        <v>3.702</v>
      </c>
      <c r="C30" s="45">
        <v>4.2</v>
      </c>
      <c r="D30" s="45">
        <v>4.4969999999999999</v>
      </c>
      <c r="E30" s="45">
        <v>4.7089999999999996</v>
      </c>
      <c r="F30" s="45">
        <v>4.8719999999999999</v>
      </c>
      <c r="G30" s="45">
        <v>5.0049999999999999</v>
      </c>
      <c r="H30" s="45">
        <v>5.1180000000000003</v>
      </c>
      <c r="I30" s="45">
        <v>5.2140000000000004</v>
      </c>
      <c r="J30" s="45">
        <v>5.2990000000000004</v>
      </c>
      <c r="K30" s="45">
        <v>5.375</v>
      </c>
      <c r="L30" s="45">
        <v>5.4429999999999996</v>
      </c>
      <c r="M30" s="45">
        <v>5.5049999999999999</v>
      </c>
      <c r="N30" s="45">
        <v>5.5620000000000003</v>
      </c>
      <c r="O30" s="45">
        <v>5.6139999999999999</v>
      </c>
      <c r="P30" s="45">
        <v>5.6619999999999999</v>
      </c>
      <c r="Q30" s="45">
        <v>5.75</v>
      </c>
      <c r="R30" s="45">
        <v>5.827</v>
      </c>
      <c r="S30" s="45">
        <v>5.9589999999999996</v>
      </c>
      <c r="T30" s="45">
        <v>6.069</v>
      </c>
      <c r="U30" s="45">
        <v>6.1619999999999999</v>
      </c>
      <c r="V30" s="45">
        <v>6.2439999999999998</v>
      </c>
      <c r="W30" s="628">
        <v>6.3159999999999998</v>
      </c>
    </row>
    <row r="31" spans="1:23" x14ac:dyDescent="0.25">
      <c r="A31" s="13" t="s">
        <v>559</v>
      </c>
      <c r="B31" s="629">
        <v>3.6429999999999998</v>
      </c>
      <c r="C31" s="981">
        <v>4.12</v>
      </c>
      <c r="D31" s="981">
        <v>4.4029999999999996</v>
      </c>
      <c r="E31" s="981">
        <v>4.6029999999999998</v>
      </c>
      <c r="F31" s="981">
        <v>4.7569999999999997</v>
      </c>
      <c r="G31" s="981">
        <v>4.8819999999999997</v>
      </c>
      <c r="H31" s="981">
        <v>4.9870000000000001</v>
      </c>
      <c r="I31" s="981">
        <v>5.0780000000000003</v>
      </c>
      <c r="J31" s="981">
        <v>5.157</v>
      </c>
      <c r="K31" s="981">
        <v>5.2270000000000003</v>
      </c>
      <c r="L31" s="981">
        <v>5.29</v>
      </c>
      <c r="M31" s="981">
        <v>5.3479999999999999</v>
      </c>
      <c r="N31" s="981">
        <v>5.4</v>
      </c>
      <c r="O31" s="981">
        <v>5.4480000000000004</v>
      </c>
      <c r="P31" s="981">
        <v>5.4930000000000003</v>
      </c>
      <c r="Q31" s="981">
        <v>5.5739999999999998</v>
      </c>
      <c r="R31" s="981">
        <v>5.6449999999999996</v>
      </c>
      <c r="S31" s="981">
        <v>5.766</v>
      </c>
      <c r="T31" s="981">
        <v>5.8659999999999997</v>
      </c>
      <c r="U31" s="981">
        <v>5.952</v>
      </c>
      <c r="V31" s="981">
        <v>6.0259999999999998</v>
      </c>
      <c r="W31" s="630">
        <v>6.0919999999999996</v>
      </c>
    </row>
    <row r="33" spans="1:23" x14ac:dyDescent="0.25">
      <c r="A33" t="s">
        <v>34</v>
      </c>
      <c r="B33">
        <v>2.5000000000000001E-2</v>
      </c>
    </row>
    <row r="34" spans="1:23" x14ac:dyDescent="0.25">
      <c r="B34" t="s">
        <v>101</v>
      </c>
    </row>
    <row r="35" spans="1:23" x14ac:dyDescent="0.25">
      <c r="A35" s="13" t="s">
        <v>60</v>
      </c>
      <c r="B35">
        <v>2</v>
      </c>
      <c r="C35">
        <f>B35+1</f>
        <v>3</v>
      </c>
      <c r="D35">
        <f t="shared" ref="D35:L35" si="1">C35+1</f>
        <v>4</v>
      </c>
      <c r="E35">
        <f t="shared" si="1"/>
        <v>5</v>
      </c>
      <c r="F35">
        <f t="shared" si="1"/>
        <v>6</v>
      </c>
      <c r="G35">
        <f t="shared" si="1"/>
        <v>7</v>
      </c>
      <c r="H35">
        <f t="shared" si="1"/>
        <v>8</v>
      </c>
      <c r="I35">
        <f t="shared" si="1"/>
        <v>9</v>
      </c>
      <c r="J35">
        <f t="shared" si="1"/>
        <v>10</v>
      </c>
      <c r="K35">
        <f t="shared" si="1"/>
        <v>11</v>
      </c>
      <c r="L35">
        <f t="shared" si="1"/>
        <v>12</v>
      </c>
      <c r="M35">
        <v>13</v>
      </c>
      <c r="N35">
        <f>M35+1</f>
        <v>14</v>
      </c>
      <c r="O35">
        <f>N35+1</f>
        <v>15</v>
      </c>
      <c r="P35">
        <f>O35+1</f>
        <v>16</v>
      </c>
      <c r="Q35">
        <f>P35+2</f>
        <v>18</v>
      </c>
      <c r="R35">
        <f>Q35+2</f>
        <v>20</v>
      </c>
      <c r="S35">
        <f>R35+4</f>
        <v>24</v>
      </c>
      <c r="T35">
        <f>S35+4</f>
        <v>28</v>
      </c>
      <c r="U35">
        <f>T35+4</f>
        <v>32</v>
      </c>
      <c r="V35">
        <f>U35+4</f>
        <v>36</v>
      </c>
      <c r="W35">
        <f>V35+4</f>
        <v>40</v>
      </c>
    </row>
    <row r="36" spans="1:23" x14ac:dyDescent="0.25">
      <c r="A36">
        <v>1</v>
      </c>
      <c r="B36" s="1116">
        <v>35.99</v>
      </c>
      <c r="C36" s="1115">
        <v>54</v>
      </c>
      <c r="D36" s="1115">
        <v>65.69</v>
      </c>
      <c r="E36" s="1115">
        <v>74.22</v>
      </c>
      <c r="F36" s="1115">
        <v>80.87</v>
      </c>
      <c r="G36" s="1115">
        <v>86.29</v>
      </c>
      <c r="H36" s="1115">
        <v>90.85</v>
      </c>
      <c r="I36" s="1115">
        <v>94.77</v>
      </c>
      <c r="J36" s="1115">
        <v>98.2</v>
      </c>
      <c r="K36" s="965">
        <v>101.3</v>
      </c>
      <c r="L36" s="965">
        <v>104</v>
      </c>
      <c r="M36" s="965">
        <v>106.5</v>
      </c>
      <c r="N36" s="965">
        <v>108.8</v>
      </c>
      <c r="O36" s="965">
        <v>110.8</v>
      </c>
      <c r="P36" s="965">
        <v>112.7</v>
      </c>
      <c r="Q36" s="965">
        <v>116.2</v>
      </c>
      <c r="R36" s="965">
        <v>119.2</v>
      </c>
      <c r="S36" s="965">
        <v>124.3</v>
      </c>
      <c r="T36" s="965">
        <v>128.6</v>
      </c>
      <c r="U36" s="965">
        <v>132.1</v>
      </c>
      <c r="V36" s="965">
        <v>135.19999999999999</v>
      </c>
      <c r="W36" s="966">
        <v>137.9</v>
      </c>
    </row>
    <row r="37" spans="1:23" x14ac:dyDescent="0.25">
      <c r="A37">
        <v>2</v>
      </c>
      <c r="B37" s="627">
        <v>8.7759999999999998</v>
      </c>
      <c r="C37" s="43">
        <v>11.94</v>
      </c>
      <c r="D37" s="43">
        <v>14.01</v>
      </c>
      <c r="E37" s="43">
        <v>15.54</v>
      </c>
      <c r="F37" s="43">
        <v>16.75</v>
      </c>
      <c r="G37" s="43">
        <v>17.739999999999998</v>
      </c>
      <c r="H37" s="43">
        <v>18.579999999999998</v>
      </c>
      <c r="I37" s="43">
        <v>19.309999999999999</v>
      </c>
      <c r="J37" s="43">
        <v>19.95</v>
      </c>
      <c r="K37" s="43">
        <v>20.52</v>
      </c>
      <c r="L37" s="43">
        <v>21.03</v>
      </c>
      <c r="M37" s="43">
        <v>21.49</v>
      </c>
      <c r="N37" s="43">
        <v>21.91</v>
      </c>
      <c r="O37" s="43">
        <v>22.3</v>
      </c>
      <c r="P37" s="43">
        <v>22.67</v>
      </c>
      <c r="Q37" s="43">
        <v>23.32</v>
      </c>
      <c r="R37" s="43">
        <v>23.89</v>
      </c>
      <c r="S37" s="43">
        <v>24.87</v>
      </c>
      <c r="T37" s="43">
        <v>25.67</v>
      </c>
      <c r="U37" s="43">
        <v>26.35</v>
      </c>
      <c r="V37" s="43">
        <v>26.95</v>
      </c>
      <c r="W37" s="573">
        <v>27.47</v>
      </c>
    </row>
    <row r="38" spans="1:23" x14ac:dyDescent="0.25">
      <c r="A38">
        <v>3</v>
      </c>
      <c r="B38" s="627">
        <v>5.907</v>
      </c>
      <c r="C38" s="45">
        <v>7.6609999999999996</v>
      </c>
      <c r="D38" s="45">
        <v>8.8079999999999998</v>
      </c>
      <c r="E38" s="45">
        <v>9.66</v>
      </c>
      <c r="F38" s="43">
        <v>10.34</v>
      </c>
      <c r="G38" s="43">
        <v>10.89</v>
      </c>
      <c r="H38" s="43">
        <v>11.37</v>
      </c>
      <c r="I38" s="43">
        <v>11.78</v>
      </c>
      <c r="J38" s="43">
        <v>12.14</v>
      </c>
      <c r="K38" s="43">
        <v>12.46</v>
      </c>
      <c r="L38" s="43">
        <v>12.75</v>
      </c>
      <c r="M38" s="43">
        <v>13.01</v>
      </c>
      <c r="N38" s="43">
        <v>13.26</v>
      </c>
      <c r="O38" s="43">
        <v>13.48</v>
      </c>
      <c r="P38" s="43">
        <v>13.69</v>
      </c>
      <c r="Q38" s="43">
        <v>14.06</v>
      </c>
      <c r="R38" s="43">
        <v>14.39</v>
      </c>
      <c r="S38" s="43">
        <v>14.95</v>
      </c>
      <c r="T38" s="43">
        <v>15.41</v>
      </c>
      <c r="U38" s="43">
        <v>15.81</v>
      </c>
      <c r="V38" s="43">
        <v>16.149999999999999</v>
      </c>
      <c r="W38" s="573">
        <v>16.46</v>
      </c>
    </row>
    <row r="39" spans="1:23" x14ac:dyDescent="0.25">
      <c r="A39">
        <v>4</v>
      </c>
      <c r="B39" s="627">
        <v>4.9429999999999996</v>
      </c>
      <c r="C39" s="45">
        <v>6.2439999999999998</v>
      </c>
      <c r="D39" s="45">
        <v>7.0880000000000001</v>
      </c>
      <c r="E39" s="45">
        <v>7.7160000000000002</v>
      </c>
      <c r="F39" s="45">
        <v>8.2129999999999992</v>
      </c>
      <c r="G39" s="45">
        <v>8.625</v>
      </c>
      <c r="H39" s="45">
        <v>8.9760000000000009</v>
      </c>
      <c r="I39" s="45">
        <v>9.2789999999999999</v>
      </c>
      <c r="J39" s="45">
        <v>9.548</v>
      </c>
      <c r="K39" s="45">
        <v>9.7880000000000003</v>
      </c>
      <c r="L39" s="43">
        <v>10.01</v>
      </c>
      <c r="M39" s="43">
        <v>10.199999999999999</v>
      </c>
      <c r="N39" s="43">
        <v>10.39</v>
      </c>
      <c r="O39" s="43">
        <v>10.55</v>
      </c>
      <c r="P39" s="43">
        <v>10.71</v>
      </c>
      <c r="Q39" s="43">
        <v>10.99</v>
      </c>
      <c r="R39" s="43">
        <v>11.23</v>
      </c>
      <c r="S39" s="43">
        <v>11.66</v>
      </c>
      <c r="T39" s="43">
        <v>12</v>
      </c>
      <c r="U39" s="43">
        <v>12.3</v>
      </c>
      <c r="V39" s="43">
        <v>12.56</v>
      </c>
      <c r="W39" s="573">
        <v>12.79</v>
      </c>
    </row>
    <row r="40" spans="1:23" x14ac:dyDescent="0.25">
      <c r="A40">
        <v>5</v>
      </c>
      <c r="B40" s="627">
        <v>4.4740000000000002</v>
      </c>
      <c r="C40" s="45">
        <v>5.5579999999999998</v>
      </c>
      <c r="D40" s="45">
        <v>6.2569999999999997</v>
      </c>
      <c r="E40" s="45">
        <v>6.7750000000000004</v>
      </c>
      <c r="F40" s="45">
        <v>7.1859999999999999</v>
      </c>
      <c r="G40" s="45">
        <v>7.5270000000000001</v>
      </c>
      <c r="H40" s="45">
        <v>7.8159999999999998</v>
      </c>
      <c r="I40" s="45">
        <v>8.0679999999999996</v>
      </c>
      <c r="J40" s="45">
        <v>8.2910000000000004</v>
      </c>
      <c r="K40" s="45">
        <v>8.49</v>
      </c>
      <c r="L40" s="45">
        <v>8.67</v>
      </c>
      <c r="M40" s="45">
        <v>8.8339999999999996</v>
      </c>
      <c r="N40" s="45">
        <v>8.984</v>
      </c>
      <c r="O40" s="45">
        <v>9.1240000000000006</v>
      </c>
      <c r="P40" s="45">
        <v>9.2530000000000001</v>
      </c>
      <c r="Q40" s="45">
        <v>9.4860000000000007</v>
      </c>
      <c r="R40" s="45">
        <v>9.6929999999999996</v>
      </c>
      <c r="S40" s="43">
        <v>10.039999999999999</v>
      </c>
      <c r="T40" s="43">
        <v>10.34</v>
      </c>
      <c r="U40" s="43">
        <v>10.59</v>
      </c>
      <c r="V40" s="43">
        <v>10.8</v>
      </c>
      <c r="W40" s="573">
        <v>11</v>
      </c>
    </row>
    <row r="41" spans="1:23" x14ac:dyDescent="0.25">
      <c r="A41">
        <v>6</v>
      </c>
      <c r="B41" s="627">
        <v>4.1989999999999998</v>
      </c>
      <c r="C41" s="45">
        <v>5.1580000000000004</v>
      </c>
      <c r="D41" s="45">
        <v>5.7720000000000002</v>
      </c>
      <c r="E41" s="45">
        <v>6.226</v>
      </c>
      <c r="F41" s="45">
        <v>6.5860000000000003</v>
      </c>
      <c r="G41" s="45">
        <v>6.8840000000000003</v>
      </c>
      <c r="H41" s="45">
        <v>7.1379999999999999</v>
      </c>
      <c r="I41" s="45">
        <v>7.359</v>
      </c>
      <c r="J41" s="45">
        <v>7.5540000000000003</v>
      </c>
      <c r="K41" s="45">
        <v>7.7290000000000001</v>
      </c>
      <c r="L41" s="45">
        <v>7.8869999999999996</v>
      </c>
      <c r="M41" s="45">
        <v>8.0310000000000006</v>
      </c>
      <c r="N41" s="45">
        <v>8.1630000000000003</v>
      </c>
      <c r="O41" s="45">
        <v>8.2859999999999996</v>
      </c>
      <c r="P41" s="45">
        <v>8.3989999999999991</v>
      </c>
      <c r="Q41" s="45">
        <v>8.6050000000000004</v>
      </c>
      <c r="R41" s="45">
        <v>8.7870000000000008</v>
      </c>
      <c r="S41" s="45">
        <v>9.0969999999999995</v>
      </c>
      <c r="T41" s="45">
        <v>9.3550000000000004</v>
      </c>
      <c r="U41" s="45">
        <v>9.5749999999999993</v>
      </c>
      <c r="V41" s="45">
        <v>9.7669999999999995</v>
      </c>
      <c r="W41" s="628">
        <v>9.9380000000000006</v>
      </c>
    </row>
    <row r="42" spans="1:23" x14ac:dyDescent="0.25">
      <c r="A42">
        <v>7</v>
      </c>
      <c r="B42" s="627">
        <v>4.0179999999999998</v>
      </c>
      <c r="C42" s="45">
        <v>4.8970000000000002</v>
      </c>
      <c r="D42" s="45">
        <v>5.4550000000000001</v>
      </c>
      <c r="E42" s="45">
        <v>5.8680000000000003</v>
      </c>
      <c r="F42" s="45">
        <v>6.194</v>
      </c>
      <c r="G42" s="45">
        <v>6.4640000000000004</v>
      </c>
      <c r="H42" s="45">
        <v>6.6950000000000003</v>
      </c>
      <c r="I42" s="45">
        <v>6.8949999999999996</v>
      </c>
      <c r="J42" s="45">
        <v>7.0720000000000001</v>
      </c>
      <c r="K42" s="45">
        <v>7.23</v>
      </c>
      <c r="L42" s="45">
        <v>7.3730000000000002</v>
      </c>
      <c r="M42" s="45">
        <v>7.5039999999999996</v>
      </c>
      <c r="N42" s="45">
        <v>7.6239999999999997</v>
      </c>
      <c r="O42" s="45">
        <v>7.7350000000000003</v>
      </c>
      <c r="P42" s="45">
        <v>7.8390000000000004</v>
      </c>
      <c r="Q42" s="45">
        <v>8.0250000000000004</v>
      </c>
      <c r="R42" s="45">
        <v>8.1910000000000007</v>
      </c>
      <c r="S42" s="45">
        <v>8.4730000000000008</v>
      </c>
      <c r="T42" s="45">
        <v>8.7080000000000002</v>
      </c>
      <c r="U42" s="45">
        <v>8.9090000000000007</v>
      </c>
      <c r="V42" s="45">
        <v>9.0839999999999996</v>
      </c>
      <c r="W42" s="628">
        <v>9.2390000000000008</v>
      </c>
    </row>
    <row r="43" spans="1:23" x14ac:dyDescent="0.25">
      <c r="A43">
        <v>8</v>
      </c>
      <c r="B43" s="627">
        <v>3.8919999999999999</v>
      </c>
      <c r="C43" s="45">
        <v>4.7140000000000004</v>
      </c>
      <c r="D43" s="45">
        <v>5.2329999999999997</v>
      </c>
      <c r="E43" s="45">
        <v>5.6159999999999997</v>
      </c>
      <c r="F43" s="45">
        <v>5.9189999999999996</v>
      </c>
      <c r="G43" s="45">
        <v>6.1689999999999996</v>
      </c>
      <c r="H43" s="45">
        <v>6.3819999999999997</v>
      </c>
      <c r="I43" s="45">
        <v>6.5679999999999996</v>
      </c>
      <c r="J43" s="45">
        <v>6.7320000000000002</v>
      </c>
      <c r="K43" s="45">
        <v>6.8789999999999996</v>
      </c>
      <c r="L43" s="45">
        <v>7.0110000000000001</v>
      </c>
      <c r="M43" s="45">
        <v>7.1319999999999997</v>
      </c>
      <c r="N43" s="45">
        <v>7.2439999999999998</v>
      </c>
      <c r="O43" s="45">
        <v>7.3470000000000004</v>
      </c>
      <c r="P43" s="45">
        <v>7.4429999999999996</v>
      </c>
      <c r="Q43" s="45">
        <v>7.6159999999999997</v>
      </c>
      <c r="R43" s="45">
        <v>7.7690000000000001</v>
      </c>
      <c r="S43" s="45">
        <v>8.0310000000000006</v>
      </c>
      <c r="T43" s="45">
        <v>8.25</v>
      </c>
      <c r="U43" s="45">
        <v>8.4359999999999999</v>
      </c>
      <c r="V43" s="45">
        <v>8.5990000000000002</v>
      </c>
      <c r="W43" s="628">
        <v>8.7430000000000003</v>
      </c>
    </row>
    <row r="44" spans="1:23" x14ac:dyDescent="0.25">
      <c r="A44">
        <v>9</v>
      </c>
      <c r="B44" s="627">
        <v>3.7970000000000002</v>
      </c>
      <c r="C44" s="45">
        <v>4.5780000000000003</v>
      </c>
      <c r="D44" s="45">
        <v>5.069</v>
      </c>
      <c r="E44" s="45">
        <v>5.43</v>
      </c>
      <c r="F44" s="45">
        <v>5.7149999999999999</v>
      </c>
      <c r="G44" s="45">
        <v>5.95</v>
      </c>
      <c r="H44" s="45">
        <v>6.1509999999999998</v>
      </c>
      <c r="I44" s="45">
        <v>6.3250000000000002</v>
      </c>
      <c r="J44" s="45">
        <v>6.4790000000000001</v>
      </c>
      <c r="K44" s="45">
        <v>6.617</v>
      </c>
      <c r="L44" s="45">
        <v>6.742</v>
      </c>
      <c r="M44" s="45">
        <v>6.8559999999999999</v>
      </c>
      <c r="N44" s="45">
        <v>6.9610000000000003</v>
      </c>
      <c r="O44" s="45">
        <v>7.0579999999999998</v>
      </c>
      <c r="P44" s="45">
        <v>7.1479999999999997</v>
      </c>
      <c r="Q44" s="45">
        <v>7.3109999999999999</v>
      </c>
      <c r="R44" s="45">
        <v>7.4550000000000001</v>
      </c>
      <c r="S44" s="45">
        <v>7.702</v>
      </c>
      <c r="T44" s="45">
        <v>7.9080000000000004</v>
      </c>
      <c r="U44" s="45">
        <v>8.0839999999999996</v>
      </c>
      <c r="V44" s="45">
        <v>8.2370000000000001</v>
      </c>
      <c r="W44" s="628">
        <v>8.3729999999999993</v>
      </c>
    </row>
    <row r="45" spans="1:23" x14ac:dyDescent="0.25">
      <c r="A45">
        <v>10</v>
      </c>
      <c r="B45" s="627">
        <v>3.7250000000000001</v>
      </c>
      <c r="C45" s="45">
        <v>4.4740000000000002</v>
      </c>
      <c r="D45" s="45">
        <v>4.9429999999999996</v>
      </c>
      <c r="E45" s="45">
        <v>5.2869999999999999</v>
      </c>
      <c r="F45" s="45">
        <v>5.5579999999999998</v>
      </c>
      <c r="G45" s="45">
        <v>5.782</v>
      </c>
      <c r="H45" s="45">
        <v>5.9720000000000004</v>
      </c>
      <c r="I45" s="45">
        <v>6.1379999999999999</v>
      </c>
      <c r="J45" s="45">
        <v>6.2850000000000001</v>
      </c>
      <c r="K45" s="45">
        <v>6.4160000000000004</v>
      </c>
      <c r="L45" s="45">
        <v>6.5339999999999998</v>
      </c>
      <c r="M45" s="45">
        <v>6.6429999999999998</v>
      </c>
      <c r="N45" s="45">
        <v>6.742</v>
      </c>
      <c r="O45" s="45">
        <v>6.8339999999999996</v>
      </c>
      <c r="P45" s="45">
        <v>6.92</v>
      </c>
      <c r="Q45" s="45">
        <v>7.0750000000000002</v>
      </c>
      <c r="R45" s="45">
        <v>7.2119999999999997</v>
      </c>
      <c r="S45" s="45">
        <v>7.4470000000000001</v>
      </c>
      <c r="T45" s="45">
        <v>7.6429999999999998</v>
      </c>
      <c r="U45" s="45">
        <v>7.81</v>
      </c>
      <c r="V45" s="45">
        <v>7.9560000000000004</v>
      </c>
      <c r="W45" s="628">
        <v>8.0860000000000003</v>
      </c>
    </row>
    <row r="46" spans="1:23" x14ac:dyDescent="0.25">
      <c r="A46">
        <v>11</v>
      </c>
      <c r="B46" s="627">
        <v>3.6669999999999998</v>
      </c>
      <c r="C46" s="45">
        <v>4.391</v>
      </c>
      <c r="D46" s="45">
        <v>4.843</v>
      </c>
      <c r="E46" s="45">
        <v>5.173</v>
      </c>
      <c r="F46" s="45">
        <v>5.4329999999999998</v>
      </c>
      <c r="G46" s="45">
        <v>5.6479999999999997</v>
      </c>
      <c r="H46" s="45">
        <v>5.8310000000000004</v>
      </c>
      <c r="I46" s="45">
        <v>5.9889999999999999</v>
      </c>
      <c r="J46" s="45">
        <v>6.13</v>
      </c>
      <c r="K46" s="45">
        <v>6.2560000000000002</v>
      </c>
      <c r="L46" s="45">
        <v>6.3689999999999998</v>
      </c>
      <c r="M46" s="45">
        <v>6.4729999999999999</v>
      </c>
      <c r="N46" s="45">
        <v>6.5679999999999996</v>
      </c>
      <c r="O46" s="45">
        <v>6.657</v>
      </c>
      <c r="P46" s="45">
        <v>6.7389999999999999</v>
      </c>
      <c r="Q46" s="45">
        <v>6.8869999999999996</v>
      </c>
      <c r="R46" s="45">
        <v>7.0190000000000001</v>
      </c>
      <c r="S46" s="45">
        <v>7.2439999999999998</v>
      </c>
      <c r="T46" s="45">
        <v>7.431</v>
      </c>
      <c r="U46" s="45">
        <v>7.5919999999999996</v>
      </c>
      <c r="V46" s="45">
        <v>7.7320000000000002</v>
      </c>
      <c r="W46" s="628">
        <v>7.8559999999999999</v>
      </c>
    </row>
    <row r="47" spans="1:23" x14ac:dyDescent="0.25">
      <c r="A47">
        <v>12</v>
      </c>
      <c r="B47" s="627">
        <v>3.62</v>
      </c>
      <c r="C47" s="45">
        <v>4.3250000000000002</v>
      </c>
      <c r="D47" s="45">
        <v>4.7619999999999996</v>
      </c>
      <c r="E47" s="45">
        <v>5.0810000000000004</v>
      </c>
      <c r="F47" s="45">
        <v>5.3319999999999999</v>
      </c>
      <c r="G47" s="45">
        <v>5.54</v>
      </c>
      <c r="H47" s="45">
        <v>5.7160000000000002</v>
      </c>
      <c r="I47" s="45">
        <v>5.8689999999999998</v>
      </c>
      <c r="J47" s="45">
        <v>6.0039999999999996</v>
      </c>
      <c r="K47" s="45">
        <v>6.125</v>
      </c>
      <c r="L47" s="45">
        <v>6.2350000000000003</v>
      </c>
      <c r="M47" s="45">
        <v>6.335</v>
      </c>
      <c r="N47" s="45">
        <v>6.4269999999999996</v>
      </c>
      <c r="O47" s="45">
        <v>6.5119999999999996</v>
      </c>
      <c r="P47" s="45">
        <v>6.5910000000000002</v>
      </c>
      <c r="Q47" s="45">
        <v>6.734</v>
      </c>
      <c r="R47" s="45">
        <v>6.8609999999999998</v>
      </c>
      <c r="S47" s="45">
        <v>7.0780000000000003</v>
      </c>
      <c r="T47" s="45">
        <v>7.258</v>
      </c>
      <c r="U47" s="45">
        <v>7.4130000000000003</v>
      </c>
      <c r="V47" s="45">
        <v>7.548</v>
      </c>
      <c r="W47" s="628">
        <v>7.6680000000000001</v>
      </c>
    </row>
    <row r="48" spans="1:23" x14ac:dyDescent="0.25">
      <c r="A48">
        <v>13</v>
      </c>
      <c r="B48" s="627">
        <v>3.5819999999999999</v>
      </c>
      <c r="C48" s="45">
        <v>4.2690000000000001</v>
      </c>
      <c r="D48" s="45">
        <v>4.694</v>
      </c>
      <c r="E48" s="45">
        <v>5.0039999999999996</v>
      </c>
      <c r="F48" s="45">
        <v>5.2480000000000002</v>
      </c>
      <c r="G48" s="45">
        <v>5.4489999999999998</v>
      </c>
      <c r="H48" s="45">
        <v>5.62</v>
      </c>
      <c r="I48" s="45">
        <v>5.7690000000000001</v>
      </c>
      <c r="J48" s="45">
        <v>5.9</v>
      </c>
      <c r="K48" s="45">
        <v>6.0170000000000003</v>
      </c>
      <c r="L48" s="45">
        <v>6.1230000000000002</v>
      </c>
      <c r="M48" s="45">
        <v>6.22</v>
      </c>
      <c r="N48" s="45">
        <v>6.3090000000000002</v>
      </c>
      <c r="O48" s="45">
        <v>6.3920000000000003</v>
      </c>
      <c r="P48" s="45">
        <v>6.468</v>
      </c>
      <c r="Q48" s="45">
        <v>6.6070000000000002</v>
      </c>
      <c r="R48" s="45">
        <v>6.73</v>
      </c>
      <c r="S48" s="45">
        <v>6.9390000000000001</v>
      </c>
      <c r="T48" s="45">
        <v>7.1150000000000002</v>
      </c>
      <c r="U48" s="45">
        <v>7.2649999999999997</v>
      </c>
      <c r="V48" s="45">
        <v>7.3959999999999999</v>
      </c>
      <c r="W48" s="628">
        <v>7.5119999999999996</v>
      </c>
    </row>
    <row r="49" spans="1:23" x14ac:dyDescent="0.25">
      <c r="A49">
        <v>14</v>
      </c>
      <c r="B49" s="627">
        <v>3.55</v>
      </c>
      <c r="C49" s="45">
        <v>4.2220000000000004</v>
      </c>
      <c r="D49" s="45">
        <v>4.6379999999999999</v>
      </c>
      <c r="E49" s="45">
        <v>4.9400000000000004</v>
      </c>
      <c r="F49" s="45">
        <v>5.1779999999999999</v>
      </c>
      <c r="G49" s="45">
        <v>5.3739999999999997</v>
      </c>
      <c r="H49" s="45">
        <v>5.54</v>
      </c>
      <c r="I49" s="45">
        <v>5.6840000000000002</v>
      </c>
      <c r="J49" s="45">
        <v>5.8109999999999999</v>
      </c>
      <c r="K49" s="45">
        <v>5.9260000000000002</v>
      </c>
      <c r="L49" s="45">
        <v>6.0289999999999999</v>
      </c>
      <c r="M49" s="45">
        <v>6.1230000000000002</v>
      </c>
      <c r="N49" s="45">
        <v>6.21</v>
      </c>
      <c r="O49" s="45">
        <v>6.29</v>
      </c>
      <c r="P49" s="45">
        <v>6.3639999999999999</v>
      </c>
      <c r="Q49" s="45">
        <v>6.4989999999999997</v>
      </c>
      <c r="R49" s="45">
        <v>6.6189999999999998</v>
      </c>
      <c r="S49" s="45">
        <v>6.8230000000000004</v>
      </c>
      <c r="T49" s="45">
        <v>6.9930000000000003</v>
      </c>
      <c r="U49" s="45">
        <v>7.1390000000000002</v>
      </c>
      <c r="V49" s="45">
        <v>7.266</v>
      </c>
      <c r="W49" s="628">
        <v>7.3789999999999996</v>
      </c>
    </row>
    <row r="50" spans="1:23" x14ac:dyDescent="0.25">
      <c r="A50">
        <v>15</v>
      </c>
      <c r="B50" s="627">
        <v>3.5219999999999998</v>
      </c>
      <c r="C50" s="45">
        <v>4.1820000000000004</v>
      </c>
      <c r="D50" s="45">
        <v>4.5890000000000004</v>
      </c>
      <c r="E50" s="45">
        <v>4.8849999999999998</v>
      </c>
      <c r="F50" s="45">
        <v>5.1180000000000003</v>
      </c>
      <c r="G50" s="45">
        <v>5.3090000000000002</v>
      </c>
      <c r="H50" s="45">
        <v>5.4710000000000001</v>
      </c>
      <c r="I50" s="45">
        <v>5.6120000000000001</v>
      </c>
      <c r="J50" s="45">
        <v>5.7370000000000001</v>
      </c>
      <c r="K50" s="45">
        <v>5.8479999999999999</v>
      </c>
      <c r="L50" s="45">
        <v>5.9489999999999998</v>
      </c>
      <c r="M50" s="45">
        <v>6.0410000000000004</v>
      </c>
      <c r="N50" s="45">
        <v>6.125</v>
      </c>
      <c r="O50" s="45">
        <v>6.2030000000000003</v>
      </c>
      <c r="P50" s="45">
        <v>6.2759999999999998</v>
      </c>
      <c r="Q50" s="45">
        <v>6.407</v>
      </c>
      <c r="R50" s="45">
        <v>6.5229999999999997</v>
      </c>
      <c r="S50" s="45">
        <v>6.7229999999999999</v>
      </c>
      <c r="T50" s="45">
        <v>6.8890000000000002</v>
      </c>
      <c r="U50" s="45">
        <v>7.0309999999999997</v>
      </c>
      <c r="V50" s="45">
        <v>7.1550000000000002</v>
      </c>
      <c r="W50" s="628">
        <v>7.2649999999999997</v>
      </c>
    </row>
    <row r="51" spans="1:23" x14ac:dyDescent="0.25">
      <c r="A51">
        <v>16</v>
      </c>
      <c r="B51" s="627">
        <v>3.4980000000000002</v>
      </c>
      <c r="C51" s="45">
        <v>4.1479999999999997</v>
      </c>
      <c r="D51" s="45">
        <v>4.548</v>
      </c>
      <c r="E51" s="45">
        <v>4.8380000000000001</v>
      </c>
      <c r="F51" s="45">
        <v>5.0659999999999998</v>
      </c>
      <c r="G51" s="45">
        <v>5.2530000000000001</v>
      </c>
      <c r="H51" s="45">
        <v>5.4119999999999999</v>
      </c>
      <c r="I51" s="45">
        <v>5.55</v>
      </c>
      <c r="J51" s="45">
        <v>5.6719999999999997</v>
      </c>
      <c r="K51" s="45">
        <v>5.7809999999999997</v>
      </c>
      <c r="L51" s="45">
        <v>5.8789999999999996</v>
      </c>
      <c r="M51" s="45">
        <v>5.9690000000000003</v>
      </c>
      <c r="N51" s="45">
        <v>6.0519999999999996</v>
      </c>
      <c r="O51" s="45">
        <v>6.1280000000000001</v>
      </c>
      <c r="P51" s="45">
        <v>6.1989999999999998</v>
      </c>
      <c r="Q51" s="45">
        <v>6.3280000000000003</v>
      </c>
      <c r="R51" s="45">
        <v>6.4409999999999998</v>
      </c>
      <c r="S51" s="45">
        <v>6.6360000000000001</v>
      </c>
      <c r="T51" s="45">
        <v>6.7990000000000004</v>
      </c>
      <c r="U51" s="45">
        <v>6.9379999999999997</v>
      </c>
      <c r="V51" s="45">
        <v>7.0590000000000002</v>
      </c>
      <c r="W51" s="628">
        <v>7.1669999999999998</v>
      </c>
    </row>
    <row r="52" spans="1:23" x14ac:dyDescent="0.25">
      <c r="A52">
        <v>17</v>
      </c>
      <c r="B52" s="627">
        <v>3.4769999999999999</v>
      </c>
      <c r="C52" s="45">
        <v>4.1180000000000003</v>
      </c>
      <c r="D52" s="45">
        <v>4.5119999999999996</v>
      </c>
      <c r="E52" s="45">
        <v>4.7969999999999997</v>
      </c>
      <c r="F52" s="45">
        <v>5.0199999999999996</v>
      </c>
      <c r="G52" s="45">
        <v>5.2039999999999997</v>
      </c>
      <c r="H52" s="45">
        <v>5.3609999999999998</v>
      </c>
      <c r="I52" s="45">
        <v>5.4960000000000004</v>
      </c>
      <c r="J52" s="45">
        <v>5.6150000000000002</v>
      </c>
      <c r="K52" s="45">
        <v>5.7220000000000004</v>
      </c>
      <c r="L52" s="45">
        <v>5.8179999999999996</v>
      </c>
      <c r="M52" s="45">
        <v>5.907</v>
      </c>
      <c r="N52" s="45">
        <v>5.9870000000000001</v>
      </c>
      <c r="O52" s="45">
        <v>6.0620000000000003</v>
      </c>
      <c r="P52" s="45">
        <v>6.1319999999999997</v>
      </c>
      <c r="Q52" s="45">
        <v>6.258</v>
      </c>
      <c r="R52" s="45">
        <v>6.37</v>
      </c>
      <c r="S52" s="45">
        <v>6.56</v>
      </c>
      <c r="T52" s="45">
        <v>6.72</v>
      </c>
      <c r="U52" s="45">
        <v>6.8559999999999999</v>
      </c>
      <c r="V52" s="45">
        <v>6.9749999999999996</v>
      </c>
      <c r="W52" s="628">
        <v>7.0810000000000004</v>
      </c>
    </row>
    <row r="53" spans="1:23" x14ac:dyDescent="0.25">
      <c r="A53">
        <v>18</v>
      </c>
      <c r="B53" s="627">
        <v>3.4580000000000002</v>
      </c>
      <c r="C53" s="45">
        <v>4.0919999999999996</v>
      </c>
      <c r="D53" s="45">
        <v>4.4800000000000004</v>
      </c>
      <c r="E53" s="45">
        <v>4.7610000000000001</v>
      </c>
      <c r="F53" s="45">
        <v>4.9809999999999999</v>
      </c>
      <c r="G53" s="45">
        <v>5.1619999999999999</v>
      </c>
      <c r="H53" s="45">
        <v>5.3150000000000004</v>
      </c>
      <c r="I53" s="45">
        <v>5.4480000000000004</v>
      </c>
      <c r="J53" s="45">
        <v>5.5650000000000004</v>
      </c>
      <c r="K53" s="45">
        <v>5.67</v>
      </c>
      <c r="L53" s="45">
        <v>5.7649999999999997</v>
      </c>
      <c r="M53" s="45">
        <v>5.8520000000000003</v>
      </c>
      <c r="N53" s="45">
        <v>5.931</v>
      </c>
      <c r="O53" s="45">
        <v>6.0039999999999996</v>
      </c>
      <c r="P53" s="45">
        <v>6.0730000000000004</v>
      </c>
      <c r="Q53" s="45">
        <v>6.1970000000000001</v>
      </c>
      <c r="R53" s="45">
        <v>6.306</v>
      </c>
      <c r="S53" s="45">
        <v>6.4930000000000003</v>
      </c>
      <c r="T53" s="45">
        <v>6.65</v>
      </c>
      <c r="U53" s="45">
        <v>6.7839999999999998</v>
      </c>
      <c r="V53" s="45">
        <v>6.9</v>
      </c>
      <c r="W53" s="628">
        <v>7.0049999999999999</v>
      </c>
    </row>
    <row r="54" spans="1:23" x14ac:dyDescent="0.25">
      <c r="A54">
        <v>19</v>
      </c>
      <c r="B54" s="627">
        <v>3.4420000000000002</v>
      </c>
      <c r="C54" s="45">
        <v>4.0679999999999996</v>
      </c>
      <c r="D54" s="45">
        <v>4.4509999999999996</v>
      </c>
      <c r="E54" s="45">
        <v>4.7279999999999998</v>
      </c>
      <c r="F54" s="45">
        <v>4.9450000000000003</v>
      </c>
      <c r="G54" s="45">
        <v>5.1230000000000002</v>
      </c>
      <c r="H54" s="45">
        <v>5.2750000000000004</v>
      </c>
      <c r="I54" s="45">
        <v>5.4050000000000002</v>
      </c>
      <c r="J54" s="45">
        <v>5.5209999999999999</v>
      </c>
      <c r="K54" s="45">
        <v>5.6239999999999997</v>
      </c>
      <c r="L54" s="45">
        <v>5.718</v>
      </c>
      <c r="M54" s="45">
        <v>5.8029999999999999</v>
      </c>
      <c r="N54" s="45">
        <v>5.8810000000000002</v>
      </c>
      <c r="O54" s="45">
        <v>5.9539999999999997</v>
      </c>
      <c r="P54" s="45">
        <v>6.02</v>
      </c>
      <c r="Q54" s="45">
        <v>6.1420000000000003</v>
      </c>
      <c r="R54" s="45">
        <v>6.25</v>
      </c>
      <c r="S54" s="45">
        <v>6.4340000000000002</v>
      </c>
      <c r="T54" s="45">
        <v>6.5880000000000001</v>
      </c>
      <c r="U54" s="45">
        <v>6.7190000000000003</v>
      </c>
      <c r="V54" s="45">
        <v>6.835</v>
      </c>
      <c r="W54" s="628">
        <v>6.9359999999999999</v>
      </c>
    </row>
    <row r="55" spans="1:23" x14ac:dyDescent="0.25">
      <c r="A55">
        <v>20</v>
      </c>
      <c r="B55" s="627">
        <v>3.427</v>
      </c>
      <c r="C55" s="45">
        <v>4.0469999999999997</v>
      </c>
      <c r="D55" s="45">
        <v>4.4260000000000002</v>
      </c>
      <c r="E55" s="45">
        <v>4.7</v>
      </c>
      <c r="F55" s="45">
        <v>4.9139999999999997</v>
      </c>
      <c r="G55" s="45">
        <v>5.0890000000000004</v>
      </c>
      <c r="H55" s="45">
        <v>5.2380000000000004</v>
      </c>
      <c r="I55" s="45">
        <v>5.3680000000000003</v>
      </c>
      <c r="J55" s="45">
        <v>5.4809999999999999</v>
      </c>
      <c r="K55" s="45">
        <v>5.5830000000000002</v>
      </c>
      <c r="L55" s="45">
        <v>5.6749999999999998</v>
      </c>
      <c r="M55" s="45">
        <v>5.7590000000000003</v>
      </c>
      <c r="N55" s="45">
        <v>5.8360000000000003</v>
      </c>
      <c r="O55" s="45">
        <v>5.907</v>
      </c>
      <c r="P55" s="45">
        <v>5.9740000000000002</v>
      </c>
      <c r="Q55" s="45">
        <v>6.093</v>
      </c>
      <c r="R55" s="45">
        <v>6.2</v>
      </c>
      <c r="S55" s="45">
        <v>6.3810000000000002</v>
      </c>
      <c r="T55" s="45">
        <v>6.532</v>
      </c>
      <c r="U55" s="45">
        <v>6.6619999999999999</v>
      </c>
      <c r="V55" s="45">
        <v>6.7750000000000004</v>
      </c>
      <c r="W55" s="628">
        <v>6.8760000000000003</v>
      </c>
    </row>
    <row r="56" spans="1:23" x14ac:dyDescent="0.25">
      <c r="A56">
        <v>24</v>
      </c>
      <c r="B56" s="627">
        <v>3.3809999999999998</v>
      </c>
      <c r="C56" s="45">
        <v>3.9830000000000001</v>
      </c>
      <c r="D56" s="45">
        <v>4.3470000000000004</v>
      </c>
      <c r="E56" s="45">
        <v>4.6100000000000003</v>
      </c>
      <c r="F56" s="45">
        <v>4.8159999999999998</v>
      </c>
      <c r="G56" s="45">
        <v>4.984</v>
      </c>
      <c r="H56" s="45">
        <v>5.2160000000000002</v>
      </c>
      <c r="I56" s="45">
        <v>5.25</v>
      </c>
      <c r="J56" s="45">
        <v>5.3579999999999997</v>
      </c>
      <c r="K56" s="45">
        <v>5.4550000000000001</v>
      </c>
      <c r="L56" s="45">
        <v>5.5430000000000001</v>
      </c>
      <c r="M56" s="45">
        <v>5.6230000000000002</v>
      </c>
      <c r="N56" s="45">
        <v>5.6970000000000001</v>
      </c>
      <c r="O56" s="45">
        <v>5.7640000000000002</v>
      </c>
      <c r="P56" s="45">
        <v>5.827</v>
      </c>
      <c r="Q56" s="45">
        <v>5.9409999999999998</v>
      </c>
      <c r="R56" s="45">
        <v>6.0430000000000001</v>
      </c>
      <c r="S56" s="45">
        <v>6.2149999999999999</v>
      </c>
      <c r="T56" s="45">
        <v>6.359</v>
      </c>
      <c r="U56" s="45">
        <v>6.4820000000000002</v>
      </c>
      <c r="V56" s="45">
        <v>6.5890000000000004</v>
      </c>
      <c r="W56" s="628">
        <v>6.6849999999999996</v>
      </c>
    </row>
    <row r="57" spans="1:23" x14ac:dyDescent="0.25">
      <c r="A57">
        <v>30</v>
      </c>
      <c r="B57" s="627">
        <v>3.3370000000000002</v>
      </c>
      <c r="C57" s="45">
        <v>3.919</v>
      </c>
      <c r="D57" s="45">
        <v>4.2709999999999999</v>
      </c>
      <c r="E57" s="45">
        <v>4.5229999999999997</v>
      </c>
      <c r="F57" s="45">
        <v>4.72</v>
      </c>
      <c r="G57" s="45">
        <v>4.8810000000000002</v>
      </c>
      <c r="H57" s="45">
        <v>5.0170000000000003</v>
      </c>
      <c r="I57" s="45">
        <v>5.1340000000000003</v>
      </c>
      <c r="J57" s="45">
        <v>5.2380000000000004</v>
      </c>
      <c r="K57" s="45">
        <v>5.33</v>
      </c>
      <c r="L57" s="45">
        <v>5.4139999999999997</v>
      </c>
      <c r="M57" s="45">
        <v>5.49</v>
      </c>
      <c r="N57" s="45">
        <v>5.56</v>
      </c>
      <c r="O57" s="45">
        <v>5.6239999999999997</v>
      </c>
      <c r="P57" s="45">
        <v>5.6840000000000002</v>
      </c>
      <c r="Q57" s="45">
        <v>5.7919999999999998</v>
      </c>
      <c r="R57" s="45">
        <v>5.8879999999999999</v>
      </c>
      <c r="S57" s="45">
        <v>6.0519999999999996</v>
      </c>
      <c r="T57" s="45">
        <v>6.1879999999999997</v>
      </c>
      <c r="U57" s="45">
        <v>6.3049999999999997</v>
      </c>
      <c r="V57" s="45">
        <v>6.4059999999999997</v>
      </c>
      <c r="W57" s="628">
        <v>6.4969999999999999</v>
      </c>
    </row>
    <row r="58" spans="1:23" x14ac:dyDescent="0.25">
      <c r="A58">
        <v>40</v>
      </c>
      <c r="B58" s="627">
        <v>3.294</v>
      </c>
      <c r="C58" s="45">
        <v>3.8580000000000001</v>
      </c>
      <c r="D58" s="45">
        <v>4.1970000000000001</v>
      </c>
      <c r="E58" s="45">
        <v>4.4390000000000001</v>
      </c>
      <c r="F58" s="45">
        <v>4.6269999999999998</v>
      </c>
      <c r="G58" s="45">
        <v>4.78</v>
      </c>
      <c r="H58" s="45">
        <v>4.91</v>
      </c>
      <c r="I58" s="45">
        <v>5.0220000000000002</v>
      </c>
      <c r="J58" s="45">
        <v>5.12</v>
      </c>
      <c r="K58" s="45">
        <v>5.2080000000000002</v>
      </c>
      <c r="L58" s="45">
        <v>5.2880000000000003</v>
      </c>
      <c r="M58" s="45">
        <v>5.36</v>
      </c>
      <c r="N58" s="45">
        <v>5.4260000000000002</v>
      </c>
      <c r="O58" s="45">
        <v>5.4870000000000001</v>
      </c>
      <c r="P58" s="45">
        <v>5.5439999999999996</v>
      </c>
      <c r="Q58" s="45">
        <v>5.6459999999999999</v>
      </c>
      <c r="R58" s="45">
        <v>5.7370000000000001</v>
      </c>
      <c r="S58" s="45">
        <v>5.891</v>
      </c>
      <c r="T58" s="45">
        <v>6.02</v>
      </c>
      <c r="U58" s="45">
        <v>6.13</v>
      </c>
      <c r="V58" s="45">
        <v>6.226</v>
      </c>
      <c r="W58" s="628">
        <v>6.3109999999999999</v>
      </c>
    </row>
    <row r="59" spans="1:23" x14ac:dyDescent="0.25">
      <c r="A59">
        <v>60</v>
      </c>
      <c r="B59" s="627">
        <v>3.2509999999999999</v>
      </c>
      <c r="C59" s="45">
        <v>3.798</v>
      </c>
      <c r="D59" s="45">
        <v>4.1239999999999997</v>
      </c>
      <c r="E59" s="45">
        <v>4.3559999999999999</v>
      </c>
      <c r="F59" s="45">
        <v>4.5359999999999996</v>
      </c>
      <c r="G59" s="45">
        <v>4.6820000000000004</v>
      </c>
      <c r="H59" s="45">
        <v>4.806</v>
      </c>
      <c r="I59" s="45">
        <v>4.9119999999999999</v>
      </c>
      <c r="J59" s="45">
        <v>5.0060000000000002</v>
      </c>
      <c r="K59" s="45">
        <v>5.0890000000000004</v>
      </c>
      <c r="L59" s="45">
        <v>5.1639999999999997</v>
      </c>
      <c r="M59" s="45">
        <v>5.2320000000000002</v>
      </c>
      <c r="N59" s="45">
        <v>5.2949999999999999</v>
      </c>
      <c r="O59" s="45">
        <v>5.3520000000000003</v>
      </c>
      <c r="P59" s="45">
        <v>5.4059999999999997</v>
      </c>
      <c r="Q59" s="45">
        <v>5.5030000000000001</v>
      </c>
      <c r="R59" s="45">
        <v>5.5880000000000001</v>
      </c>
      <c r="S59" s="45">
        <v>5.7329999999999997</v>
      </c>
      <c r="T59" s="45">
        <v>5.8540000000000001</v>
      </c>
      <c r="U59" s="45">
        <v>5.9580000000000002</v>
      </c>
      <c r="V59" s="45">
        <v>6.048</v>
      </c>
      <c r="W59" s="628">
        <v>6.1269999999999998</v>
      </c>
    </row>
    <row r="60" spans="1:23" x14ac:dyDescent="0.25">
      <c r="A60">
        <v>120</v>
      </c>
      <c r="B60" s="627">
        <v>3.21</v>
      </c>
      <c r="C60" s="45">
        <v>3.7389999999999999</v>
      </c>
      <c r="D60" s="45">
        <v>4.0529999999999999</v>
      </c>
      <c r="E60" s="45">
        <v>4.2759999999999998</v>
      </c>
      <c r="F60" s="45">
        <v>4.4470000000000001</v>
      </c>
      <c r="G60" s="45">
        <v>4.5869999999999997</v>
      </c>
      <c r="H60" s="45">
        <v>4.7039999999999997</v>
      </c>
      <c r="I60" s="45">
        <v>4.8049999999999997</v>
      </c>
      <c r="J60" s="45">
        <v>4.8940000000000001</v>
      </c>
      <c r="K60" s="45">
        <v>4.9720000000000004</v>
      </c>
      <c r="L60" s="45">
        <v>5.0430000000000001</v>
      </c>
      <c r="M60" s="45">
        <v>5.1070000000000002</v>
      </c>
      <c r="N60" s="45">
        <v>5.1660000000000004</v>
      </c>
      <c r="O60" s="45">
        <v>5.2210000000000001</v>
      </c>
      <c r="P60" s="45">
        <v>5.2709999999999999</v>
      </c>
      <c r="Q60" s="45">
        <v>5.3620000000000001</v>
      </c>
      <c r="R60" s="45">
        <v>5.4420000000000002</v>
      </c>
      <c r="S60" s="45">
        <v>5.5780000000000003</v>
      </c>
      <c r="T60" s="45">
        <v>5.6909999999999998</v>
      </c>
      <c r="U60" s="45">
        <v>5.7880000000000003</v>
      </c>
      <c r="V60" s="45">
        <v>5.8719999999999999</v>
      </c>
      <c r="W60" s="628">
        <v>5.9459999999999997</v>
      </c>
    </row>
    <row r="61" spans="1:23" x14ac:dyDescent="0.25">
      <c r="A61" s="13" t="s">
        <v>559</v>
      </c>
      <c r="B61" s="629">
        <v>3.17</v>
      </c>
      <c r="C61" s="981">
        <v>3.6819999999999999</v>
      </c>
      <c r="D61" s="981">
        <v>3.984</v>
      </c>
      <c r="E61" s="981">
        <v>4.1970000000000001</v>
      </c>
      <c r="F61" s="981">
        <v>4.3609999999999998</v>
      </c>
      <c r="G61" s="981">
        <v>4.4939999999999998</v>
      </c>
      <c r="H61" s="981">
        <v>4.6050000000000004</v>
      </c>
      <c r="I61" s="981">
        <v>4.7</v>
      </c>
      <c r="J61" s="981">
        <v>4.7839999999999998</v>
      </c>
      <c r="K61" s="981">
        <v>4.8579999999999997</v>
      </c>
      <c r="L61" s="981">
        <v>4.9249999999999998</v>
      </c>
      <c r="M61" s="981">
        <v>4.9850000000000003</v>
      </c>
      <c r="N61" s="981">
        <v>5.0410000000000004</v>
      </c>
      <c r="O61" s="981">
        <v>5.0919999999999996</v>
      </c>
      <c r="P61" s="981">
        <v>5.1390000000000002</v>
      </c>
      <c r="Q61" s="981">
        <v>5.2240000000000002</v>
      </c>
      <c r="R61" s="981">
        <v>5.2990000000000004</v>
      </c>
      <c r="S61" s="981">
        <v>5.4249999999999998</v>
      </c>
      <c r="T61" s="981">
        <v>5.53</v>
      </c>
      <c r="U61" s="981">
        <v>5.62</v>
      </c>
      <c r="V61" s="981">
        <v>5.6980000000000004</v>
      </c>
      <c r="W61" s="630">
        <v>5.76</v>
      </c>
    </row>
    <row r="63" spans="1:23" x14ac:dyDescent="0.25">
      <c r="A63" t="s">
        <v>34</v>
      </c>
      <c r="B63">
        <v>0.05</v>
      </c>
    </row>
    <row r="64" spans="1:23" x14ac:dyDescent="0.25">
      <c r="B64" t="s">
        <v>101</v>
      </c>
    </row>
    <row r="65" spans="1:23" x14ac:dyDescent="0.25">
      <c r="A65" s="13" t="s">
        <v>60</v>
      </c>
      <c r="B65">
        <v>2</v>
      </c>
      <c r="C65">
        <f>B65+1</f>
        <v>3</v>
      </c>
      <c r="D65">
        <f t="shared" ref="D65:L65" si="2">C65+1</f>
        <v>4</v>
      </c>
      <c r="E65">
        <f t="shared" si="2"/>
        <v>5</v>
      </c>
      <c r="F65">
        <f t="shared" si="2"/>
        <v>6</v>
      </c>
      <c r="G65">
        <f t="shared" si="2"/>
        <v>7</v>
      </c>
      <c r="H65">
        <f t="shared" si="2"/>
        <v>8</v>
      </c>
      <c r="I65">
        <f t="shared" si="2"/>
        <v>9</v>
      </c>
      <c r="J65">
        <f t="shared" si="2"/>
        <v>10</v>
      </c>
      <c r="K65">
        <f t="shared" si="2"/>
        <v>11</v>
      </c>
      <c r="L65">
        <f t="shared" si="2"/>
        <v>12</v>
      </c>
      <c r="M65">
        <v>13</v>
      </c>
      <c r="N65">
        <f>M65+1</f>
        <v>14</v>
      </c>
      <c r="O65">
        <f>N65+1</f>
        <v>15</v>
      </c>
      <c r="P65">
        <f>O65+1</f>
        <v>16</v>
      </c>
      <c r="Q65">
        <f>P65+2</f>
        <v>18</v>
      </c>
      <c r="R65">
        <f>Q65+2</f>
        <v>20</v>
      </c>
      <c r="S65">
        <f>R65+4</f>
        <v>24</v>
      </c>
      <c r="T65">
        <f>S65+4</f>
        <v>28</v>
      </c>
      <c r="U65">
        <f>T65+4</f>
        <v>32</v>
      </c>
      <c r="V65">
        <f>U65+4</f>
        <v>36</v>
      </c>
      <c r="W65">
        <f>V65+4</f>
        <v>40</v>
      </c>
    </row>
    <row r="66" spans="1:23" x14ac:dyDescent="0.25">
      <c r="A66">
        <v>1</v>
      </c>
      <c r="B66" s="3">
        <v>17.97</v>
      </c>
      <c r="C66" s="827">
        <v>26.98</v>
      </c>
      <c r="D66" s="827">
        <v>32.82</v>
      </c>
      <c r="E66" s="827">
        <v>37.08</v>
      </c>
      <c r="F66" s="827">
        <v>40.409999999999997</v>
      </c>
      <c r="G66" s="827">
        <v>43.12</v>
      </c>
      <c r="H66" s="1115">
        <v>45.4</v>
      </c>
      <c r="I66" s="827">
        <v>47.36</v>
      </c>
      <c r="J66" s="827">
        <v>49.07</v>
      </c>
      <c r="K66" s="827">
        <v>50.59</v>
      </c>
      <c r="L66" s="827">
        <v>51.96</v>
      </c>
      <c r="M66" s="1115">
        <v>53.2</v>
      </c>
      <c r="N66" s="827">
        <v>54.33</v>
      </c>
      <c r="O66" s="827">
        <v>55.36</v>
      </c>
      <c r="P66" s="827">
        <v>56.32</v>
      </c>
      <c r="Q66" s="827">
        <v>58.04</v>
      </c>
      <c r="R66" s="827">
        <v>59.56</v>
      </c>
      <c r="S66" s="827">
        <v>62.12</v>
      </c>
      <c r="T66" s="827">
        <v>64.23</v>
      </c>
      <c r="U66" s="827">
        <v>66.010000000000005</v>
      </c>
      <c r="V66" s="827">
        <v>67.56</v>
      </c>
      <c r="W66" s="5">
        <v>68.92</v>
      </c>
    </row>
    <row r="67" spans="1:23" x14ac:dyDescent="0.25">
      <c r="A67">
        <v>2</v>
      </c>
      <c r="B67" s="532">
        <v>6.085</v>
      </c>
      <c r="C67" s="7">
        <v>8.3309999999999995</v>
      </c>
      <c r="D67" s="7">
        <v>9.798</v>
      </c>
      <c r="E67" s="7">
        <v>10.88</v>
      </c>
      <c r="F67" s="7">
        <v>11.74</v>
      </c>
      <c r="G67" s="7">
        <v>12.44</v>
      </c>
      <c r="H67" s="7">
        <v>13.03</v>
      </c>
      <c r="I67" s="7">
        <v>13.54</v>
      </c>
      <c r="J67" s="7">
        <v>13.99</v>
      </c>
      <c r="K67" s="7">
        <v>14.39</v>
      </c>
      <c r="L67" s="7">
        <v>14.75</v>
      </c>
      <c r="M67" s="7">
        <v>15.08</v>
      </c>
      <c r="N67" s="7">
        <v>15.38</v>
      </c>
      <c r="O67" s="7">
        <v>15.65</v>
      </c>
      <c r="P67" s="7">
        <v>15.91</v>
      </c>
      <c r="Q67" s="7">
        <v>16.37</v>
      </c>
      <c r="R67" s="7">
        <v>16.77</v>
      </c>
      <c r="S67" s="7">
        <v>17.45</v>
      </c>
      <c r="T67" s="7">
        <v>18.02</v>
      </c>
      <c r="U67" s="7">
        <v>18.5</v>
      </c>
      <c r="V67" s="7">
        <v>18.920000000000002</v>
      </c>
      <c r="W67" s="533">
        <v>19.28</v>
      </c>
    </row>
    <row r="68" spans="1:23" x14ac:dyDescent="0.25">
      <c r="A68">
        <v>3</v>
      </c>
      <c r="B68" s="532">
        <v>4.5010000000000003</v>
      </c>
      <c r="C68" s="45">
        <v>5.91</v>
      </c>
      <c r="D68" s="7">
        <v>6.8250000000000002</v>
      </c>
      <c r="E68" s="7">
        <v>7.5019999999999998</v>
      </c>
      <c r="F68" s="7">
        <v>8.0370000000000008</v>
      </c>
      <c r="G68" s="7">
        <v>8.4779999999999998</v>
      </c>
      <c r="H68" s="7">
        <v>8.8529999999999998</v>
      </c>
      <c r="I68" s="7">
        <v>9.1769999999999996</v>
      </c>
      <c r="J68" s="7">
        <v>9.4619999999999997</v>
      </c>
      <c r="K68" s="7">
        <v>9.7170000000000005</v>
      </c>
      <c r="L68" s="7">
        <v>9.9459999999999997</v>
      </c>
      <c r="M68" s="7">
        <v>10.15</v>
      </c>
      <c r="N68" s="7">
        <v>10.35</v>
      </c>
      <c r="O68" s="7">
        <v>10.53</v>
      </c>
      <c r="P68" s="7">
        <v>10.69</v>
      </c>
      <c r="Q68" s="7">
        <v>10.98</v>
      </c>
      <c r="R68" s="7">
        <v>11.24</v>
      </c>
      <c r="S68" s="7">
        <v>11.68</v>
      </c>
      <c r="T68" s="7">
        <v>12.05</v>
      </c>
      <c r="U68" s="7">
        <v>12.36</v>
      </c>
      <c r="V68" s="7">
        <v>12.63</v>
      </c>
      <c r="W68" s="533">
        <v>12.87</v>
      </c>
    </row>
    <row r="69" spans="1:23" x14ac:dyDescent="0.25">
      <c r="A69">
        <v>4</v>
      </c>
      <c r="B69" s="627">
        <v>3.927</v>
      </c>
      <c r="C69" s="45">
        <v>5.04</v>
      </c>
      <c r="D69" s="45">
        <v>5.7569999999999997</v>
      </c>
      <c r="E69" s="45">
        <v>6.2869999999999999</v>
      </c>
      <c r="F69" s="45">
        <v>6.7069999999999999</v>
      </c>
      <c r="G69" s="45">
        <v>7.0529999999999999</v>
      </c>
      <c r="H69" s="45">
        <v>7.3470000000000004</v>
      </c>
      <c r="I69" s="45">
        <v>7.6020000000000003</v>
      </c>
      <c r="J69" s="45">
        <v>7.8259999999999996</v>
      </c>
      <c r="K69" s="45">
        <v>8.0269999999999992</v>
      </c>
      <c r="L69" s="45">
        <v>8.2080000000000002</v>
      </c>
      <c r="M69" s="45">
        <v>8.3729999999999993</v>
      </c>
      <c r="N69" s="45">
        <v>8.5250000000000004</v>
      </c>
      <c r="O69" s="45">
        <v>8.6639999999999997</v>
      </c>
      <c r="P69" s="45">
        <v>8.7940000000000005</v>
      </c>
      <c r="Q69" s="45">
        <v>9.0280000000000005</v>
      </c>
      <c r="R69" s="45">
        <v>9.2330000000000005</v>
      </c>
      <c r="S69" s="45">
        <v>9.5839999999999996</v>
      </c>
      <c r="T69" s="45">
        <v>9.875</v>
      </c>
      <c r="U69" s="43">
        <v>10.119999999999999</v>
      </c>
      <c r="V69" s="43">
        <v>10.34</v>
      </c>
      <c r="W69" s="573">
        <v>10.53</v>
      </c>
    </row>
    <row r="70" spans="1:23" x14ac:dyDescent="0.25">
      <c r="A70">
        <v>5</v>
      </c>
      <c r="B70" s="627">
        <v>3.6349999999999998</v>
      </c>
      <c r="C70" s="45">
        <v>4.6020000000000003</v>
      </c>
      <c r="D70" s="45">
        <v>5.218</v>
      </c>
      <c r="E70" s="45">
        <v>5.673</v>
      </c>
      <c r="F70" s="45">
        <v>6.0330000000000004</v>
      </c>
      <c r="G70" s="45">
        <v>6.33</v>
      </c>
      <c r="H70" s="45">
        <v>6.5819999999999999</v>
      </c>
      <c r="I70" s="45">
        <v>6.8019999999999996</v>
      </c>
      <c r="J70" s="45">
        <v>6.9950000000000001</v>
      </c>
      <c r="K70" s="45">
        <v>7.1680000000000001</v>
      </c>
      <c r="L70" s="45">
        <v>7.3239999999999998</v>
      </c>
      <c r="M70" s="45">
        <v>7.4660000000000002</v>
      </c>
      <c r="N70" s="45">
        <v>7.5960000000000001</v>
      </c>
      <c r="O70" s="45">
        <v>7.7169999999999996</v>
      </c>
      <c r="P70" s="45">
        <v>7.8280000000000003</v>
      </c>
      <c r="Q70" s="45">
        <v>8.0299999999999994</v>
      </c>
      <c r="R70" s="45">
        <v>8.2080000000000002</v>
      </c>
      <c r="S70" s="45">
        <v>8.5120000000000005</v>
      </c>
      <c r="T70" s="45">
        <v>8.7639999999999993</v>
      </c>
      <c r="U70" s="45">
        <v>8.9789999999999992</v>
      </c>
      <c r="V70" s="45">
        <v>9.1649999999999991</v>
      </c>
      <c r="W70" s="628">
        <v>9.33</v>
      </c>
    </row>
    <row r="71" spans="1:23" x14ac:dyDescent="0.25">
      <c r="A71">
        <v>6</v>
      </c>
      <c r="B71" s="627">
        <v>3.4609999999999999</v>
      </c>
      <c r="C71" s="45">
        <v>4.3390000000000004</v>
      </c>
      <c r="D71" s="45">
        <v>4.8959999999999999</v>
      </c>
      <c r="E71" s="45">
        <v>5.3049999999999997</v>
      </c>
      <c r="F71" s="45">
        <v>5.6280000000000001</v>
      </c>
      <c r="G71" s="45">
        <v>5.8949999999999996</v>
      </c>
      <c r="H71" s="45">
        <v>6.1219999999999999</v>
      </c>
      <c r="I71" s="45">
        <v>6.319</v>
      </c>
      <c r="J71" s="45">
        <v>6.4930000000000003</v>
      </c>
      <c r="K71" s="45">
        <v>6.649</v>
      </c>
      <c r="L71" s="45">
        <v>6.7889999999999997</v>
      </c>
      <c r="M71" s="45">
        <v>6.9169999999999998</v>
      </c>
      <c r="N71" s="45">
        <v>7.0339999999999998</v>
      </c>
      <c r="O71" s="45">
        <v>7.1429999999999998</v>
      </c>
      <c r="P71" s="45">
        <v>7.2439999999999998</v>
      </c>
      <c r="Q71" s="45">
        <v>7.4260000000000002</v>
      </c>
      <c r="R71" s="45">
        <v>7.5869999999999997</v>
      </c>
      <c r="S71" s="45">
        <v>7.8609999999999998</v>
      </c>
      <c r="T71" s="45">
        <v>8.0879999999999992</v>
      </c>
      <c r="U71" s="45">
        <v>8.2829999999999995</v>
      </c>
      <c r="V71" s="45">
        <v>8.452</v>
      </c>
      <c r="W71" s="628">
        <v>8.6010000000000009</v>
      </c>
    </row>
    <row r="72" spans="1:23" x14ac:dyDescent="0.25">
      <c r="A72">
        <v>7</v>
      </c>
      <c r="B72" s="627">
        <v>3.3439999999999999</v>
      </c>
      <c r="C72" s="45">
        <v>4.165</v>
      </c>
      <c r="D72" s="45">
        <v>4.681</v>
      </c>
      <c r="E72" s="45">
        <v>5.0599999999999996</v>
      </c>
      <c r="F72" s="45">
        <v>5.359</v>
      </c>
      <c r="G72" s="45">
        <v>5.6059999999999999</v>
      </c>
      <c r="H72" s="45">
        <v>5.8150000000000004</v>
      </c>
      <c r="I72" s="45">
        <v>5.9980000000000002</v>
      </c>
      <c r="J72" s="45">
        <v>6.1580000000000004</v>
      </c>
      <c r="K72" s="45">
        <v>6.3019999999999996</v>
      </c>
      <c r="L72" s="45">
        <v>6.431</v>
      </c>
      <c r="M72" s="45">
        <v>6.55</v>
      </c>
      <c r="N72" s="45">
        <v>6.6580000000000004</v>
      </c>
      <c r="O72" s="45">
        <v>6.7590000000000003</v>
      </c>
      <c r="P72" s="45">
        <v>6.8520000000000003</v>
      </c>
      <c r="Q72" s="45">
        <v>7.02</v>
      </c>
      <c r="R72" s="45">
        <v>7.17</v>
      </c>
      <c r="S72" s="45">
        <v>7.423</v>
      </c>
      <c r="T72" s="45">
        <v>7.6340000000000003</v>
      </c>
      <c r="U72" s="45">
        <v>7.8140000000000001</v>
      </c>
      <c r="V72" s="45">
        <v>7.9720000000000004</v>
      </c>
      <c r="W72" s="628">
        <v>8.11</v>
      </c>
    </row>
    <row r="73" spans="1:23" x14ac:dyDescent="0.25">
      <c r="A73">
        <v>8</v>
      </c>
      <c r="B73" s="627">
        <v>3.2610000000000001</v>
      </c>
      <c r="C73" s="45">
        <v>4.0410000000000004</v>
      </c>
      <c r="D73" s="45">
        <v>4.5289999999999999</v>
      </c>
      <c r="E73" s="45">
        <v>4.8860000000000001</v>
      </c>
      <c r="F73" s="45">
        <v>5.1669999999999998</v>
      </c>
      <c r="G73" s="45">
        <v>5.399</v>
      </c>
      <c r="H73" s="45">
        <v>5.5970000000000004</v>
      </c>
      <c r="I73" s="45">
        <v>5.7670000000000003</v>
      </c>
      <c r="J73" s="45">
        <v>5.9180000000000001</v>
      </c>
      <c r="K73" s="45">
        <v>6.0540000000000003</v>
      </c>
      <c r="L73" s="45">
        <v>6.1749999999999998</v>
      </c>
      <c r="M73" s="45">
        <v>6.2869999999999999</v>
      </c>
      <c r="N73" s="45">
        <v>6.3890000000000002</v>
      </c>
      <c r="O73" s="45">
        <v>6.4829999999999997</v>
      </c>
      <c r="P73" s="45">
        <v>6.5709999999999997</v>
      </c>
      <c r="Q73" s="45">
        <v>6.7290000000000001</v>
      </c>
      <c r="R73" s="45">
        <v>6.87</v>
      </c>
      <c r="S73" s="45">
        <v>7.109</v>
      </c>
      <c r="T73" s="45">
        <v>7.3070000000000004</v>
      </c>
      <c r="U73" s="45">
        <v>7.4770000000000003</v>
      </c>
      <c r="V73" s="45">
        <v>7.625</v>
      </c>
      <c r="W73" s="628">
        <v>7.7560000000000002</v>
      </c>
    </row>
    <row r="74" spans="1:23" x14ac:dyDescent="0.25">
      <c r="A74">
        <v>9</v>
      </c>
      <c r="B74" s="627">
        <v>3.1989999999999998</v>
      </c>
      <c r="C74" s="45">
        <v>3.9489999999999998</v>
      </c>
      <c r="D74" s="45">
        <v>4.415</v>
      </c>
      <c r="E74" s="45">
        <v>4.7560000000000002</v>
      </c>
      <c r="F74" s="45">
        <v>5.024</v>
      </c>
      <c r="G74" s="45">
        <v>5.2439999999999998</v>
      </c>
      <c r="H74" s="45">
        <v>5.4320000000000004</v>
      </c>
      <c r="I74" s="45">
        <v>5.5949999999999998</v>
      </c>
      <c r="J74" s="45">
        <v>5.7389999999999999</v>
      </c>
      <c r="K74" s="45">
        <v>5.867</v>
      </c>
      <c r="L74" s="45">
        <v>5.9829999999999997</v>
      </c>
      <c r="M74" s="45">
        <v>6.0890000000000004</v>
      </c>
      <c r="N74" s="45">
        <v>6.1859999999999999</v>
      </c>
      <c r="O74" s="45">
        <v>6.2759999999999998</v>
      </c>
      <c r="P74" s="45">
        <v>6.359</v>
      </c>
      <c r="Q74" s="45">
        <v>6.51</v>
      </c>
      <c r="R74" s="45">
        <v>6.6440000000000001</v>
      </c>
      <c r="S74" s="45">
        <v>6.8710000000000004</v>
      </c>
      <c r="T74" s="45">
        <v>7.0609999999999999</v>
      </c>
      <c r="U74" s="45">
        <v>7.2220000000000004</v>
      </c>
      <c r="V74" s="45">
        <v>7.3630000000000004</v>
      </c>
      <c r="W74" s="628">
        <v>7.4880000000000004</v>
      </c>
    </row>
    <row r="75" spans="1:23" x14ac:dyDescent="0.25">
      <c r="A75">
        <v>10</v>
      </c>
      <c r="B75" s="627">
        <v>3.1509999999999998</v>
      </c>
      <c r="C75" s="45">
        <v>3.8769999999999998</v>
      </c>
      <c r="D75" s="45">
        <v>4.327</v>
      </c>
      <c r="E75" s="45">
        <v>4.6539999999999999</v>
      </c>
      <c r="F75" s="45">
        <v>4.9119999999999999</v>
      </c>
      <c r="G75" s="45">
        <v>5.1239999999999997</v>
      </c>
      <c r="H75" s="45">
        <v>5.3049999999999997</v>
      </c>
      <c r="I75" s="45">
        <v>5.4610000000000003</v>
      </c>
      <c r="J75" s="45">
        <v>5.5990000000000002</v>
      </c>
      <c r="K75" s="45">
        <v>5.7220000000000004</v>
      </c>
      <c r="L75" s="45">
        <v>5.8330000000000002</v>
      </c>
      <c r="M75" s="45">
        <v>5.9349999999999996</v>
      </c>
      <c r="N75" s="45">
        <v>6.0279999999999996</v>
      </c>
      <c r="O75" s="45">
        <v>6.1139999999999999</v>
      </c>
      <c r="P75" s="45">
        <v>6.194</v>
      </c>
      <c r="Q75" s="45">
        <v>6.3390000000000004</v>
      </c>
      <c r="R75" s="45">
        <v>6.4669999999999996</v>
      </c>
      <c r="S75" s="45">
        <v>6.6859999999999999</v>
      </c>
      <c r="T75" s="45">
        <v>6.8680000000000003</v>
      </c>
      <c r="U75" s="45">
        <v>7.0229999999999997</v>
      </c>
      <c r="V75" s="45">
        <v>7.1589999999999998</v>
      </c>
      <c r="W75" s="628">
        <v>7.2789999999999999</v>
      </c>
    </row>
    <row r="76" spans="1:23" x14ac:dyDescent="0.25">
      <c r="A76">
        <v>11</v>
      </c>
      <c r="B76" s="627">
        <v>3.113</v>
      </c>
      <c r="C76" s="45">
        <v>3.82</v>
      </c>
      <c r="D76" s="45">
        <v>4.2560000000000002</v>
      </c>
      <c r="E76" s="45">
        <v>4.5739999999999998</v>
      </c>
      <c r="F76" s="45">
        <v>4.8230000000000004</v>
      </c>
      <c r="G76" s="45">
        <v>5.0279999999999996</v>
      </c>
      <c r="H76" s="45">
        <v>5.202</v>
      </c>
      <c r="I76" s="45">
        <v>5.3529999999999998</v>
      </c>
      <c r="J76" s="45">
        <v>5.4870000000000001</v>
      </c>
      <c r="K76" s="45">
        <v>5.6050000000000004</v>
      </c>
      <c r="L76" s="45">
        <v>5.7130000000000001</v>
      </c>
      <c r="M76" s="45">
        <v>5.8109999999999999</v>
      </c>
      <c r="N76" s="45">
        <v>5.9009999999999998</v>
      </c>
      <c r="O76" s="45">
        <v>5.984</v>
      </c>
      <c r="P76" s="45">
        <v>6.0620000000000003</v>
      </c>
      <c r="Q76" s="45">
        <v>6.202</v>
      </c>
      <c r="R76" s="45">
        <v>6.3259999999999996</v>
      </c>
      <c r="S76" s="45">
        <v>6.5359999999999996</v>
      </c>
      <c r="T76" s="45">
        <v>6.7119999999999997</v>
      </c>
      <c r="U76" s="45">
        <v>6.8630000000000004</v>
      </c>
      <c r="V76" s="45">
        <v>6.9939999999999998</v>
      </c>
      <c r="W76" s="628">
        <v>7.11</v>
      </c>
    </row>
    <row r="77" spans="1:23" x14ac:dyDescent="0.25">
      <c r="A77">
        <v>12</v>
      </c>
      <c r="B77" s="627">
        <v>3.0819999999999999</v>
      </c>
      <c r="C77" s="45">
        <v>3.7730000000000001</v>
      </c>
      <c r="D77" s="45">
        <v>4.1989999999999998</v>
      </c>
      <c r="E77" s="45">
        <v>4.508</v>
      </c>
      <c r="F77" s="45">
        <v>4.7510000000000003</v>
      </c>
      <c r="G77" s="45">
        <v>4.95</v>
      </c>
      <c r="H77" s="45">
        <v>5.1189999999999998</v>
      </c>
      <c r="I77" s="45">
        <v>5.2649999999999997</v>
      </c>
      <c r="J77" s="45">
        <v>5.3949999999999996</v>
      </c>
      <c r="K77" s="45">
        <v>5.5110000000000001</v>
      </c>
      <c r="L77" s="45">
        <v>5.6150000000000002</v>
      </c>
      <c r="M77" s="45">
        <v>5.71</v>
      </c>
      <c r="N77" s="45">
        <v>5.798</v>
      </c>
      <c r="O77" s="45">
        <v>5.8780000000000001</v>
      </c>
      <c r="P77" s="45">
        <v>5.9530000000000003</v>
      </c>
      <c r="Q77" s="45">
        <v>6.0890000000000004</v>
      </c>
      <c r="R77" s="45">
        <v>6.2089999999999996</v>
      </c>
      <c r="S77" s="45">
        <v>6.4139999999999997</v>
      </c>
      <c r="T77" s="45">
        <v>6.585</v>
      </c>
      <c r="U77" s="45">
        <v>6.7309999999999999</v>
      </c>
      <c r="V77" s="45">
        <v>6.8579999999999997</v>
      </c>
      <c r="W77" s="628">
        <v>6.97</v>
      </c>
    </row>
    <row r="78" spans="1:23" x14ac:dyDescent="0.25">
      <c r="A78">
        <v>13</v>
      </c>
      <c r="B78" s="627">
        <v>3.0550000000000002</v>
      </c>
      <c r="C78" s="45">
        <v>3.7349999999999999</v>
      </c>
      <c r="D78" s="45">
        <v>4.1509999999999998</v>
      </c>
      <c r="E78" s="45">
        <v>4.4530000000000003</v>
      </c>
      <c r="F78" s="45">
        <v>4.6900000000000004</v>
      </c>
      <c r="G78" s="45">
        <v>4.8849999999999998</v>
      </c>
      <c r="H78" s="45">
        <v>5.0490000000000004</v>
      </c>
      <c r="I78" s="45">
        <v>5.1920000000000002</v>
      </c>
      <c r="J78" s="45">
        <v>5.3179999999999996</v>
      </c>
      <c r="K78" s="45">
        <v>5.431</v>
      </c>
      <c r="L78" s="45">
        <v>5.5330000000000004</v>
      </c>
      <c r="M78" s="45">
        <v>5.625</v>
      </c>
      <c r="N78" s="45">
        <v>5.7110000000000003</v>
      </c>
      <c r="O78" s="45">
        <v>5.7889999999999997</v>
      </c>
      <c r="P78" s="45">
        <v>5.8620000000000001</v>
      </c>
      <c r="Q78" s="45">
        <v>5.9950000000000001</v>
      </c>
      <c r="R78" s="45">
        <v>6.1120000000000001</v>
      </c>
      <c r="S78" s="45">
        <v>6.3120000000000003</v>
      </c>
      <c r="T78" s="45">
        <v>6.4779999999999998</v>
      </c>
      <c r="U78" s="45">
        <v>6.62</v>
      </c>
      <c r="V78" s="45">
        <v>6.7439999999999998</v>
      </c>
      <c r="W78" s="628">
        <v>6.8540000000000001</v>
      </c>
    </row>
    <row r="79" spans="1:23" x14ac:dyDescent="0.25">
      <c r="A79">
        <v>14</v>
      </c>
      <c r="B79" s="627">
        <v>3.0329999999999999</v>
      </c>
      <c r="C79" s="45">
        <v>3.702</v>
      </c>
      <c r="D79" s="45">
        <v>4.1109999999999998</v>
      </c>
      <c r="E79" s="45">
        <v>4.407</v>
      </c>
      <c r="F79" s="45">
        <v>4.6390000000000002</v>
      </c>
      <c r="G79" s="45">
        <v>4.8289999999999997</v>
      </c>
      <c r="H79" s="45">
        <v>4.99</v>
      </c>
      <c r="I79" s="45">
        <v>5.1310000000000002</v>
      </c>
      <c r="J79" s="45">
        <v>5.2539999999999996</v>
      </c>
      <c r="K79" s="45">
        <v>5.3639999999999999</v>
      </c>
      <c r="L79" s="45">
        <v>5.4630000000000001</v>
      </c>
      <c r="M79" s="45">
        <v>5.5540000000000003</v>
      </c>
      <c r="N79" s="45">
        <v>5.6369999999999996</v>
      </c>
      <c r="O79" s="45">
        <v>5.7140000000000004</v>
      </c>
      <c r="P79" s="45">
        <v>5.7859999999999996</v>
      </c>
      <c r="Q79" s="45">
        <v>5.915</v>
      </c>
      <c r="R79" s="45">
        <v>6.0289999999999999</v>
      </c>
      <c r="S79" s="45">
        <v>6.2240000000000002</v>
      </c>
      <c r="T79" s="45">
        <v>6.3869999999999996</v>
      </c>
      <c r="U79" s="45">
        <v>6.5259999999999998</v>
      </c>
      <c r="V79" s="45">
        <v>6.6470000000000002</v>
      </c>
      <c r="W79" s="628">
        <v>6.7539999999999996</v>
      </c>
    </row>
    <row r="80" spans="1:23" x14ac:dyDescent="0.25">
      <c r="A80">
        <v>15</v>
      </c>
      <c r="B80" s="627">
        <v>3.0139999999999998</v>
      </c>
      <c r="C80" s="45">
        <v>3.6739999999999999</v>
      </c>
      <c r="D80" s="45">
        <v>4.0759999999999996</v>
      </c>
      <c r="E80" s="45">
        <v>4.367</v>
      </c>
      <c r="F80" s="45">
        <v>4.5949999999999998</v>
      </c>
      <c r="G80" s="45">
        <v>4.782</v>
      </c>
      <c r="H80" s="45">
        <v>4.9400000000000004</v>
      </c>
      <c r="I80" s="45">
        <v>5.077</v>
      </c>
      <c r="J80" s="45">
        <v>5.1980000000000004</v>
      </c>
      <c r="K80" s="45">
        <v>5.306</v>
      </c>
      <c r="L80" s="45">
        <v>5.4039999999999999</v>
      </c>
      <c r="M80" s="45">
        <v>5.4930000000000003</v>
      </c>
      <c r="N80" s="45">
        <v>5.5739999999999998</v>
      </c>
      <c r="O80" s="45">
        <v>5.649</v>
      </c>
      <c r="P80" s="45">
        <v>5.72</v>
      </c>
      <c r="Q80" s="45">
        <v>5.8460000000000001</v>
      </c>
      <c r="R80" s="45">
        <v>5.9580000000000002</v>
      </c>
      <c r="S80" s="45">
        <v>6.149</v>
      </c>
      <c r="T80" s="45">
        <v>6.3090000000000002</v>
      </c>
      <c r="U80" s="45">
        <v>6.4450000000000003</v>
      </c>
      <c r="V80" s="45">
        <v>6.5640000000000001</v>
      </c>
      <c r="W80" s="628">
        <v>6.6689999999999996</v>
      </c>
    </row>
    <row r="81" spans="1:23" x14ac:dyDescent="0.25">
      <c r="A81">
        <v>16</v>
      </c>
      <c r="B81" s="627">
        <v>2.9980000000000002</v>
      </c>
      <c r="C81" s="45">
        <v>3.649</v>
      </c>
      <c r="D81" s="45">
        <v>4.0460000000000003</v>
      </c>
      <c r="E81" s="45">
        <v>4.3330000000000002</v>
      </c>
      <c r="F81" s="45">
        <v>4.5570000000000004</v>
      </c>
      <c r="G81" s="45">
        <v>4.7409999999999997</v>
      </c>
      <c r="H81" s="45">
        <v>4.8970000000000002</v>
      </c>
      <c r="I81" s="45">
        <v>5.0309999999999997</v>
      </c>
      <c r="J81" s="45">
        <v>5.15</v>
      </c>
      <c r="K81" s="45">
        <v>5.2560000000000002</v>
      </c>
      <c r="L81" s="45">
        <v>5.3520000000000003</v>
      </c>
      <c r="M81" s="45">
        <v>5.4390000000000001</v>
      </c>
      <c r="N81" s="45">
        <v>5.52</v>
      </c>
      <c r="O81" s="45">
        <v>5.593</v>
      </c>
      <c r="P81" s="45">
        <v>5.6619999999999999</v>
      </c>
      <c r="Q81" s="45">
        <v>5.7859999999999996</v>
      </c>
      <c r="R81" s="45">
        <v>5.8970000000000002</v>
      </c>
      <c r="S81" s="45">
        <v>6.0839999999999996</v>
      </c>
      <c r="T81" s="45">
        <v>6.2409999999999997</v>
      </c>
      <c r="U81" s="45">
        <v>6.3739999999999997</v>
      </c>
      <c r="V81" s="45">
        <v>6.4909999999999997</v>
      </c>
      <c r="W81" s="628">
        <v>6.5940000000000003</v>
      </c>
    </row>
    <row r="82" spans="1:23" x14ac:dyDescent="0.25">
      <c r="A82">
        <v>17</v>
      </c>
      <c r="B82" s="627">
        <v>2.984</v>
      </c>
      <c r="C82" s="45">
        <v>3.6280000000000001</v>
      </c>
      <c r="D82" s="45">
        <v>4.0199999999999996</v>
      </c>
      <c r="E82" s="45">
        <v>4.3029999999999999</v>
      </c>
      <c r="F82" s="45">
        <v>4.524</v>
      </c>
      <c r="G82" s="45">
        <v>4.7050000000000001</v>
      </c>
      <c r="H82" s="45">
        <v>4.8579999999999997</v>
      </c>
      <c r="I82" s="45">
        <v>4.9909999999999997</v>
      </c>
      <c r="J82" s="45">
        <v>5.1079999999999997</v>
      </c>
      <c r="K82" s="45">
        <v>5.2119999999999997</v>
      </c>
      <c r="L82" s="45">
        <v>5.3070000000000004</v>
      </c>
      <c r="M82" s="45">
        <v>5.3920000000000003</v>
      </c>
      <c r="N82" s="45">
        <v>5.4710000000000001</v>
      </c>
      <c r="O82" s="45">
        <v>5.5439999999999996</v>
      </c>
      <c r="P82" s="45">
        <v>5.6120000000000001</v>
      </c>
      <c r="Q82" s="45">
        <v>5.734</v>
      </c>
      <c r="R82" s="45">
        <v>5.8419999999999996</v>
      </c>
      <c r="S82" s="45">
        <v>6.0270000000000001</v>
      </c>
      <c r="T82" s="45">
        <v>6.181</v>
      </c>
      <c r="U82" s="45">
        <v>6.3129999999999997</v>
      </c>
      <c r="V82" s="45">
        <v>6.4269999999999996</v>
      </c>
      <c r="W82" s="628">
        <v>6.5289999999999999</v>
      </c>
    </row>
    <row r="83" spans="1:23" x14ac:dyDescent="0.25">
      <c r="A83">
        <v>18</v>
      </c>
      <c r="B83" s="627">
        <v>2.9710000000000001</v>
      </c>
      <c r="C83" s="45">
        <v>3.609</v>
      </c>
      <c r="D83" s="45">
        <v>3.9969999999999999</v>
      </c>
      <c r="E83" s="45">
        <v>4.2770000000000001</v>
      </c>
      <c r="F83" s="45">
        <v>4.4950000000000001</v>
      </c>
      <c r="G83" s="45">
        <v>4.673</v>
      </c>
      <c r="H83" s="45">
        <v>4.8239999999999998</v>
      </c>
      <c r="I83" s="45">
        <v>4.9560000000000004</v>
      </c>
      <c r="J83" s="45">
        <v>5.0709999999999997</v>
      </c>
      <c r="K83" s="45">
        <v>5.1740000000000004</v>
      </c>
      <c r="L83" s="45">
        <v>5.2670000000000003</v>
      </c>
      <c r="M83" s="45">
        <v>5.3520000000000003</v>
      </c>
      <c r="N83" s="45">
        <v>5.4290000000000003</v>
      </c>
      <c r="O83" s="45">
        <v>5.5010000000000003</v>
      </c>
      <c r="P83" s="45">
        <v>5.5679999999999996</v>
      </c>
      <c r="Q83" s="45">
        <v>5.6879999999999997</v>
      </c>
      <c r="R83" s="45">
        <v>5.7939999999999996</v>
      </c>
      <c r="S83" s="45">
        <v>5.9770000000000003</v>
      </c>
      <c r="T83" s="45">
        <v>6.1280000000000001</v>
      </c>
      <c r="U83" s="45">
        <v>6.258</v>
      </c>
      <c r="V83" s="45">
        <v>6.3710000000000004</v>
      </c>
      <c r="W83" s="628">
        <v>6.4710000000000001</v>
      </c>
    </row>
    <row r="84" spans="1:23" x14ac:dyDescent="0.25">
      <c r="A84">
        <v>19</v>
      </c>
      <c r="B84" s="627">
        <v>2.96</v>
      </c>
      <c r="C84" s="45">
        <v>3.593</v>
      </c>
      <c r="D84" s="45">
        <v>3.9769999999999999</v>
      </c>
      <c r="E84" s="45">
        <v>4.2530000000000001</v>
      </c>
      <c r="F84" s="45">
        <v>4.4690000000000003</v>
      </c>
      <c r="G84" s="45">
        <v>4.6449999999999996</v>
      </c>
      <c r="H84" s="45">
        <v>4.7939999999999996</v>
      </c>
      <c r="I84" s="45">
        <v>4.9240000000000004</v>
      </c>
      <c r="J84" s="45">
        <v>5.0380000000000003</v>
      </c>
      <c r="K84" s="45">
        <v>5.14</v>
      </c>
      <c r="L84" s="45">
        <v>5.2309999999999999</v>
      </c>
      <c r="M84" s="45">
        <v>5.3150000000000004</v>
      </c>
      <c r="N84" s="45">
        <v>5.391</v>
      </c>
      <c r="O84" s="45">
        <v>5.4619999999999997</v>
      </c>
      <c r="P84" s="45">
        <v>5.5279999999999996</v>
      </c>
      <c r="Q84" s="45">
        <v>5.6470000000000002</v>
      </c>
      <c r="R84" s="45">
        <v>5.7519999999999998</v>
      </c>
      <c r="S84" s="45">
        <v>5.9320000000000004</v>
      </c>
      <c r="T84" s="45">
        <v>6.0810000000000004</v>
      </c>
      <c r="U84" s="45">
        <v>6.2089999999999996</v>
      </c>
      <c r="V84" s="45">
        <v>6.3209999999999997</v>
      </c>
      <c r="W84" s="628">
        <v>6.4189999999999996</v>
      </c>
    </row>
    <row r="85" spans="1:23" x14ac:dyDescent="0.25">
      <c r="A85">
        <v>20</v>
      </c>
      <c r="B85" s="627">
        <v>2.95</v>
      </c>
      <c r="C85" s="45">
        <v>3.5779999999999998</v>
      </c>
      <c r="D85" s="45">
        <v>3.9580000000000002</v>
      </c>
      <c r="E85" s="45">
        <v>4.2320000000000002</v>
      </c>
      <c r="F85" s="45">
        <v>4.4450000000000003</v>
      </c>
      <c r="G85" s="45">
        <v>4.62</v>
      </c>
      <c r="H85" s="45">
        <v>4.7679999999999998</v>
      </c>
      <c r="I85" s="45">
        <v>4.8959999999999999</v>
      </c>
      <c r="J85" s="45">
        <v>5.008</v>
      </c>
      <c r="K85" s="45">
        <v>5.1079999999999997</v>
      </c>
      <c r="L85" s="45">
        <v>5.1989999999999998</v>
      </c>
      <c r="M85" s="45">
        <v>5.282</v>
      </c>
      <c r="N85" s="45">
        <v>5.3570000000000002</v>
      </c>
      <c r="O85" s="45">
        <v>5.4269999999999996</v>
      </c>
      <c r="P85" s="45">
        <v>5.4930000000000003</v>
      </c>
      <c r="Q85" s="45">
        <v>5.61</v>
      </c>
      <c r="R85" s="45">
        <v>5.7140000000000004</v>
      </c>
      <c r="S85" s="45">
        <v>5.891</v>
      </c>
      <c r="T85" s="45">
        <v>6.0389999999999997</v>
      </c>
      <c r="U85" s="45">
        <v>6.165</v>
      </c>
      <c r="V85" s="45">
        <v>6.2750000000000004</v>
      </c>
      <c r="W85" s="628">
        <v>6.3730000000000002</v>
      </c>
    </row>
    <row r="86" spans="1:23" x14ac:dyDescent="0.25">
      <c r="A86">
        <v>24</v>
      </c>
      <c r="B86" s="627">
        <v>2.919</v>
      </c>
      <c r="C86" s="45">
        <v>3.532</v>
      </c>
      <c r="D86" s="45">
        <v>3.9009999999999998</v>
      </c>
      <c r="E86" s="45">
        <v>4.1660000000000004</v>
      </c>
      <c r="F86" s="45">
        <v>4.3730000000000002</v>
      </c>
      <c r="G86" s="45">
        <v>4.5410000000000004</v>
      </c>
      <c r="H86" s="45">
        <v>4.6840000000000002</v>
      </c>
      <c r="I86" s="45">
        <v>4.8070000000000004</v>
      </c>
      <c r="J86" s="45">
        <v>4.915</v>
      </c>
      <c r="K86" s="45">
        <v>5.0119999999999996</v>
      </c>
      <c r="L86" s="45">
        <v>5.0990000000000002</v>
      </c>
      <c r="M86" s="45">
        <v>5.1790000000000003</v>
      </c>
      <c r="N86" s="45">
        <v>5.2510000000000003</v>
      </c>
      <c r="O86" s="45">
        <v>5.319</v>
      </c>
      <c r="P86" s="45">
        <v>5.3810000000000002</v>
      </c>
      <c r="Q86" s="45">
        <v>5.4939999999999998</v>
      </c>
      <c r="R86" s="45">
        <v>5.5940000000000003</v>
      </c>
      <c r="S86" s="45">
        <v>5.7640000000000002</v>
      </c>
      <c r="T86" s="45">
        <v>5.9059999999999997</v>
      </c>
      <c r="U86" s="45">
        <v>6.0270000000000001</v>
      </c>
      <c r="V86" s="45">
        <v>6.1319999999999997</v>
      </c>
      <c r="W86" s="628">
        <v>6.226</v>
      </c>
    </row>
    <row r="87" spans="1:23" x14ac:dyDescent="0.25">
      <c r="A87">
        <v>30</v>
      </c>
      <c r="B87" s="627">
        <v>2.8879999999999999</v>
      </c>
      <c r="C87" s="45">
        <v>3.4860000000000002</v>
      </c>
      <c r="D87" s="45">
        <v>3.8450000000000002</v>
      </c>
      <c r="E87" s="45">
        <v>4.1020000000000003</v>
      </c>
      <c r="F87" s="45">
        <v>4.3019999999999996</v>
      </c>
      <c r="G87" s="45">
        <v>4.4640000000000004</v>
      </c>
      <c r="H87" s="45">
        <v>4.6020000000000003</v>
      </c>
      <c r="I87" s="45">
        <v>4.72</v>
      </c>
      <c r="J87" s="45">
        <v>4.8239999999999998</v>
      </c>
      <c r="K87" s="45">
        <v>4.9169999999999998</v>
      </c>
      <c r="L87" s="45">
        <v>5.0010000000000003</v>
      </c>
      <c r="M87" s="45">
        <v>5.077</v>
      </c>
      <c r="N87" s="45">
        <v>5.1470000000000002</v>
      </c>
      <c r="O87" s="45">
        <v>5.2110000000000003</v>
      </c>
      <c r="P87" s="45">
        <v>5.2709999999999999</v>
      </c>
      <c r="Q87" s="45">
        <v>5.3789999999999996</v>
      </c>
      <c r="R87" s="45">
        <v>5.4749999999999996</v>
      </c>
      <c r="S87" s="45">
        <v>5.6379999999999999</v>
      </c>
      <c r="T87" s="45">
        <v>5.774</v>
      </c>
      <c r="U87" s="45">
        <v>5.8890000000000002</v>
      </c>
      <c r="V87" s="45">
        <v>5.99</v>
      </c>
      <c r="W87" s="628">
        <v>6.08</v>
      </c>
    </row>
    <row r="88" spans="1:23" x14ac:dyDescent="0.25">
      <c r="A88">
        <v>40</v>
      </c>
      <c r="B88" s="627">
        <v>2.8580000000000001</v>
      </c>
      <c r="C88" s="45">
        <v>3.4420000000000002</v>
      </c>
      <c r="D88" s="45">
        <v>3.7909999999999999</v>
      </c>
      <c r="E88" s="45">
        <v>4.0389999999999997</v>
      </c>
      <c r="F88" s="45">
        <v>4.2320000000000002</v>
      </c>
      <c r="G88" s="45">
        <v>4.3890000000000002</v>
      </c>
      <c r="H88" s="45">
        <v>4.5209999999999999</v>
      </c>
      <c r="I88" s="45">
        <v>4.6349999999999998</v>
      </c>
      <c r="J88" s="45">
        <v>4.7350000000000003</v>
      </c>
      <c r="K88" s="45">
        <v>4.8239999999999998</v>
      </c>
      <c r="L88" s="45">
        <v>4.9039999999999999</v>
      </c>
      <c r="M88" s="45">
        <v>4.9770000000000003</v>
      </c>
      <c r="N88" s="45">
        <v>5.0439999999999996</v>
      </c>
      <c r="O88" s="45">
        <v>5.1059999999999999</v>
      </c>
      <c r="P88" s="45">
        <v>5.1630000000000003</v>
      </c>
      <c r="Q88" s="45">
        <v>5.266</v>
      </c>
      <c r="R88" s="45">
        <v>5.3579999999999997</v>
      </c>
      <c r="S88" s="45">
        <v>5.5129999999999999</v>
      </c>
      <c r="T88" s="45">
        <v>5.6420000000000003</v>
      </c>
      <c r="U88" s="45">
        <v>5.7530000000000001</v>
      </c>
      <c r="V88" s="45">
        <v>5.8490000000000002</v>
      </c>
      <c r="W88" s="628">
        <v>5.9340000000000002</v>
      </c>
    </row>
    <row r="89" spans="1:23" x14ac:dyDescent="0.25">
      <c r="A89">
        <v>60</v>
      </c>
      <c r="B89" s="627">
        <v>2.8290000000000002</v>
      </c>
      <c r="C89" s="45">
        <v>3.399</v>
      </c>
      <c r="D89" s="45">
        <v>3.7370000000000001</v>
      </c>
      <c r="E89" s="45">
        <v>3.9769999999999999</v>
      </c>
      <c r="F89" s="45">
        <v>4.1630000000000003</v>
      </c>
      <c r="G89" s="45">
        <v>4.3140000000000001</v>
      </c>
      <c r="H89" s="45">
        <v>4.4409999999999998</v>
      </c>
      <c r="I89" s="45">
        <v>4.55</v>
      </c>
      <c r="J89" s="45">
        <v>4.6459999999999999</v>
      </c>
      <c r="K89" s="45">
        <v>4.7320000000000002</v>
      </c>
      <c r="L89" s="45">
        <v>4.8079999999999998</v>
      </c>
      <c r="M89" s="45">
        <v>4.8780000000000001</v>
      </c>
      <c r="N89" s="45">
        <v>4.9420000000000002</v>
      </c>
      <c r="O89" s="45">
        <v>5.0010000000000003</v>
      </c>
      <c r="P89" s="45">
        <v>5.056</v>
      </c>
      <c r="Q89" s="45">
        <v>5.1539999999999999</v>
      </c>
      <c r="R89" s="45">
        <v>5.2409999999999997</v>
      </c>
      <c r="S89" s="45">
        <v>5.3890000000000002</v>
      </c>
      <c r="T89" s="45">
        <v>5.5119999999999996</v>
      </c>
      <c r="U89" s="45">
        <v>5.617</v>
      </c>
      <c r="V89" s="45">
        <v>5.7080000000000002</v>
      </c>
      <c r="W89" s="628">
        <v>5.7889999999999997</v>
      </c>
    </row>
    <row r="90" spans="1:23" x14ac:dyDescent="0.25">
      <c r="A90">
        <v>120</v>
      </c>
      <c r="B90" s="627">
        <v>2.8</v>
      </c>
      <c r="C90" s="45">
        <v>3.3559999999999999</v>
      </c>
      <c r="D90" s="45">
        <v>3.6850000000000001</v>
      </c>
      <c r="E90" s="45">
        <v>3.9169999999999998</v>
      </c>
      <c r="F90" s="45">
        <v>4.0960000000000001</v>
      </c>
      <c r="G90" s="45">
        <v>4.2409999999999997</v>
      </c>
      <c r="H90" s="45">
        <v>4.3630000000000004</v>
      </c>
      <c r="I90" s="45">
        <v>4.468</v>
      </c>
      <c r="J90" s="45">
        <v>4.5599999999999996</v>
      </c>
      <c r="K90" s="45">
        <v>4.641</v>
      </c>
      <c r="L90" s="45">
        <v>4.7140000000000004</v>
      </c>
      <c r="M90" s="45">
        <v>4.7809999999999997</v>
      </c>
      <c r="N90" s="45">
        <v>4.8419999999999996</v>
      </c>
      <c r="O90" s="45">
        <v>4.8979999999999997</v>
      </c>
      <c r="P90" s="45">
        <v>4.95</v>
      </c>
      <c r="Q90" s="45">
        <v>5.0439999999999996</v>
      </c>
      <c r="R90" s="45">
        <v>5.1260000000000003</v>
      </c>
      <c r="S90" s="45">
        <v>5.266</v>
      </c>
      <c r="T90" s="45">
        <v>5.3819999999999997</v>
      </c>
      <c r="U90" s="45">
        <v>5.4809999999999999</v>
      </c>
      <c r="V90" s="45">
        <v>5.5679999999999996</v>
      </c>
      <c r="W90" s="628">
        <v>5.6440000000000001</v>
      </c>
    </row>
    <row r="91" spans="1:23" x14ac:dyDescent="0.25">
      <c r="A91" s="13" t="s">
        <v>559</v>
      </c>
      <c r="B91" s="629">
        <v>2.7719999999999998</v>
      </c>
      <c r="C91" s="981">
        <v>3.3140000000000001</v>
      </c>
      <c r="D91" s="981">
        <v>3.633</v>
      </c>
      <c r="E91" s="981">
        <v>3.8580000000000001</v>
      </c>
      <c r="F91" s="981">
        <v>4.03</v>
      </c>
      <c r="G91" s="981">
        <v>4.17</v>
      </c>
      <c r="H91" s="981">
        <v>4.2859999999999996</v>
      </c>
      <c r="I91" s="981">
        <v>4.3869999999999996</v>
      </c>
      <c r="J91" s="981">
        <v>4.4740000000000002</v>
      </c>
      <c r="K91" s="981">
        <v>4.5519999999999996</v>
      </c>
      <c r="L91" s="981">
        <v>4.6219999999999999</v>
      </c>
      <c r="M91" s="981">
        <v>4.6849999999999996</v>
      </c>
      <c r="N91" s="981">
        <v>4.7430000000000003</v>
      </c>
      <c r="O91" s="981">
        <v>4.7960000000000003</v>
      </c>
      <c r="P91" s="981">
        <v>4.8449999999999998</v>
      </c>
      <c r="Q91" s="981">
        <v>4.9340000000000002</v>
      </c>
      <c r="R91" s="981">
        <v>5.0119999999999996</v>
      </c>
      <c r="S91" s="981">
        <v>5.1440000000000001</v>
      </c>
      <c r="T91" s="981">
        <v>5.2530000000000001</v>
      </c>
      <c r="U91" s="981">
        <v>5.3460000000000001</v>
      </c>
      <c r="V91" s="981">
        <v>5.4269999999999996</v>
      </c>
      <c r="W91" s="630">
        <v>5.4980000000000002</v>
      </c>
    </row>
    <row r="93" spans="1:23" x14ac:dyDescent="0.25">
      <c r="A93" t="s">
        <v>34</v>
      </c>
      <c r="B93">
        <v>5.0000000000000001E-3</v>
      </c>
    </row>
    <row r="94" spans="1:23" x14ac:dyDescent="0.25">
      <c r="B94" t="s">
        <v>101</v>
      </c>
    </row>
    <row r="95" spans="1:23" x14ac:dyDescent="0.25">
      <c r="A95" s="13" t="s">
        <v>60</v>
      </c>
      <c r="B95">
        <v>2</v>
      </c>
      <c r="C95">
        <f>B95+1</f>
        <v>3</v>
      </c>
      <c r="D95">
        <f t="shared" ref="D95:L95" si="3">C95+1</f>
        <v>4</v>
      </c>
      <c r="E95">
        <f t="shared" si="3"/>
        <v>5</v>
      </c>
      <c r="F95">
        <f t="shared" si="3"/>
        <v>6</v>
      </c>
      <c r="G95">
        <f t="shared" si="3"/>
        <v>7</v>
      </c>
      <c r="H95">
        <f t="shared" si="3"/>
        <v>8</v>
      </c>
      <c r="I95">
        <f t="shared" si="3"/>
        <v>9</v>
      </c>
      <c r="J95">
        <f t="shared" si="3"/>
        <v>10</v>
      </c>
      <c r="K95">
        <f t="shared" si="3"/>
        <v>11</v>
      </c>
      <c r="L95">
        <f t="shared" si="3"/>
        <v>12</v>
      </c>
      <c r="M95">
        <v>13</v>
      </c>
      <c r="N95">
        <f>M95+1</f>
        <v>14</v>
      </c>
      <c r="O95">
        <f>N95+1</f>
        <v>15</v>
      </c>
      <c r="P95">
        <f>O95+1</f>
        <v>16</v>
      </c>
      <c r="Q95">
        <f>P95+2</f>
        <v>18</v>
      </c>
      <c r="R95">
        <f>Q95+2</f>
        <v>20</v>
      </c>
      <c r="S95">
        <f>R95+4</f>
        <v>24</v>
      </c>
      <c r="T95">
        <f>S95+4</f>
        <v>28</v>
      </c>
      <c r="U95">
        <f>T95+4</f>
        <v>32</v>
      </c>
      <c r="V95">
        <f>U95+4</f>
        <v>36</v>
      </c>
      <c r="W95">
        <f>V95+4</f>
        <v>40</v>
      </c>
    </row>
    <row r="96" spans="1:23" x14ac:dyDescent="0.25">
      <c r="A96">
        <v>1</v>
      </c>
      <c r="B96" s="3">
        <v>180.1</v>
      </c>
      <c r="C96" s="827">
        <v>270.10000000000002</v>
      </c>
      <c r="D96" s="827">
        <v>328.5</v>
      </c>
      <c r="E96" s="827">
        <v>371.2</v>
      </c>
      <c r="F96" s="827">
        <v>404.4</v>
      </c>
      <c r="G96" s="827">
        <v>431.6</v>
      </c>
      <c r="H96" s="827">
        <v>454.4</v>
      </c>
      <c r="I96" s="965">
        <v>474</v>
      </c>
      <c r="J96" s="965">
        <v>491.1</v>
      </c>
      <c r="K96" s="965">
        <v>506.3</v>
      </c>
      <c r="L96" s="965">
        <v>520</v>
      </c>
      <c r="M96" s="827">
        <v>532.4</v>
      </c>
      <c r="N96" s="827">
        <v>543.6</v>
      </c>
      <c r="O96" s="965">
        <v>554</v>
      </c>
      <c r="P96" s="827">
        <v>563.6</v>
      </c>
      <c r="Q96" s="827">
        <v>580.9</v>
      </c>
      <c r="R96" s="965">
        <v>596</v>
      </c>
      <c r="S96" s="827">
        <v>621.70000000000005</v>
      </c>
      <c r="T96" s="827">
        <v>642.70000000000005</v>
      </c>
      <c r="U96" s="827">
        <v>660.6</v>
      </c>
      <c r="V96" s="965">
        <v>676</v>
      </c>
      <c r="W96" s="5">
        <v>689.6</v>
      </c>
    </row>
    <row r="97" spans="1:23" x14ac:dyDescent="0.25">
      <c r="A97">
        <v>2</v>
      </c>
      <c r="B97" s="532">
        <v>19.93</v>
      </c>
      <c r="C97" s="7">
        <v>26.97</v>
      </c>
      <c r="D97" s="7">
        <v>31.6</v>
      </c>
      <c r="E97" s="7">
        <v>35.020000000000003</v>
      </c>
      <c r="F97" s="7">
        <v>37.729999999999997</v>
      </c>
      <c r="G97" s="7">
        <v>39.950000000000003</v>
      </c>
      <c r="H97" s="7">
        <v>41.83</v>
      </c>
      <c r="I97" s="7">
        <v>43.46</v>
      </c>
      <c r="J97" s="7">
        <v>44.89</v>
      </c>
      <c r="K97" s="7">
        <v>46.16</v>
      </c>
      <c r="L97" s="7">
        <v>47.31</v>
      </c>
      <c r="M97" s="7">
        <v>48.35</v>
      </c>
      <c r="N97" s="7">
        <v>49.3</v>
      </c>
      <c r="O97" s="7">
        <v>50.17</v>
      </c>
      <c r="P97" s="7">
        <v>50.99</v>
      </c>
      <c r="Q97" s="7">
        <v>52.45</v>
      </c>
      <c r="R97" s="7">
        <v>53.74</v>
      </c>
      <c r="S97" s="7">
        <v>55.92</v>
      </c>
      <c r="T97" s="7">
        <v>57.73</v>
      </c>
      <c r="U97" s="7">
        <v>59.26</v>
      </c>
      <c r="V97" s="7">
        <v>60.59</v>
      </c>
      <c r="W97" s="533">
        <v>61.76</v>
      </c>
    </row>
    <row r="98" spans="1:23" x14ac:dyDescent="0.25">
      <c r="A98">
        <v>3</v>
      </c>
      <c r="B98" s="532">
        <v>10.55</v>
      </c>
      <c r="C98" s="43">
        <v>13.5</v>
      </c>
      <c r="D98" s="7">
        <v>15.45</v>
      </c>
      <c r="E98" s="7">
        <v>16.91</v>
      </c>
      <c r="F98" s="7">
        <v>18.059999999999999</v>
      </c>
      <c r="G98" s="7">
        <v>19.010000000000002</v>
      </c>
      <c r="H98" s="7">
        <v>19.829999999999998</v>
      </c>
      <c r="I98" s="7">
        <v>20.53</v>
      </c>
      <c r="J98" s="7">
        <v>21.15</v>
      </c>
      <c r="K98" s="43">
        <v>21.7</v>
      </c>
      <c r="L98" s="43">
        <v>22.2</v>
      </c>
      <c r="M98" s="7">
        <v>22.66</v>
      </c>
      <c r="N98" s="7">
        <v>23.08</v>
      </c>
      <c r="O98" s="7">
        <v>23.46</v>
      </c>
      <c r="P98" s="7">
        <v>23.82</v>
      </c>
      <c r="Q98" s="7">
        <v>24.46</v>
      </c>
      <c r="R98" s="7">
        <v>25.03</v>
      </c>
      <c r="S98" s="43">
        <v>26</v>
      </c>
      <c r="T98" s="43">
        <v>26.8</v>
      </c>
      <c r="U98" s="7">
        <v>27.48</v>
      </c>
      <c r="V98" s="7">
        <v>28.07</v>
      </c>
      <c r="W98" s="573">
        <v>28.6</v>
      </c>
    </row>
    <row r="99" spans="1:23" x14ac:dyDescent="0.25">
      <c r="A99">
        <v>4</v>
      </c>
      <c r="B99" s="532">
        <v>7.9160000000000004</v>
      </c>
      <c r="C99" s="7">
        <v>9.8140000000000001</v>
      </c>
      <c r="D99" s="7">
        <v>11.06</v>
      </c>
      <c r="E99" s="7">
        <v>11.99</v>
      </c>
      <c r="F99" s="7">
        <v>12.74</v>
      </c>
      <c r="G99" s="7">
        <v>13.35</v>
      </c>
      <c r="H99" s="7">
        <v>13.88</v>
      </c>
      <c r="I99" s="7">
        <v>14.33</v>
      </c>
      <c r="J99" s="7">
        <v>14.74</v>
      </c>
      <c r="K99" s="43">
        <v>15.1</v>
      </c>
      <c r="L99" s="43">
        <v>15.42</v>
      </c>
      <c r="M99" s="7">
        <v>15.72</v>
      </c>
      <c r="N99" s="7">
        <v>15.99</v>
      </c>
      <c r="O99" s="7">
        <v>16.239999999999998</v>
      </c>
      <c r="P99" s="7">
        <v>16.48</v>
      </c>
      <c r="Q99" s="43">
        <v>16.899999999999999</v>
      </c>
      <c r="R99" s="7">
        <v>17.28</v>
      </c>
      <c r="S99" s="7">
        <v>17.91</v>
      </c>
      <c r="T99" s="7">
        <v>18.440000000000001</v>
      </c>
      <c r="U99" s="7">
        <v>18.89</v>
      </c>
      <c r="V99" s="7">
        <v>19.28</v>
      </c>
      <c r="W99" s="533">
        <v>19.63</v>
      </c>
    </row>
    <row r="100" spans="1:23" x14ac:dyDescent="0.25">
      <c r="A100">
        <v>5</v>
      </c>
      <c r="B100" s="532">
        <v>6.7510000000000003</v>
      </c>
      <c r="C100" s="7">
        <v>8.1959999999999997</v>
      </c>
      <c r="D100" s="7">
        <v>9.141</v>
      </c>
      <c r="E100" s="7">
        <v>9.8469999999999995</v>
      </c>
      <c r="F100" s="7">
        <v>10.41</v>
      </c>
      <c r="G100" s="7">
        <v>10.88</v>
      </c>
      <c r="H100" s="7">
        <v>11.28</v>
      </c>
      <c r="I100" s="7">
        <v>11.63</v>
      </c>
      <c r="J100" s="7">
        <v>11.93</v>
      </c>
      <c r="K100" s="7">
        <v>12.21</v>
      </c>
      <c r="L100" s="7">
        <v>12.46</v>
      </c>
      <c r="M100" s="7">
        <v>12.69</v>
      </c>
      <c r="N100" s="43">
        <v>12.9</v>
      </c>
      <c r="O100" s="7">
        <v>13.09</v>
      </c>
      <c r="P100" s="7">
        <v>13.27</v>
      </c>
      <c r="Q100" s="43">
        <v>13.6</v>
      </c>
      <c r="R100" s="7">
        <v>13.89</v>
      </c>
      <c r="S100" s="7">
        <v>14.38</v>
      </c>
      <c r="T100" s="7">
        <v>14.79</v>
      </c>
      <c r="U100" s="7">
        <v>15.13</v>
      </c>
      <c r="V100" s="7">
        <v>15.44</v>
      </c>
      <c r="W100" s="533">
        <v>15.71</v>
      </c>
    </row>
    <row r="101" spans="1:23" x14ac:dyDescent="0.25">
      <c r="A101">
        <v>6</v>
      </c>
      <c r="B101" s="532">
        <v>6.1050000000000004</v>
      </c>
      <c r="C101" s="7">
        <v>7.306</v>
      </c>
      <c r="D101" s="7">
        <v>8.0879999999999992</v>
      </c>
      <c r="E101" s="45">
        <v>8.67</v>
      </c>
      <c r="F101" s="7">
        <v>9.1349999999999998</v>
      </c>
      <c r="G101" s="7">
        <v>9.5220000000000002</v>
      </c>
      <c r="H101" s="7">
        <v>9.8520000000000003</v>
      </c>
      <c r="I101" s="7">
        <v>10.14</v>
      </c>
      <c r="J101" s="43">
        <v>10.4</v>
      </c>
      <c r="K101" s="7">
        <v>10.63</v>
      </c>
      <c r="L101" s="7">
        <v>10.83</v>
      </c>
      <c r="M101" s="7">
        <v>11.02</v>
      </c>
      <c r="N101" s="43">
        <v>11.2</v>
      </c>
      <c r="O101" s="7">
        <v>11.36</v>
      </c>
      <c r="P101" s="7">
        <v>11.51</v>
      </c>
      <c r="Q101" s="7">
        <v>11.78</v>
      </c>
      <c r="R101" s="7">
        <v>12.02</v>
      </c>
      <c r="S101" s="7">
        <v>12.43</v>
      </c>
      <c r="T101" s="7">
        <v>12.77</v>
      </c>
      <c r="U101" s="7">
        <v>13.06</v>
      </c>
      <c r="V101" s="7">
        <v>13.32</v>
      </c>
      <c r="W101" s="533">
        <v>13.54</v>
      </c>
    </row>
    <row r="102" spans="1:23" x14ac:dyDescent="0.25">
      <c r="A102">
        <v>7</v>
      </c>
      <c r="B102" s="627">
        <v>5.6989999999999998</v>
      </c>
      <c r="C102" s="45">
        <v>6.75</v>
      </c>
      <c r="D102" s="7">
        <v>7.4290000000000003</v>
      </c>
      <c r="E102" s="7">
        <v>7.9349999999999996</v>
      </c>
      <c r="F102" s="7">
        <v>8.3390000000000004</v>
      </c>
      <c r="G102" s="7">
        <v>8.6739999999999995</v>
      </c>
      <c r="H102" s="7">
        <v>8.9610000000000003</v>
      </c>
      <c r="I102" s="7">
        <v>9.2110000000000003</v>
      </c>
      <c r="J102" s="7">
        <v>9.4329999999999998</v>
      </c>
      <c r="K102" s="7">
        <v>9.6319999999999997</v>
      </c>
      <c r="L102" s="7">
        <v>9.8119999999999994</v>
      </c>
      <c r="M102" s="7">
        <v>9.9770000000000003</v>
      </c>
      <c r="N102" s="7">
        <v>10.130000000000001</v>
      </c>
      <c r="O102" s="7">
        <v>10.27</v>
      </c>
      <c r="P102" s="43">
        <v>10.4</v>
      </c>
      <c r="Q102" s="7">
        <v>10.64</v>
      </c>
      <c r="R102" s="7">
        <v>10.85</v>
      </c>
      <c r="S102" s="7">
        <v>11.21</v>
      </c>
      <c r="T102" s="43">
        <v>11.5</v>
      </c>
      <c r="U102" s="7">
        <v>11.76</v>
      </c>
      <c r="V102" s="7">
        <v>11.99</v>
      </c>
      <c r="W102" s="533">
        <v>12.18</v>
      </c>
    </row>
    <row r="103" spans="1:23" x14ac:dyDescent="0.25">
      <c r="A103">
        <v>8</v>
      </c>
      <c r="B103" s="627">
        <v>5.42</v>
      </c>
      <c r="C103" s="45">
        <v>6.37</v>
      </c>
      <c r="D103" s="7">
        <v>6.9809999999999999</v>
      </c>
      <c r="E103" s="7">
        <v>7.4349999999999996</v>
      </c>
      <c r="F103" s="7">
        <v>7.7969999999999997</v>
      </c>
      <c r="G103" s="7">
        <v>8.0969999999999995</v>
      </c>
      <c r="H103" s="7">
        <v>8.3539999999999992</v>
      </c>
      <c r="I103" s="7">
        <v>8.5779999999999994</v>
      </c>
      <c r="J103" s="7">
        <v>8.7769999999999992</v>
      </c>
      <c r="K103" s="7">
        <v>8.9550000000000001</v>
      </c>
      <c r="L103" s="7">
        <v>9.1170000000000009</v>
      </c>
      <c r="M103" s="7">
        <v>9.2650000000000006</v>
      </c>
      <c r="N103" s="7">
        <v>9.4009999999999998</v>
      </c>
      <c r="O103" s="7">
        <v>9.5269999999999992</v>
      </c>
      <c r="P103" s="7">
        <v>9.6440000000000001</v>
      </c>
      <c r="Q103" s="7">
        <v>9.8569999999999993</v>
      </c>
      <c r="R103" s="7">
        <v>10.039999999999999</v>
      </c>
      <c r="S103" s="7">
        <v>10.37</v>
      </c>
      <c r="T103" s="7">
        <v>10.64</v>
      </c>
      <c r="U103" s="7">
        <v>10.87</v>
      </c>
      <c r="V103" s="7">
        <v>11.07</v>
      </c>
      <c r="W103" s="533">
        <v>11.25</v>
      </c>
    </row>
    <row r="104" spans="1:23" x14ac:dyDescent="0.25">
      <c r="A104">
        <v>9</v>
      </c>
      <c r="B104" s="532">
        <v>5.218</v>
      </c>
      <c r="C104" s="7">
        <v>6.0960000000000001</v>
      </c>
      <c r="D104" s="7">
        <v>6.657</v>
      </c>
      <c r="E104" s="7">
        <v>7.0739999999999998</v>
      </c>
      <c r="F104" s="7">
        <v>7.4050000000000002</v>
      </c>
      <c r="G104" s="45">
        <v>7.68</v>
      </c>
      <c r="H104" s="7">
        <v>7.915</v>
      </c>
      <c r="I104" s="45">
        <v>8.1199999999999992</v>
      </c>
      <c r="J104" s="7">
        <v>8.3030000000000008</v>
      </c>
      <c r="K104" s="7">
        <v>8.4659999999999993</v>
      </c>
      <c r="L104" s="7">
        <v>8.6140000000000008</v>
      </c>
      <c r="M104" s="7">
        <v>8.7490000000000006</v>
      </c>
      <c r="N104" s="7">
        <v>8.8740000000000006</v>
      </c>
      <c r="O104" s="45">
        <v>8.99</v>
      </c>
      <c r="P104" s="7">
        <v>9.0969999999999995</v>
      </c>
      <c r="Q104" s="7">
        <v>9.2919999999999998</v>
      </c>
      <c r="R104" s="7">
        <v>9.4649999999999999</v>
      </c>
      <c r="S104" s="7">
        <v>9.7609999999999992</v>
      </c>
      <c r="T104" s="7">
        <v>10.01</v>
      </c>
      <c r="U104" s="7">
        <v>10.220000000000001</v>
      </c>
      <c r="V104" s="7">
        <v>10.41</v>
      </c>
      <c r="W104" s="533">
        <v>10.58</v>
      </c>
    </row>
    <row r="105" spans="1:23" x14ac:dyDescent="0.25">
      <c r="A105">
        <v>10</v>
      </c>
      <c r="B105" s="532">
        <v>5.0650000000000004</v>
      </c>
      <c r="C105" s="7">
        <v>5.8879999999999999</v>
      </c>
      <c r="D105" s="7">
        <v>6.4119999999999999</v>
      </c>
      <c r="E105" s="45">
        <v>6.8</v>
      </c>
      <c r="F105" s="7">
        <v>7.109</v>
      </c>
      <c r="G105" s="45">
        <v>7.3650000000000002</v>
      </c>
      <c r="H105" s="7">
        <v>7.5839999999999996</v>
      </c>
      <c r="I105" s="7">
        <v>7.7750000000000004</v>
      </c>
      <c r="J105" s="7">
        <v>7.944</v>
      </c>
      <c r="K105" s="7">
        <v>8.0960000000000001</v>
      </c>
      <c r="L105" s="7">
        <v>8.234</v>
      </c>
      <c r="M105" s="45">
        <v>8.36</v>
      </c>
      <c r="N105" s="7">
        <v>8.4760000000000009</v>
      </c>
      <c r="O105" s="7">
        <v>8.5830000000000002</v>
      </c>
      <c r="P105" s="7">
        <v>8.6829999999999998</v>
      </c>
      <c r="Q105" s="7">
        <v>8.8650000000000002</v>
      </c>
      <c r="R105" s="7">
        <v>9.0259999999999998</v>
      </c>
      <c r="S105" s="7">
        <v>9.3019999999999996</v>
      </c>
      <c r="T105" s="7">
        <v>9.532</v>
      </c>
      <c r="U105" s="45">
        <v>9.73</v>
      </c>
      <c r="V105" s="7">
        <v>9.9039999999999999</v>
      </c>
      <c r="W105" s="533">
        <v>10.06</v>
      </c>
    </row>
    <row r="106" spans="1:23" x14ac:dyDescent="0.25">
      <c r="A106">
        <v>11</v>
      </c>
      <c r="B106" s="532">
        <v>4.9450000000000003</v>
      </c>
      <c r="C106" s="7">
        <v>5.7270000000000003</v>
      </c>
      <c r="D106" s="7">
        <v>6.2220000000000004</v>
      </c>
      <c r="E106" s="7">
        <v>6.5880000000000001</v>
      </c>
      <c r="F106" s="7">
        <v>6.8780000000000001</v>
      </c>
      <c r="G106" s="45">
        <v>7.1189999999999998</v>
      </c>
      <c r="H106" s="7">
        <v>7.3250000000000002</v>
      </c>
      <c r="I106" s="7">
        <v>7.5049999999999999</v>
      </c>
      <c r="J106" s="7">
        <v>7.6639999999999997</v>
      </c>
      <c r="K106" s="7">
        <v>7.8070000000000004</v>
      </c>
      <c r="L106" s="7">
        <v>7.9370000000000003</v>
      </c>
      <c r="M106" s="7">
        <v>8.0549999999999997</v>
      </c>
      <c r="N106" s="7">
        <v>8.1639999999999997</v>
      </c>
      <c r="O106" s="7">
        <v>8.2650000000000006</v>
      </c>
      <c r="P106" s="7">
        <v>8.359</v>
      </c>
      <c r="Q106" s="45">
        <v>8.5299999999999994</v>
      </c>
      <c r="R106" s="7">
        <v>8.6820000000000004</v>
      </c>
      <c r="S106" s="7">
        <v>8.9410000000000007</v>
      </c>
      <c r="T106" s="7">
        <v>9.1590000000000007</v>
      </c>
      <c r="U106" s="7">
        <v>9.3450000000000006</v>
      </c>
      <c r="V106" s="7">
        <v>9.5090000000000003</v>
      </c>
      <c r="W106" s="533">
        <v>9.6539999999999999</v>
      </c>
    </row>
    <row r="107" spans="1:23" x14ac:dyDescent="0.25">
      <c r="A107">
        <v>12</v>
      </c>
      <c r="B107" s="532">
        <v>4.8490000000000002</v>
      </c>
      <c r="C107" s="7">
        <v>5.5970000000000004</v>
      </c>
      <c r="D107" s="7">
        <v>6.0679999999999996</v>
      </c>
      <c r="E107" s="7">
        <v>6.4160000000000004</v>
      </c>
      <c r="F107" s="7">
        <v>6.6929999999999996</v>
      </c>
      <c r="G107" s="45">
        <v>6.9219999999999997</v>
      </c>
      <c r="H107" s="7">
        <v>7.1180000000000003</v>
      </c>
      <c r="I107" s="7">
        <v>7.2880000000000003</v>
      </c>
      <c r="J107" s="7">
        <v>7.4390000000000001</v>
      </c>
      <c r="K107" s="7">
        <v>7.5750000000000002</v>
      </c>
      <c r="L107" s="7">
        <v>7.6970000000000001</v>
      </c>
      <c r="M107" s="45">
        <v>7.81</v>
      </c>
      <c r="N107" s="7">
        <v>7.9139999999999997</v>
      </c>
      <c r="O107" s="7">
        <v>8.0090000000000003</v>
      </c>
      <c r="P107" s="7">
        <v>8.0990000000000002</v>
      </c>
      <c r="Q107" s="45">
        <v>8.2609999999999992</v>
      </c>
      <c r="R107" s="7">
        <v>8.4049999999999994</v>
      </c>
      <c r="S107" s="7">
        <v>8.6519999999999992</v>
      </c>
      <c r="T107" s="7">
        <v>8.8580000000000005</v>
      </c>
      <c r="U107" s="7">
        <v>9.0359999999999996</v>
      </c>
      <c r="V107" s="7">
        <v>9.1910000000000007</v>
      </c>
      <c r="W107" s="533">
        <v>9.3279999999999994</v>
      </c>
    </row>
    <row r="108" spans="1:23" x14ac:dyDescent="0.25">
      <c r="A108">
        <v>13</v>
      </c>
      <c r="B108" s="627">
        <v>4.7699999999999996</v>
      </c>
      <c r="C108" s="45">
        <v>5.49</v>
      </c>
      <c r="D108" s="7">
        <v>5.9429999999999996</v>
      </c>
      <c r="E108" s="7">
        <v>6.2770000000000001</v>
      </c>
      <c r="F108" s="7">
        <v>6.5410000000000004</v>
      </c>
      <c r="G108" s="45">
        <v>6.76</v>
      </c>
      <c r="H108" s="7">
        <v>6.9470000000000001</v>
      </c>
      <c r="I108" s="7">
        <v>7.1109999999999998</v>
      </c>
      <c r="J108" s="7">
        <v>7.2549999999999999</v>
      </c>
      <c r="K108" s="7">
        <v>7.3840000000000003</v>
      </c>
      <c r="L108" s="7">
        <v>7.5019999999999998</v>
      </c>
      <c r="M108" s="7">
        <v>7.609</v>
      </c>
      <c r="N108" s="7">
        <v>7.7080000000000002</v>
      </c>
      <c r="O108" s="45">
        <v>7.8</v>
      </c>
      <c r="P108" s="7">
        <v>7.8860000000000001</v>
      </c>
      <c r="Q108" s="45">
        <v>8.0399999999999991</v>
      </c>
      <c r="R108" s="7">
        <v>8.1780000000000008</v>
      </c>
      <c r="S108" s="7">
        <v>8.4139999999999997</v>
      </c>
      <c r="T108" s="7">
        <v>8.6110000000000007</v>
      </c>
      <c r="U108" s="7">
        <v>8.7810000000000006</v>
      </c>
      <c r="V108" s="7">
        <v>8.9290000000000003</v>
      </c>
      <c r="W108" s="533">
        <v>9.0609999999999999</v>
      </c>
    </row>
    <row r="109" spans="1:23" x14ac:dyDescent="0.25">
      <c r="A109">
        <v>14</v>
      </c>
      <c r="B109" s="532">
        <v>4.7039999999999997</v>
      </c>
      <c r="C109" s="7">
        <v>5.4009999999999998</v>
      </c>
      <c r="D109" s="7">
        <v>5.8380000000000001</v>
      </c>
      <c r="E109" s="45">
        <v>6.16</v>
      </c>
      <c r="F109" s="7">
        <v>6.4139999999999997</v>
      </c>
      <c r="G109" s="7">
        <v>6.6260000000000003</v>
      </c>
      <c r="H109" s="7">
        <v>6.8049999999999997</v>
      </c>
      <c r="I109" s="7">
        <v>6.9619999999999997</v>
      </c>
      <c r="J109" s="7">
        <v>7.101</v>
      </c>
      <c r="K109" s="7">
        <v>7.2249999999999996</v>
      </c>
      <c r="L109" s="7">
        <v>7.3380000000000001</v>
      </c>
      <c r="M109" s="7">
        <v>7.4420000000000002</v>
      </c>
      <c r="N109" s="7">
        <v>7.5369999999999999</v>
      </c>
      <c r="O109" s="7">
        <v>7.625</v>
      </c>
      <c r="P109" s="7">
        <v>7.7069999999999999</v>
      </c>
      <c r="Q109" s="7">
        <v>7.8559999999999999</v>
      </c>
      <c r="R109" s="7">
        <v>7.9880000000000004</v>
      </c>
      <c r="S109" s="7">
        <v>8.2149999999999999</v>
      </c>
      <c r="T109" s="7">
        <v>8.4039999999999999</v>
      </c>
      <c r="U109" s="7">
        <v>8.5679999999999996</v>
      </c>
      <c r="V109" s="45">
        <v>8.7100000000000009</v>
      </c>
      <c r="W109" s="533">
        <v>8.8369999999999997</v>
      </c>
    </row>
    <row r="110" spans="1:23" x14ac:dyDescent="0.25">
      <c r="A110">
        <v>15</v>
      </c>
      <c r="B110" s="532">
        <v>4.6470000000000002</v>
      </c>
      <c r="C110" s="7">
        <v>5.3250000000000002</v>
      </c>
      <c r="D110" s="45">
        <v>5.75</v>
      </c>
      <c r="E110" s="7">
        <v>6.0609999999999999</v>
      </c>
      <c r="F110" s="7">
        <v>6.3079999999999998</v>
      </c>
      <c r="G110" s="7">
        <v>6.5110000000000001</v>
      </c>
      <c r="H110" s="7">
        <v>6.6849999999999996</v>
      </c>
      <c r="I110" s="7">
        <v>6.8369999999999997</v>
      </c>
      <c r="J110" s="7">
        <v>6.9710000000000001</v>
      </c>
      <c r="K110" s="7">
        <v>7.0910000000000002</v>
      </c>
      <c r="L110" s="45">
        <v>7.2</v>
      </c>
      <c r="M110" s="45">
        <v>7.3</v>
      </c>
      <c r="N110" s="7">
        <v>7.3920000000000003</v>
      </c>
      <c r="O110" s="7">
        <v>7.4770000000000003</v>
      </c>
      <c r="P110" s="7">
        <v>7.556</v>
      </c>
      <c r="Q110" s="7">
        <v>7.6989999999999998</v>
      </c>
      <c r="R110" s="7">
        <v>7.827</v>
      </c>
      <c r="S110" s="7">
        <v>8.0459999999999994</v>
      </c>
      <c r="T110" s="7">
        <v>8.2289999999999992</v>
      </c>
      <c r="U110" s="7">
        <v>8.3870000000000005</v>
      </c>
      <c r="V110" s="7">
        <v>8.5239999999999991</v>
      </c>
      <c r="W110" s="533">
        <v>8.6470000000000002</v>
      </c>
    </row>
    <row r="111" spans="1:23" x14ac:dyDescent="0.25">
      <c r="A111">
        <v>16</v>
      </c>
      <c r="B111" s="532">
        <v>4.5990000000000002</v>
      </c>
      <c r="C111" s="7">
        <v>5.2610000000000001</v>
      </c>
      <c r="D111" s="45">
        <v>5.6740000000000004</v>
      </c>
      <c r="E111" s="7">
        <v>5.9770000000000003</v>
      </c>
      <c r="F111" s="7">
        <v>6.2160000000000002</v>
      </c>
      <c r="G111" s="7">
        <v>6.4130000000000003</v>
      </c>
      <c r="H111" s="7">
        <v>6.5819999999999999</v>
      </c>
      <c r="I111" s="7">
        <v>6.7290000000000001</v>
      </c>
      <c r="J111" s="7">
        <v>6.859</v>
      </c>
      <c r="K111" s="7">
        <v>6.976</v>
      </c>
      <c r="L111" s="7">
        <v>7.0810000000000004</v>
      </c>
      <c r="M111" s="7">
        <v>7.1779999999999999</v>
      </c>
      <c r="N111" s="7">
        <v>7.2670000000000003</v>
      </c>
      <c r="O111" s="7">
        <v>7.3490000000000002</v>
      </c>
      <c r="P111" s="7">
        <v>7.4260000000000002</v>
      </c>
      <c r="Q111" s="7">
        <v>7.5659999999999998</v>
      </c>
      <c r="R111" s="7">
        <v>7.6890000000000001</v>
      </c>
      <c r="S111" s="7">
        <v>7.9009999999999998</v>
      </c>
      <c r="T111" s="7">
        <v>8.0779999999999994</v>
      </c>
      <c r="U111" s="7">
        <v>8.2309999999999999</v>
      </c>
      <c r="V111" s="7">
        <v>8.3650000000000002</v>
      </c>
      <c r="W111" s="533">
        <v>8.4830000000000005</v>
      </c>
    </row>
    <row r="112" spans="1:23" x14ac:dyDescent="0.25">
      <c r="A112">
        <v>17</v>
      </c>
      <c r="B112" s="532">
        <v>4.5570000000000004</v>
      </c>
      <c r="C112" s="7">
        <v>5.2050000000000001</v>
      </c>
      <c r="D112" s="45">
        <v>5.6079999999999997</v>
      </c>
      <c r="E112" s="7">
        <v>5.9029999999999996</v>
      </c>
      <c r="F112" s="7">
        <v>6.1360000000000001</v>
      </c>
      <c r="G112" s="7">
        <v>6.3289999999999997</v>
      </c>
      <c r="H112" s="7">
        <v>6.4930000000000003</v>
      </c>
      <c r="I112" s="7">
        <v>6.6360000000000001</v>
      </c>
      <c r="J112" s="7">
        <v>6.7629999999999999</v>
      </c>
      <c r="K112" s="7">
        <v>6.8760000000000003</v>
      </c>
      <c r="L112" s="7">
        <v>6.9790000000000001</v>
      </c>
      <c r="M112" s="7">
        <v>7.0720000000000001</v>
      </c>
      <c r="N112" s="7">
        <v>7.1589999999999998</v>
      </c>
      <c r="O112" s="7">
        <v>7.2389999999999999</v>
      </c>
      <c r="P112" s="7">
        <v>7.3140000000000001</v>
      </c>
      <c r="Q112" s="7">
        <v>7.4489999999999998</v>
      </c>
      <c r="R112" s="7">
        <v>7.569</v>
      </c>
      <c r="S112" s="7">
        <v>7.7750000000000004</v>
      </c>
      <c r="T112" s="7">
        <v>7.9480000000000004</v>
      </c>
      <c r="U112" s="7">
        <v>8.0960000000000001</v>
      </c>
      <c r="V112" s="7">
        <v>8.2260000000000009</v>
      </c>
      <c r="W112" s="533">
        <v>8.3409999999999993</v>
      </c>
    </row>
    <row r="113" spans="1:23" x14ac:dyDescent="0.25">
      <c r="A113">
        <v>18</v>
      </c>
      <c r="B113" s="532">
        <v>4.5209999999999999</v>
      </c>
      <c r="C113" s="7">
        <v>5.1559999999999997</v>
      </c>
      <c r="D113" s="45">
        <v>5.55</v>
      </c>
      <c r="E113" s="7">
        <v>5.8390000000000004</v>
      </c>
      <c r="F113" s="7">
        <v>6.0670000000000002</v>
      </c>
      <c r="G113" s="7">
        <v>6.2549999999999999</v>
      </c>
      <c r="H113" s="7">
        <v>6.415</v>
      </c>
      <c r="I113" s="7">
        <v>6.5540000000000003</v>
      </c>
      <c r="J113" s="7">
        <v>6.6779999999999999</v>
      </c>
      <c r="K113" s="7">
        <v>6.7880000000000003</v>
      </c>
      <c r="L113" s="7">
        <v>6.8879999999999999</v>
      </c>
      <c r="M113" s="1114">
        <v>6980</v>
      </c>
      <c r="N113" s="7">
        <v>7.0640000000000001</v>
      </c>
      <c r="O113" s="7">
        <v>7.1420000000000003</v>
      </c>
      <c r="P113" s="7">
        <v>7.2149999999999999</v>
      </c>
      <c r="Q113" s="7">
        <v>7.3470000000000004</v>
      </c>
      <c r="R113" s="7">
        <v>7.4640000000000004</v>
      </c>
      <c r="S113" s="7">
        <v>7.665</v>
      </c>
      <c r="T113" s="7">
        <v>7.8330000000000002</v>
      </c>
      <c r="U113" s="7">
        <v>7.9779999999999998</v>
      </c>
      <c r="V113" s="7">
        <v>8.1039999999999992</v>
      </c>
      <c r="W113" s="533">
        <v>8.2170000000000005</v>
      </c>
    </row>
    <row r="114" spans="1:23" x14ac:dyDescent="0.25">
      <c r="A114">
        <v>19</v>
      </c>
      <c r="B114" s="627">
        <v>4.4880000000000004</v>
      </c>
      <c r="C114" s="45">
        <v>5.1130000000000004</v>
      </c>
      <c r="D114" s="45">
        <v>5.5</v>
      </c>
      <c r="E114" s="7">
        <v>5.7830000000000004</v>
      </c>
      <c r="F114" s="7">
        <v>6.0049999999999999</v>
      </c>
      <c r="G114" s="7">
        <v>6.1890000000000001</v>
      </c>
      <c r="H114" s="7">
        <v>6.3460000000000001</v>
      </c>
      <c r="I114" s="7">
        <v>6.4820000000000002</v>
      </c>
      <c r="J114" s="7">
        <v>6.6029999999999998</v>
      </c>
      <c r="K114" s="7">
        <v>6.7110000000000003</v>
      </c>
      <c r="L114" s="7">
        <v>6.8090000000000002</v>
      </c>
      <c r="M114" s="7">
        <v>6.8979999999999997</v>
      </c>
      <c r="N114" s="7">
        <v>6.9809999999999999</v>
      </c>
      <c r="O114" s="7">
        <v>7.0570000000000004</v>
      </c>
      <c r="P114" s="7">
        <v>7.1280000000000001</v>
      </c>
      <c r="Q114" s="7">
        <v>7.2569999999999997</v>
      </c>
      <c r="R114" s="7">
        <v>7.3719999999999999</v>
      </c>
      <c r="S114" s="7">
        <v>7.5679999999999996</v>
      </c>
      <c r="T114" s="7">
        <v>7.7320000000000002</v>
      </c>
      <c r="U114" s="7">
        <v>7.8730000000000002</v>
      </c>
      <c r="V114" s="7">
        <v>7.9960000000000004</v>
      </c>
      <c r="W114" s="533">
        <v>8.1059999999999999</v>
      </c>
    </row>
    <row r="115" spans="1:23" x14ac:dyDescent="0.25">
      <c r="A115">
        <v>20</v>
      </c>
      <c r="B115" s="627">
        <v>4.46</v>
      </c>
      <c r="C115" s="45">
        <v>5.0739999999999998</v>
      </c>
      <c r="D115" s="45">
        <v>5.4550000000000001</v>
      </c>
      <c r="E115" s="7">
        <v>5.7320000000000002</v>
      </c>
      <c r="F115" s="7">
        <v>5.9509999999999996</v>
      </c>
      <c r="G115" s="7">
        <v>6.1310000000000002</v>
      </c>
      <c r="H115" s="7">
        <v>6.2850000000000001</v>
      </c>
      <c r="I115" s="7">
        <v>6.4180000000000001</v>
      </c>
      <c r="J115" s="7">
        <v>6.5369999999999999</v>
      </c>
      <c r="K115" s="7">
        <v>6.6420000000000003</v>
      </c>
      <c r="L115" s="7">
        <v>6.7380000000000004</v>
      </c>
      <c r="M115" s="7">
        <v>6.8259999999999996</v>
      </c>
      <c r="N115" s="7">
        <v>6.907</v>
      </c>
      <c r="O115" s="7">
        <v>6.9809999999999999</v>
      </c>
      <c r="P115" s="7">
        <v>7.0510000000000002</v>
      </c>
      <c r="Q115" s="7">
        <v>7.1769999999999996</v>
      </c>
      <c r="R115" s="7">
        <v>7.2889999999999997</v>
      </c>
      <c r="S115" s="7">
        <v>7.4809999999999999</v>
      </c>
      <c r="T115" s="7">
        <v>7.6420000000000003</v>
      </c>
      <c r="U115" s="45">
        <v>7.78</v>
      </c>
      <c r="V115" s="7">
        <v>7.9009999999999998</v>
      </c>
      <c r="W115" s="533">
        <v>8.0079999999999991</v>
      </c>
    </row>
    <row r="116" spans="1:23" x14ac:dyDescent="0.25">
      <c r="A116">
        <v>24</v>
      </c>
      <c r="B116" s="532">
        <v>4.3710000000000004</v>
      </c>
      <c r="C116" s="7">
        <v>4.9550000000000001</v>
      </c>
      <c r="D116" s="7">
        <v>5.3150000000000004</v>
      </c>
      <c r="E116" s="7">
        <v>5.577</v>
      </c>
      <c r="F116" s="7">
        <v>5.7830000000000004</v>
      </c>
      <c r="G116" s="7">
        <v>5.952</v>
      </c>
      <c r="H116" s="7">
        <v>6.0960000000000001</v>
      </c>
      <c r="I116" s="7">
        <v>6.2210000000000001</v>
      </c>
      <c r="J116" s="7">
        <v>6.3319999999999999</v>
      </c>
      <c r="K116" s="45">
        <v>6.431</v>
      </c>
      <c r="L116" s="45">
        <v>6.52</v>
      </c>
      <c r="M116" s="7">
        <v>6.6020000000000003</v>
      </c>
      <c r="N116" s="7">
        <v>6.6769999999999996</v>
      </c>
      <c r="O116" s="7">
        <v>6.7469999999999999</v>
      </c>
      <c r="P116" s="45">
        <v>6.8120000000000003</v>
      </c>
      <c r="Q116" s="45">
        <v>6.93</v>
      </c>
      <c r="R116" s="45">
        <v>7.0339999999999998</v>
      </c>
      <c r="S116" s="7">
        <v>7.2130000000000001</v>
      </c>
      <c r="T116" s="7">
        <v>7.3620000000000001</v>
      </c>
      <c r="U116" s="7">
        <v>7.4909999999999997</v>
      </c>
      <c r="V116" s="7">
        <v>7.6029999999999998</v>
      </c>
      <c r="W116" s="533">
        <v>7.7039999999999997</v>
      </c>
    </row>
    <row r="117" spans="1:23" x14ac:dyDescent="0.25">
      <c r="A117">
        <v>30</v>
      </c>
      <c r="B117" s="532">
        <v>4.2850000000000001</v>
      </c>
      <c r="C117" s="7">
        <v>4.8410000000000002</v>
      </c>
      <c r="D117" s="7">
        <v>5.181</v>
      </c>
      <c r="E117" s="7">
        <v>5.4279999999999999</v>
      </c>
      <c r="F117" s="7">
        <v>5.6210000000000004</v>
      </c>
      <c r="G117" s="45">
        <v>5.78</v>
      </c>
      <c r="H117" s="7">
        <v>5.9139999999999997</v>
      </c>
      <c r="I117" s="7">
        <v>6.0309999999999997</v>
      </c>
      <c r="J117" s="7">
        <v>6.1349999999999998</v>
      </c>
      <c r="K117" s="45">
        <v>6.2270000000000003</v>
      </c>
      <c r="L117" s="45">
        <v>6.31</v>
      </c>
      <c r="M117" s="7">
        <v>6.3869999999999996</v>
      </c>
      <c r="N117" s="7">
        <v>6.4560000000000004</v>
      </c>
      <c r="O117" s="7">
        <v>6.5209999999999999</v>
      </c>
      <c r="P117" s="45">
        <v>6.5810000000000004</v>
      </c>
      <c r="Q117" s="45">
        <v>6.6909999999999998</v>
      </c>
      <c r="R117" s="45">
        <v>6.7880000000000003</v>
      </c>
      <c r="S117" s="7">
        <v>6.9539999999999997</v>
      </c>
      <c r="T117" s="7">
        <v>7.093</v>
      </c>
      <c r="U117" s="7">
        <v>7.2119999999999997</v>
      </c>
      <c r="V117" s="7">
        <v>7.3159999999999998</v>
      </c>
      <c r="W117" s="533">
        <v>7.4089999999999998</v>
      </c>
    </row>
    <row r="118" spans="1:23" x14ac:dyDescent="0.25">
      <c r="A118">
        <v>40</v>
      </c>
      <c r="B118" s="532">
        <v>4.202</v>
      </c>
      <c r="C118" s="7">
        <v>4.7309999999999999</v>
      </c>
      <c r="D118" s="7">
        <v>5.0529999999999999</v>
      </c>
      <c r="E118" s="7">
        <v>5.2839999999999998</v>
      </c>
      <c r="F118" s="7">
        <v>5.4649999999999999</v>
      </c>
      <c r="G118" s="7">
        <v>5.6139999999999999</v>
      </c>
      <c r="H118" s="7">
        <v>5.7389999999999999</v>
      </c>
      <c r="I118" s="7">
        <v>5.8479999999999999</v>
      </c>
      <c r="J118" s="7">
        <v>5.944</v>
      </c>
      <c r="K118" s="45">
        <v>6.03</v>
      </c>
      <c r="L118" s="45">
        <v>6.1079999999999997</v>
      </c>
      <c r="M118" s="7">
        <v>6.1790000000000003</v>
      </c>
      <c r="N118" s="7">
        <v>6.2439999999999998</v>
      </c>
      <c r="O118" s="7">
        <v>6.3040000000000003</v>
      </c>
      <c r="P118" s="45">
        <v>6.36</v>
      </c>
      <c r="Q118" s="45">
        <v>6.4610000000000003</v>
      </c>
      <c r="R118" s="45">
        <v>6.55</v>
      </c>
      <c r="S118" s="7">
        <v>6.7039999999999997</v>
      </c>
      <c r="T118" s="7">
        <v>6.8319999999999999</v>
      </c>
      <c r="U118" s="7">
        <v>6.9420000000000002</v>
      </c>
      <c r="V118" s="7">
        <v>7.0380000000000003</v>
      </c>
      <c r="W118" s="533">
        <v>7.1230000000000002</v>
      </c>
    </row>
    <row r="119" spans="1:23" x14ac:dyDescent="0.25">
      <c r="A119">
        <v>60</v>
      </c>
      <c r="B119" s="532">
        <v>4.1219999999999999</v>
      </c>
      <c r="C119" s="7">
        <v>4.625</v>
      </c>
      <c r="D119" s="7">
        <v>4.9279999999999999</v>
      </c>
      <c r="E119" s="7">
        <v>5.1459999999999999</v>
      </c>
      <c r="F119" s="7">
        <v>5.3159999999999998</v>
      </c>
      <c r="G119" s="7">
        <v>5.4539999999999997</v>
      </c>
      <c r="H119" s="7">
        <v>5.5709999999999997</v>
      </c>
      <c r="I119" s="7">
        <v>5.673</v>
      </c>
      <c r="J119" s="7">
        <v>5.7619999999999996</v>
      </c>
      <c r="K119" s="45">
        <v>5.8410000000000002</v>
      </c>
      <c r="L119" s="45">
        <v>5.9130000000000003</v>
      </c>
      <c r="M119" s="7">
        <v>5.9790000000000001</v>
      </c>
      <c r="N119" s="7">
        <v>6.0389999999999997</v>
      </c>
      <c r="O119" s="7">
        <v>6.0940000000000003</v>
      </c>
      <c r="P119" s="45">
        <v>6.1459999999999999</v>
      </c>
      <c r="Q119" s="45">
        <v>6.2389999999999999</v>
      </c>
      <c r="R119" s="45">
        <v>6.3209999999999997</v>
      </c>
      <c r="S119" s="7">
        <v>6.4619999999999997</v>
      </c>
      <c r="T119" s="45">
        <v>6.58</v>
      </c>
      <c r="U119" s="7">
        <v>6.681</v>
      </c>
      <c r="V119" s="7">
        <v>6.7690000000000001</v>
      </c>
      <c r="W119" s="533">
        <v>6.8460000000000001</v>
      </c>
    </row>
    <row r="120" spans="1:23" x14ac:dyDescent="0.25">
      <c r="A120">
        <v>120</v>
      </c>
      <c r="B120" s="532">
        <v>4.0449999999999999</v>
      </c>
      <c r="C120" s="7">
        <v>4.5229999999999997</v>
      </c>
      <c r="D120" s="7">
        <v>4.8090000000000002</v>
      </c>
      <c r="E120" s="7">
        <v>5.0129999999999999</v>
      </c>
      <c r="F120" s="7">
        <v>5.1719999999999997</v>
      </c>
      <c r="G120" s="7">
        <v>5.3010000000000002</v>
      </c>
      <c r="H120" s="45">
        <v>5.41</v>
      </c>
      <c r="I120" s="7">
        <v>5.5039999999999996</v>
      </c>
      <c r="J120" s="7">
        <v>5.5860000000000003</v>
      </c>
      <c r="K120" s="45">
        <v>5.66</v>
      </c>
      <c r="L120" s="45">
        <v>5.726</v>
      </c>
      <c r="M120" s="7">
        <v>5.7859999999999996</v>
      </c>
      <c r="N120" s="7">
        <v>5.8419999999999996</v>
      </c>
      <c r="O120" s="7">
        <v>5.8929999999999998</v>
      </c>
      <c r="P120" s="45">
        <v>5.94</v>
      </c>
      <c r="Q120" s="45">
        <v>6.0250000000000004</v>
      </c>
      <c r="R120" s="45">
        <v>6.101</v>
      </c>
      <c r="S120" s="45">
        <v>6.23</v>
      </c>
      <c r="T120" s="7">
        <v>6.3369999999999997</v>
      </c>
      <c r="U120" s="7">
        <v>6.4279999999999999</v>
      </c>
      <c r="V120" s="7">
        <v>6.508</v>
      </c>
      <c r="W120" s="628">
        <v>6.58</v>
      </c>
    </row>
    <row r="121" spans="1:23" x14ac:dyDescent="0.25">
      <c r="A121" s="13" t="s">
        <v>559</v>
      </c>
      <c r="B121" s="629">
        <v>3.97</v>
      </c>
      <c r="C121" s="762">
        <v>4.4240000000000004</v>
      </c>
      <c r="D121" s="762">
        <v>4.694</v>
      </c>
      <c r="E121" s="762">
        <v>4.8860000000000001</v>
      </c>
      <c r="F121" s="762">
        <v>5.0330000000000004</v>
      </c>
      <c r="G121" s="762">
        <v>5.1539999999999999</v>
      </c>
      <c r="H121" s="762">
        <v>5.2549999999999999</v>
      </c>
      <c r="I121" s="762">
        <v>5.3410000000000002</v>
      </c>
      <c r="J121" s="762">
        <v>5.4180000000000001</v>
      </c>
      <c r="K121" s="762">
        <v>5.4850000000000003</v>
      </c>
      <c r="L121" s="762">
        <v>5.5460000000000003</v>
      </c>
      <c r="M121" s="762">
        <v>5.6020000000000003</v>
      </c>
      <c r="N121" s="762">
        <v>5.6520000000000001</v>
      </c>
      <c r="O121" s="762">
        <v>5.6989999999999998</v>
      </c>
      <c r="P121" s="981">
        <v>5.742</v>
      </c>
      <c r="Q121" s="981">
        <v>5.82</v>
      </c>
      <c r="R121" s="981">
        <v>5.8890000000000002</v>
      </c>
      <c r="S121" s="762">
        <v>6.0060000000000002</v>
      </c>
      <c r="T121" s="762">
        <v>6.1029999999999998</v>
      </c>
      <c r="U121" s="762">
        <v>6.1859999999999999</v>
      </c>
      <c r="V121" s="762">
        <v>6.258</v>
      </c>
      <c r="W121" s="417">
        <v>6.3220000000000001</v>
      </c>
    </row>
    <row r="122" spans="1:23" x14ac:dyDescent="0.25">
      <c r="A122" s="13"/>
    </row>
    <row r="123" spans="1:23" x14ac:dyDescent="0.25">
      <c r="A123" t="s">
        <v>34</v>
      </c>
      <c r="B123">
        <v>1E-3</v>
      </c>
    </row>
    <row r="124" spans="1:23" x14ac:dyDescent="0.25">
      <c r="B124" t="s">
        <v>101</v>
      </c>
    </row>
    <row r="125" spans="1:23" x14ac:dyDescent="0.25">
      <c r="A125" s="13" t="s">
        <v>60</v>
      </c>
      <c r="B125">
        <v>2</v>
      </c>
      <c r="C125">
        <f>B125+1</f>
        <v>3</v>
      </c>
      <c r="D125">
        <f t="shared" ref="D125:L125" si="4">C125+1</f>
        <v>4</v>
      </c>
      <c r="E125">
        <f t="shared" si="4"/>
        <v>5</v>
      </c>
      <c r="F125">
        <f t="shared" si="4"/>
        <v>6</v>
      </c>
      <c r="G125">
        <f t="shared" si="4"/>
        <v>7</v>
      </c>
      <c r="H125">
        <f t="shared" si="4"/>
        <v>8</v>
      </c>
      <c r="I125">
        <f t="shared" si="4"/>
        <v>9</v>
      </c>
      <c r="J125">
        <f t="shared" si="4"/>
        <v>10</v>
      </c>
      <c r="K125">
        <f t="shared" si="4"/>
        <v>11</v>
      </c>
      <c r="L125">
        <f t="shared" si="4"/>
        <v>12</v>
      </c>
      <c r="M125">
        <v>13</v>
      </c>
      <c r="N125">
        <f>M125+1</f>
        <v>14</v>
      </c>
      <c r="O125">
        <f>N125+1</f>
        <v>15</v>
      </c>
      <c r="P125">
        <f>O125+1</f>
        <v>16</v>
      </c>
      <c r="Q125">
        <f>P125+2</f>
        <v>18</v>
      </c>
      <c r="R125">
        <f>Q125+2</f>
        <v>20</v>
      </c>
      <c r="S125">
        <f>R125+4</f>
        <v>24</v>
      </c>
      <c r="T125">
        <f>S125+4</f>
        <v>28</v>
      </c>
      <c r="U125">
        <f>T125+4</f>
        <v>32</v>
      </c>
      <c r="V125">
        <f>U125+4</f>
        <v>36</v>
      </c>
      <c r="W125">
        <f>V125+4</f>
        <v>40</v>
      </c>
    </row>
    <row r="126" spans="1:23" x14ac:dyDescent="0.25">
      <c r="A126">
        <v>1</v>
      </c>
      <c r="B126" s="3">
        <v>900.3</v>
      </c>
      <c r="C126" s="827">
        <v>1351</v>
      </c>
      <c r="D126" s="827">
        <v>1643</v>
      </c>
      <c r="E126" s="827">
        <v>1856</v>
      </c>
      <c r="F126" s="827">
        <v>2022</v>
      </c>
      <c r="G126" s="827">
        <v>2158</v>
      </c>
      <c r="H126" s="827">
        <v>2272</v>
      </c>
      <c r="I126" s="827">
        <v>2370</v>
      </c>
      <c r="J126" s="827">
        <v>2455</v>
      </c>
      <c r="K126" s="827">
        <v>2532</v>
      </c>
      <c r="L126" s="827">
        <v>2600</v>
      </c>
      <c r="M126" s="827">
        <v>2662</v>
      </c>
      <c r="N126" s="827">
        <v>2718</v>
      </c>
      <c r="O126" s="827">
        <v>2770</v>
      </c>
      <c r="P126" s="827">
        <v>2818</v>
      </c>
      <c r="Q126" s="827">
        <v>2904</v>
      </c>
      <c r="R126" s="827">
        <v>2980</v>
      </c>
      <c r="S126" s="827">
        <v>3108</v>
      </c>
      <c r="T126" s="827">
        <v>3213</v>
      </c>
      <c r="U126" s="827">
        <v>3303</v>
      </c>
      <c r="V126" s="827">
        <v>3380</v>
      </c>
      <c r="W126" s="5">
        <v>3448</v>
      </c>
    </row>
    <row r="127" spans="1:23" x14ac:dyDescent="0.25">
      <c r="A127">
        <v>2</v>
      </c>
      <c r="B127" s="532">
        <v>44.69</v>
      </c>
      <c r="C127" s="7">
        <v>60.42</v>
      </c>
      <c r="D127" s="7">
        <v>70.77</v>
      </c>
      <c r="E127" s="7">
        <v>78.430000000000007</v>
      </c>
      <c r="F127" s="7">
        <v>84.49</v>
      </c>
      <c r="G127" s="7">
        <v>89.46</v>
      </c>
      <c r="H127" s="7">
        <v>93.67</v>
      </c>
      <c r="I127" s="43">
        <v>97.3</v>
      </c>
      <c r="J127" s="7">
        <v>100.5</v>
      </c>
      <c r="K127" s="7">
        <v>103.3</v>
      </c>
      <c r="L127" s="7">
        <v>105.9</v>
      </c>
      <c r="M127" s="7">
        <v>108.2</v>
      </c>
      <c r="N127" s="7">
        <v>110.4</v>
      </c>
      <c r="O127" s="7">
        <v>112.3</v>
      </c>
      <c r="P127" s="7">
        <v>114.2</v>
      </c>
      <c r="Q127" s="7">
        <v>117.4</v>
      </c>
      <c r="R127" s="7">
        <v>120.3</v>
      </c>
      <c r="S127" s="7">
        <v>125.2</v>
      </c>
      <c r="T127" s="7">
        <v>129.30000000000001</v>
      </c>
      <c r="U127" s="7">
        <v>132.69999999999999</v>
      </c>
      <c r="V127" s="7">
        <v>135.69999999999999</v>
      </c>
      <c r="W127" s="533">
        <v>138.30000000000001</v>
      </c>
    </row>
    <row r="128" spans="1:23" x14ac:dyDescent="0.25">
      <c r="A128">
        <v>3</v>
      </c>
      <c r="B128" s="532">
        <v>18.28</v>
      </c>
      <c r="C128" s="7">
        <v>23.32</v>
      </c>
      <c r="D128" s="7">
        <v>26.65</v>
      </c>
      <c r="E128" s="7">
        <v>29.13</v>
      </c>
      <c r="F128" s="7">
        <v>31.11</v>
      </c>
      <c r="G128" s="7">
        <v>32.74</v>
      </c>
      <c r="H128" s="7">
        <v>34.119999999999997</v>
      </c>
      <c r="I128" s="7">
        <v>35.33</v>
      </c>
      <c r="J128" s="7">
        <v>36.39</v>
      </c>
      <c r="K128" s="7">
        <v>37.340000000000003</v>
      </c>
      <c r="L128" s="43">
        <v>38.200000000000003</v>
      </c>
      <c r="M128" s="7">
        <v>38.979999999999997</v>
      </c>
      <c r="N128" s="7">
        <v>39.69</v>
      </c>
      <c r="O128" s="7">
        <v>40.35</v>
      </c>
      <c r="P128" s="7">
        <v>40.97</v>
      </c>
      <c r="Q128" s="7">
        <v>42.07</v>
      </c>
      <c r="R128" s="7">
        <v>43.05</v>
      </c>
      <c r="S128" s="7">
        <v>44.7</v>
      </c>
      <c r="T128" s="7">
        <v>46.07</v>
      </c>
      <c r="U128" s="7">
        <v>47.24</v>
      </c>
      <c r="V128" s="7">
        <v>48.26</v>
      </c>
      <c r="W128" s="533">
        <v>49.16</v>
      </c>
    </row>
    <row r="129" spans="1:23" x14ac:dyDescent="0.25">
      <c r="A129">
        <v>4</v>
      </c>
      <c r="B129" s="572">
        <v>12.18</v>
      </c>
      <c r="C129" s="43">
        <v>14.99</v>
      </c>
      <c r="D129" s="43">
        <v>16.84</v>
      </c>
      <c r="E129" s="43">
        <v>18.23</v>
      </c>
      <c r="F129" s="43">
        <v>19.34</v>
      </c>
      <c r="G129" s="43">
        <v>20.260000000000002</v>
      </c>
      <c r="H129" s="43">
        <v>21.04</v>
      </c>
      <c r="I129" s="43">
        <v>21.73</v>
      </c>
      <c r="J129" s="43">
        <v>22.33</v>
      </c>
      <c r="K129" s="43">
        <v>22.87</v>
      </c>
      <c r="L129" s="43">
        <v>23.36</v>
      </c>
      <c r="M129" s="43">
        <v>23.81</v>
      </c>
      <c r="N129" s="43">
        <v>24.21</v>
      </c>
      <c r="O129" s="43">
        <v>24.59</v>
      </c>
      <c r="P129" s="43">
        <v>24.94</v>
      </c>
      <c r="Q129" s="43">
        <v>25.58</v>
      </c>
      <c r="R129" s="43">
        <v>26.14</v>
      </c>
      <c r="S129" s="43">
        <v>27.1</v>
      </c>
      <c r="T129" s="43">
        <v>27.89</v>
      </c>
      <c r="U129" s="43">
        <v>28.57</v>
      </c>
      <c r="V129" s="43">
        <v>29.16</v>
      </c>
      <c r="W129" s="573">
        <v>29.68</v>
      </c>
    </row>
    <row r="130" spans="1:23" x14ac:dyDescent="0.25">
      <c r="A130">
        <v>5</v>
      </c>
      <c r="B130" s="627">
        <v>9.7140000000000004</v>
      </c>
      <c r="C130" s="43">
        <v>11.67</v>
      </c>
      <c r="D130" s="43">
        <v>12.96</v>
      </c>
      <c r="E130" s="43">
        <v>13.93</v>
      </c>
      <c r="F130" s="43">
        <v>14.71</v>
      </c>
      <c r="G130" s="43">
        <v>15.35</v>
      </c>
      <c r="H130" s="43">
        <v>15.9</v>
      </c>
      <c r="I130" s="43">
        <v>16.38</v>
      </c>
      <c r="J130" s="43">
        <v>16.809999999999999</v>
      </c>
      <c r="K130" s="43">
        <v>17.18</v>
      </c>
      <c r="L130" s="43">
        <v>17.53</v>
      </c>
      <c r="M130" s="43">
        <v>17.850000000000001</v>
      </c>
      <c r="N130" s="43">
        <v>18.13</v>
      </c>
      <c r="O130" s="43">
        <v>18.41</v>
      </c>
      <c r="P130" s="43">
        <v>18.66</v>
      </c>
      <c r="Q130" s="43">
        <v>19.100000000000001</v>
      </c>
      <c r="R130" s="43">
        <v>19.510000000000002</v>
      </c>
      <c r="S130" s="43">
        <v>20.190000000000001</v>
      </c>
      <c r="T130" s="43">
        <v>20.75</v>
      </c>
      <c r="U130" s="43">
        <v>21.24</v>
      </c>
      <c r="V130" s="43">
        <v>21.66</v>
      </c>
      <c r="W130" s="573">
        <v>22.03</v>
      </c>
    </row>
    <row r="131" spans="1:23" x14ac:dyDescent="0.25">
      <c r="A131">
        <v>6</v>
      </c>
      <c r="B131" s="627">
        <v>8.4269999999999996</v>
      </c>
      <c r="C131" s="43">
        <v>9.9600000000000009</v>
      </c>
      <c r="D131" s="43">
        <v>10.97</v>
      </c>
      <c r="E131" s="43">
        <v>11.72</v>
      </c>
      <c r="F131" s="43">
        <v>12.32</v>
      </c>
      <c r="G131" s="43">
        <v>12.83</v>
      </c>
      <c r="H131" s="43">
        <v>13.26</v>
      </c>
      <c r="I131" s="43">
        <v>13.63</v>
      </c>
      <c r="J131" s="43">
        <v>13.97</v>
      </c>
      <c r="K131" s="43">
        <v>14.27</v>
      </c>
      <c r="L131" s="43">
        <v>14.54</v>
      </c>
      <c r="M131" s="43">
        <v>14.79</v>
      </c>
      <c r="N131" s="43">
        <v>15.01</v>
      </c>
      <c r="O131" s="43">
        <v>15.22</v>
      </c>
      <c r="P131" s="43">
        <v>15.42</v>
      </c>
      <c r="Q131" s="43">
        <v>15.78</v>
      </c>
      <c r="R131" s="43">
        <v>16.09</v>
      </c>
      <c r="S131" s="43">
        <v>16.64</v>
      </c>
      <c r="T131" s="43">
        <v>17.079999999999998</v>
      </c>
      <c r="U131" s="43">
        <v>17.47</v>
      </c>
      <c r="V131" s="43">
        <v>17.809999999999999</v>
      </c>
      <c r="W131" s="573">
        <v>18.100000000000001</v>
      </c>
    </row>
    <row r="132" spans="1:23" x14ac:dyDescent="0.25">
      <c r="A132">
        <v>7</v>
      </c>
      <c r="B132" s="627">
        <v>7.6479999999999997</v>
      </c>
      <c r="C132" s="45">
        <v>8.93</v>
      </c>
      <c r="D132" s="45">
        <v>9.7680000000000007</v>
      </c>
      <c r="E132" s="43">
        <v>10.4</v>
      </c>
      <c r="F132" s="43">
        <v>10.9</v>
      </c>
      <c r="G132" s="7">
        <v>11.32</v>
      </c>
      <c r="H132" s="7">
        <v>11.68</v>
      </c>
      <c r="I132" s="7">
        <v>11.99</v>
      </c>
      <c r="J132" s="7">
        <v>12.27</v>
      </c>
      <c r="K132" s="7">
        <v>12.52</v>
      </c>
      <c r="L132" s="7">
        <v>12.74</v>
      </c>
      <c r="M132" s="7">
        <v>12.95</v>
      </c>
      <c r="N132" s="7">
        <v>13.14</v>
      </c>
      <c r="O132" s="7">
        <v>13.32</v>
      </c>
      <c r="P132" s="7">
        <v>13.48</v>
      </c>
      <c r="Q132" s="7">
        <v>13.78</v>
      </c>
      <c r="R132" s="7">
        <v>14.04</v>
      </c>
      <c r="S132" s="43">
        <v>14.5</v>
      </c>
      <c r="T132" s="7">
        <v>14.88</v>
      </c>
      <c r="U132" s="43">
        <v>15.2</v>
      </c>
      <c r="V132" s="7">
        <v>15.49</v>
      </c>
      <c r="W132" s="533">
        <v>15.74</v>
      </c>
    </row>
    <row r="133" spans="1:23" x14ac:dyDescent="0.25">
      <c r="A133">
        <v>8</v>
      </c>
      <c r="B133" s="627">
        <v>7.13</v>
      </c>
      <c r="C133" s="45">
        <v>8.25</v>
      </c>
      <c r="D133" s="45">
        <v>8.9779999999999998</v>
      </c>
      <c r="E133" s="7">
        <v>9.5220000000000002</v>
      </c>
      <c r="F133" s="7">
        <v>9.9580000000000002</v>
      </c>
      <c r="G133" s="7">
        <v>10.32</v>
      </c>
      <c r="H133" s="7">
        <v>10.64</v>
      </c>
      <c r="I133" s="7">
        <v>10.91</v>
      </c>
      <c r="J133" s="7">
        <v>11.15</v>
      </c>
      <c r="K133" s="7">
        <v>11.36</v>
      </c>
      <c r="L133" s="7">
        <v>11.56</v>
      </c>
      <c r="M133" s="7">
        <v>11.74</v>
      </c>
      <c r="N133" s="7">
        <v>11.91</v>
      </c>
      <c r="O133" s="7">
        <v>12.06</v>
      </c>
      <c r="P133" s="7">
        <v>12.21</v>
      </c>
      <c r="Q133" s="7">
        <v>12.47</v>
      </c>
      <c r="R133" s="43">
        <v>12.7</v>
      </c>
      <c r="S133" s="7">
        <v>13.09</v>
      </c>
      <c r="T133" s="7">
        <v>13.42</v>
      </c>
      <c r="U133" s="7">
        <v>13.71</v>
      </c>
      <c r="V133" s="7">
        <v>13.96</v>
      </c>
      <c r="W133" s="533">
        <v>14.18</v>
      </c>
    </row>
    <row r="134" spans="1:23" x14ac:dyDescent="0.25">
      <c r="A134">
        <v>9</v>
      </c>
      <c r="B134" s="627">
        <v>6.7619999999999996</v>
      </c>
      <c r="C134" s="7">
        <v>7.7679999999999998</v>
      </c>
      <c r="D134" s="7">
        <v>8.4190000000000005</v>
      </c>
      <c r="E134" s="7">
        <v>8.9060000000000006</v>
      </c>
      <c r="F134" s="7">
        <v>9.2949999999999999</v>
      </c>
      <c r="G134" s="7">
        <v>9.6189999999999998</v>
      </c>
      <c r="H134" s="7">
        <v>9.8970000000000002</v>
      </c>
      <c r="I134" s="7">
        <v>10.14</v>
      </c>
      <c r="J134" s="7">
        <v>10.36</v>
      </c>
      <c r="K134" s="7">
        <v>10.55</v>
      </c>
      <c r="L134" s="7">
        <v>10.73</v>
      </c>
      <c r="M134" s="7">
        <v>10.89</v>
      </c>
      <c r="N134" s="7">
        <v>11.03</v>
      </c>
      <c r="O134" s="7">
        <v>11.18</v>
      </c>
      <c r="P134" s="43">
        <v>11.3</v>
      </c>
      <c r="Q134" s="7">
        <v>11.54</v>
      </c>
      <c r="R134" s="7">
        <v>11.75</v>
      </c>
      <c r="S134" s="43">
        <v>12.1</v>
      </c>
      <c r="T134" s="7">
        <v>12.39</v>
      </c>
      <c r="U134" s="7">
        <v>12.65</v>
      </c>
      <c r="V134" s="7">
        <v>12.87</v>
      </c>
      <c r="W134" s="533">
        <v>13.07</v>
      </c>
    </row>
    <row r="135" spans="1:23" x14ac:dyDescent="0.25">
      <c r="A135">
        <v>10</v>
      </c>
      <c r="B135" s="627">
        <v>6.4870000000000001</v>
      </c>
      <c r="C135" s="7">
        <v>7.4109999999999996</v>
      </c>
      <c r="D135" s="7">
        <v>8.0060000000000002</v>
      </c>
      <c r="E135" s="45">
        <v>8.4499999999999993</v>
      </c>
      <c r="F135" s="7">
        <v>8.8040000000000003</v>
      </c>
      <c r="G135" s="7">
        <v>9.0990000000000002</v>
      </c>
      <c r="H135" s="7">
        <v>9.3520000000000003</v>
      </c>
      <c r="I135" s="7">
        <v>9.5730000000000004</v>
      </c>
      <c r="J135" s="7">
        <v>9.7690000000000001</v>
      </c>
      <c r="K135" s="7">
        <v>9.9459999999999997</v>
      </c>
      <c r="L135" s="7">
        <v>10.11</v>
      </c>
      <c r="M135" s="7">
        <v>10.25</v>
      </c>
      <c r="N135" s="7">
        <v>10.39</v>
      </c>
      <c r="O135" s="7">
        <v>10.52</v>
      </c>
      <c r="P135" s="7">
        <v>10.64</v>
      </c>
      <c r="Q135" s="7">
        <v>10.85</v>
      </c>
      <c r="R135" s="7">
        <v>11.03</v>
      </c>
      <c r="S135" s="7">
        <v>11.36</v>
      </c>
      <c r="T135" s="7">
        <v>11.63</v>
      </c>
      <c r="U135" s="7">
        <v>11.87</v>
      </c>
      <c r="V135" s="7">
        <v>12.07</v>
      </c>
      <c r="W135" s="533">
        <v>12.25</v>
      </c>
    </row>
    <row r="136" spans="1:23" x14ac:dyDescent="0.25">
      <c r="A136">
        <v>11</v>
      </c>
      <c r="B136" s="627">
        <v>6.2750000000000004</v>
      </c>
      <c r="C136" s="7">
        <v>7.1360000000000001</v>
      </c>
      <c r="D136" s="7">
        <v>7.6870000000000003</v>
      </c>
      <c r="E136" s="7">
        <v>8.0980000000000008</v>
      </c>
      <c r="F136" s="7">
        <v>8.4260000000000002</v>
      </c>
      <c r="G136" s="7">
        <v>8.6989999999999998</v>
      </c>
      <c r="H136" s="7">
        <v>8.9329999999999998</v>
      </c>
      <c r="I136" s="7">
        <v>9.1379999999999999</v>
      </c>
      <c r="J136" s="7">
        <v>9.3190000000000008</v>
      </c>
      <c r="K136" s="7">
        <v>9.4819999999999993</v>
      </c>
      <c r="L136" s="7">
        <v>9.6300000000000008</v>
      </c>
      <c r="M136" s="7">
        <v>9.766</v>
      </c>
      <c r="N136" s="7">
        <v>9.8919999999999995</v>
      </c>
      <c r="O136" s="7">
        <v>10.01</v>
      </c>
      <c r="P136" s="7">
        <v>10.119999999999999</v>
      </c>
      <c r="Q136" s="7">
        <v>10.31</v>
      </c>
      <c r="R136" s="7">
        <v>10.49</v>
      </c>
      <c r="S136" s="7">
        <v>10.79</v>
      </c>
      <c r="T136" s="7">
        <v>11.04</v>
      </c>
      <c r="U136" s="7">
        <v>11.26</v>
      </c>
      <c r="V136" s="7">
        <v>11.45</v>
      </c>
      <c r="W136" s="533">
        <v>11.62</v>
      </c>
    </row>
    <row r="137" spans="1:23" x14ac:dyDescent="0.25">
      <c r="A137">
        <v>12</v>
      </c>
      <c r="B137" s="627">
        <v>6.1059999999999999</v>
      </c>
      <c r="C137" s="7">
        <v>6.9169999999999998</v>
      </c>
      <c r="D137" s="7">
        <v>7.4359999999999999</v>
      </c>
      <c r="E137" s="7">
        <v>7.8209999999999997</v>
      </c>
      <c r="F137" s="7">
        <v>8.1270000000000007</v>
      </c>
      <c r="G137" s="7">
        <v>8.3829999999999991</v>
      </c>
      <c r="H137" s="7">
        <v>8.6010000000000009</v>
      </c>
      <c r="I137" s="7">
        <v>8.7929999999999993</v>
      </c>
      <c r="J137" s="7">
        <v>8.9619999999999997</v>
      </c>
      <c r="K137" s="7">
        <v>9.1150000000000002</v>
      </c>
      <c r="L137" s="7">
        <v>9.2539999999999996</v>
      </c>
      <c r="M137" s="7">
        <v>9.3810000000000002</v>
      </c>
      <c r="N137" s="7">
        <v>9.4979999999999993</v>
      </c>
      <c r="O137" s="7">
        <v>9.6059999999999999</v>
      </c>
      <c r="P137" s="7">
        <v>9.7070000000000007</v>
      </c>
      <c r="Q137" s="7">
        <v>9.891</v>
      </c>
      <c r="R137" s="7">
        <v>10.06</v>
      </c>
      <c r="S137" s="7">
        <v>10.34</v>
      </c>
      <c r="T137" s="7">
        <v>10.57</v>
      </c>
      <c r="U137" s="7">
        <v>10.78</v>
      </c>
      <c r="V137" s="7">
        <v>10.96</v>
      </c>
      <c r="W137" s="533">
        <v>11.11</v>
      </c>
    </row>
    <row r="138" spans="1:23" x14ac:dyDescent="0.25">
      <c r="A138">
        <v>13</v>
      </c>
      <c r="B138" s="627">
        <v>5.97</v>
      </c>
      <c r="C138" s="45">
        <v>6.74</v>
      </c>
      <c r="D138" s="45">
        <v>7.2309999999999999</v>
      </c>
      <c r="E138" s="45">
        <v>7.5949999999999998</v>
      </c>
      <c r="F138" s="45">
        <v>7.8849999999999998</v>
      </c>
      <c r="G138" s="45">
        <v>8.1259999999999994</v>
      </c>
      <c r="H138" s="45">
        <v>8.3330000000000002</v>
      </c>
      <c r="I138" s="45">
        <v>8.5129999999999999</v>
      </c>
      <c r="J138" s="45">
        <v>8.673</v>
      </c>
      <c r="K138" s="45">
        <v>8.8170000000000002</v>
      </c>
      <c r="L138" s="45">
        <v>8.9480000000000004</v>
      </c>
      <c r="M138" s="45">
        <v>9.0679999999999996</v>
      </c>
      <c r="N138" s="45">
        <v>9.1780000000000008</v>
      </c>
      <c r="O138" s="45">
        <v>9.2810000000000006</v>
      </c>
      <c r="P138" s="45">
        <v>9.3759999999999994</v>
      </c>
      <c r="Q138" s="45">
        <v>9.5500000000000007</v>
      </c>
      <c r="R138" s="45">
        <v>9.7040000000000006</v>
      </c>
      <c r="S138" s="45">
        <v>9.9689999999999994</v>
      </c>
      <c r="T138" s="43">
        <v>10.19</v>
      </c>
      <c r="U138" s="43">
        <v>10.39</v>
      </c>
      <c r="V138" s="43">
        <v>10.55</v>
      </c>
      <c r="W138" s="573">
        <v>10.7</v>
      </c>
    </row>
    <row r="139" spans="1:23" x14ac:dyDescent="0.25">
      <c r="A139">
        <v>14</v>
      </c>
      <c r="B139" s="627">
        <v>5.8559999999999999</v>
      </c>
      <c r="C139" s="45">
        <v>6.5940000000000003</v>
      </c>
      <c r="D139" s="45">
        <v>7.0620000000000003</v>
      </c>
      <c r="E139" s="45">
        <v>7.4089999999999998</v>
      </c>
      <c r="F139" s="45">
        <v>7.6849999999999996</v>
      </c>
      <c r="G139" s="45">
        <v>7.915</v>
      </c>
      <c r="H139" s="45">
        <v>8.11</v>
      </c>
      <c r="I139" s="45">
        <v>8.282</v>
      </c>
      <c r="J139" s="45">
        <v>8.4339999999999993</v>
      </c>
      <c r="K139" s="45">
        <v>8.5709999999999997</v>
      </c>
      <c r="L139" s="45">
        <v>8.6959999999999997</v>
      </c>
      <c r="M139" s="45">
        <v>8.8089999999999993</v>
      </c>
      <c r="N139" s="45">
        <v>8.9139999999999997</v>
      </c>
      <c r="O139" s="45">
        <v>9.0120000000000005</v>
      </c>
      <c r="P139" s="45">
        <v>9.1029999999999998</v>
      </c>
      <c r="Q139" s="45">
        <v>9.2669999999999995</v>
      </c>
      <c r="R139" s="45">
        <v>9.4139999999999997</v>
      </c>
      <c r="S139" s="45">
        <v>9.6660000000000004</v>
      </c>
      <c r="T139" s="45">
        <v>9.8780000000000001</v>
      </c>
      <c r="U139" s="43">
        <v>10.06</v>
      </c>
      <c r="V139" s="43">
        <v>10.220000000000001</v>
      </c>
      <c r="W139" s="573">
        <v>10.37</v>
      </c>
    </row>
    <row r="140" spans="1:23" x14ac:dyDescent="0.25">
      <c r="A140">
        <v>15</v>
      </c>
      <c r="B140" s="627">
        <v>5.76</v>
      </c>
      <c r="C140" s="45">
        <v>6.47</v>
      </c>
      <c r="D140" s="45">
        <v>6.92</v>
      </c>
      <c r="E140" s="45">
        <v>7.2519999999999998</v>
      </c>
      <c r="F140" s="45">
        <v>7.5170000000000003</v>
      </c>
      <c r="G140" s="45">
        <v>7.7359999999999998</v>
      </c>
      <c r="H140" s="45">
        <v>7.9249999999999998</v>
      </c>
      <c r="I140" s="45">
        <v>8.0879999999999992</v>
      </c>
      <c r="J140" s="45">
        <v>8.234</v>
      </c>
      <c r="K140" s="45">
        <v>8.3650000000000002</v>
      </c>
      <c r="L140" s="45">
        <v>8.4830000000000005</v>
      </c>
      <c r="M140" s="45">
        <v>8.5920000000000005</v>
      </c>
      <c r="N140" s="45">
        <v>8.6929999999999996</v>
      </c>
      <c r="O140" s="45">
        <v>8.7859999999999996</v>
      </c>
      <c r="P140" s="45">
        <v>8.8719999999999999</v>
      </c>
      <c r="Q140" s="45">
        <v>9.0299999999999994</v>
      </c>
      <c r="R140" s="45">
        <v>9.17</v>
      </c>
      <c r="S140" s="45">
        <v>9.4109999999999996</v>
      </c>
      <c r="T140" s="45">
        <v>9.6129999999999995</v>
      </c>
      <c r="U140" s="45">
        <v>9.7880000000000003</v>
      </c>
      <c r="V140" s="43">
        <v>9.94</v>
      </c>
      <c r="W140" s="573">
        <v>10.08</v>
      </c>
    </row>
    <row r="141" spans="1:23" x14ac:dyDescent="0.25">
      <c r="A141">
        <v>16</v>
      </c>
      <c r="B141" s="627">
        <v>5.6779999999999999</v>
      </c>
      <c r="C141" s="45">
        <v>6.3650000000000002</v>
      </c>
      <c r="D141" s="45">
        <v>6.7990000000000004</v>
      </c>
      <c r="E141" s="45">
        <v>7.1189999999999998</v>
      </c>
      <c r="F141" s="45">
        <v>7.3739999999999997</v>
      </c>
      <c r="G141" s="45">
        <v>7.585</v>
      </c>
      <c r="H141" s="45">
        <v>7.766</v>
      </c>
      <c r="I141" s="45">
        <v>7.923</v>
      </c>
      <c r="J141" s="45">
        <v>8.0630000000000006</v>
      </c>
      <c r="K141" s="45">
        <v>8.1890000000000001</v>
      </c>
      <c r="L141" s="45">
        <v>8.3030000000000008</v>
      </c>
      <c r="M141" s="45">
        <v>8.407</v>
      </c>
      <c r="N141" s="45">
        <v>8.5039999999999996</v>
      </c>
      <c r="O141" s="45">
        <v>8.593</v>
      </c>
      <c r="P141" s="45">
        <v>8.6760000000000002</v>
      </c>
      <c r="Q141" s="45">
        <v>8.8279999999999994</v>
      </c>
      <c r="R141" s="45">
        <v>8.9629999999999992</v>
      </c>
      <c r="S141" s="45">
        <v>9.1940000000000008</v>
      </c>
      <c r="T141" s="45">
        <v>9.3879999999999999</v>
      </c>
      <c r="U141" s="45">
        <v>9.5559999999999992</v>
      </c>
      <c r="V141" s="45">
        <v>9.702</v>
      </c>
      <c r="W141" s="628">
        <v>9.8330000000000002</v>
      </c>
    </row>
    <row r="142" spans="1:23" x14ac:dyDescent="0.25">
      <c r="A142">
        <v>17</v>
      </c>
      <c r="B142" s="627">
        <v>5.6079999999999997</v>
      </c>
      <c r="C142" s="45">
        <v>6.2750000000000004</v>
      </c>
      <c r="D142" s="45">
        <v>6.6950000000000003</v>
      </c>
      <c r="E142" s="45">
        <v>7.0049999999999999</v>
      </c>
      <c r="F142" s="45">
        <v>7.25</v>
      </c>
      <c r="G142" s="45">
        <v>7.4539999999999997</v>
      </c>
      <c r="H142" s="45">
        <v>7.6289999999999996</v>
      </c>
      <c r="I142" s="45">
        <v>7.7809999999999997</v>
      </c>
      <c r="J142" s="45">
        <v>7.9160000000000004</v>
      </c>
      <c r="K142" s="45">
        <v>8.0370000000000008</v>
      </c>
      <c r="L142" s="45">
        <v>8.1479999999999997</v>
      </c>
      <c r="M142" s="45">
        <v>8.2479999999999993</v>
      </c>
      <c r="N142" s="45">
        <v>8.3420000000000005</v>
      </c>
      <c r="O142" s="45">
        <v>8.4269999999999996</v>
      </c>
      <c r="P142" s="45">
        <v>8.5079999999999991</v>
      </c>
      <c r="Q142" s="45">
        <v>8.6539999999999999</v>
      </c>
      <c r="R142" s="45">
        <v>8.7840000000000007</v>
      </c>
      <c r="S142" s="45">
        <v>9.0069999999999997</v>
      </c>
      <c r="T142" s="45">
        <v>9.1940000000000008</v>
      </c>
      <c r="U142" s="45">
        <v>9.3550000000000004</v>
      </c>
      <c r="V142" s="45">
        <v>9.4969999999999999</v>
      </c>
      <c r="W142" s="628">
        <v>9.6229999999999993</v>
      </c>
    </row>
    <row r="143" spans="1:23" x14ac:dyDescent="0.25">
      <c r="A143">
        <v>18</v>
      </c>
      <c r="B143" s="627">
        <v>5.5460000000000003</v>
      </c>
      <c r="C143" s="45">
        <v>6.1959999999999997</v>
      </c>
      <c r="D143" s="45">
        <v>6.6040000000000001</v>
      </c>
      <c r="E143" s="45">
        <v>6.9050000000000002</v>
      </c>
      <c r="F143" s="45">
        <v>7.1429999999999998</v>
      </c>
      <c r="G143" s="45">
        <v>7.3410000000000002</v>
      </c>
      <c r="H143" s="45">
        <v>7.51</v>
      </c>
      <c r="I143" s="45">
        <v>7.657</v>
      </c>
      <c r="J143" s="45">
        <v>7.7880000000000003</v>
      </c>
      <c r="K143" s="45">
        <v>7.9059999999999997</v>
      </c>
      <c r="L143" s="45">
        <v>8.0120000000000005</v>
      </c>
      <c r="M143" s="45">
        <v>8.11</v>
      </c>
      <c r="N143" s="45">
        <v>8.1989999999999998</v>
      </c>
      <c r="O143" s="45">
        <v>8.2829999999999995</v>
      </c>
      <c r="P143" s="45">
        <v>8.3610000000000007</v>
      </c>
      <c r="Q143" s="45">
        <v>8.5020000000000007</v>
      </c>
      <c r="R143" s="45">
        <v>8.6280000000000001</v>
      </c>
      <c r="S143" s="45">
        <v>8.8439999999999994</v>
      </c>
      <c r="T143" s="45">
        <v>9.0250000000000004</v>
      </c>
      <c r="U143" s="45">
        <v>9.1809999999999992</v>
      </c>
      <c r="V143" s="45">
        <v>9.3179999999999996</v>
      </c>
      <c r="W143" s="628">
        <v>9.44</v>
      </c>
    </row>
    <row r="144" spans="1:23" x14ac:dyDescent="0.25">
      <c r="A144">
        <v>19</v>
      </c>
      <c r="B144" s="627">
        <v>5.492</v>
      </c>
      <c r="C144" s="45">
        <v>6.1269999999999998</v>
      </c>
      <c r="D144" s="45">
        <v>6.5250000000000004</v>
      </c>
      <c r="E144" s="45">
        <v>6.8170000000000002</v>
      </c>
      <c r="F144" s="45">
        <v>7.0490000000000004</v>
      </c>
      <c r="G144" s="45">
        <v>7.242</v>
      </c>
      <c r="H144" s="45">
        <v>7.4050000000000002</v>
      </c>
      <c r="I144" s="45">
        <v>7.5490000000000004</v>
      </c>
      <c r="J144" s="45">
        <v>7.6760000000000002</v>
      </c>
      <c r="K144" s="45">
        <v>7.79</v>
      </c>
      <c r="L144" s="45">
        <v>7.8929999999999998</v>
      </c>
      <c r="M144" s="45">
        <v>7.9880000000000004</v>
      </c>
      <c r="N144" s="45">
        <v>8.0749999999999993</v>
      </c>
      <c r="O144" s="45">
        <v>8.1560000000000006</v>
      </c>
      <c r="P144" s="45">
        <v>8.2319999999999993</v>
      </c>
      <c r="Q144" s="45">
        <v>8.3689999999999998</v>
      </c>
      <c r="R144" s="45">
        <v>8.4909999999999997</v>
      </c>
      <c r="S144" s="45">
        <v>8.7010000000000005</v>
      </c>
      <c r="T144" s="45">
        <v>8.8759999999999994</v>
      </c>
      <c r="U144" s="45">
        <v>9.0280000000000005</v>
      </c>
      <c r="V144" s="45">
        <v>9.1609999999999996</v>
      </c>
      <c r="W144" s="628">
        <v>9.2789999999999999</v>
      </c>
    </row>
    <row r="145" spans="1:23" x14ac:dyDescent="0.25">
      <c r="A145">
        <v>20</v>
      </c>
      <c r="B145" s="627">
        <v>5.444</v>
      </c>
      <c r="C145" s="45">
        <v>6.0650000000000004</v>
      </c>
      <c r="D145" s="45">
        <v>6.4539999999999997</v>
      </c>
      <c r="E145" s="45">
        <v>6.74</v>
      </c>
      <c r="F145" s="45">
        <v>6.9660000000000002</v>
      </c>
      <c r="G145" s="45">
        <v>7.1539999999999999</v>
      </c>
      <c r="H145" s="45">
        <v>7.3129999999999997</v>
      </c>
      <c r="I145" s="45">
        <v>7.4530000000000003</v>
      </c>
      <c r="J145" s="45">
        <v>7.577</v>
      </c>
      <c r="K145" s="45">
        <v>7.6879999999999997</v>
      </c>
      <c r="L145" s="45">
        <v>7.7880000000000003</v>
      </c>
      <c r="M145" s="45">
        <v>7.88</v>
      </c>
      <c r="N145" s="45">
        <v>7.9660000000000002</v>
      </c>
      <c r="O145" s="45">
        <v>8.0440000000000005</v>
      </c>
      <c r="P145" s="45">
        <v>8.1180000000000003</v>
      </c>
      <c r="Q145" s="45">
        <v>8.2509999999999994</v>
      </c>
      <c r="R145" s="45">
        <v>8.3699999999999992</v>
      </c>
      <c r="S145" s="45">
        <v>8.5739999999999998</v>
      </c>
      <c r="T145" s="45">
        <v>8.7449999999999992</v>
      </c>
      <c r="U145" s="45">
        <v>8.8919999999999995</v>
      </c>
      <c r="V145" s="45">
        <v>9.0210000000000008</v>
      </c>
      <c r="W145" s="628">
        <v>9.1370000000000005</v>
      </c>
    </row>
    <row r="146" spans="1:23" x14ac:dyDescent="0.25">
      <c r="A146">
        <v>24</v>
      </c>
      <c r="B146" s="627">
        <v>5.2969999999999997</v>
      </c>
      <c r="C146" s="45">
        <v>5.8769999999999998</v>
      </c>
      <c r="D146" s="45">
        <v>6.2380000000000004</v>
      </c>
      <c r="E146" s="45">
        <v>6.5030000000000001</v>
      </c>
      <c r="F146" s="45">
        <v>6.7119999999999997</v>
      </c>
      <c r="G146" s="45">
        <v>6.8840000000000003</v>
      </c>
      <c r="H146" s="45">
        <v>7.0309999999999997</v>
      </c>
      <c r="I146" s="45">
        <v>7.1589999999999998</v>
      </c>
      <c r="J146" s="45">
        <v>7.2720000000000002</v>
      </c>
      <c r="K146" s="45">
        <v>7.3739999999999997</v>
      </c>
      <c r="L146" s="45">
        <v>7.4669999999999996</v>
      </c>
      <c r="M146" s="45">
        <v>7.5510000000000002</v>
      </c>
      <c r="N146" s="45">
        <v>7.6289999999999996</v>
      </c>
      <c r="O146" s="45">
        <v>7.7009999999999996</v>
      </c>
      <c r="P146" s="45">
        <v>7.7679999999999998</v>
      </c>
      <c r="Q146" s="45">
        <v>7.89</v>
      </c>
      <c r="R146" s="45">
        <v>7.9989999999999997</v>
      </c>
      <c r="S146" s="45">
        <v>8.1850000000000005</v>
      </c>
      <c r="T146" s="45">
        <v>8.3420000000000005</v>
      </c>
      <c r="U146" s="45">
        <v>8.4760000000000009</v>
      </c>
      <c r="V146" s="45">
        <v>8.5939999999999994</v>
      </c>
      <c r="W146" s="628">
        <v>8.6999999999999993</v>
      </c>
    </row>
    <row r="147" spans="1:23" x14ac:dyDescent="0.25">
      <c r="A147">
        <v>30</v>
      </c>
      <c r="B147" s="627">
        <v>5.1559999999999997</v>
      </c>
      <c r="C147" s="45">
        <v>5.6980000000000004</v>
      </c>
      <c r="D147" s="45">
        <v>6.0330000000000004</v>
      </c>
      <c r="E147" s="45">
        <v>6.2779999999999996</v>
      </c>
      <c r="F147" s="45">
        <v>6.47</v>
      </c>
      <c r="G147" s="45">
        <v>6.6280000000000001</v>
      </c>
      <c r="H147" s="45">
        <v>6.7629999999999999</v>
      </c>
      <c r="I147" s="45">
        <v>6.88</v>
      </c>
      <c r="J147" s="45">
        <v>6.984</v>
      </c>
      <c r="K147" s="45">
        <v>7.077</v>
      </c>
      <c r="L147" s="45">
        <v>7.1619999999999999</v>
      </c>
      <c r="M147" s="45">
        <v>7.3289999999999997</v>
      </c>
      <c r="N147" s="45">
        <v>7.31</v>
      </c>
      <c r="O147" s="45">
        <v>7.375</v>
      </c>
      <c r="P147" s="45">
        <v>7.4370000000000003</v>
      </c>
      <c r="Q147" s="45">
        <v>7.548</v>
      </c>
      <c r="R147" s="45">
        <v>7.6470000000000002</v>
      </c>
      <c r="S147" s="45">
        <v>7.8159999999999998</v>
      </c>
      <c r="T147" s="45">
        <v>7.9580000000000002</v>
      </c>
      <c r="U147" s="45">
        <v>8.08</v>
      </c>
      <c r="V147" s="45">
        <v>8.1880000000000006</v>
      </c>
      <c r="W147" s="628">
        <v>8.2829999999999995</v>
      </c>
    </row>
    <row r="148" spans="1:23" x14ac:dyDescent="0.25">
      <c r="A148">
        <v>40</v>
      </c>
      <c r="B148" s="627">
        <v>5.0220000000000002</v>
      </c>
      <c r="C148" s="45">
        <v>5.5279999999999996</v>
      </c>
      <c r="D148" s="45">
        <v>5.8380000000000001</v>
      </c>
      <c r="E148" s="45">
        <v>6.0629999999999997</v>
      </c>
      <c r="F148" s="45">
        <v>6.24</v>
      </c>
      <c r="G148" s="45">
        <v>6.3860000000000001</v>
      </c>
      <c r="H148" s="45">
        <v>6.5090000000000003</v>
      </c>
      <c r="I148" s="45">
        <v>6.6159999999999997</v>
      </c>
      <c r="J148" s="45">
        <v>6.7110000000000003</v>
      </c>
      <c r="K148" s="45">
        <v>6.7960000000000003</v>
      </c>
      <c r="L148" s="45">
        <v>6.8719999999999999</v>
      </c>
      <c r="M148" s="45">
        <v>6.9420000000000002</v>
      </c>
      <c r="N148" s="45">
        <v>7.0069999999999997</v>
      </c>
      <c r="O148" s="45">
        <v>7.0670000000000002</v>
      </c>
      <c r="P148" s="45">
        <v>7.1219999999999999</v>
      </c>
      <c r="Q148" s="45">
        <v>7.2229999999999999</v>
      </c>
      <c r="R148" s="45">
        <v>7.3120000000000003</v>
      </c>
      <c r="S148" s="45">
        <v>7.4660000000000002</v>
      </c>
      <c r="T148" s="45">
        <v>7.5940000000000003</v>
      </c>
      <c r="U148" s="45">
        <v>7.7039999999999997</v>
      </c>
      <c r="V148" s="45">
        <v>7.8010000000000002</v>
      </c>
      <c r="W148" s="628">
        <v>7.8869999999999996</v>
      </c>
    </row>
    <row r="149" spans="1:23" x14ac:dyDescent="0.25">
      <c r="A149">
        <v>60</v>
      </c>
      <c r="B149" s="627">
        <v>4.8940000000000001</v>
      </c>
      <c r="C149" s="45">
        <v>5.3650000000000002</v>
      </c>
      <c r="D149" s="45">
        <v>5.6529999999999996</v>
      </c>
      <c r="E149" s="45">
        <v>5.86</v>
      </c>
      <c r="F149" s="45">
        <v>6.0220000000000002</v>
      </c>
      <c r="G149" s="45">
        <v>6.1550000000000002</v>
      </c>
      <c r="H149" s="45">
        <v>6.2679999999999998</v>
      </c>
      <c r="I149" s="45">
        <v>6.3659999999999997</v>
      </c>
      <c r="J149" s="45">
        <v>6.4509999999999996</v>
      </c>
      <c r="K149" s="45">
        <v>6.5279999999999996</v>
      </c>
      <c r="L149" s="45">
        <v>6.5979999999999999</v>
      </c>
      <c r="M149" s="45">
        <v>6.6609999999999996</v>
      </c>
      <c r="N149" s="45">
        <v>6.72</v>
      </c>
      <c r="O149" s="45">
        <v>6.774</v>
      </c>
      <c r="P149" s="45">
        <v>6.8239999999999998</v>
      </c>
      <c r="Q149" s="45">
        <v>6.9139999999999997</v>
      </c>
      <c r="R149" s="45">
        <v>6.9950000000000001</v>
      </c>
      <c r="S149" s="45">
        <v>7.133</v>
      </c>
      <c r="T149" s="45">
        <v>7.2480000000000002</v>
      </c>
      <c r="U149" s="45">
        <v>7.3470000000000004</v>
      </c>
      <c r="V149" s="45">
        <v>7.4329999999999998</v>
      </c>
      <c r="W149" s="628">
        <v>7.51</v>
      </c>
    </row>
    <row r="150" spans="1:23" x14ac:dyDescent="0.25">
      <c r="A150">
        <v>120</v>
      </c>
      <c r="B150" s="627">
        <v>4.7709999999999999</v>
      </c>
      <c r="C150" s="45">
        <v>5.2110000000000003</v>
      </c>
      <c r="D150" s="45">
        <v>5.476</v>
      </c>
      <c r="E150" s="45">
        <v>5.6669999999999998</v>
      </c>
      <c r="F150" s="45">
        <v>5.8150000000000004</v>
      </c>
      <c r="G150" s="45">
        <v>5.9370000000000003</v>
      </c>
      <c r="H150" s="45">
        <v>6.0389999999999997</v>
      </c>
      <c r="I150" s="45">
        <v>6.1280000000000001</v>
      </c>
      <c r="J150" s="45">
        <v>6.2060000000000004</v>
      </c>
      <c r="K150" s="45">
        <v>6.2759999999999998</v>
      </c>
      <c r="L150" s="45">
        <v>6.3390000000000004</v>
      </c>
      <c r="M150" s="45">
        <v>6.3959999999999999</v>
      </c>
      <c r="N150" s="45">
        <v>6.4480000000000004</v>
      </c>
      <c r="O150" s="45">
        <v>6.4960000000000004</v>
      </c>
      <c r="P150" s="45">
        <v>6.5419999999999998</v>
      </c>
      <c r="Q150" s="45">
        <v>6.6230000000000002</v>
      </c>
      <c r="R150" s="45">
        <v>6.6950000000000003</v>
      </c>
      <c r="S150" s="45">
        <v>6.8179999999999996</v>
      </c>
      <c r="T150" s="45">
        <v>6.9210000000000003</v>
      </c>
      <c r="U150" s="45">
        <v>7.008</v>
      </c>
      <c r="V150" s="45">
        <v>7.085</v>
      </c>
      <c r="W150" s="628">
        <v>7.1529999999999996</v>
      </c>
    </row>
    <row r="151" spans="1:23" x14ac:dyDescent="0.25">
      <c r="A151" s="13" t="s">
        <v>559</v>
      </c>
      <c r="B151" s="629">
        <v>4.6539999999999999</v>
      </c>
      <c r="C151" s="981">
        <v>5.0629999999999997</v>
      </c>
      <c r="D151" s="981">
        <v>5.3090000000000002</v>
      </c>
      <c r="E151" s="981">
        <v>5.484</v>
      </c>
      <c r="F151" s="981">
        <v>5.6189999999999998</v>
      </c>
      <c r="G151" s="981">
        <v>5.73</v>
      </c>
      <c r="H151" s="981">
        <v>5.8230000000000004</v>
      </c>
      <c r="I151" s="981">
        <v>5.9029999999999996</v>
      </c>
      <c r="J151" s="981">
        <v>5.9729999999999999</v>
      </c>
      <c r="K151" s="981">
        <v>6.0359999999999996</v>
      </c>
      <c r="L151" s="981">
        <v>6.0919999999999996</v>
      </c>
      <c r="M151" s="981">
        <v>6.1440000000000001</v>
      </c>
      <c r="N151" s="981">
        <v>6.1909999999999998</v>
      </c>
      <c r="O151" s="981">
        <v>6.234</v>
      </c>
      <c r="P151" s="981">
        <v>6.274</v>
      </c>
      <c r="Q151" s="981">
        <v>6.3470000000000004</v>
      </c>
      <c r="R151" s="981">
        <v>6.4109999999999996</v>
      </c>
      <c r="S151" s="981">
        <v>6.52</v>
      </c>
      <c r="T151" s="981">
        <v>6.6109999999999998</v>
      </c>
      <c r="U151" s="981">
        <v>6.6890000000000001</v>
      </c>
      <c r="V151" s="981">
        <v>6.7560000000000002</v>
      </c>
      <c r="W151" s="630">
        <v>6.8159999999999998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/>
  <dimension ref="A1:U154"/>
  <sheetViews>
    <sheetView topLeftCell="B1" workbookViewId="0">
      <selection activeCell="W12" sqref="W12"/>
    </sheetView>
  </sheetViews>
  <sheetFormatPr defaultRowHeight="15" x14ac:dyDescent="0.25"/>
  <cols>
    <col min="1" max="1" width="5.7109375" customWidth="1"/>
    <col min="2" max="21" width="7.42578125" customWidth="1"/>
  </cols>
  <sheetData>
    <row r="1" spans="1:21" x14ac:dyDescent="0.25">
      <c r="A1" s="1" t="s">
        <v>2453</v>
      </c>
    </row>
    <row r="3" spans="1:21" x14ac:dyDescent="0.25">
      <c r="A3" s="1" t="s">
        <v>106</v>
      </c>
      <c r="B3" s="1">
        <v>0.01</v>
      </c>
    </row>
    <row r="5" spans="1:21" x14ac:dyDescent="0.25">
      <c r="A5" s="13" t="s">
        <v>2450</v>
      </c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  <c r="K5">
        <v>11</v>
      </c>
      <c r="L5">
        <v>12</v>
      </c>
      <c r="M5">
        <v>13</v>
      </c>
      <c r="N5">
        <v>14</v>
      </c>
      <c r="O5">
        <v>15</v>
      </c>
      <c r="P5">
        <v>16</v>
      </c>
      <c r="Q5">
        <v>17</v>
      </c>
      <c r="R5">
        <v>18</v>
      </c>
      <c r="S5">
        <v>19</v>
      </c>
      <c r="T5">
        <v>20</v>
      </c>
      <c r="U5">
        <v>21</v>
      </c>
    </row>
    <row r="6" spans="1:21" x14ac:dyDescent="0.25">
      <c r="A6">
        <v>1</v>
      </c>
      <c r="B6" s="1109">
        <v>63.656999999999996</v>
      </c>
      <c r="C6" s="979">
        <v>86.959000000000003</v>
      </c>
      <c r="D6" s="979">
        <v>100.28</v>
      </c>
      <c r="E6" s="979">
        <v>109.36</v>
      </c>
      <c r="F6" s="979">
        <v>116.15300000000001</v>
      </c>
      <c r="G6" s="979">
        <v>121.535</v>
      </c>
      <c r="H6" s="979">
        <v>125.967</v>
      </c>
      <c r="I6" s="979">
        <v>129.72</v>
      </c>
      <c r="J6" s="979">
        <v>132.96600000000001</v>
      </c>
      <c r="K6" s="979">
        <v>135.81800000000001</v>
      </c>
      <c r="L6" s="979">
        <v>138.358</v>
      </c>
      <c r="M6" s="979">
        <v>140.64500000000001</v>
      </c>
      <c r="N6" s="979">
        <v>142.721</v>
      </c>
      <c r="O6" s="979">
        <v>144.62100000000001</v>
      </c>
      <c r="P6" s="979">
        <v>146.37100000000001</v>
      </c>
      <c r="Q6" s="979">
        <v>147.99100000000001</v>
      </c>
      <c r="R6" s="979">
        <v>149.499</v>
      </c>
      <c r="S6" s="979">
        <v>150.90799999999999</v>
      </c>
      <c r="T6" s="979">
        <v>152.23099999999999</v>
      </c>
      <c r="U6" s="1110">
        <v>153.476</v>
      </c>
    </row>
    <row r="7" spans="1:21" x14ac:dyDescent="0.25">
      <c r="A7">
        <v>2</v>
      </c>
      <c r="B7" s="627">
        <v>9.9250000000000007</v>
      </c>
      <c r="C7" s="45">
        <v>12.388</v>
      </c>
      <c r="D7" s="45">
        <v>13.826000000000001</v>
      </c>
      <c r="E7" s="45">
        <v>14.824999999999999</v>
      </c>
      <c r="F7" s="45">
        <v>15.582000000000001</v>
      </c>
      <c r="G7" s="45">
        <v>16.189</v>
      </c>
      <c r="H7" s="45">
        <v>16.692</v>
      </c>
      <c r="I7" s="45">
        <v>17.120999999999999</v>
      </c>
      <c r="J7" s="45">
        <v>17.494</v>
      </c>
      <c r="K7" s="45">
        <v>17.823</v>
      </c>
      <c r="L7" s="45">
        <v>18.117000000000001</v>
      </c>
      <c r="M7" s="45">
        <v>18.382999999999999</v>
      </c>
      <c r="N7" s="45">
        <v>18.623999999999999</v>
      </c>
      <c r="O7" s="45">
        <v>18.846</v>
      </c>
      <c r="P7" s="45">
        <v>19.050999999999998</v>
      </c>
      <c r="Q7" s="45">
        <v>19.241</v>
      </c>
      <c r="R7" s="45">
        <v>19.417999999999999</v>
      </c>
      <c r="S7" s="45">
        <v>19.582999999999998</v>
      </c>
      <c r="T7" s="45">
        <v>19.739000000000001</v>
      </c>
      <c r="U7" s="628">
        <v>19.885999999999999</v>
      </c>
    </row>
    <row r="8" spans="1:21" x14ac:dyDescent="0.25">
      <c r="A8">
        <v>3</v>
      </c>
      <c r="B8" s="627">
        <v>5.8410000000000002</v>
      </c>
      <c r="C8" s="45">
        <v>6.9740000000000002</v>
      </c>
      <c r="D8" s="45">
        <v>7.6390000000000002</v>
      </c>
      <c r="E8" s="45">
        <v>8.1039999999999992</v>
      </c>
      <c r="F8" s="45">
        <v>8.4600000000000009</v>
      </c>
      <c r="G8" s="45">
        <v>8.7460000000000004</v>
      </c>
      <c r="H8" s="45">
        <v>8.9849999999999994</v>
      </c>
      <c r="I8" s="45">
        <v>9.1890000000000001</v>
      </c>
      <c r="J8" s="45">
        <v>9.3670000000000009</v>
      </c>
      <c r="K8" s="45">
        <v>9.5250000000000004</v>
      </c>
      <c r="L8" s="45">
        <v>9.6660000000000004</v>
      </c>
      <c r="M8" s="45">
        <v>9.7940000000000005</v>
      </c>
      <c r="N8" s="45">
        <v>9.91</v>
      </c>
      <c r="O8" s="45">
        <v>10.016999999999999</v>
      </c>
      <c r="P8" s="45">
        <v>10.116</v>
      </c>
      <c r="Q8" s="45">
        <v>10.208</v>
      </c>
      <c r="R8" s="45">
        <v>10.294</v>
      </c>
      <c r="S8" s="45">
        <v>10.375</v>
      </c>
      <c r="T8" s="45">
        <v>10.45</v>
      </c>
      <c r="U8" s="628">
        <v>10.522</v>
      </c>
    </row>
    <row r="9" spans="1:21" x14ac:dyDescent="0.25">
      <c r="A9">
        <v>4</v>
      </c>
      <c r="B9" s="627">
        <v>4.6040000000000001</v>
      </c>
      <c r="C9" s="45">
        <v>5.3639999999999999</v>
      </c>
      <c r="D9" s="45">
        <v>5.8090000000000002</v>
      </c>
      <c r="E9" s="45">
        <v>6.1210000000000004</v>
      </c>
      <c r="F9" s="45">
        <v>6.3609999999999998</v>
      </c>
      <c r="G9" s="45">
        <v>6.5540000000000003</v>
      </c>
      <c r="H9" s="45">
        <v>6.7160000000000002</v>
      </c>
      <c r="I9" s="45">
        <v>6.8540000000000001</v>
      </c>
      <c r="J9" s="45">
        <v>6.9749999999999996</v>
      </c>
      <c r="K9" s="45">
        <v>7.0819999999999999</v>
      </c>
      <c r="L9" s="45">
        <v>7.1790000000000003</v>
      </c>
      <c r="M9" s="45">
        <v>7.266</v>
      </c>
      <c r="N9" s="45">
        <v>7.3460000000000001</v>
      </c>
      <c r="O9" s="45">
        <v>7.4189999999999996</v>
      </c>
      <c r="P9" s="45">
        <v>7.4870000000000001</v>
      </c>
      <c r="Q9" s="45">
        <v>7.55</v>
      </c>
      <c r="R9" s="45">
        <v>7.609</v>
      </c>
      <c r="S9" s="45">
        <v>7.6639999999999997</v>
      </c>
      <c r="T9" s="45">
        <v>7.7160000000000002</v>
      </c>
      <c r="U9" s="628">
        <v>7.7649999999999997</v>
      </c>
    </row>
    <row r="10" spans="1:21" x14ac:dyDescent="0.25">
      <c r="A10">
        <v>5</v>
      </c>
      <c r="B10" s="627">
        <v>4.032</v>
      </c>
      <c r="C10" s="45">
        <v>4.6269999999999998</v>
      </c>
      <c r="D10" s="45">
        <v>4.9749999999999996</v>
      </c>
      <c r="E10" s="45">
        <v>5.2190000000000003</v>
      </c>
      <c r="F10" s="45">
        <v>5.4059999999999997</v>
      </c>
      <c r="G10" s="45">
        <v>5.5570000000000004</v>
      </c>
      <c r="H10" s="45">
        <v>5.6829999999999998</v>
      </c>
      <c r="I10" s="45">
        <v>5.7919999999999998</v>
      </c>
      <c r="J10" s="45">
        <v>5.8869999999999996</v>
      </c>
      <c r="K10" s="45">
        <v>5.9710000000000001</v>
      </c>
      <c r="L10" s="45">
        <v>6.0469999999999997</v>
      </c>
      <c r="M10" s="45">
        <v>6.1159999999999997</v>
      </c>
      <c r="N10" s="45">
        <v>6.1779999999999999</v>
      </c>
      <c r="O10" s="45">
        <v>6.2359999999999998</v>
      </c>
      <c r="P10" s="45">
        <v>6.2889999999999997</v>
      </c>
      <c r="Q10" s="45">
        <v>6.3390000000000004</v>
      </c>
      <c r="R10" s="45">
        <v>6.3860000000000001</v>
      </c>
      <c r="S10" s="45">
        <v>6.4290000000000003</v>
      </c>
      <c r="T10" s="45">
        <v>6.47</v>
      </c>
      <c r="U10" s="628">
        <v>6.5090000000000003</v>
      </c>
    </row>
    <row r="11" spans="1:21" x14ac:dyDescent="0.25">
      <c r="A11">
        <v>6</v>
      </c>
      <c r="B11" s="627">
        <v>3.7069999999999999</v>
      </c>
      <c r="C11" s="45">
        <v>4.2119999999999997</v>
      </c>
      <c r="D11" s="45">
        <v>4.5060000000000002</v>
      </c>
      <c r="E11" s="45">
        <v>4.7110000000000003</v>
      </c>
      <c r="F11" s="45">
        <v>4.8689999999999998</v>
      </c>
      <c r="G11" s="45">
        <v>4.9969999999999999</v>
      </c>
      <c r="H11" s="45">
        <v>5.1040000000000001</v>
      </c>
      <c r="I11" s="45">
        <v>5.1959999999999997</v>
      </c>
      <c r="J11" s="45">
        <v>5.2759999999999998</v>
      </c>
      <c r="K11" s="45">
        <v>5.3470000000000004</v>
      </c>
      <c r="L11" s="45">
        <v>5.4109999999999996</v>
      </c>
      <c r="M11" s="45">
        <v>5.4690000000000003</v>
      </c>
      <c r="N11" s="45">
        <v>5.5229999999999997</v>
      </c>
      <c r="O11" s="45">
        <v>5.5720000000000001</v>
      </c>
      <c r="P11" s="45">
        <v>5.617</v>
      </c>
      <c r="Q11" s="45">
        <v>5.6589999999999998</v>
      </c>
      <c r="R11" s="45">
        <v>5.6989999999999998</v>
      </c>
      <c r="S11" s="45">
        <v>5.7359999999999998</v>
      </c>
      <c r="T11" s="45">
        <v>5.77</v>
      </c>
      <c r="U11" s="628">
        <v>5.8029999999999999</v>
      </c>
    </row>
    <row r="12" spans="1:21" x14ac:dyDescent="0.25">
      <c r="A12">
        <v>7</v>
      </c>
      <c r="B12" s="627">
        <v>3.4990000000000001</v>
      </c>
      <c r="C12" s="45">
        <v>3.948</v>
      </c>
      <c r="D12" s="45">
        <v>4.2080000000000002</v>
      </c>
      <c r="E12" s="45">
        <v>4.3890000000000002</v>
      </c>
      <c r="F12" s="45">
        <v>4.5289999999999999</v>
      </c>
      <c r="G12" s="45">
        <v>4.6420000000000003</v>
      </c>
      <c r="H12" s="45">
        <v>4.7359999999999998</v>
      </c>
      <c r="I12" s="45">
        <v>4.8170000000000002</v>
      </c>
      <c r="J12" s="45">
        <v>4.8879999999999999</v>
      </c>
      <c r="K12" s="45">
        <v>4.9509999999999996</v>
      </c>
      <c r="L12" s="45">
        <v>5.008</v>
      </c>
      <c r="M12" s="45">
        <v>5.0590000000000002</v>
      </c>
      <c r="N12" s="45">
        <v>5.1059999999999999</v>
      </c>
      <c r="O12" s="45">
        <v>5.15</v>
      </c>
      <c r="P12" s="45">
        <v>5.19</v>
      </c>
      <c r="Q12" s="45">
        <v>5.2270000000000003</v>
      </c>
      <c r="R12" s="45">
        <v>5.2619999999999996</v>
      </c>
      <c r="S12" s="45">
        <v>5.2949999999999999</v>
      </c>
      <c r="T12" s="45">
        <v>5.3259999999999996</v>
      </c>
      <c r="U12" s="628">
        <v>5.3550000000000004</v>
      </c>
    </row>
    <row r="13" spans="1:21" x14ac:dyDescent="0.25">
      <c r="A13">
        <v>8</v>
      </c>
      <c r="B13" s="627">
        <v>3.355</v>
      </c>
      <c r="C13" s="45">
        <v>3.766</v>
      </c>
      <c r="D13" s="45">
        <v>4.0019999999999998</v>
      </c>
      <c r="E13" s="45">
        <v>4.1680000000000001</v>
      </c>
      <c r="F13" s="45">
        <v>4.2949999999999999</v>
      </c>
      <c r="G13" s="45">
        <v>4.3970000000000002</v>
      </c>
      <c r="H13" s="45">
        <v>4.4829999999999997</v>
      </c>
      <c r="I13" s="45">
        <v>4.5570000000000004</v>
      </c>
      <c r="J13" s="45">
        <v>4.6210000000000004</v>
      </c>
      <c r="K13" s="45">
        <v>4.6790000000000003</v>
      </c>
      <c r="L13" s="45">
        <v>4.7300000000000004</v>
      </c>
      <c r="M13" s="45">
        <v>4.7770000000000001</v>
      </c>
      <c r="N13" s="45">
        <v>4.82</v>
      </c>
      <c r="O13" s="45">
        <v>4.859</v>
      </c>
      <c r="P13" s="45">
        <v>4.8959999999999999</v>
      </c>
      <c r="Q13" s="45">
        <v>4.93</v>
      </c>
      <c r="R13" s="45">
        <v>4.9610000000000003</v>
      </c>
      <c r="S13" s="45">
        <v>4.9909999999999997</v>
      </c>
      <c r="T13" s="45">
        <v>5.0190000000000001</v>
      </c>
      <c r="U13" s="628">
        <v>5.0460000000000003</v>
      </c>
    </row>
    <row r="14" spans="1:21" x14ac:dyDescent="0.25">
      <c r="A14">
        <v>9</v>
      </c>
      <c r="B14" s="627">
        <v>3.25</v>
      </c>
      <c r="C14" s="45">
        <v>3.633</v>
      </c>
      <c r="D14" s="45">
        <v>3.8530000000000002</v>
      </c>
      <c r="E14" s="45">
        <v>4.0060000000000002</v>
      </c>
      <c r="F14" s="45">
        <v>4.1239999999999997</v>
      </c>
      <c r="G14" s="45">
        <v>4.2190000000000003</v>
      </c>
      <c r="H14" s="45">
        <v>4.2990000000000004</v>
      </c>
      <c r="I14" s="45">
        <v>4.367</v>
      </c>
      <c r="J14" s="45">
        <v>4.4269999999999996</v>
      </c>
      <c r="K14" s="45">
        <v>4.4800000000000004</v>
      </c>
      <c r="L14" s="45">
        <v>4.5279999999999996</v>
      </c>
      <c r="M14" s="45">
        <v>4.5709999999999997</v>
      </c>
      <c r="N14" s="45">
        <v>4.6109999999999998</v>
      </c>
      <c r="O14" s="45">
        <v>4.6470000000000002</v>
      </c>
      <c r="P14" s="45">
        <v>4.681</v>
      </c>
      <c r="Q14" s="45">
        <v>4.7130000000000001</v>
      </c>
      <c r="R14" s="45">
        <v>4.742</v>
      </c>
      <c r="S14" s="45">
        <v>4.7699999999999996</v>
      </c>
      <c r="T14" s="45">
        <v>4.7960000000000003</v>
      </c>
      <c r="U14" s="628">
        <v>4.8209999999999997</v>
      </c>
    </row>
    <row r="15" spans="1:21" x14ac:dyDescent="0.25">
      <c r="A15">
        <v>10</v>
      </c>
      <c r="B15" s="627">
        <v>3.169</v>
      </c>
      <c r="C15" s="45">
        <v>3.5310000000000001</v>
      </c>
      <c r="D15" s="45">
        <v>3.7389999999999999</v>
      </c>
      <c r="E15" s="45">
        <v>3.883</v>
      </c>
      <c r="F15" s="45">
        <v>3.9940000000000002</v>
      </c>
      <c r="G15" s="45">
        <v>4.0839999999999996</v>
      </c>
      <c r="H15" s="45">
        <v>4.1589999999999998</v>
      </c>
      <c r="I15" s="45">
        <v>4.2229999999999999</v>
      </c>
      <c r="J15" s="45">
        <v>4.2789999999999999</v>
      </c>
      <c r="K15" s="45">
        <v>4.3289999999999997</v>
      </c>
      <c r="L15" s="45">
        <v>4.3739999999999997</v>
      </c>
      <c r="M15" s="45">
        <v>4.415</v>
      </c>
      <c r="N15" s="45">
        <v>4.452</v>
      </c>
      <c r="O15" s="45">
        <v>4.4870000000000001</v>
      </c>
      <c r="P15" s="45">
        <v>4.5190000000000001</v>
      </c>
      <c r="Q15" s="45">
        <v>4.548</v>
      </c>
      <c r="R15" s="45">
        <v>4.5759999999999996</v>
      </c>
      <c r="S15" s="45">
        <v>4.6020000000000003</v>
      </c>
      <c r="T15" s="45">
        <v>4.6269999999999998</v>
      </c>
      <c r="U15" s="628">
        <v>4.6500000000000004</v>
      </c>
    </row>
    <row r="16" spans="1:21" x14ac:dyDescent="0.25">
      <c r="A16">
        <v>11</v>
      </c>
      <c r="B16" s="627">
        <v>3.1059999999999999</v>
      </c>
      <c r="C16" s="45">
        <v>3.452</v>
      </c>
      <c r="D16" s="45">
        <v>3.649</v>
      </c>
      <c r="E16" s="45">
        <v>3.7869999999999999</v>
      </c>
      <c r="F16" s="45">
        <v>3.8919999999999999</v>
      </c>
      <c r="G16" s="45">
        <v>3.9780000000000002</v>
      </c>
      <c r="H16" s="45">
        <v>4.0490000000000004</v>
      </c>
      <c r="I16" s="45">
        <v>4.1100000000000003</v>
      </c>
      <c r="J16" s="45">
        <v>4.1639999999999997</v>
      </c>
      <c r="K16" s="45">
        <v>4.2110000000000003</v>
      </c>
      <c r="L16" s="45">
        <v>4.2539999999999996</v>
      </c>
      <c r="M16" s="45">
        <v>4.2930000000000001</v>
      </c>
      <c r="N16" s="45">
        <v>4.3280000000000003</v>
      </c>
      <c r="O16" s="45">
        <v>4.3609999999999998</v>
      </c>
      <c r="P16" s="45">
        <v>4.391</v>
      </c>
      <c r="Q16" s="45">
        <v>4.4189999999999996</v>
      </c>
      <c r="R16" s="45">
        <v>4.4459999999999997</v>
      </c>
      <c r="S16" s="45">
        <v>4.47</v>
      </c>
      <c r="T16" s="45">
        <v>4.4939999999999998</v>
      </c>
      <c r="U16" s="628">
        <v>4.516</v>
      </c>
    </row>
    <row r="17" spans="1:21" x14ac:dyDescent="0.25">
      <c r="A17">
        <v>12</v>
      </c>
      <c r="B17" s="627">
        <v>3.0550000000000002</v>
      </c>
      <c r="C17" s="45">
        <v>3.387</v>
      </c>
      <c r="D17" s="45">
        <v>3.577</v>
      </c>
      <c r="E17" s="45">
        <v>3.7090000000000001</v>
      </c>
      <c r="F17" s="45">
        <v>3.8109999999999999</v>
      </c>
      <c r="G17" s="45">
        <v>3.8919999999999999</v>
      </c>
      <c r="H17" s="45">
        <v>3.96</v>
      </c>
      <c r="I17" s="45">
        <v>4.0190000000000001</v>
      </c>
      <c r="J17" s="45">
        <v>4.07</v>
      </c>
      <c r="K17" s="45">
        <v>4.1159999999999997</v>
      </c>
      <c r="L17" s="45">
        <v>4.157</v>
      </c>
      <c r="M17" s="45">
        <v>4.194</v>
      </c>
      <c r="N17" s="45">
        <v>4.2279999999999998</v>
      </c>
      <c r="O17" s="45">
        <v>4.2590000000000003</v>
      </c>
      <c r="P17" s="45">
        <v>4.2880000000000003</v>
      </c>
      <c r="Q17" s="45">
        <v>4.3150000000000004</v>
      </c>
      <c r="R17" s="45">
        <v>4.34</v>
      </c>
      <c r="S17" s="45">
        <v>4.3639999999999999</v>
      </c>
      <c r="T17" s="45">
        <v>4.3869999999999996</v>
      </c>
      <c r="U17" s="628">
        <v>4.4080000000000004</v>
      </c>
    </row>
    <row r="18" spans="1:21" x14ac:dyDescent="0.25">
      <c r="A18">
        <v>13</v>
      </c>
      <c r="B18" s="627">
        <v>3.012</v>
      </c>
      <c r="C18" s="45">
        <v>3.335</v>
      </c>
      <c r="D18" s="45">
        <v>3.5179999999999998</v>
      </c>
      <c r="E18" s="45">
        <v>3.6459999999999999</v>
      </c>
      <c r="F18" s="45">
        <v>3.7429999999999999</v>
      </c>
      <c r="G18" s="45">
        <v>3.8220000000000001</v>
      </c>
      <c r="H18" s="45">
        <v>3.8879999999999999</v>
      </c>
      <c r="I18" s="45">
        <v>3.944</v>
      </c>
      <c r="J18" s="45">
        <v>3.9940000000000002</v>
      </c>
      <c r="K18" s="45">
        <v>4.0380000000000003</v>
      </c>
      <c r="L18" s="45">
        <v>4.077</v>
      </c>
      <c r="M18" s="45">
        <v>4.1130000000000004</v>
      </c>
      <c r="N18" s="45">
        <v>4.1459999999999999</v>
      </c>
      <c r="O18" s="45">
        <v>4.1760000000000002</v>
      </c>
      <c r="P18" s="45">
        <v>4.2039999999999997</v>
      </c>
      <c r="Q18" s="45">
        <v>4.2300000000000004</v>
      </c>
      <c r="R18" s="45">
        <v>4.2539999999999996</v>
      </c>
      <c r="S18" s="45">
        <v>4.2770000000000001</v>
      </c>
      <c r="T18" s="45">
        <v>4.2990000000000004</v>
      </c>
      <c r="U18" s="628">
        <v>4.319</v>
      </c>
    </row>
    <row r="19" spans="1:21" x14ac:dyDescent="0.25">
      <c r="A19">
        <v>14</v>
      </c>
      <c r="B19" s="627">
        <v>2.9769999999999999</v>
      </c>
      <c r="C19" s="45">
        <v>3.29</v>
      </c>
      <c r="D19" s="45">
        <v>3.468</v>
      </c>
      <c r="E19" s="45">
        <v>3.5920000000000001</v>
      </c>
      <c r="F19" s="45">
        <v>3.6869999999999998</v>
      </c>
      <c r="G19" s="45">
        <v>3.7629999999999999</v>
      </c>
      <c r="H19" s="45">
        <v>3.827</v>
      </c>
      <c r="I19" s="45">
        <v>3.8820000000000001</v>
      </c>
      <c r="J19" s="45">
        <v>3.93</v>
      </c>
      <c r="K19" s="45">
        <v>3.972</v>
      </c>
      <c r="L19" s="45">
        <v>4.0110000000000001</v>
      </c>
      <c r="M19" s="45">
        <v>4.0449999999999999</v>
      </c>
      <c r="N19" s="45">
        <v>4.077</v>
      </c>
      <c r="O19" s="45">
        <v>4.1059999999999999</v>
      </c>
      <c r="P19" s="45">
        <v>4.133</v>
      </c>
      <c r="Q19" s="45">
        <v>4.1580000000000004</v>
      </c>
      <c r="R19" s="45">
        <v>4.1820000000000004</v>
      </c>
      <c r="S19" s="45">
        <v>4.2039999999999997</v>
      </c>
      <c r="T19" s="45">
        <v>4.2249999999999996</v>
      </c>
      <c r="U19" s="628">
        <v>4.2450000000000001</v>
      </c>
    </row>
    <row r="20" spans="1:21" x14ac:dyDescent="0.25">
      <c r="A20">
        <v>15</v>
      </c>
      <c r="B20" s="627">
        <v>2.9470000000000001</v>
      </c>
      <c r="C20" s="45">
        <v>3.2530000000000001</v>
      </c>
      <c r="D20" s="45">
        <v>3.4260000000000002</v>
      </c>
      <c r="E20" s="45">
        <v>3.5470000000000002</v>
      </c>
      <c r="F20" s="45">
        <v>3.6389999999999998</v>
      </c>
      <c r="G20" s="45">
        <v>3.7130000000000001</v>
      </c>
      <c r="H20" s="45">
        <v>3.7759999999999998</v>
      </c>
      <c r="I20" s="45">
        <v>3.8290000000000002</v>
      </c>
      <c r="J20" s="45">
        <v>3.875</v>
      </c>
      <c r="K20" s="45">
        <v>3.9169999999999998</v>
      </c>
      <c r="L20" s="45">
        <v>3.9540000000000002</v>
      </c>
      <c r="M20" s="45">
        <v>3.988</v>
      </c>
      <c r="N20" s="45">
        <v>4.0190000000000001</v>
      </c>
      <c r="O20" s="45">
        <v>4.0469999999999997</v>
      </c>
      <c r="P20" s="45">
        <v>4.0730000000000004</v>
      </c>
      <c r="Q20" s="45">
        <v>4.0979999999999999</v>
      </c>
      <c r="R20" s="45">
        <v>4.1210000000000004</v>
      </c>
      <c r="S20" s="45">
        <v>4.1420000000000003</v>
      </c>
      <c r="T20" s="45">
        <v>4.1630000000000003</v>
      </c>
      <c r="U20" s="628">
        <v>4.1820000000000004</v>
      </c>
    </row>
    <row r="21" spans="1:21" x14ac:dyDescent="0.25">
      <c r="A21">
        <v>16</v>
      </c>
      <c r="B21" s="627">
        <v>2.9209999999999998</v>
      </c>
      <c r="C21" s="45">
        <v>3.22</v>
      </c>
      <c r="D21" s="45">
        <v>3.39</v>
      </c>
      <c r="E21" s="45">
        <v>3.508</v>
      </c>
      <c r="F21" s="45">
        <v>3.5979999999999999</v>
      </c>
      <c r="G21" s="45">
        <v>3.6709999999999998</v>
      </c>
      <c r="H21" s="45">
        <v>3.7309999999999999</v>
      </c>
      <c r="I21" s="45">
        <v>3.7829999999999999</v>
      </c>
      <c r="J21" s="45">
        <v>3.8290000000000002</v>
      </c>
      <c r="K21" s="45">
        <v>3.8690000000000002</v>
      </c>
      <c r="L21" s="45">
        <v>3.9049999999999998</v>
      </c>
      <c r="M21" s="45">
        <v>3.9380000000000002</v>
      </c>
      <c r="N21" s="45">
        <v>3.968</v>
      </c>
      <c r="O21" s="45">
        <v>3.996</v>
      </c>
      <c r="P21" s="45">
        <v>4.0220000000000002</v>
      </c>
      <c r="Q21" s="45">
        <v>4.0460000000000003</v>
      </c>
      <c r="R21" s="45">
        <v>4.0679999999999996</v>
      </c>
      <c r="S21" s="45">
        <v>4.0890000000000004</v>
      </c>
      <c r="T21" s="45">
        <v>4.109</v>
      </c>
      <c r="U21" s="628">
        <v>4.1280000000000001</v>
      </c>
    </row>
    <row r="22" spans="1:21" x14ac:dyDescent="0.25">
      <c r="A22">
        <v>17</v>
      </c>
      <c r="B22" s="627">
        <v>2.8980000000000001</v>
      </c>
      <c r="C22" s="45">
        <v>3.1920000000000002</v>
      </c>
      <c r="D22" s="45">
        <v>3.359</v>
      </c>
      <c r="E22" s="45">
        <v>3.4740000000000002</v>
      </c>
      <c r="F22" s="45">
        <v>3.5630000000000002</v>
      </c>
      <c r="G22" s="45">
        <v>3.6339999999999999</v>
      </c>
      <c r="H22" s="45">
        <v>3.6930000000000001</v>
      </c>
      <c r="I22" s="45">
        <v>3.7440000000000002</v>
      </c>
      <c r="J22" s="45">
        <v>3.7879999999999998</v>
      </c>
      <c r="K22" s="45">
        <v>3.8279999999999998</v>
      </c>
      <c r="L22" s="45">
        <v>3.863</v>
      </c>
      <c r="M22" s="45">
        <v>3.8959999999999999</v>
      </c>
      <c r="N22" s="45">
        <v>3.9249999999999998</v>
      </c>
      <c r="O22" s="45">
        <v>3.952</v>
      </c>
      <c r="P22" s="45">
        <v>3.9769999999999999</v>
      </c>
      <c r="Q22" s="45">
        <v>4.0010000000000003</v>
      </c>
      <c r="R22" s="45">
        <v>4.0229999999999997</v>
      </c>
      <c r="S22" s="45">
        <v>4.0430000000000001</v>
      </c>
      <c r="T22" s="45">
        <v>4.0620000000000003</v>
      </c>
      <c r="U22" s="628">
        <v>4.0810000000000004</v>
      </c>
    </row>
    <row r="23" spans="1:21" x14ac:dyDescent="0.25">
      <c r="A23">
        <v>18</v>
      </c>
      <c r="B23" s="627">
        <v>2.8780000000000001</v>
      </c>
      <c r="C23" s="45">
        <v>3.1680000000000001</v>
      </c>
      <c r="D23" s="45">
        <v>3.331</v>
      </c>
      <c r="E23" s="45">
        <v>3.4449999999999998</v>
      </c>
      <c r="F23" s="45">
        <v>3.5310000000000001</v>
      </c>
      <c r="G23" s="45">
        <v>3.601</v>
      </c>
      <c r="H23" s="45">
        <v>3.6589999999999998</v>
      </c>
      <c r="I23" s="45">
        <v>3.7090000000000001</v>
      </c>
      <c r="J23" s="45">
        <v>3.7530000000000001</v>
      </c>
      <c r="K23" s="45">
        <v>3.7919999999999998</v>
      </c>
      <c r="L23" s="45">
        <v>3.8260000000000001</v>
      </c>
      <c r="M23" s="45">
        <v>3.8580000000000001</v>
      </c>
      <c r="N23" s="45">
        <v>3.887</v>
      </c>
      <c r="O23" s="45">
        <v>3.9140000000000001</v>
      </c>
      <c r="P23" s="45">
        <v>3.9380000000000002</v>
      </c>
      <c r="Q23" s="45">
        <v>3.9609999999999999</v>
      </c>
      <c r="R23" s="45">
        <v>3.9830000000000001</v>
      </c>
      <c r="S23" s="45">
        <v>4.0030000000000001</v>
      </c>
      <c r="T23" s="45">
        <v>4.0220000000000002</v>
      </c>
      <c r="U23" s="628">
        <v>4.04</v>
      </c>
    </row>
    <row r="24" spans="1:21" x14ac:dyDescent="0.25">
      <c r="A24">
        <v>19</v>
      </c>
      <c r="B24" s="627">
        <v>2.8610000000000002</v>
      </c>
      <c r="C24" s="45">
        <v>3.1459999999999999</v>
      </c>
      <c r="D24" s="45">
        <v>3.3069999999999999</v>
      </c>
      <c r="E24" s="45">
        <v>3.419</v>
      </c>
      <c r="F24" s="45">
        <v>3.504</v>
      </c>
      <c r="G24" s="45">
        <v>3.5720000000000001</v>
      </c>
      <c r="H24" s="45">
        <v>3.63</v>
      </c>
      <c r="I24" s="45">
        <v>3.6789999999999998</v>
      </c>
      <c r="J24" s="45">
        <v>3.722</v>
      </c>
      <c r="K24" s="45">
        <v>3.76</v>
      </c>
      <c r="L24" s="45">
        <v>3.794</v>
      </c>
      <c r="M24" s="45">
        <v>3.8250000000000002</v>
      </c>
      <c r="N24" s="45">
        <v>3.8530000000000002</v>
      </c>
      <c r="O24" s="45">
        <v>3.879</v>
      </c>
      <c r="P24" s="45">
        <v>3.9039999999999999</v>
      </c>
      <c r="Q24" s="45">
        <v>3.9260000000000002</v>
      </c>
      <c r="R24" s="45">
        <v>3.9470000000000001</v>
      </c>
      <c r="S24" s="45">
        <v>3.9670000000000001</v>
      </c>
      <c r="T24" s="45">
        <v>3.9860000000000002</v>
      </c>
      <c r="U24" s="628">
        <v>4.0030000000000001</v>
      </c>
    </row>
    <row r="25" spans="1:21" x14ac:dyDescent="0.25">
      <c r="A25">
        <v>20</v>
      </c>
      <c r="B25" s="627">
        <v>2.8450000000000002</v>
      </c>
      <c r="C25" s="45">
        <v>3.1269999999999998</v>
      </c>
      <c r="D25" s="45">
        <v>3.2850000000000001</v>
      </c>
      <c r="E25" s="45">
        <v>3.395</v>
      </c>
      <c r="F25" s="45">
        <v>3.4790000000000001</v>
      </c>
      <c r="G25" s="45">
        <v>3.5470000000000002</v>
      </c>
      <c r="H25" s="45">
        <v>3.6030000000000002</v>
      </c>
      <c r="I25" s="45">
        <v>3.6509999999999998</v>
      </c>
      <c r="J25" s="45">
        <v>3.694</v>
      </c>
      <c r="K25" s="45">
        <v>3.7309999999999999</v>
      </c>
      <c r="L25" s="45">
        <v>3.7650000000000001</v>
      </c>
      <c r="M25" s="45">
        <v>3.7949999999999999</v>
      </c>
      <c r="N25" s="45">
        <v>3.823</v>
      </c>
      <c r="O25" s="45">
        <v>3.8490000000000002</v>
      </c>
      <c r="P25" s="45">
        <v>3.8730000000000002</v>
      </c>
      <c r="Q25" s="45">
        <v>3.895</v>
      </c>
      <c r="R25" s="45">
        <v>3.9159999999999999</v>
      </c>
      <c r="S25" s="45">
        <v>3.9350000000000001</v>
      </c>
      <c r="T25" s="45">
        <v>3.9540000000000002</v>
      </c>
      <c r="U25" s="628">
        <v>3.9710000000000001</v>
      </c>
    </row>
    <row r="26" spans="1:21" x14ac:dyDescent="0.25">
      <c r="A26">
        <v>21</v>
      </c>
      <c r="B26" s="627">
        <v>2.831</v>
      </c>
      <c r="C26" s="45">
        <v>3.109</v>
      </c>
      <c r="D26" s="45">
        <v>3.266</v>
      </c>
      <c r="E26" s="45">
        <v>3.375</v>
      </c>
      <c r="F26" s="45">
        <v>3.4569999999999999</v>
      </c>
      <c r="G26" s="45">
        <v>3.524</v>
      </c>
      <c r="H26" s="45">
        <v>3.5790000000000002</v>
      </c>
      <c r="I26" s="45">
        <v>3.6269999999999998</v>
      </c>
      <c r="J26" s="45">
        <v>3.669</v>
      </c>
      <c r="K26" s="45">
        <v>3.706</v>
      </c>
      <c r="L26" s="45">
        <v>3.7389999999999999</v>
      </c>
      <c r="M26" s="45">
        <v>3.7690000000000001</v>
      </c>
      <c r="N26" s="45">
        <v>3.7970000000000002</v>
      </c>
      <c r="O26" s="45">
        <v>3.8220000000000001</v>
      </c>
      <c r="P26" s="45">
        <v>3.8450000000000002</v>
      </c>
      <c r="Q26" s="45">
        <v>3.867</v>
      </c>
      <c r="R26" s="45">
        <v>3.8879999999999999</v>
      </c>
      <c r="S26" s="45">
        <v>3.907</v>
      </c>
      <c r="T26" s="45">
        <v>3.9249999999999998</v>
      </c>
      <c r="U26" s="628">
        <v>3.9420000000000002</v>
      </c>
    </row>
    <row r="27" spans="1:21" x14ac:dyDescent="0.25">
      <c r="A27">
        <v>22</v>
      </c>
      <c r="B27" s="627">
        <v>2.819</v>
      </c>
      <c r="C27" s="45">
        <v>3.0939999999999999</v>
      </c>
      <c r="D27" s="45">
        <v>3.2490000000000001</v>
      </c>
      <c r="E27" s="45">
        <v>3.3559999999999999</v>
      </c>
      <c r="F27" s="45">
        <v>3.4369999999999998</v>
      </c>
      <c r="G27" s="45">
        <v>3.5030000000000001</v>
      </c>
      <c r="H27" s="45">
        <v>3.5579999999999998</v>
      </c>
      <c r="I27" s="45">
        <v>3.605</v>
      </c>
      <c r="J27" s="45">
        <v>3.6459999999999999</v>
      </c>
      <c r="K27" s="45">
        <v>3.6829999999999998</v>
      </c>
      <c r="L27" s="45">
        <v>3.7160000000000002</v>
      </c>
      <c r="M27" s="45">
        <v>3.7450000000000001</v>
      </c>
      <c r="N27" s="45">
        <v>3.7730000000000001</v>
      </c>
      <c r="O27" s="45">
        <v>3.798</v>
      </c>
      <c r="P27" s="45">
        <v>3.8210000000000002</v>
      </c>
      <c r="Q27" s="45">
        <v>3.8420000000000001</v>
      </c>
      <c r="R27" s="45">
        <v>3.8620000000000001</v>
      </c>
      <c r="S27" s="45">
        <v>3.8809999999999998</v>
      </c>
      <c r="T27" s="45">
        <v>3.899</v>
      </c>
      <c r="U27" s="628">
        <v>3.9159999999999999</v>
      </c>
    </row>
    <row r="28" spans="1:21" x14ac:dyDescent="0.25">
      <c r="A28">
        <v>23</v>
      </c>
      <c r="B28" s="627">
        <v>2.8069999999999999</v>
      </c>
      <c r="C28" s="45">
        <v>3.08</v>
      </c>
      <c r="D28" s="45">
        <v>3.2330000000000001</v>
      </c>
      <c r="E28" s="45">
        <v>3.339</v>
      </c>
      <c r="F28" s="45">
        <v>3.42</v>
      </c>
      <c r="G28" s="45">
        <v>3.4849999999999999</v>
      </c>
      <c r="H28" s="45">
        <v>3.5390000000000001</v>
      </c>
      <c r="I28" s="45">
        <v>3.585</v>
      </c>
      <c r="J28" s="45">
        <v>3.6259999999999999</v>
      </c>
      <c r="K28" s="45">
        <v>3.6619999999999999</v>
      </c>
      <c r="L28" s="45">
        <v>3.694</v>
      </c>
      <c r="M28" s="45">
        <v>3.7240000000000002</v>
      </c>
      <c r="N28" s="45">
        <v>3.7509999999999999</v>
      </c>
      <c r="O28" s="45">
        <v>3.7749999999999999</v>
      </c>
      <c r="P28" s="45">
        <v>3.798</v>
      </c>
      <c r="Q28" s="45">
        <v>3.82</v>
      </c>
      <c r="R28" s="45">
        <v>3.84</v>
      </c>
      <c r="S28" s="45">
        <v>3.8580000000000001</v>
      </c>
      <c r="T28" s="45">
        <v>3.8759999999999999</v>
      </c>
      <c r="U28" s="628">
        <v>3.8929999999999998</v>
      </c>
    </row>
    <row r="29" spans="1:21" x14ac:dyDescent="0.25">
      <c r="A29">
        <v>24</v>
      </c>
      <c r="B29" s="627">
        <v>2.7970000000000002</v>
      </c>
      <c r="C29" s="45">
        <v>3.0670000000000002</v>
      </c>
      <c r="D29" s="45">
        <v>3.218</v>
      </c>
      <c r="E29" s="45">
        <v>3.323</v>
      </c>
      <c r="F29" s="45">
        <v>3.403</v>
      </c>
      <c r="G29" s="45">
        <v>3.468</v>
      </c>
      <c r="H29" s="45">
        <v>3.5209999999999999</v>
      </c>
      <c r="I29" s="45">
        <v>3.5670000000000002</v>
      </c>
      <c r="J29" s="45">
        <v>3.6080000000000001</v>
      </c>
      <c r="K29" s="45">
        <v>3.6429999999999998</v>
      </c>
      <c r="L29" s="45">
        <v>3.6749999999999998</v>
      </c>
      <c r="M29" s="45">
        <v>3.7040000000000002</v>
      </c>
      <c r="N29" s="45">
        <v>3.7309999999999999</v>
      </c>
      <c r="O29" s="45">
        <v>3.7549999999999999</v>
      </c>
      <c r="P29" s="45">
        <v>3.778</v>
      </c>
      <c r="Q29" s="45">
        <v>3.7989999999999999</v>
      </c>
      <c r="R29" s="45">
        <v>3.819</v>
      </c>
      <c r="S29" s="45">
        <v>3.8370000000000002</v>
      </c>
      <c r="T29" s="45">
        <v>3.855</v>
      </c>
      <c r="U29" s="628">
        <v>3.871</v>
      </c>
    </row>
    <row r="30" spans="1:21" x14ac:dyDescent="0.25">
      <c r="A30">
        <v>25</v>
      </c>
      <c r="B30" s="627">
        <v>2.7869999999999999</v>
      </c>
      <c r="C30" s="45">
        <v>3.0550000000000002</v>
      </c>
      <c r="D30" s="45">
        <v>3.2050000000000001</v>
      </c>
      <c r="E30" s="45">
        <v>3.3090000000000002</v>
      </c>
      <c r="F30" s="45">
        <v>3.3879999999999999</v>
      </c>
      <c r="G30" s="45">
        <v>3.452</v>
      </c>
      <c r="H30" s="45">
        <v>3.5049999999999999</v>
      </c>
      <c r="I30" s="45">
        <v>3.5510000000000002</v>
      </c>
      <c r="J30" s="45">
        <v>3.5910000000000002</v>
      </c>
      <c r="K30" s="45">
        <v>3.6259999999999999</v>
      </c>
      <c r="L30" s="45">
        <v>3.6579999999999999</v>
      </c>
      <c r="M30" s="45">
        <v>3.6859999999999999</v>
      </c>
      <c r="N30" s="45">
        <v>3.7130000000000001</v>
      </c>
      <c r="O30" s="45">
        <v>3.7370000000000001</v>
      </c>
      <c r="P30" s="45">
        <v>3.7589999999999999</v>
      </c>
      <c r="Q30" s="45">
        <v>3.78</v>
      </c>
      <c r="R30" s="45">
        <v>3.8</v>
      </c>
      <c r="S30" s="45">
        <v>3.8180000000000001</v>
      </c>
      <c r="T30" s="45">
        <v>3.835</v>
      </c>
      <c r="U30" s="628">
        <v>3.8519999999999999</v>
      </c>
    </row>
    <row r="31" spans="1:21" x14ac:dyDescent="0.25">
      <c r="A31">
        <v>26</v>
      </c>
      <c r="B31" s="627">
        <v>2.7789999999999999</v>
      </c>
      <c r="C31" s="45">
        <v>3.044</v>
      </c>
      <c r="D31" s="45">
        <v>3.1930000000000001</v>
      </c>
      <c r="E31" s="45">
        <v>3.2959999999999998</v>
      </c>
      <c r="F31" s="45">
        <v>3.375</v>
      </c>
      <c r="G31" s="45">
        <v>3.4380000000000002</v>
      </c>
      <c r="H31" s="45">
        <v>3.4910000000000001</v>
      </c>
      <c r="I31" s="45">
        <v>3.536</v>
      </c>
      <c r="J31" s="45">
        <v>3.5750000000000002</v>
      </c>
      <c r="K31" s="45">
        <v>3.61</v>
      </c>
      <c r="L31" s="45">
        <v>3.6419999999999999</v>
      </c>
      <c r="M31" s="45">
        <v>3.67</v>
      </c>
      <c r="N31" s="45">
        <v>3.6960000000000002</v>
      </c>
      <c r="O31" s="45">
        <v>3.72</v>
      </c>
      <c r="P31" s="45">
        <v>3.742</v>
      </c>
      <c r="Q31" s="45">
        <v>3.7629999999999999</v>
      </c>
      <c r="R31" s="45">
        <v>3.782</v>
      </c>
      <c r="S31" s="45">
        <v>3.8</v>
      </c>
      <c r="T31" s="45">
        <v>3.8170000000000002</v>
      </c>
      <c r="U31" s="628">
        <v>3.8340000000000001</v>
      </c>
    </row>
    <row r="32" spans="1:21" x14ac:dyDescent="0.25">
      <c r="A32">
        <v>27</v>
      </c>
      <c r="B32" s="627">
        <v>2.7709999999999999</v>
      </c>
      <c r="C32" s="45">
        <v>3.0339999999999998</v>
      </c>
      <c r="D32" s="45">
        <v>3.1819999999999999</v>
      </c>
      <c r="E32" s="45">
        <v>3.2839999999999998</v>
      </c>
      <c r="F32" s="45">
        <v>3.3620000000000001</v>
      </c>
      <c r="G32" s="45">
        <v>3.4249999999999998</v>
      </c>
      <c r="H32" s="45">
        <v>3.4769999999999999</v>
      </c>
      <c r="I32" s="45">
        <v>3.5219999999999998</v>
      </c>
      <c r="J32" s="45">
        <v>3.5609999999999999</v>
      </c>
      <c r="K32" s="45">
        <v>3.5960000000000001</v>
      </c>
      <c r="L32" s="45">
        <v>3.6269999999999998</v>
      </c>
      <c r="M32" s="45">
        <v>3.6549999999999998</v>
      </c>
      <c r="N32" s="45">
        <v>3.681</v>
      </c>
      <c r="O32" s="45">
        <v>3.7050000000000001</v>
      </c>
      <c r="P32" s="45">
        <v>3.7269999999999999</v>
      </c>
      <c r="Q32" s="45">
        <v>3.7469999999999999</v>
      </c>
      <c r="R32" s="45">
        <v>3.766</v>
      </c>
      <c r="S32" s="45">
        <v>3.7839999999999998</v>
      </c>
      <c r="T32" s="45">
        <v>3.8010000000000002</v>
      </c>
      <c r="U32" s="628">
        <v>3.8170000000000002</v>
      </c>
    </row>
    <row r="33" spans="1:21" x14ac:dyDescent="0.25">
      <c r="A33">
        <v>28</v>
      </c>
      <c r="B33" s="627">
        <v>2.7629999999999999</v>
      </c>
      <c r="C33" s="45">
        <v>3.0249999999999999</v>
      </c>
      <c r="D33" s="45">
        <v>3.1720000000000002</v>
      </c>
      <c r="E33" s="45">
        <v>3.2730000000000001</v>
      </c>
      <c r="F33" s="45">
        <v>3.351</v>
      </c>
      <c r="G33" s="45">
        <v>3.4129999999999998</v>
      </c>
      <c r="H33" s="45">
        <v>3.4649999999999999</v>
      </c>
      <c r="I33" s="45">
        <v>3.5089999999999999</v>
      </c>
      <c r="J33" s="45">
        <v>3.548</v>
      </c>
      <c r="K33" s="45">
        <v>3.5819999999999999</v>
      </c>
      <c r="L33" s="45">
        <v>3.613</v>
      </c>
      <c r="M33" s="45">
        <v>3.641</v>
      </c>
      <c r="N33" s="45">
        <v>3.6669999999999998</v>
      </c>
      <c r="O33" s="45">
        <v>3.69</v>
      </c>
      <c r="P33" s="45">
        <v>3.7120000000000002</v>
      </c>
      <c r="Q33" s="45">
        <v>3.7320000000000002</v>
      </c>
      <c r="R33" s="45">
        <v>3.7509999999999999</v>
      </c>
      <c r="S33" s="45">
        <v>3.7690000000000001</v>
      </c>
      <c r="T33" s="45">
        <v>3.786</v>
      </c>
      <c r="U33" s="628">
        <v>3.802</v>
      </c>
    </row>
    <row r="34" spans="1:21" x14ac:dyDescent="0.25">
      <c r="A34">
        <v>29</v>
      </c>
      <c r="B34" s="627">
        <v>2.7559999999999998</v>
      </c>
      <c r="C34" s="45">
        <v>3.0169999999999999</v>
      </c>
      <c r="D34" s="45">
        <v>3.1619999999999999</v>
      </c>
      <c r="E34" s="45">
        <v>3.2629999999999999</v>
      </c>
      <c r="F34" s="45">
        <v>3.34</v>
      </c>
      <c r="G34" s="45">
        <v>3.4020000000000001</v>
      </c>
      <c r="H34" s="45">
        <v>3.4529999999999998</v>
      </c>
      <c r="I34" s="45">
        <v>3.4969999999999999</v>
      </c>
      <c r="J34" s="45">
        <v>3.536</v>
      </c>
      <c r="K34" s="45">
        <v>3.57</v>
      </c>
      <c r="L34" s="45">
        <v>3.6</v>
      </c>
      <c r="M34" s="45">
        <v>3.6280000000000001</v>
      </c>
      <c r="N34" s="45">
        <v>3.6539999999999999</v>
      </c>
      <c r="O34" s="45">
        <v>3.677</v>
      </c>
      <c r="P34" s="45">
        <v>3.6989999999999998</v>
      </c>
      <c r="Q34" s="45">
        <v>3.7189999999999999</v>
      </c>
      <c r="R34" s="45">
        <v>3.738</v>
      </c>
      <c r="S34" s="45">
        <v>3.7549999999999999</v>
      </c>
      <c r="T34" s="45">
        <v>3.7719999999999998</v>
      </c>
      <c r="U34" s="628">
        <v>3.7879999999999998</v>
      </c>
    </row>
    <row r="35" spans="1:21" x14ac:dyDescent="0.25">
      <c r="A35">
        <v>30</v>
      </c>
      <c r="B35" s="627">
        <v>2.75</v>
      </c>
      <c r="C35" s="45">
        <v>3.0089999999999999</v>
      </c>
      <c r="D35" s="45">
        <v>3.1539999999999999</v>
      </c>
      <c r="E35" s="45">
        <v>3.254</v>
      </c>
      <c r="F35" s="45">
        <v>3.33</v>
      </c>
      <c r="G35" s="45">
        <v>3.391</v>
      </c>
      <c r="H35" s="45">
        <v>3.4420000000000002</v>
      </c>
      <c r="I35" s="45">
        <v>3.4860000000000002</v>
      </c>
      <c r="J35" s="45">
        <v>3.524</v>
      </c>
      <c r="K35" s="45">
        <v>3.5579999999999998</v>
      </c>
      <c r="L35" s="45">
        <v>3.589</v>
      </c>
      <c r="M35" s="45">
        <v>3.6160000000000001</v>
      </c>
      <c r="N35" s="45">
        <v>3.641</v>
      </c>
      <c r="O35" s="45">
        <v>3.665</v>
      </c>
      <c r="P35" s="45">
        <v>3.6859999999999999</v>
      </c>
      <c r="Q35" s="45">
        <v>3.706</v>
      </c>
      <c r="R35" s="45">
        <v>3.7250000000000001</v>
      </c>
      <c r="S35" s="45">
        <v>3.7429999999999999</v>
      </c>
      <c r="T35" s="45">
        <v>3.7589999999999999</v>
      </c>
      <c r="U35" s="628">
        <v>3.7749999999999999</v>
      </c>
    </row>
    <row r="36" spans="1:21" x14ac:dyDescent="0.25">
      <c r="A36">
        <v>31</v>
      </c>
      <c r="B36" s="627">
        <v>2.7440000000000002</v>
      </c>
      <c r="C36" s="45">
        <v>3.0009999999999999</v>
      </c>
      <c r="D36" s="45">
        <v>3.145</v>
      </c>
      <c r="E36" s="45">
        <v>3.2450000000000001</v>
      </c>
      <c r="F36" s="45">
        <v>3.3210000000000002</v>
      </c>
      <c r="G36" s="45">
        <v>3.3809999999999998</v>
      </c>
      <c r="H36" s="45">
        <v>3.4319999999999999</v>
      </c>
      <c r="I36" s="45">
        <v>3.476</v>
      </c>
      <c r="J36" s="45">
        <v>3.5139999999999998</v>
      </c>
      <c r="K36" s="45">
        <v>3.5470000000000002</v>
      </c>
      <c r="L36" s="45">
        <v>3.5779999999999998</v>
      </c>
      <c r="M36" s="45">
        <v>3.605</v>
      </c>
      <c r="N36" s="45">
        <v>3.63</v>
      </c>
      <c r="O36" s="45">
        <v>3.653</v>
      </c>
      <c r="P36" s="45">
        <v>3.6749999999999998</v>
      </c>
      <c r="Q36" s="45">
        <v>3.6949999999999998</v>
      </c>
      <c r="R36" s="45">
        <v>3.7130000000000001</v>
      </c>
      <c r="S36" s="45">
        <v>3.7309999999999999</v>
      </c>
      <c r="T36" s="45">
        <v>3.7469999999999999</v>
      </c>
      <c r="U36" s="628">
        <v>3.7629999999999999</v>
      </c>
    </row>
    <row r="37" spans="1:21" x14ac:dyDescent="0.25">
      <c r="A37">
        <v>32</v>
      </c>
      <c r="B37" s="627">
        <v>2.738</v>
      </c>
      <c r="C37" s="45">
        <v>2.9940000000000002</v>
      </c>
      <c r="D37" s="45">
        <v>3.1379999999999999</v>
      </c>
      <c r="E37" s="45">
        <v>3.2370000000000001</v>
      </c>
      <c r="F37" s="45">
        <v>3.3119999999999998</v>
      </c>
      <c r="G37" s="45">
        <v>3.3719999999999999</v>
      </c>
      <c r="H37" s="45">
        <v>3.423</v>
      </c>
      <c r="I37" s="45">
        <v>3.4660000000000002</v>
      </c>
      <c r="J37" s="45">
        <v>3.504</v>
      </c>
      <c r="K37" s="45">
        <v>3.5369999999999999</v>
      </c>
      <c r="L37" s="45">
        <v>3.5670000000000002</v>
      </c>
      <c r="M37" s="45">
        <v>3.5950000000000002</v>
      </c>
      <c r="N37" s="45">
        <v>3.62</v>
      </c>
      <c r="O37" s="45">
        <v>3.6429999999999998</v>
      </c>
      <c r="P37" s="45">
        <v>3.6640000000000001</v>
      </c>
      <c r="Q37" s="45">
        <v>3.6840000000000002</v>
      </c>
      <c r="R37" s="45">
        <v>3.702</v>
      </c>
      <c r="S37" s="45">
        <v>3.7189999999999999</v>
      </c>
      <c r="T37" s="45">
        <v>3.7360000000000002</v>
      </c>
      <c r="U37" s="628">
        <v>3.7509999999999999</v>
      </c>
    </row>
    <row r="38" spans="1:21" x14ac:dyDescent="0.25">
      <c r="A38">
        <v>33</v>
      </c>
      <c r="B38" s="627">
        <v>2.7330000000000001</v>
      </c>
      <c r="C38" s="45">
        <v>2.988</v>
      </c>
      <c r="D38" s="45">
        <v>3.1309999999999998</v>
      </c>
      <c r="E38" s="45">
        <v>3.2290000000000001</v>
      </c>
      <c r="F38" s="45">
        <v>3.3039999999999998</v>
      </c>
      <c r="G38" s="45">
        <v>3.3639999999999999</v>
      </c>
      <c r="H38" s="45">
        <v>3.4140000000000001</v>
      </c>
      <c r="I38" s="45">
        <v>3.4569999999999999</v>
      </c>
      <c r="J38" s="45">
        <v>3.4950000000000001</v>
      </c>
      <c r="K38" s="45">
        <v>3.528</v>
      </c>
      <c r="L38" s="45">
        <v>3.5579999999999998</v>
      </c>
      <c r="M38" s="45">
        <v>3.585</v>
      </c>
      <c r="N38" s="45">
        <v>3.61</v>
      </c>
      <c r="O38" s="45">
        <v>3.633</v>
      </c>
      <c r="P38" s="45">
        <v>3.6539999999999999</v>
      </c>
      <c r="Q38" s="45">
        <v>3.673</v>
      </c>
      <c r="R38" s="45">
        <v>3.6920000000000002</v>
      </c>
      <c r="S38" s="45">
        <v>3.7090000000000001</v>
      </c>
      <c r="T38" s="45">
        <v>3.7250000000000001</v>
      </c>
      <c r="U38" s="628">
        <v>3.74</v>
      </c>
    </row>
    <row r="39" spans="1:21" x14ac:dyDescent="0.25">
      <c r="A39">
        <v>34</v>
      </c>
      <c r="B39" s="627">
        <v>2.7280000000000002</v>
      </c>
      <c r="C39" s="45">
        <v>2.9820000000000002</v>
      </c>
      <c r="D39" s="45">
        <v>3.1240000000000001</v>
      </c>
      <c r="E39" s="45">
        <v>3.222</v>
      </c>
      <c r="F39" s="45">
        <v>3.2959999999999998</v>
      </c>
      <c r="G39" s="45">
        <v>3.3559999999999999</v>
      </c>
      <c r="H39" s="45">
        <v>3.4060000000000001</v>
      </c>
      <c r="I39" s="45">
        <v>3.4489999999999998</v>
      </c>
      <c r="J39" s="45">
        <v>3.4860000000000002</v>
      </c>
      <c r="K39" s="45">
        <v>3.5190000000000001</v>
      </c>
      <c r="L39" s="45">
        <v>3.5489999999999999</v>
      </c>
      <c r="M39" s="45">
        <v>3.5760000000000001</v>
      </c>
      <c r="N39" s="45">
        <v>3.601</v>
      </c>
      <c r="O39" s="45">
        <v>3.6230000000000002</v>
      </c>
      <c r="P39" s="45">
        <v>3.6440000000000001</v>
      </c>
      <c r="Q39" s="45">
        <v>3.6640000000000001</v>
      </c>
      <c r="R39" s="45">
        <v>3.6819999999999999</v>
      </c>
      <c r="S39" s="45">
        <v>3.6989999999999998</v>
      </c>
      <c r="T39" s="45">
        <v>3.7149999999999999</v>
      </c>
      <c r="U39" s="628">
        <v>3.73</v>
      </c>
    </row>
    <row r="40" spans="1:21" x14ac:dyDescent="0.25">
      <c r="A40">
        <v>35</v>
      </c>
      <c r="B40" s="627">
        <v>2.7240000000000002</v>
      </c>
      <c r="C40" s="45">
        <v>2.976</v>
      </c>
      <c r="D40" s="45">
        <v>3.1179999999999999</v>
      </c>
      <c r="E40" s="45">
        <v>3.2149999999999999</v>
      </c>
      <c r="F40" s="45">
        <v>3.2890000000000001</v>
      </c>
      <c r="G40" s="45">
        <v>3.3490000000000002</v>
      </c>
      <c r="H40" s="45">
        <v>3.3980000000000001</v>
      </c>
      <c r="I40" s="45">
        <v>3.4409999999999998</v>
      </c>
      <c r="J40" s="45">
        <v>3.4780000000000002</v>
      </c>
      <c r="K40" s="45">
        <v>3.5110000000000001</v>
      </c>
      <c r="L40" s="45">
        <v>3.5409999999999999</v>
      </c>
      <c r="M40" s="45">
        <v>3.5670000000000002</v>
      </c>
      <c r="N40" s="45">
        <v>3.5920000000000001</v>
      </c>
      <c r="O40" s="45">
        <v>3.6139999999999999</v>
      </c>
      <c r="P40" s="45">
        <v>3.6349999999999998</v>
      </c>
      <c r="Q40" s="45">
        <v>3.6549999999999998</v>
      </c>
      <c r="R40" s="45">
        <v>3.673</v>
      </c>
      <c r="S40" s="45">
        <v>3.69</v>
      </c>
      <c r="T40" s="45">
        <v>3.706</v>
      </c>
      <c r="U40" s="628">
        <v>3.7210000000000001</v>
      </c>
    </row>
    <row r="41" spans="1:21" x14ac:dyDescent="0.25">
      <c r="A41">
        <v>36</v>
      </c>
      <c r="B41" s="627">
        <v>2.7189999999999999</v>
      </c>
      <c r="C41" s="45">
        <v>2.9710000000000001</v>
      </c>
      <c r="D41" s="45">
        <v>3.1120000000000001</v>
      </c>
      <c r="E41" s="45">
        <v>3.2090000000000001</v>
      </c>
      <c r="F41" s="45">
        <v>3.282</v>
      </c>
      <c r="G41" s="45">
        <v>3.3420000000000001</v>
      </c>
      <c r="H41" s="45">
        <v>3.391</v>
      </c>
      <c r="I41" s="45">
        <v>3.4329999999999998</v>
      </c>
      <c r="J41" s="45">
        <v>3.47</v>
      </c>
      <c r="K41" s="45">
        <v>3.5030000000000001</v>
      </c>
      <c r="L41" s="45">
        <v>3.5329999999999999</v>
      </c>
      <c r="M41" s="45">
        <v>3.5590000000000002</v>
      </c>
      <c r="N41" s="45">
        <v>3.5840000000000001</v>
      </c>
      <c r="O41" s="45">
        <v>3.6059999999999999</v>
      </c>
      <c r="P41" s="45">
        <v>3.6269999999999998</v>
      </c>
      <c r="Q41" s="45">
        <v>3.6459999999999999</v>
      </c>
      <c r="R41" s="45">
        <v>3.6640000000000001</v>
      </c>
      <c r="S41" s="45">
        <v>3.681</v>
      </c>
      <c r="T41" s="45">
        <v>3.6970000000000001</v>
      </c>
      <c r="U41" s="628">
        <v>3.7120000000000002</v>
      </c>
    </row>
    <row r="42" spans="1:21" x14ac:dyDescent="0.25">
      <c r="A42">
        <v>37</v>
      </c>
      <c r="B42" s="627">
        <v>2.7149999999999999</v>
      </c>
      <c r="C42" s="45">
        <v>2.9660000000000002</v>
      </c>
      <c r="D42" s="45">
        <v>3.1059999999999999</v>
      </c>
      <c r="E42" s="45">
        <v>3.2029999999999998</v>
      </c>
      <c r="F42" s="45">
        <v>3.2759999999999998</v>
      </c>
      <c r="G42" s="45">
        <v>3.335</v>
      </c>
      <c r="H42" s="45">
        <v>3.3839999999999999</v>
      </c>
      <c r="I42" s="45">
        <v>3.4260000000000002</v>
      </c>
      <c r="J42" s="45">
        <v>3.4630000000000001</v>
      </c>
      <c r="K42" s="45">
        <v>3.496</v>
      </c>
      <c r="L42" s="45">
        <v>3.5249999999999999</v>
      </c>
      <c r="M42" s="45">
        <v>3.552</v>
      </c>
      <c r="N42" s="45">
        <v>3.5760000000000001</v>
      </c>
      <c r="O42" s="45">
        <v>3.5979999999999999</v>
      </c>
      <c r="P42" s="45">
        <v>3.6190000000000002</v>
      </c>
      <c r="Q42" s="45">
        <v>3.6379999999999999</v>
      </c>
      <c r="R42" s="45">
        <v>3.6560000000000001</v>
      </c>
      <c r="S42" s="45">
        <v>3.673</v>
      </c>
      <c r="T42" s="45">
        <v>3.6890000000000001</v>
      </c>
      <c r="U42" s="628">
        <v>3.7040000000000002</v>
      </c>
    </row>
    <row r="43" spans="1:21" x14ac:dyDescent="0.25">
      <c r="A43">
        <v>38</v>
      </c>
      <c r="B43" s="627">
        <v>2.7120000000000002</v>
      </c>
      <c r="C43" s="45">
        <v>2.9609999999999999</v>
      </c>
      <c r="D43" s="45">
        <v>3.101</v>
      </c>
      <c r="E43" s="45">
        <v>3.1970000000000001</v>
      </c>
      <c r="F43" s="45">
        <v>3.27</v>
      </c>
      <c r="G43" s="45">
        <v>3.3290000000000002</v>
      </c>
      <c r="H43" s="45">
        <v>3.3780000000000001</v>
      </c>
      <c r="I43" s="45">
        <v>3.42</v>
      </c>
      <c r="J43" s="45">
        <v>3.456</v>
      </c>
      <c r="K43" s="45">
        <v>3.4889999999999999</v>
      </c>
      <c r="L43" s="45">
        <v>3.5179999999999998</v>
      </c>
      <c r="M43" s="45">
        <v>3.544</v>
      </c>
      <c r="N43" s="45">
        <v>3.569</v>
      </c>
      <c r="O43" s="45">
        <v>3.5910000000000002</v>
      </c>
      <c r="P43" s="45">
        <v>3.6110000000000002</v>
      </c>
      <c r="Q43" s="45">
        <v>3.6309999999999998</v>
      </c>
      <c r="R43" s="45">
        <v>3.649</v>
      </c>
      <c r="S43" s="45">
        <v>3.665</v>
      </c>
      <c r="T43" s="45">
        <v>3.681</v>
      </c>
      <c r="U43" s="628">
        <v>3.6960000000000002</v>
      </c>
    </row>
    <row r="44" spans="1:21" x14ac:dyDescent="0.25">
      <c r="A44">
        <v>39</v>
      </c>
      <c r="B44" s="627">
        <v>2.7080000000000002</v>
      </c>
      <c r="C44" s="45">
        <v>2.9569999999999999</v>
      </c>
      <c r="D44" s="45">
        <v>3.0960000000000001</v>
      </c>
      <c r="E44" s="45">
        <v>3.1920000000000002</v>
      </c>
      <c r="F44" s="45">
        <v>3.2639999999999998</v>
      </c>
      <c r="G44" s="45">
        <v>3.323</v>
      </c>
      <c r="H44" s="45">
        <v>3.3719999999999999</v>
      </c>
      <c r="I44" s="45">
        <v>3.4129999999999998</v>
      </c>
      <c r="J44" s="45">
        <v>3.45</v>
      </c>
      <c r="K44" s="45">
        <v>3.4820000000000002</v>
      </c>
      <c r="L44" s="45">
        <v>3.5110000000000001</v>
      </c>
      <c r="M44" s="45">
        <v>3.5379999999999998</v>
      </c>
      <c r="N44" s="45">
        <v>3.5619999999999998</v>
      </c>
      <c r="O44" s="45">
        <v>3.5840000000000001</v>
      </c>
      <c r="P44" s="45">
        <v>3.6040000000000001</v>
      </c>
      <c r="Q44" s="45">
        <v>3.6230000000000002</v>
      </c>
      <c r="R44" s="45">
        <v>3.641</v>
      </c>
      <c r="S44" s="45">
        <v>3.6579999999999999</v>
      </c>
      <c r="T44" s="45">
        <v>3.6739999999999999</v>
      </c>
      <c r="U44" s="628">
        <v>3.6890000000000001</v>
      </c>
    </row>
    <row r="45" spans="1:21" x14ac:dyDescent="0.25">
      <c r="A45">
        <v>40</v>
      </c>
      <c r="B45" s="627">
        <v>2.7040000000000002</v>
      </c>
      <c r="C45" s="45">
        <v>2.952</v>
      </c>
      <c r="D45" s="45">
        <v>3.0910000000000002</v>
      </c>
      <c r="E45" s="45">
        <v>3.1859999999999999</v>
      </c>
      <c r="F45" s="45">
        <v>3.2589999999999999</v>
      </c>
      <c r="G45" s="45">
        <v>3.3170000000000002</v>
      </c>
      <c r="H45" s="45">
        <v>3.3660000000000001</v>
      </c>
      <c r="I45" s="45">
        <v>3.4079999999999999</v>
      </c>
      <c r="J45" s="45">
        <v>3.444</v>
      </c>
      <c r="K45" s="45">
        <v>3.476</v>
      </c>
      <c r="L45" s="45">
        <v>3.5049999999999999</v>
      </c>
      <c r="M45" s="45">
        <v>3.5310000000000001</v>
      </c>
      <c r="N45" s="45">
        <v>3.5550000000000002</v>
      </c>
      <c r="O45" s="45">
        <v>3.577</v>
      </c>
      <c r="P45" s="45">
        <v>3.5979999999999999</v>
      </c>
      <c r="Q45" s="45">
        <v>3.617</v>
      </c>
      <c r="R45" s="45">
        <v>3.6339999999999999</v>
      </c>
      <c r="S45" s="45">
        <v>3.6509999999999998</v>
      </c>
      <c r="T45" s="45">
        <v>3.6669999999999998</v>
      </c>
      <c r="U45" s="628">
        <v>3.6819999999999999</v>
      </c>
    </row>
    <row r="46" spans="1:21" x14ac:dyDescent="0.25">
      <c r="A46">
        <v>48</v>
      </c>
      <c r="B46" s="627">
        <v>2.6819999999999999</v>
      </c>
      <c r="C46" s="45">
        <v>2.9249999999999998</v>
      </c>
      <c r="D46" s="45">
        <v>3.06</v>
      </c>
      <c r="E46" s="45">
        <v>3.1539999999999999</v>
      </c>
      <c r="F46" s="45">
        <v>3.2240000000000002</v>
      </c>
      <c r="G46" s="45">
        <v>3.2810000000000001</v>
      </c>
      <c r="H46" s="45">
        <v>3.3290000000000002</v>
      </c>
      <c r="I46" s="45">
        <v>3.3690000000000002</v>
      </c>
      <c r="J46" s="45">
        <v>3.4049999999999998</v>
      </c>
      <c r="K46" s="45">
        <v>3.4359999999999999</v>
      </c>
      <c r="L46" s="45">
        <v>3.464</v>
      </c>
      <c r="M46" s="45">
        <v>3.49</v>
      </c>
      <c r="N46" s="45">
        <v>3.5129999999999999</v>
      </c>
      <c r="O46" s="45">
        <v>3.5350000000000001</v>
      </c>
      <c r="P46" s="45">
        <v>3.5550000000000002</v>
      </c>
      <c r="Q46" s="45">
        <v>3.573</v>
      </c>
      <c r="R46" s="45">
        <v>3.59</v>
      </c>
      <c r="S46" s="45">
        <v>3.6070000000000002</v>
      </c>
      <c r="T46" s="45">
        <v>3.6219999999999999</v>
      </c>
      <c r="U46" s="628">
        <v>3.6360000000000001</v>
      </c>
    </row>
    <row r="47" spans="1:21" x14ac:dyDescent="0.25">
      <c r="A47">
        <v>60</v>
      </c>
      <c r="B47" s="627">
        <v>2.66</v>
      </c>
      <c r="C47" s="45">
        <v>2.8980000000000001</v>
      </c>
      <c r="D47" s="45">
        <v>3.03</v>
      </c>
      <c r="E47" s="45">
        <v>3.121</v>
      </c>
      <c r="F47" s="45">
        <v>3.19</v>
      </c>
      <c r="G47" s="45">
        <v>3.246</v>
      </c>
      <c r="H47" s="45">
        <v>3.2919999999999998</v>
      </c>
      <c r="I47" s="45">
        <v>3.3319999999999999</v>
      </c>
      <c r="J47" s="45">
        <v>3.3660000000000001</v>
      </c>
      <c r="K47" s="45">
        <v>3.3969999999999998</v>
      </c>
      <c r="L47" s="45">
        <v>3.4239999999999999</v>
      </c>
      <c r="M47" s="45">
        <v>3.4489999999999998</v>
      </c>
      <c r="N47" s="45">
        <v>3.472</v>
      </c>
      <c r="O47" s="45">
        <v>3.4929999999999999</v>
      </c>
      <c r="P47" s="45">
        <v>3.512</v>
      </c>
      <c r="Q47" s="45">
        <v>3.53</v>
      </c>
      <c r="R47" s="45">
        <v>3.5470000000000002</v>
      </c>
      <c r="S47" s="45">
        <v>3.5630000000000002</v>
      </c>
      <c r="T47" s="45">
        <v>3.5779999999999998</v>
      </c>
      <c r="U47" s="628">
        <v>3.5920000000000001</v>
      </c>
    </row>
    <row r="48" spans="1:21" x14ac:dyDescent="0.25">
      <c r="A48">
        <v>80</v>
      </c>
      <c r="B48" s="627">
        <v>2.6389999999999998</v>
      </c>
      <c r="C48" s="45">
        <v>2.871</v>
      </c>
      <c r="D48" s="45">
        <v>3.0009999999999999</v>
      </c>
      <c r="E48" s="45">
        <v>3.09</v>
      </c>
      <c r="F48" s="45">
        <v>3.157</v>
      </c>
      <c r="G48" s="45">
        <v>3.2109999999999999</v>
      </c>
      <c r="H48" s="45">
        <v>3.2559999999999998</v>
      </c>
      <c r="I48" s="45">
        <v>3.2949999999999999</v>
      </c>
      <c r="J48" s="45">
        <v>3.3279999999999998</v>
      </c>
      <c r="K48" s="45">
        <v>3.3580000000000001</v>
      </c>
      <c r="L48" s="45">
        <v>3.3849999999999998</v>
      </c>
      <c r="M48" s="45">
        <v>3.4089999999999998</v>
      </c>
      <c r="N48" s="45">
        <v>3.431</v>
      </c>
      <c r="O48" s="45">
        <v>3.452</v>
      </c>
      <c r="P48" s="45">
        <v>3.4710000000000001</v>
      </c>
      <c r="Q48" s="45">
        <v>3.488</v>
      </c>
      <c r="R48" s="45">
        <v>3.504</v>
      </c>
      <c r="S48" s="45">
        <v>3.52</v>
      </c>
      <c r="T48" s="45">
        <v>3.5339999999999998</v>
      </c>
      <c r="U48" s="628">
        <v>3.548</v>
      </c>
    </row>
    <row r="49" spans="1:21" x14ac:dyDescent="0.25">
      <c r="A49" s="1111">
        <v>120</v>
      </c>
      <c r="B49" s="627">
        <v>2.617</v>
      </c>
      <c r="C49" s="45">
        <v>2.8450000000000002</v>
      </c>
      <c r="D49" s="45">
        <v>2.972</v>
      </c>
      <c r="E49" s="45">
        <v>3.0590000000000002</v>
      </c>
      <c r="F49" s="45">
        <v>3.1240000000000001</v>
      </c>
      <c r="G49" s="45">
        <v>3.177</v>
      </c>
      <c r="H49" s="45">
        <v>3.2210000000000001</v>
      </c>
      <c r="I49" s="45">
        <v>3.2589999999999999</v>
      </c>
      <c r="J49" s="45">
        <v>3.2909999999999999</v>
      </c>
      <c r="K49" s="45">
        <v>3.32</v>
      </c>
      <c r="L49" s="45">
        <v>3.3460000000000001</v>
      </c>
      <c r="M49" s="45">
        <v>3.37</v>
      </c>
      <c r="N49" s="45">
        <v>3.3919999999999999</v>
      </c>
      <c r="O49" s="45">
        <v>3.411</v>
      </c>
      <c r="P49" s="45">
        <v>3.43</v>
      </c>
      <c r="Q49" s="45">
        <v>3.4470000000000001</v>
      </c>
      <c r="R49" s="45">
        <v>3.4630000000000001</v>
      </c>
      <c r="S49" s="45">
        <v>3.4780000000000002</v>
      </c>
      <c r="T49" s="45">
        <v>3.492</v>
      </c>
      <c r="U49" s="628">
        <v>3.5049999999999999</v>
      </c>
    </row>
    <row r="50" spans="1:21" x14ac:dyDescent="0.25">
      <c r="A50" s="1111">
        <v>240</v>
      </c>
      <c r="B50" s="627">
        <v>2.5960000000000001</v>
      </c>
      <c r="C50" s="45">
        <v>2.82</v>
      </c>
      <c r="D50" s="45">
        <v>2.9430000000000001</v>
      </c>
      <c r="E50" s="45">
        <v>3.028</v>
      </c>
      <c r="F50" s="45">
        <v>3.0920000000000001</v>
      </c>
      <c r="G50" s="45">
        <v>3.1429999999999998</v>
      </c>
      <c r="H50" s="45">
        <v>3.1859999999999999</v>
      </c>
      <c r="I50" s="45">
        <v>3.2229999999999999</v>
      </c>
      <c r="J50" s="45">
        <v>3.2549999999999999</v>
      </c>
      <c r="K50" s="45">
        <v>3.2829999999999999</v>
      </c>
      <c r="L50" s="45">
        <v>3.3079999999999998</v>
      </c>
      <c r="M50" s="45">
        <v>3.331</v>
      </c>
      <c r="N50" s="45">
        <v>3.3519999999999999</v>
      </c>
      <c r="O50" s="45">
        <v>3.3719999999999999</v>
      </c>
      <c r="P50" s="45">
        <v>3.3889999999999998</v>
      </c>
      <c r="Q50" s="45">
        <v>3.4060000000000001</v>
      </c>
      <c r="R50" s="45">
        <v>3.4220000000000002</v>
      </c>
      <c r="S50" s="45">
        <v>3.4359999999999999</v>
      </c>
      <c r="T50" s="45">
        <v>3.45</v>
      </c>
      <c r="U50" s="628">
        <v>3.4630000000000001</v>
      </c>
    </row>
    <row r="51" spans="1:21" x14ac:dyDescent="0.25">
      <c r="A51" s="1112" t="s">
        <v>102</v>
      </c>
      <c r="B51" s="629">
        <v>2.5760000000000001</v>
      </c>
      <c r="C51" s="981">
        <v>2.794</v>
      </c>
      <c r="D51" s="981">
        <v>2.915</v>
      </c>
      <c r="E51" s="981">
        <v>2.9980000000000002</v>
      </c>
      <c r="F51" s="981">
        <v>3.06</v>
      </c>
      <c r="G51" s="981">
        <v>3.11</v>
      </c>
      <c r="H51" s="981">
        <v>3.1520000000000001</v>
      </c>
      <c r="I51" s="981">
        <v>3.1880000000000002</v>
      </c>
      <c r="J51" s="981">
        <v>3.2189999999999999</v>
      </c>
      <c r="K51" s="981">
        <v>3.246</v>
      </c>
      <c r="L51" s="981">
        <v>3.2709999999999999</v>
      </c>
      <c r="M51" s="981">
        <v>3.2930000000000001</v>
      </c>
      <c r="N51" s="981">
        <v>3.3140000000000001</v>
      </c>
      <c r="O51" s="981">
        <v>3.3330000000000002</v>
      </c>
      <c r="P51" s="981">
        <v>3.35</v>
      </c>
      <c r="Q51" s="981">
        <v>3.3660000000000001</v>
      </c>
      <c r="R51" s="981">
        <v>3.3809999999999998</v>
      </c>
      <c r="S51" s="981">
        <v>3.395</v>
      </c>
      <c r="T51" s="981">
        <v>3.4089999999999998</v>
      </c>
      <c r="U51" s="630">
        <v>3.4209999999999998</v>
      </c>
    </row>
    <row r="53" spans="1:21" x14ac:dyDescent="0.25">
      <c r="A53" s="1" t="s">
        <v>106</v>
      </c>
      <c r="B53" s="1">
        <v>0.05</v>
      </c>
    </row>
    <row r="55" spans="1:21" x14ac:dyDescent="0.25">
      <c r="A55" s="1112" t="s">
        <v>2450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  <c r="U55">
        <v>21</v>
      </c>
    </row>
    <row r="56" spans="1:21" x14ac:dyDescent="0.25">
      <c r="A56" s="1111">
        <v>1</v>
      </c>
      <c r="B56" s="1109">
        <v>12.706</v>
      </c>
      <c r="C56" s="979">
        <v>17.369</v>
      </c>
      <c r="D56" s="979">
        <v>20.033999999999999</v>
      </c>
      <c r="E56" s="979">
        <v>21.85</v>
      </c>
      <c r="F56" s="979">
        <v>23.209</v>
      </c>
      <c r="G56" s="979">
        <v>24.285</v>
      </c>
      <c r="H56" s="979">
        <v>25.170999999999999</v>
      </c>
      <c r="I56" s="979">
        <v>25.922000000000001</v>
      </c>
      <c r="J56" s="979">
        <v>26.57</v>
      </c>
      <c r="K56" s="979">
        <v>27.140999999999998</v>
      </c>
      <c r="L56" s="979">
        <v>27.649000000000001</v>
      </c>
      <c r="M56" s="979">
        <v>28.106000000000002</v>
      </c>
      <c r="N56" s="979">
        <v>28.521000000000001</v>
      </c>
      <c r="O56" s="979">
        <v>28.901</v>
      </c>
      <c r="P56" s="979">
        <v>29.251000000000001</v>
      </c>
      <c r="Q56" s="979">
        <v>29.574999999999999</v>
      </c>
      <c r="R56" s="979">
        <v>29.876000000000001</v>
      </c>
      <c r="S56" s="979">
        <v>30.158000000000001</v>
      </c>
      <c r="T56" s="979">
        <v>30.422000000000001</v>
      </c>
      <c r="U56" s="1110">
        <v>30.670999999999999</v>
      </c>
    </row>
    <row r="57" spans="1:21" x14ac:dyDescent="0.25">
      <c r="A57" s="1111">
        <v>2</v>
      </c>
      <c r="B57" s="627">
        <v>4.3029999999999999</v>
      </c>
      <c r="C57" s="45">
        <v>5.4180000000000001</v>
      </c>
      <c r="D57" s="45">
        <v>6.0650000000000004</v>
      </c>
      <c r="E57" s="45">
        <v>6.5129999999999999</v>
      </c>
      <c r="F57" s="45">
        <v>6.8520000000000003</v>
      </c>
      <c r="G57" s="45">
        <v>7.1239999999999997</v>
      </c>
      <c r="H57" s="45">
        <v>7.3490000000000002</v>
      </c>
      <c r="I57" s="45">
        <v>7.54</v>
      </c>
      <c r="J57" s="45">
        <v>7.7069999999999999</v>
      </c>
      <c r="K57" s="45">
        <v>7.8529999999999998</v>
      </c>
      <c r="L57" s="45">
        <v>7.9850000000000003</v>
      </c>
      <c r="M57" s="45">
        <v>8.1029999999999998</v>
      </c>
      <c r="N57" s="45">
        <v>8.2110000000000003</v>
      </c>
      <c r="O57" s="45">
        <v>8.31</v>
      </c>
      <c r="P57" s="45">
        <v>8.4009999999999998</v>
      </c>
      <c r="Q57" s="45">
        <v>8.4849999999999994</v>
      </c>
      <c r="R57" s="45">
        <v>8.5640000000000001</v>
      </c>
      <c r="S57" s="45">
        <v>8.6379999999999999</v>
      </c>
      <c r="T57" s="45">
        <v>8.7070000000000007</v>
      </c>
      <c r="U57" s="628">
        <v>8.7729999999999997</v>
      </c>
    </row>
    <row r="58" spans="1:21" x14ac:dyDescent="0.25">
      <c r="A58" s="1111">
        <v>3</v>
      </c>
      <c r="B58" s="627">
        <v>3.1819999999999999</v>
      </c>
      <c r="C58" s="45">
        <v>3.867</v>
      </c>
      <c r="D58" s="45">
        <v>4.2629999999999999</v>
      </c>
      <c r="E58" s="45">
        <v>4.5380000000000003</v>
      </c>
      <c r="F58" s="45">
        <v>4.7480000000000002</v>
      </c>
      <c r="G58" s="45">
        <v>4.9160000000000004</v>
      </c>
      <c r="H58" s="45">
        <v>5.056</v>
      </c>
      <c r="I58" s="45">
        <v>5.1760000000000002</v>
      </c>
      <c r="J58" s="45">
        <v>5.28</v>
      </c>
      <c r="K58" s="45">
        <v>5.3719999999999999</v>
      </c>
      <c r="L58" s="45">
        <v>5.4550000000000001</v>
      </c>
      <c r="M58" s="45">
        <v>5.5289999999999999</v>
      </c>
      <c r="N58" s="45">
        <v>5.5970000000000004</v>
      </c>
      <c r="O58" s="45">
        <v>5.66</v>
      </c>
      <c r="P58" s="45">
        <v>5.7169999999999996</v>
      </c>
      <c r="Q58" s="45">
        <v>5.7709999999999999</v>
      </c>
      <c r="R58" s="45">
        <v>5.8209999999999997</v>
      </c>
      <c r="S58" s="45">
        <v>5.8680000000000003</v>
      </c>
      <c r="T58" s="45">
        <v>5.9119999999999999</v>
      </c>
      <c r="U58" s="628">
        <v>5.9530000000000003</v>
      </c>
    </row>
    <row r="59" spans="1:21" x14ac:dyDescent="0.25">
      <c r="A59" s="1111">
        <v>4</v>
      </c>
      <c r="B59" s="627">
        <v>2.7759999999999998</v>
      </c>
      <c r="C59" s="45">
        <v>3.31</v>
      </c>
      <c r="D59" s="45">
        <v>3.6179999999999999</v>
      </c>
      <c r="E59" s="45">
        <v>3.8319999999999999</v>
      </c>
      <c r="F59" s="45">
        <v>3.9940000000000002</v>
      </c>
      <c r="G59" s="45">
        <v>4.125</v>
      </c>
      <c r="H59" s="45">
        <v>4.2350000000000003</v>
      </c>
      <c r="I59" s="45">
        <v>4.3280000000000003</v>
      </c>
      <c r="J59" s="45">
        <v>4.41</v>
      </c>
      <c r="K59" s="45">
        <v>4.4820000000000002</v>
      </c>
      <c r="L59" s="45">
        <v>4.5460000000000003</v>
      </c>
      <c r="M59" s="45">
        <v>4.6050000000000004</v>
      </c>
      <c r="N59" s="45">
        <v>4.6580000000000004</v>
      </c>
      <c r="O59" s="45">
        <v>4.7069999999999999</v>
      </c>
      <c r="P59" s="45">
        <v>4.7519999999999998</v>
      </c>
      <c r="Q59" s="45">
        <v>4.7939999999999996</v>
      </c>
      <c r="R59" s="45">
        <v>4.8339999999999996</v>
      </c>
      <c r="S59" s="45">
        <v>4.87</v>
      </c>
      <c r="T59" s="45">
        <v>4.9050000000000002</v>
      </c>
      <c r="U59" s="628">
        <v>4.9379999999999997</v>
      </c>
    </row>
    <row r="60" spans="1:21" x14ac:dyDescent="0.25">
      <c r="A60" s="1111">
        <v>5</v>
      </c>
      <c r="B60" s="627">
        <v>2.5710000000000002</v>
      </c>
      <c r="C60" s="45">
        <v>3.03</v>
      </c>
      <c r="D60" s="45">
        <v>3.2930000000000001</v>
      </c>
      <c r="E60" s="45">
        <v>3.476</v>
      </c>
      <c r="F60" s="45">
        <v>3.6150000000000002</v>
      </c>
      <c r="G60" s="45">
        <v>3.7269999999999999</v>
      </c>
      <c r="H60" s="45">
        <v>3.8210000000000002</v>
      </c>
      <c r="I60" s="45">
        <v>3.9</v>
      </c>
      <c r="J60" s="45">
        <v>3.97</v>
      </c>
      <c r="K60" s="45">
        <v>4.032</v>
      </c>
      <c r="L60" s="45">
        <v>4.0869999999999997</v>
      </c>
      <c r="M60" s="45">
        <v>4.1369999999999996</v>
      </c>
      <c r="N60" s="45">
        <v>4.1829999999999998</v>
      </c>
      <c r="O60" s="45">
        <v>4.2249999999999996</v>
      </c>
      <c r="P60" s="45">
        <v>4.2640000000000002</v>
      </c>
      <c r="Q60" s="45">
        <v>4.3</v>
      </c>
      <c r="R60" s="45">
        <v>4.3339999999999996</v>
      </c>
      <c r="S60" s="45">
        <v>4.3659999999999997</v>
      </c>
      <c r="T60" s="45">
        <v>4.3949999999999996</v>
      </c>
      <c r="U60" s="628">
        <v>4.4240000000000004</v>
      </c>
    </row>
    <row r="61" spans="1:21" x14ac:dyDescent="0.25">
      <c r="A61" s="1111">
        <v>6</v>
      </c>
      <c r="B61" s="627">
        <v>2.4470000000000001</v>
      </c>
      <c r="C61" s="45">
        <v>2.863</v>
      </c>
      <c r="D61" s="45">
        <v>3.0990000000000002</v>
      </c>
      <c r="E61" s="45">
        <v>3.2629999999999999</v>
      </c>
      <c r="F61" s="45">
        <v>3.3879999999999999</v>
      </c>
      <c r="G61" s="45">
        <v>3.4889999999999999</v>
      </c>
      <c r="H61" s="45">
        <v>3.573</v>
      </c>
      <c r="I61" s="45">
        <v>3.6440000000000001</v>
      </c>
      <c r="J61" s="45">
        <v>3.7069999999999999</v>
      </c>
      <c r="K61" s="45">
        <v>3.7629999999999999</v>
      </c>
      <c r="L61" s="45">
        <v>3.8119999999999998</v>
      </c>
      <c r="M61" s="45">
        <v>3.8570000000000002</v>
      </c>
      <c r="N61" s="45">
        <v>3.8980000000000001</v>
      </c>
      <c r="O61" s="45">
        <v>3.9359999999999999</v>
      </c>
      <c r="P61" s="45">
        <v>3.9710000000000001</v>
      </c>
      <c r="Q61" s="45">
        <v>4.0039999999999996</v>
      </c>
      <c r="R61" s="45">
        <v>4.0339999999999998</v>
      </c>
      <c r="S61" s="45">
        <v>4.0629999999999997</v>
      </c>
      <c r="T61" s="45">
        <v>4.0890000000000004</v>
      </c>
      <c r="U61" s="628">
        <v>4.1150000000000002</v>
      </c>
    </row>
    <row r="62" spans="1:21" x14ac:dyDescent="0.25">
      <c r="A62" s="1111">
        <v>7</v>
      </c>
      <c r="B62" s="627">
        <v>2.3650000000000002</v>
      </c>
      <c r="C62" s="45">
        <v>2.7519999999999998</v>
      </c>
      <c r="D62" s="45">
        <v>2.9710000000000001</v>
      </c>
      <c r="E62" s="45">
        <v>3.1230000000000002</v>
      </c>
      <c r="F62" s="45">
        <v>3.238</v>
      </c>
      <c r="G62" s="45">
        <v>3.331</v>
      </c>
      <c r="H62" s="45">
        <v>3.4079999999999999</v>
      </c>
      <c r="I62" s="45">
        <v>3.4750000000000001</v>
      </c>
      <c r="J62" s="45">
        <v>3.5329999999999999</v>
      </c>
      <c r="K62" s="45">
        <v>3.5840000000000001</v>
      </c>
      <c r="L62" s="45">
        <v>3.63</v>
      </c>
      <c r="M62" s="45">
        <v>3.6709999999999998</v>
      </c>
      <c r="N62" s="45">
        <v>3.7090000000000001</v>
      </c>
      <c r="O62" s="45">
        <v>3.7440000000000002</v>
      </c>
      <c r="P62" s="45">
        <v>3.7770000000000001</v>
      </c>
      <c r="Q62" s="45">
        <v>3.8069999999999999</v>
      </c>
      <c r="R62" s="45">
        <v>3.835</v>
      </c>
      <c r="S62" s="45">
        <v>3.8610000000000002</v>
      </c>
      <c r="T62" s="45">
        <v>3.8860000000000001</v>
      </c>
      <c r="U62" s="628">
        <v>3.9089999999999998</v>
      </c>
    </row>
    <row r="63" spans="1:21" x14ac:dyDescent="0.25">
      <c r="A63" s="1111">
        <v>8</v>
      </c>
      <c r="B63" s="627">
        <v>2.306</v>
      </c>
      <c r="C63" s="45">
        <v>2.673</v>
      </c>
      <c r="D63" s="45">
        <v>2.88</v>
      </c>
      <c r="E63" s="45">
        <v>3.0230000000000001</v>
      </c>
      <c r="F63" s="45">
        <v>3.1309999999999998</v>
      </c>
      <c r="G63" s="45">
        <v>3.2189999999999999</v>
      </c>
      <c r="H63" s="45">
        <v>3.2919999999999998</v>
      </c>
      <c r="I63" s="45">
        <v>3.3540000000000001</v>
      </c>
      <c r="J63" s="45">
        <v>3.4079999999999999</v>
      </c>
      <c r="K63" s="45">
        <v>3.4569999999999999</v>
      </c>
      <c r="L63" s="45">
        <v>3.5</v>
      </c>
      <c r="M63" s="45">
        <v>3.5390000000000001</v>
      </c>
      <c r="N63" s="45">
        <v>3.5750000000000002</v>
      </c>
      <c r="O63" s="45">
        <v>3.6080000000000001</v>
      </c>
      <c r="P63" s="45">
        <v>3.6379999999999999</v>
      </c>
      <c r="Q63" s="45">
        <v>3.6659999999999999</v>
      </c>
      <c r="R63" s="45">
        <v>3.6930000000000001</v>
      </c>
      <c r="S63" s="45">
        <v>3.718</v>
      </c>
      <c r="T63" s="45">
        <v>3.7410000000000001</v>
      </c>
      <c r="U63" s="628">
        <v>3.7629999999999999</v>
      </c>
    </row>
    <row r="64" spans="1:21" x14ac:dyDescent="0.25">
      <c r="A64" s="1111">
        <v>9</v>
      </c>
      <c r="B64" s="627">
        <v>2.262</v>
      </c>
      <c r="C64" s="45">
        <v>2.6139999999999999</v>
      </c>
      <c r="D64" s="45">
        <v>2.8119999999999998</v>
      </c>
      <c r="E64" s="45">
        <v>2.948</v>
      </c>
      <c r="F64" s="45">
        <v>3.052</v>
      </c>
      <c r="G64" s="45">
        <v>3.1349999999999998</v>
      </c>
      <c r="H64" s="45">
        <v>3.2050000000000001</v>
      </c>
      <c r="I64" s="45">
        <v>3.2639999999999998</v>
      </c>
      <c r="J64" s="45">
        <v>3.3159999999999998</v>
      </c>
      <c r="K64" s="45">
        <v>3.3620000000000001</v>
      </c>
      <c r="L64" s="45">
        <v>3.403</v>
      </c>
      <c r="M64" s="45">
        <v>3.44</v>
      </c>
      <c r="N64" s="45">
        <v>3.4740000000000002</v>
      </c>
      <c r="O64" s="45">
        <v>3.5059999999999998</v>
      </c>
      <c r="P64" s="45">
        <v>3.5350000000000001</v>
      </c>
      <c r="Q64" s="45">
        <v>3.5619999999999998</v>
      </c>
      <c r="R64" s="45">
        <v>3.5870000000000002</v>
      </c>
      <c r="S64" s="45">
        <v>3.61</v>
      </c>
      <c r="T64" s="45">
        <v>3.633</v>
      </c>
      <c r="U64" s="628">
        <v>3.6539999999999999</v>
      </c>
    </row>
    <row r="65" spans="1:21" x14ac:dyDescent="0.25">
      <c r="A65" s="1111">
        <v>10</v>
      </c>
      <c r="B65" s="627">
        <v>2.2280000000000002</v>
      </c>
      <c r="C65" s="45">
        <v>2.5680000000000001</v>
      </c>
      <c r="D65" s="45">
        <v>2.7589999999999999</v>
      </c>
      <c r="E65" s="45">
        <v>2.89</v>
      </c>
      <c r="F65" s="45">
        <v>2.99</v>
      </c>
      <c r="G65" s="45">
        <v>3.07</v>
      </c>
      <c r="H65" s="45">
        <v>3.137</v>
      </c>
      <c r="I65" s="45">
        <v>3.194</v>
      </c>
      <c r="J65" s="45">
        <v>3.2440000000000002</v>
      </c>
      <c r="K65" s="45">
        <v>3.2879999999999998</v>
      </c>
      <c r="L65" s="45">
        <v>3.3279999999999998</v>
      </c>
      <c r="M65" s="45">
        <v>3.3639999999999999</v>
      </c>
      <c r="N65" s="45">
        <v>3.3959999999999999</v>
      </c>
      <c r="O65" s="45">
        <v>3.427</v>
      </c>
      <c r="P65" s="45">
        <v>3.4540000000000002</v>
      </c>
      <c r="Q65" s="45">
        <v>3.48</v>
      </c>
      <c r="R65" s="45">
        <v>3.504</v>
      </c>
      <c r="S65" s="45">
        <v>3.5270000000000001</v>
      </c>
      <c r="T65" s="45">
        <v>3.5489999999999999</v>
      </c>
      <c r="U65" s="628">
        <v>3.569</v>
      </c>
    </row>
    <row r="66" spans="1:21" x14ac:dyDescent="0.25">
      <c r="A66" s="1111">
        <v>11</v>
      </c>
      <c r="B66" s="627">
        <v>2.2010000000000001</v>
      </c>
      <c r="C66" s="45">
        <v>2.532</v>
      </c>
      <c r="D66" s="45">
        <v>2.7170000000000001</v>
      </c>
      <c r="E66" s="45">
        <v>2.8450000000000002</v>
      </c>
      <c r="F66" s="45">
        <v>2.9409999999999998</v>
      </c>
      <c r="G66" s="45">
        <v>3.0190000000000001</v>
      </c>
      <c r="H66" s="45">
        <v>3.0840000000000001</v>
      </c>
      <c r="I66" s="45">
        <v>3.1389999999999998</v>
      </c>
      <c r="J66" s="45">
        <v>3.1869999999999998</v>
      </c>
      <c r="K66" s="45">
        <v>3.23</v>
      </c>
      <c r="L66" s="45">
        <v>3.2679999999999998</v>
      </c>
      <c r="M66" s="45">
        <v>3.3029999999999999</v>
      </c>
      <c r="N66" s="45">
        <v>3.3340000000000001</v>
      </c>
      <c r="O66" s="45">
        <v>3.363</v>
      </c>
      <c r="P66" s="45">
        <v>3.39</v>
      </c>
      <c r="Q66" s="45">
        <v>3.415</v>
      </c>
      <c r="R66" s="45">
        <v>3.4390000000000001</v>
      </c>
      <c r="S66" s="45">
        <v>3.4609999999999999</v>
      </c>
      <c r="T66" s="45">
        <v>3.4809999999999999</v>
      </c>
      <c r="U66" s="628">
        <v>3.5009999999999999</v>
      </c>
    </row>
    <row r="67" spans="1:21" x14ac:dyDescent="0.25">
      <c r="A67" s="1111">
        <v>12</v>
      </c>
      <c r="B67" s="627">
        <v>2.1789999999999998</v>
      </c>
      <c r="C67" s="45">
        <v>2.5019999999999998</v>
      </c>
      <c r="D67" s="45">
        <v>2.6829999999999998</v>
      </c>
      <c r="E67" s="45">
        <v>2.8069999999999999</v>
      </c>
      <c r="F67" s="45">
        <v>2.9009999999999998</v>
      </c>
      <c r="G67" s="45">
        <v>2.9769999999999999</v>
      </c>
      <c r="H67" s="45">
        <v>3.04</v>
      </c>
      <c r="I67" s="45">
        <v>3.0939999999999999</v>
      </c>
      <c r="J67" s="45">
        <v>3.14</v>
      </c>
      <c r="K67" s="45">
        <v>3.1819999999999999</v>
      </c>
      <c r="L67" s="45">
        <v>3.2189999999999999</v>
      </c>
      <c r="M67" s="45">
        <v>3.2530000000000001</v>
      </c>
      <c r="N67" s="45">
        <v>3.2839999999999998</v>
      </c>
      <c r="O67" s="45">
        <v>3.3119999999999998</v>
      </c>
      <c r="P67" s="45">
        <v>3.3380000000000001</v>
      </c>
      <c r="Q67" s="45">
        <v>3.363</v>
      </c>
      <c r="R67" s="45">
        <v>3.3849999999999998</v>
      </c>
      <c r="S67" s="45">
        <v>3.407</v>
      </c>
      <c r="T67" s="45">
        <v>3.427</v>
      </c>
      <c r="U67" s="628">
        <v>3.4460000000000002</v>
      </c>
    </row>
    <row r="68" spans="1:21" x14ac:dyDescent="0.25">
      <c r="A68" s="1111">
        <v>13</v>
      </c>
      <c r="B68" s="627">
        <v>2.16</v>
      </c>
      <c r="C68" s="45">
        <v>2.4780000000000002</v>
      </c>
      <c r="D68" s="45">
        <v>2.6539999999999999</v>
      </c>
      <c r="E68" s="45">
        <v>2.7759999999999998</v>
      </c>
      <c r="F68" s="45">
        <v>2.8679999999999999</v>
      </c>
      <c r="G68" s="45">
        <v>2.9420000000000002</v>
      </c>
      <c r="H68" s="45">
        <v>3.0030000000000001</v>
      </c>
      <c r="I68" s="45">
        <v>3.056</v>
      </c>
      <c r="J68" s="45">
        <v>3.1019999999999999</v>
      </c>
      <c r="K68" s="45">
        <v>3.1419999999999999</v>
      </c>
      <c r="L68" s="45">
        <v>3.1789999999999998</v>
      </c>
      <c r="M68" s="45">
        <v>3.2120000000000002</v>
      </c>
      <c r="N68" s="45">
        <v>3.242</v>
      </c>
      <c r="O68" s="45">
        <v>3.2690000000000001</v>
      </c>
      <c r="P68" s="45">
        <v>3.2949999999999999</v>
      </c>
      <c r="Q68" s="45">
        <v>3.319</v>
      </c>
      <c r="R68" s="45">
        <v>3.3410000000000002</v>
      </c>
      <c r="S68" s="45">
        <v>3.3620000000000001</v>
      </c>
      <c r="T68" s="45">
        <v>3.3809999999999998</v>
      </c>
      <c r="U68" s="628">
        <v>3.4</v>
      </c>
    </row>
    <row r="69" spans="1:21" x14ac:dyDescent="0.25">
      <c r="A69" s="1111">
        <v>14</v>
      </c>
      <c r="B69" s="627">
        <v>2.145</v>
      </c>
      <c r="C69" s="45">
        <v>2.4569999999999999</v>
      </c>
      <c r="D69" s="45">
        <v>2.6309999999999998</v>
      </c>
      <c r="E69" s="45">
        <v>2.75</v>
      </c>
      <c r="F69" s="45">
        <v>2.84</v>
      </c>
      <c r="G69" s="45">
        <v>2.9119999999999999</v>
      </c>
      <c r="H69" s="45">
        <v>2.9729999999999999</v>
      </c>
      <c r="I69" s="45">
        <v>3.024</v>
      </c>
      <c r="J69" s="45">
        <v>3.069</v>
      </c>
      <c r="K69" s="45">
        <v>3.109</v>
      </c>
      <c r="L69" s="45">
        <v>3.1440000000000001</v>
      </c>
      <c r="M69" s="45">
        <v>3.177</v>
      </c>
      <c r="N69" s="45">
        <v>3.206</v>
      </c>
      <c r="O69" s="45">
        <v>3.2330000000000001</v>
      </c>
      <c r="P69" s="45">
        <v>3.258</v>
      </c>
      <c r="Q69" s="45">
        <v>3.282</v>
      </c>
      <c r="R69" s="45">
        <v>3.3029999999999999</v>
      </c>
      <c r="S69" s="45">
        <v>3.3239999999999998</v>
      </c>
      <c r="T69" s="45">
        <v>3.343</v>
      </c>
      <c r="U69" s="628">
        <v>3.3610000000000002</v>
      </c>
    </row>
    <row r="70" spans="1:21" x14ac:dyDescent="0.25">
      <c r="A70" s="1111">
        <v>15</v>
      </c>
      <c r="B70" s="627">
        <v>2.1309999999999998</v>
      </c>
      <c r="C70" s="45">
        <v>2.4390000000000001</v>
      </c>
      <c r="D70" s="45">
        <v>2.61</v>
      </c>
      <c r="E70" s="45">
        <v>2.7269999999999999</v>
      </c>
      <c r="F70" s="45">
        <v>2.8159999999999998</v>
      </c>
      <c r="G70" s="45">
        <v>2.887</v>
      </c>
      <c r="H70" s="45">
        <v>2.9460000000000002</v>
      </c>
      <c r="I70" s="45">
        <v>2.9969999999999999</v>
      </c>
      <c r="J70" s="45">
        <v>3.0409999999999999</v>
      </c>
      <c r="K70" s="45">
        <v>3.08</v>
      </c>
      <c r="L70" s="45">
        <v>3.1150000000000002</v>
      </c>
      <c r="M70" s="45">
        <v>3.1469999999999998</v>
      </c>
      <c r="N70" s="45">
        <v>3.1760000000000002</v>
      </c>
      <c r="O70" s="45">
        <v>3.202</v>
      </c>
      <c r="P70" s="45">
        <v>3.2269999999999999</v>
      </c>
      <c r="Q70" s="45">
        <v>3.25</v>
      </c>
      <c r="R70" s="45">
        <v>3.2709999999999999</v>
      </c>
      <c r="S70" s="45">
        <v>3.2909999999999999</v>
      </c>
      <c r="T70" s="45">
        <v>3.31</v>
      </c>
      <c r="U70" s="628">
        <v>3.3279999999999998</v>
      </c>
    </row>
    <row r="71" spans="1:21" x14ac:dyDescent="0.25">
      <c r="A71" s="1111">
        <v>16</v>
      </c>
      <c r="B71" s="627">
        <v>2.12</v>
      </c>
      <c r="C71" s="45">
        <v>2.4239999999999999</v>
      </c>
      <c r="D71" s="45">
        <v>2.5920000000000001</v>
      </c>
      <c r="E71" s="45">
        <v>2.7080000000000002</v>
      </c>
      <c r="F71" s="45">
        <v>2.7949999999999999</v>
      </c>
      <c r="G71" s="45">
        <v>2.8650000000000002</v>
      </c>
      <c r="H71" s="45">
        <v>2.9239999999999999</v>
      </c>
      <c r="I71" s="45">
        <v>2.9740000000000002</v>
      </c>
      <c r="J71" s="45">
        <v>3.0169999999999999</v>
      </c>
      <c r="K71" s="45">
        <v>3.056</v>
      </c>
      <c r="L71" s="45">
        <v>3.09</v>
      </c>
      <c r="M71" s="45">
        <v>3.121</v>
      </c>
      <c r="N71" s="45">
        <v>3.15</v>
      </c>
      <c r="O71" s="45">
        <v>3.1760000000000002</v>
      </c>
      <c r="P71" s="45">
        <v>3.2</v>
      </c>
      <c r="Q71" s="45">
        <v>3.222</v>
      </c>
      <c r="R71" s="45">
        <v>3.2429999999999999</v>
      </c>
      <c r="S71" s="45">
        <v>3.2629999999999999</v>
      </c>
      <c r="T71" s="45">
        <v>3.282</v>
      </c>
      <c r="U71" s="628">
        <v>3.2989999999999999</v>
      </c>
    </row>
    <row r="72" spans="1:21" x14ac:dyDescent="0.25">
      <c r="A72" s="1111">
        <v>17</v>
      </c>
      <c r="B72" s="627">
        <v>2.11</v>
      </c>
      <c r="C72" s="45">
        <v>2.41</v>
      </c>
      <c r="D72" s="45">
        <v>2.577</v>
      </c>
      <c r="E72" s="45">
        <v>2.6909999999999998</v>
      </c>
      <c r="F72" s="45">
        <v>2.7770000000000001</v>
      </c>
      <c r="G72" s="45">
        <v>2.8460000000000001</v>
      </c>
      <c r="H72" s="45">
        <v>2.9039999999999999</v>
      </c>
      <c r="I72" s="45">
        <v>2.9529999999999998</v>
      </c>
      <c r="J72" s="45">
        <v>2.996</v>
      </c>
      <c r="K72" s="45">
        <v>3.0339999999999998</v>
      </c>
      <c r="L72" s="45">
        <v>3.0680000000000001</v>
      </c>
      <c r="M72" s="45">
        <v>3.0990000000000002</v>
      </c>
      <c r="N72" s="45">
        <v>3.1269999999999998</v>
      </c>
      <c r="O72" s="45">
        <v>3.1520000000000001</v>
      </c>
      <c r="P72" s="45">
        <v>3.1760000000000002</v>
      </c>
      <c r="Q72" s="45">
        <v>3.1989999999999998</v>
      </c>
      <c r="R72" s="45">
        <v>3.2189999999999999</v>
      </c>
      <c r="S72" s="45">
        <v>3.2389999999999999</v>
      </c>
      <c r="T72" s="45">
        <v>3.2570000000000001</v>
      </c>
      <c r="U72" s="628">
        <v>3.274</v>
      </c>
    </row>
    <row r="73" spans="1:21" x14ac:dyDescent="0.25">
      <c r="A73" s="1111">
        <v>18</v>
      </c>
      <c r="B73" s="627">
        <v>2.101</v>
      </c>
      <c r="C73" s="45">
        <v>2.399</v>
      </c>
      <c r="D73" s="45">
        <v>2.5630000000000002</v>
      </c>
      <c r="E73" s="45">
        <v>2.6760000000000002</v>
      </c>
      <c r="F73" s="45">
        <v>2.7610000000000001</v>
      </c>
      <c r="G73" s="45">
        <v>2.83</v>
      </c>
      <c r="H73" s="45">
        <v>2.887</v>
      </c>
      <c r="I73" s="45">
        <v>2.9350000000000001</v>
      </c>
      <c r="J73" s="45">
        <v>2.9769999999999999</v>
      </c>
      <c r="K73" s="45">
        <v>3.0150000000000001</v>
      </c>
      <c r="L73" s="45">
        <v>3.048</v>
      </c>
      <c r="M73" s="45">
        <v>3.0790000000000002</v>
      </c>
      <c r="N73" s="45">
        <v>3.1070000000000002</v>
      </c>
      <c r="O73" s="45">
        <v>3.1320000000000001</v>
      </c>
      <c r="P73" s="45">
        <v>3.1560000000000001</v>
      </c>
      <c r="Q73" s="45">
        <v>3.177</v>
      </c>
      <c r="R73" s="45">
        <v>3.198</v>
      </c>
      <c r="S73" s="45">
        <v>3.2170000000000001</v>
      </c>
      <c r="T73" s="45">
        <v>3.2349999999999999</v>
      </c>
      <c r="U73" s="628">
        <v>3.2519999999999998</v>
      </c>
    </row>
    <row r="74" spans="1:21" x14ac:dyDescent="0.25">
      <c r="A74" s="1111">
        <v>19</v>
      </c>
      <c r="B74" s="627">
        <v>2.093</v>
      </c>
      <c r="C74" s="45">
        <v>2.3879999999999999</v>
      </c>
      <c r="D74" s="45">
        <v>2.5510000000000002</v>
      </c>
      <c r="E74" s="45">
        <v>2.6629999999999998</v>
      </c>
      <c r="F74" s="45">
        <v>2.7469999999999999</v>
      </c>
      <c r="G74" s="45">
        <v>2.8149999999999999</v>
      </c>
      <c r="H74" s="45">
        <v>2.871</v>
      </c>
      <c r="I74" s="45">
        <v>2.919</v>
      </c>
      <c r="J74" s="45">
        <v>2.9609999999999999</v>
      </c>
      <c r="K74" s="45">
        <v>2.9980000000000002</v>
      </c>
      <c r="L74" s="45">
        <v>3.0310000000000001</v>
      </c>
      <c r="M74" s="45">
        <v>3.0609999999999999</v>
      </c>
      <c r="N74" s="45">
        <v>3.089</v>
      </c>
      <c r="O74" s="45">
        <v>3.1139999999999999</v>
      </c>
      <c r="P74" s="45">
        <v>3.137</v>
      </c>
      <c r="Q74" s="45">
        <v>3.1589999999999998</v>
      </c>
      <c r="R74" s="45">
        <v>3.1789999999999998</v>
      </c>
      <c r="S74" s="45">
        <v>3.198</v>
      </c>
      <c r="T74" s="45">
        <v>3.2160000000000002</v>
      </c>
      <c r="U74" s="628">
        <v>3.2330000000000001</v>
      </c>
    </row>
    <row r="75" spans="1:21" x14ac:dyDescent="0.25">
      <c r="A75" s="1111">
        <v>20</v>
      </c>
      <c r="B75" s="627">
        <v>2.0859999999999999</v>
      </c>
      <c r="C75" s="45">
        <v>2.379</v>
      </c>
      <c r="D75" s="45">
        <v>2.54</v>
      </c>
      <c r="E75" s="45">
        <v>2.6509999999999998</v>
      </c>
      <c r="F75" s="45">
        <v>2.7349999999999999</v>
      </c>
      <c r="G75" s="45">
        <v>2.802</v>
      </c>
      <c r="H75" s="45">
        <v>2.8570000000000002</v>
      </c>
      <c r="I75" s="45">
        <v>2.9049999999999998</v>
      </c>
      <c r="J75" s="45">
        <v>2.9460000000000002</v>
      </c>
      <c r="K75" s="45">
        <v>2.9830000000000001</v>
      </c>
      <c r="L75" s="45">
        <v>3.016</v>
      </c>
      <c r="M75" s="45">
        <v>3.0449999999999999</v>
      </c>
      <c r="N75" s="45">
        <v>3.073</v>
      </c>
      <c r="O75" s="45">
        <v>3.0979999999999999</v>
      </c>
      <c r="P75" s="45">
        <v>3.121</v>
      </c>
      <c r="Q75" s="45">
        <v>3.1419999999999999</v>
      </c>
      <c r="R75" s="45">
        <v>3.1619999999999999</v>
      </c>
      <c r="S75" s="45">
        <v>3.181</v>
      </c>
      <c r="T75" s="45">
        <v>3.198</v>
      </c>
      <c r="U75" s="628">
        <v>3.2149999999999999</v>
      </c>
    </row>
    <row r="76" spans="1:21" x14ac:dyDescent="0.25">
      <c r="A76" s="1111">
        <v>21</v>
      </c>
      <c r="B76" s="627">
        <v>2.08</v>
      </c>
      <c r="C76" s="45">
        <v>2.37</v>
      </c>
      <c r="D76" s="45">
        <v>2.5310000000000001</v>
      </c>
      <c r="E76" s="45">
        <v>2.64</v>
      </c>
      <c r="F76" s="45">
        <v>2.7229999999999999</v>
      </c>
      <c r="G76" s="45">
        <v>2.79</v>
      </c>
      <c r="H76" s="45">
        <v>2.8450000000000002</v>
      </c>
      <c r="I76" s="45">
        <v>2.8919999999999999</v>
      </c>
      <c r="J76" s="45">
        <v>2.9329999999999998</v>
      </c>
      <c r="K76" s="45">
        <v>2.9689999999999999</v>
      </c>
      <c r="L76" s="45">
        <v>3.0019999999999998</v>
      </c>
      <c r="M76" s="45">
        <v>3.0310000000000001</v>
      </c>
      <c r="N76" s="45">
        <v>3.0579999999999998</v>
      </c>
      <c r="O76" s="45">
        <v>3.0830000000000002</v>
      </c>
      <c r="P76" s="45">
        <v>3.1059999999999999</v>
      </c>
      <c r="Q76" s="45">
        <v>3.1269999999999998</v>
      </c>
      <c r="R76" s="45">
        <v>3.1469999999999998</v>
      </c>
      <c r="S76" s="45">
        <v>3.165</v>
      </c>
      <c r="T76" s="45">
        <v>3.1829999999999998</v>
      </c>
      <c r="U76" s="628">
        <v>3.1989999999999998</v>
      </c>
    </row>
    <row r="77" spans="1:21" x14ac:dyDescent="0.25">
      <c r="A77" s="1111">
        <v>22</v>
      </c>
      <c r="B77" s="627">
        <v>2.0739999999999998</v>
      </c>
      <c r="C77" s="45">
        <v>2.363</v>
      </c>
      <c r="D77" s="45">
        <v>2.5219999999999998</v>
      </c>
      <c r="E77" s="45">
        <v>2.6309999999999998</v>
      </c>
      <c r="F77" s="45">
        <v>2.7130000000000001</v>
      </c>
      <c r="G77" s="45">
        <v>2.7789999999999999</v>
      </c>
      <c r="H77" s="45">
        <v>2.8340000000000001</v>
      </c>
      <c r="I77" s="45">
        <v>2.88</v>
      </c>
      <c r="J77" s="45">
        <v>2.9209999999999998</v>
      </c>
      <c r="K77" s="45">
        <v>2.9569999999999999</v>
      </c>
      <c r="L77" s="45">
        <v>2.9889999999999999</v>
      </c>
      <c r="M77" s="45">
        <v>3.0190000000000001</v>
      </c>
      <c r="N77" s="45">
        <v>3.0449999999999999</v>
      </c>
      <c r="O77" s="45">
        <v>3.07</v>
      </c>
      <c r="P77" s="45">
        <v>3.0920000000000001</v>
      </c>
      <c r="Q77" s="45">
        <v>3.113</v>
      </c>
      <c r="R77" s="45">
        <v>3.133</v>
      </c>
      <c r="S77" s="45">
        <v>3.1509999999999998</v>
      </c>
      <c r="T77" s="45">
        <v>3.169</v>
      </c>
      <c r="U77" s="628">
        <v>3.1850000000000001</v>
      </c>
    </row>
    <row r="78" spans="1:21" x14ac:dyDescent="0.25">
      <c r="A78" s="1111">
        <v>23</v>
      </c>
      <c r="B78" s="627">
        <v>2.069</v>
      </c>
      <c r="C78" s="45">
        <v>2.3559999999999999</v>
      </c>
      <c r="D78" s="45">
        <v>2.5139999999999998</v>
      </c>
      <c r="E78" s="45">
        <v>2.6219999999999999</v>
      </c>
      <c r="F78" s="45">
        <v>2.7040000000000002</v>
      </c>
      <c r="G78" s="45">
        <v>2.7690000000000001</v>
      </c>
      <c r="H78" s="45">
        <v>2.8239999999999998</v>
      </c>
      <c r="I78" s="45">
        <v>2.87</v>
      </c>
      <c r="J78" s="45">
        <v>2.91</v>
      </c>
      <c r="K78" s="45">
        <v>2.9460000000000002</v>
      </c>
      <c r="L78" s="45">
        <v>2.9780000000000002</v>
      </c>
      <c r="M78" s="45">
        <v>3.0070000000000001</v>
      </c>
      <c r="N78" s="45">
        <v>3.0329999999999999</v>
      </c>
      <c r="O78" s="45">
        <v>3.0579999999999998</v>
      </c>
      <c r="P78" s="45">
        <v>3.08</v>
      </c>
      <c r="Q78" s="45">
        <v>3.101</v>
      </c>
      <c r="R78" s="45">
        <v>3.121</v>
      </c>
      <c r="S78" s="45">
        <v>3.1389999999999998</v>
      </c>
      <c r="T78" s="45">
        <v>3.1560000000000001</v>
      </c>
      <c r="U78" s="628">
        <v>3.1720000000000002</v>
      </c>
    </row>
    <row r="79" spans="1:21" x14ac:dyDescent="0.25">
      <c r="A79" s="1111">
        <v>24</v>
      </c>
      <c r="B79" s="627">
        <v>2.0640000000000001</v>
      </c>
      <c r="C79" s="45">
        <v>2.3490000000000002</v>
      </c>
      <c r="D79" s="45">
        <v>2.5070000000000001</v>
      </c>
      <c r="E79" s="45">
        <v>2.6139999999999999</v>
      </c>
      <c r="F79" s="45">
        <v>2.6949999999999998</v>
      </c>
      <c r="G79" s="45">
        <v>2.76</v>
      </c>
      <c r="H79" s="45">
        <v>2.8140000000000001</v>
      </c>
      <c r="I79" s="45">
        <v>2.86</v>
      </c>
      <c r="J79" s="45">
        <v>2.9</v>
      </c>
      <c r="K79" s="45">
        <v>2.9359999999999999</v>
      </c>
      <c r="L79" s="45">
        <v>2.968</v>
      </c>
      <c r="M79" s="45">
        <v>2.996</v>
      </c>
      <c r="N79" s="45">
        <v>3.0230000000000001</v>
      </c>
      <c r="O79" s="45">
        <v>3.0470000000000002</v>
      </c>
      <c r="P79" s="45">
        <v>3.069</v>
      </c>
      <c r="Q79" s="45">
        <v>3.09</v>
      </c>
      <c r="R79" s="45">
        <v>3.109</v>
      </c>
      <c r="S79" s="45">
        <v>3.1269999999999998</v>
      </c>
      <c r="T79" s="45">
        <v>3.1440000000000001</v>
      </c>
      <c r="U79" s="628">
        <v>3.161</v>
      </c>
    </row>
    <row r="80" spans="1:21" x14ac:dyDescent="0.25">
      <c r="A80" s="1111">
        <v>25</v>
      </c>
      <c r="B80" s="627">
        <v>2.06</v>
      </c>
      <c r="C80" s="45">
        <v>2.3439999999999999</v>
      </c>
      <c r="D80" s="45">
        <v>2.5</v>
      </c>
      <c r="E80" s="45">
        <v>2.6070000000000002</v>
      </c>
      <c r="F80" s="45">
        <v>2.6880000000000002</v>
      </c>
      <c r="G80" s="45">
        <v>2.7519999999999998</v>
      </c>
      <c r="H80" s="45">
        <v>2.806</v>
      </c>
      <c r="I80" s="45">
        <v>2.851</v>
      </c>
      <c r="J80" s="45">
        <v>2.891</v>
      </c>
      <c r="K80" s="45">
        <v>2.927</v>
      </c>
      <c r="L80" s="45">
        <v>2.9580000000000002</v>
      </c>
      <c r="M80" s="45">
        <v>2.9870000000000001</v>
      </c>
      <c r="N80" s="45">
        <v>3.0129999999999999</v>
      </c>
      <c r="O80" s="45">
        <v>3.0369999999999999</v>
      </c>
      <c r="P80" s="45">
        <v>3.0590000000000002</v>
      </c>
      <c r="Q80" s="45">
        <v>3.08</v>
      </c>
      <c r="R80" s="45">
        <v>3.0990000000000002</v>
      </c>
      <c r="S80" s="45">
        <v>3.117</v>
      </c>
      <c r="T80" s="45">
        <v>3.1339999999999999</v>
      </c>
      <c r="U80" s="628">
        <v>3.15</v>
      </c>
    </row>
    <row r="81" spans="1:21" x14ac:dyDescent="0.25">
      <c r="A81" s="1111">
        <v>26</v>
      </c>
      <c r="B81" s="627">
        <v>2.056</v>
      </c>
      <c r="C81" s="45">
        <v>2.3380000000000001</v>
      </c>
      <c r="D81" s="45">
        <v>2.4940000000000002</v>
      </c>
      <c r="E81" s="45">
        <v>2.6</v>
      </c>
      <c r="F81" s="45">
        <v>2.68</v>
      </c>
      <c r="G81" s="45">
        <v>2.7450000000000001</v>
      </c>
      <c r="H81" s="45">
        <v>2.798</v>
      </c>
      <c r="I81" s="45">
        <v>2.843</v>
      </c>
      <c r="J81" s="45">
        <v>2.883</v>
      </c>
      <c r="K81" s="45">
        <v>2.9180000000000001</v>
      </c>
      <c r="L81" s="45">
        <v>2.9489999999999998</v>
      </c>
      <c r="M81" s="45">
        <v>2.9780000000000002</v>
      </c>
      <c r="N81" s="45">
        <v>3.004</v>
      </c>
      <c r="O81" s="45">
        <v>3.028</v>
      </c>
      <c r="P81" s="45">
        <v>3.05</v>
      </c>
      <c r="Q81" s="45">
        <v>3.07</v>
      </c>
      <c r="R81" s="45">
        <v>3.089</v>
      </c>
      <c r="S81" s="45">
        <v>3.1070000000000002</v>
      </c>
      <c r="T81" s="45">
        <v>3.1240000000000001</v>
      </c>
      <c r="U81" s="628">
        <v>3.14</v>
      </c>
    </row>
    <row r="82" spans="1:21" x14ac:dyDescent="0.25">
      <c r="A82" s="1111">
        <v>27</v>
      </c>
      <c r="B82" s="627">
        <v>2.052</v>
      </c>
      <c r="C82" s="45">
        <v>2.3330000000000002</v>
      </c>
      <c r="D82" s="45">
        <v>2.488</v>
      </c>
      <c r="E82" s="45">
        <v>2.5939999999999999</v>
      </c>
      <c r="F82" s="45">
        <v>2.6739999999999999</v>
      </c>
      <c r="G82" s="45">
        <v>2.738</v>
      </c>
      <c r="H82" s="45">
        <v>2.7909999999999999</v>
      </c>
      <c r="I82" s="45">
        <v>2.8359999999999999</v>
      </c>
      <c r="J82" s="45">
        <v>2.875</v>
      </c>
      <c r="K82" s="45">
        <v>2.91</v>
      </c>
      <c r="L82" s="45">
        <v>2.9409999999999998</v>
      </c>
      <c r="M82" s="45">
        <v>2.97</v>
      </c>
      <c r="N82" s="45">
        <v>2.9950000000000001</v>
      </c>
      <c r="O82" s="45">
        <v>3.0190000000000001</v>
      </c>
      <c r="P82" s="45">
        <v>3.0409999999999999</v>
      </c>
      <c r="Q82" s="45">
        <v>3.0609999999999999</v>
      </c>
      <c r="R82" s="45">
        <v>3.08</v>
      </c>
      <c r="S82" s="45">
        <v>3.0979999999999999</v>
      </c>
      <c r="T82" s="45">
        <v>3.1150000000000002</v>
      </c>
      <c r="U82" s="628">
        <v>3.1309999999999998</v>
      </c>
    </row>
    <row r="83" spans="1:21" x14ac:dyDescent="0.25">
      <c r="A83" s="1111">
        <v>28</v>
      </c>
      <c r="B83" s="627">
        <v>2.048</v>
      </c>
      <c r="C83" s="45">
        <v>2.3290000000000002</v>
      </c>
      <c r="D83" s="45">
        <v>2.4830000000000001</v>
      </c>
      <c r="E83" s="45">
        <v>2.5880000000000001</v>
      </c>
      <c r="F83" s="45">
        <v>2.6680000000000001</v>
      </c>
      <c r="G83" s="45">
        <v>2.7309999999999999</v>
      </c>
      <c r="H83" s="45">
        <v>2.7839999999999998</v>
      </c>
      <c r="I83" s="45">
        <v>2.8290000000000002</v>
      </c>
      <c r="J83" s="45">
        <v>2.8679999999999999</v>
      </c>
      <c r="K83" s="45">
        <v>2.903</v>
      </c>
      <c r="L83" s="45">
        <v>2.9340000000000002</v>
      </c>
      <c r="M83" s="45">
        <v>2.9620000000000002</v>
      </c>
      <c r="N83" s="45">
        <v>2.988</v>
      </c>
      <c r="O83" s="45">
        <v>3.0110000000000001</v>
      </c>
      <c r="P83" s="45">
        <v>3.0329999999999999</v>
      </c>
      <c r="Q83" s="45">
        <v>3.0529999999999999</v>
      </c>
      <c r="R83" s="45">
        <v>3.0720000000000001</v>
      </c>
      <c r="S83" s="45">
        <v>3.09</v>
      </c>
      <c r="T83" s="45">
        <v>3.1070000000000002</v>
      </c>
      <c r="U83" s="628">
        <v>3.1219999999999999</v>
      </c>
    </row>
    <row r="84" spans="1:21" x14ac:dyDescent="0.25">
      <c r="A84" s="1111">
        <v>29</v>
      </c>
      <c r="B84" s="627">
        <v>2.0449999999999999</v>
      </c>
      <c r="C84" s="45">
        <v>2.3250000000000002</v>
      </c>
      <c r="D84" s="45">
        <v>2.4780000000000002</v>
      </c>
      <c r="E84" s="45">
        <v>2.5830000000000002</v>
      </c>
      <c r="F84" s="45">
        <v>2.6619999999999999</v>
      </c>
      <c r="G84" s="45">
        <v>2.7250000000000001</v>
      </c>
      <c r="H84" s="45">
        <v>2.778</v>
      </c>
      <c r="I84" s="45">
        <v>2.823</v>
      </c>
      <c r="J84" s="45">
        <v>2.8620000000000001</v>
      </c>
      <c r="K84" s="45">
        <v>2.8959999999999999</v>
      </c>
      <c r="L84" s="45">
        <v>2.927</v>
      </c>
      <c r="M84" s="45">
        <v>2.9550000000000001</v>
      </c>
      <c r="N84" s="45">
        <v>2.9809999999999999</v>
      </c>
      <c r="O84" s="45">
        <v>3.004</v>
      </c>
      <c r="P84" s="45">
        <v>3.0259999999999998</v>
      </c>
      <c r="Q84" s="45">
        <v>3.0459999999999998</v>
      </c>
      <c r="R84" s="45">
        <v>3.0649999999999999</v>
      </c>
      <c r="S84" s="45">
        <v>3.0819999999999999</v>
      </c>
      <c r="T84" s="45">
        <v>3.0990000000000002</v>
      </c>
      <c r="U84" s="628">
        <v>3.1139999999999999</v>
      </c>
    </row>
    <row r="85" spans="1:21" x14ac:dyDescent="0.25">
      <c r="A85" s="1111">
        <v>30</v>
      </c>
      <c r="B85" s="627">
        <v>2.0419999999999998</v>
      </c>
      <c r="C85" s="45">
        <v>2.3210000000000002</v>
      </c>
      <c r="D85" s="45">
        <v>2.4740000000000002</v>
      </c>
      <c r="E85" s="45">
        <v>2.5779999999999998</v>
      </c>
      <c r="F85" s="45">
        <v>2.657</v>
      </c>
      <c r="G85" s="45">
        <v>2.72</v>
      </c>
      <c r="H85" s="45">
        <v>2.7719999999999998</v>
      </c>
      <c r="I85" s="45">
        <v>2.8170000000000002</v>
      </c>
      <c r="J85" s="45">
        <v>2.8559999999999999</v>
      </c>
      <c r="K85" s="45">
        <v>2.89</v>
      </c>
      <c r="L85" s="45">
        <v>2.9209999999999998</v>
      </c>
      <c r="M85" s="45">
        <v>2.9489999999999998</v>
      </c>
      <c r="N85" s="45">
        <v>2.9740000000000002</v>
      </c>
      <c r="O85" s="45">
        <v>2.9969999999999999</v>
      </c>
      <c r="P85" s="45">
        <v>3.0190000000000001</v>
      </c>
      <c r="Q85" s="45">
        <v>3.0390000000000001</v>
      </c>
      <c r="R85" s="45">
        <v>3.0579999999999998</v>
      </c>
      <c r="S85" s="45">
        <v>3.0750000000000002</v>
      </c>
      <c r="T85" s="45">
        <v>3.0920000000000001</v>
      </c>
      <c r="U85" s="628">
        <v>3.1070000000000002</v>
      </c>
    </row>
    <row r="86" spans="1:21" x14ac:dyDescent="0.25">
      <c r="A86" s="1111">
        <v>31</v>
      </c>
      <c r="B86" s="627">
        <v>2.04</v>
      </c>
      <c r="C86" s="45">
        <v>2.3170000000000002</v>
      </c>
      <c r="D86" s="45">
        <v>2.4689999999999999</v>
      </c>
      <c r="E86" s="45">
        <v>2.5739999999999998</v>
      </c>
      <c r="F86" s="45">
        <v>2.6520000000000001</v>
      </c>
      <c r="G86" s="45">
        <v>2.7149999999999999</v>
      </c>
      <c r="H86" s="45">
        <v>2.7669999999999999</v>
      </c>
      <c r="I86" s="45">
        <v>2.8109999999999999</v>
      </c>
      <c r="J86" s="45">
        <v>2.85</v>
      </c>
      <c r="K86" s="45">
        <v>2.8839999999999999</v>
      </c>
      <c r="L86" s="45">
        <v>2.915</v>
      </c>
      <c r="M86" s="45">
        <v>2.9420000000000002</v>
      </c>
      <c r="N86" s="45">
        <v>2.968</v>
      </c>
      <c r="O86" s="45">
        <v>2.9910000000000001</v>
      </c>
      <c r="P86" s="45">
        <v>3.012</v>
      </c>
      <c r="Q86" s="45">
        <v>3.032</v>
      </c>
      <c r="R86" s="45">
        <v>3.0510000000000002</v>
      </c>
      <c r="S86" s="45">
        <v>3.0680000000000001</v>
      </c>
      <c r="T86" s="45">
        <v>3.085</v>
      </c>
      <c r="U86" s="628">
        <v>3.1</v>
      </c>
    </row>
    <row r="87" spans="1:21" x14ac:dyDescent="0.25">
      <c r="A87" s="1111">
        <v>32</v>
      </c>
      <c r="B87" s="627">
        <v>2.0369999999999999</v>
      </c>
      <c r="C87" s="45">
        <v>2.3140000000000001</v>
      </c>
      <c r="D87" s="45">
        <v>2.4660000000000002</v>
      </c>
      <c r="E87" s="45">
        <v>2.569</v>
      </c>
      <c r="F87" s="45">
        <v>2.6469999999999998</v>
      </c>
      <c r="G87" s="45">
        <v>2.71</v>
      </c>
      <c r="H87" s="45">
        <v>2.762</v>
      </c>
      <c r="I87" s="45">
        <v>2.806</v>
      </c>
      <c r="J87" s="45">
        <v>2.8450000000000002</v>
      </c>
      <c r="K87" s="45">
        <v>2.879</v>
      </c>
      <c r="L87" s="45">
        <v>2.9089999999999998</v>
      </c>
      <c r="M87" s="45">
        <v>2.9369999999999998</v>
      </c>
      <c r="N87" s="45">
        <v>2.9620000000000002</v>
      </c>
      <c r="O87" s="45">
        <v>2.9849999999999999</v>
      </c>
      <c r="P87" s="45">
        <v>3.0059999999999998</v>
      </c>
      <c r="Q87" s="45">
        <v>3.0259999999999998</v>
      </c>
      <c r="R87" s="45">
        <v>3.0449999999999999</v>
      </c>
      <c r="S87" s="45">
        <v>3.0619999999999998</v>
      </c>
      <c r="T87" s="45">
        <v>3.0790000000000002</v>
      </c>
      <c r="U87" s="628">
        <v>3.0939999999999999</v>
      </c>
    </row>
    <row r="88" spans="1:21" x14ac:dyDescent="0.25">
      <c r="A88" s="1111">
        <v>33</v>
      </c>
      <c r="B88" s="627">
        <v>2.0350000000000001</v>
      </c>
      <c r="C88" s="45">
        <v>2.31</v>
      </c>
      <c r="D88" s="45">
        <v>2.4620000000000002</v>
      </c>
      <c r="E88" s="45">
        <v>2.5649999999999999</v>
      </c>
      <c r="F88" s="45">
        <v>2.6429999999999998</v>
      </c>
      <c r="G88" s="45">
        <v>2.7050000000000001</v>
      </c>
      <c r="H88" s="45">
        <v>2.7570000000000001</v>
      </c>
      <c r="I88" s="45">
        <v>2.8010000000000002</v>
      </c>
      <c r="J88" s="45">
        <v>2.84</v>
      </c>
      <c r="K88" s="45">
        <v>2.8730000000000002</v>
      </c>
      <c r="L88" s="45">
        <v>2.9039999999999999</v>
      </c>
      <c r="M88" s="45">
        <v>2.931</v>
      </c>
      <c r="N88" s="45">
        <v>2.956</v>
      </c>
      <c r="O88" s="45">
        <v>2.9790000000000001</v>
      </c>
      <c r="P88" s="45">
        <v>3.0009999999999999</v>
      </c>
      <c r="Q88" s="45">
        <v>3.0209999999999999</v>
      </c>
      <c r="R88" s="45">
        <v>3.0390000000000001</v>
      </c>
      <c r="S88" s="45">
        <v>3.056</v>
      </c>
      <c r="T88" s="45">
        <v>3.073</v>
      </c>
      <c r="U88" s="628">
        <v>3.0880000000000001</v>
      </c>
    </row>
    <row r="89" spans="1:21" x14ac:dyDescent="0.25">
      <c r="A89" s="1111">
        <v>34</v>
      </c>
      <c r="B89" s="627">
        <v>2.032</v>
      </c>
      <c r="C89" s="45">
        <v>2.3069999999999999</v>
      </c>
      <c r="D89" s="45">
        <v>2.4580000000000002</v>
      </c>
      <c r="E89" s="45">
        <v>2.5609999999999999</v>
      </c>
      <c r="F89" s="45">
        <v>2.6389999999999998</v>
      </c>
      <c r="G89" s="45">
        <v>2.7010000000000001</v>
      </c>
      <c r="H89" s="45">
        <v>2.7530000000000001</v>
      </c>
      <c r="I89" s="45">
        <v>2.7970000000000002</v>
      </c>
      <c r="J89" s="45">
        <v>2.835</v>
      </c>
      <c r="K89" s="45">
        <v>2.8690000000000002</v>
      </c>
      <c r="L89" s="45">
        <v>2.899</v>
      </c>
      <c r="M89" s="45">
        <v>2.9260000000000002</v>
      </c>
      <c r="N89" s="45">
        <v>2.9510000000000001</v>
      </c>
      <c r="O89" s="45">
        <v>2.9740000000000002</v>
      </c>
      <c r="P89" s="45">
        <v>2.996</v>
      </c>
      <c r="Q89" s="45">
        <v>3.0150000000000001</v>
      </c>
      <c r="R89" s="45">
        <v>3.0339999999999998</v>
      </c>
      <c r="S89" s="45">
        <v>3.0510000000000002</v>
      </c>
      <c r="T89" s="45">
        <v>3.0670000000000002</v>
      </c>
      <c r="U89" s="628">
        <v>3.0819999999999999</v>
      </c>
    </row>
    <row r="90" spans="1:21" x14ac:dyDescent="0.25">
      <c r="A90" s="1111">
        <v>35</v>
      </c>
      <c r="B90" s="627">
        <v>2.0299999999999998</v>
      </c>
      <c r="C90" s="45">
        <v>2.3050000000000002</v>
      </c>
      <c r="D90" s="45">
        <v>2.4550000000000001</v>
      </c>
      <c r="E90" s="45">
        <v>2.5579999999999998</v>
      </c>
      <c r="F90" s="45">
        <v>2.6349999999999998</v>
      </c>
      <c r="G90" s="45">
        <v>2.6970000000000001</v>
      </c>
      <c r="H90" s="45">
        <v>2.7480000000000002</v>
      </c>
      <c r="I90" s="45">
        <v>2.7919999999999998</v>
      </c>
      <c r="J90" s="45">
        <v>2.83</v>
      </c>
      <c r="K90" s="45">
        <v>2.8639999999999999</v>
      </c>
      <c r="L90" s="45">
        <v>2.8940000000000001</v>
      </c>
      <c r="M90" s="45">
        <v>2.9220000000000002</v>
      </c>
      <c r="N90" s="45">
        <v>2.9470000000000001</v>
      </c>
      <c r="O90" s="45">
        <v>2.9689999999999999</v>
      </c>
      <c r="P90" s="45">
        <v>2.9910000000000001</v>
      </c>
      <c r="Q90" s="45">
        <v>3.01</v>
      </c>
      <c r="R90" s="45">
        <v>3.0289999999999999</v>
      </c>
      <c r="S90" s="45">
        <v>3.0459999999999998</v>
      </c>
      <c r="T90" s="45">
        <v>3.0619999999999998</v>
      </c>
      <c r="U90" s="628">
        <v>3.077</v>
      </c>
    </row>
    <row r="91" spans="1:21" x14ac:dyDescent="0.25">
      <c r="A91" s="1111">
        <v>36</v>
      </c>
      <c r="B91" s="627">
        <v>2.028</v>
      </c>
      <c r="C91" s="45">
        <v>2.302</v>
      </c>
      <c r="D91" s="45">
        <v>2.452</v>
      </c>
      <c r="E91" s="45">
        <v>2.5550000000000002</v>
      </c>
      <c r="F91" s="45">
        <v>2.6320000000000001</v>
      </c>
      <c r="G91" s="45">
        <v>2.6930000000000001</v>
      </c>
      <c r="H91" s="45">
        <v>2.7450000000000001</v>
      </c>
      <c r="I91" s="45">
        <v>2.7879999999999998</v>
      </c>
      <c r="J91" s="45">
        <v>2.8260000000000001</v>
      </c>
      <c r="K91" s="45">
        <v>2.86</v>
      </c>
      <c r="L91" s="45">
        <v>2.89</v>
      </c>
      <c r="M91" s="45">
        <v>2.9169999999999998</v>
      </c>
      <c r="N91" s="45">
        <v>2.9420000000000002</v>
      </c>
      <c r="O91" s="45">
        <v>2.9649999999999999</v>
      </c>
      <c r="P91" s="45">
        <v>2.9860000000000002</v>
      </c>
      <c r="Q91" s="45">
        <v>3.0049999999999999</v>
      </c>
      <c r="R91" s="45">
        <v>3.024</v>
      </c>
      <c r="S91" s="45">
        <v>3.0409999999999999</v>
      </c>
      <c r="T91" s="45">
        <v>3.0569999999999999</v>
      </c>
      <c r="U91" s="628">
        <v>3.0720000000000001</v>
      </c>
    </row>
    <row r="92" spans="1:21" x14ac:dyDescent="0.25">
      <c r="A92" s="1111">
        <v>37</v>
      </c>
      <c r="B92" s="627">
        <v>2.0259999999999998</v>
      </c>
      <c r="C92" s="45">
        <v>2.2989999999999999</v>
      </c>
      <c r="D92" s="45">
        <v>2.4489999999999998</v>
      </c>
      <c r="E92" s="45">
        <v>2.5510000000000002</v>
      </c>
      <c r="F92" s="45">
        <v>2.6280000000000001</v>
      </c>
      <c r="G92" s="45">
        <v>2.69</v>
      </c>
      <c r="H92" s="45">
        <v>2.7410000000000001</v>
      </c>
      <c r="I92" s="45">
        <v>2.7839999999999998</v>
      </c>
      <c r="J92" s="45">
        <v>2.8220000000000001</v>
      </c>
      <c r="K92" s="45">
        <v>2.8559999999999999</v>
      </c>
      <c r="L92" s="45">
        <v>2.8860000000000001</v>
      </c>
      <c r="M92" s="45">
        <v>2.9129999999999998</v>
      </c>
      <c r="N92" s="45">
        <v>2.9380000000000002</v>
      </c>
      <c r="O92" s="45">
        <v>2.96</v>
      </c>
      <c r="P92" s="45">
        <v>2.9809999999999999</v>
      </c>
      <c r="Q92" s="45">
        <v>3.0009999999999999</v>
      </c>
      <c r="R92" s="45">
        <v>3.0190000000000001</v>
      </c>
      <c r="S92" s="45">
        <v>3.036</v>
      </c>
      <c r="T92" s="45">
        <v>3.052</v>
      </c>
      <c r="U92" s="628">
        <v>3.0680000000000001</v>
      </c>
    </row>
    <row r="93" spans="1:21" x14ac:dyDescent="0.25">
      <c r="A93" s="1111">
        <v>38</v>
      </c>
      <c r="B93" s="627">
        <v>2.024</v>
      </c>
      <c r="C93" s="45">
        <v>2.2970000000000002</v>
      </c>
      <c r="D93" s="45">
        <v>2.4470000000000001</v>
      </c>
      <c r="E93" s="45">
        <v>2.548</v>
      </c>
      <c r="F93" s="45">
        <v>2.625</v>
      </c>
      <c r="G93" s="45">
        <v>2.6859999999999999</v>
      </c>
      <c r="H93" s="45">
        <v>2.7370000000000001</v>
      </c>
      <c r="I93" s="45">
        <v>2.7810000000000001</v>
      </c>
      <c r="J93" s="45">
        <v>2.819</v>
      </c>
      <c r="K93" s="45">
        <v>2.8519999999999999</v>
      </c>
      <c r="L93" s="45">
        <v>2.8820000000000001</v>
      </c>
      <c r="M93" s="45">
        <v>2.9089999999999998</v>
      </c>
      <c r="N93" s="45">
        <v>2.9340000000000002</v>
      </c>
      <c r="O93" s="45">
        <v>2.956</v>
      </c>
      <c r="P93" s="45">
        <v>2.9769999999999999</v>
      </c>
      <c r="Q93" s="45">
        <v>2.9969999999999999</v>
      </c>
      <c r="R93" s="45">
        <v>3.0150000000000001</v>
      </c>
      <c r="S93" s="45">
        <v>3.032</v>
      </c>
      <c r="T93" s="45">
        <v>3.048</v>
      </c>
      <c r="U93" s="628">
        <v>3.0630000000000002</v>
      </c>
    </row>
    <row r="94" spans="1:21" x14ac:dyDescent="0.25">
      <c r="A94" s="1111">
        <v>39</v>
      </c>
      <c r="B94" s="627">
        <v>2.0230000000000001</v>
      </c>
      <c r="C94" s="45">
        <v>2.2949999999999999</v>
      </c>
      <c r="D94" s="45">
        <v>2.444</v>
      </c>
      <c r="E94" s="45">
        <v>2.5459999999999998</v>
      </c>
      <c r="F94" s="45">
        <v>2.6219999999999999</v>
      </c>
      <c r="G94" s="45">
        <v>2.6829999999999998</v>
      </c>
      <c r="H94" s="45">
        <v>2.734</v>
      </c>
      <c r="I94" s="45">
        <v>2.7770000000000001</v>
      </c>
      <c r="J94" s="45">
        <v>2.8149999999999999</v>
      </c>
      <c r="K94" s="45">
        <v>2.8479999999999999</v>
      </c>
      <c r="L94" s="45">
        <v>2.8780000000000001</v>
      </c>
      <c r="M94" s="45">
        <v>2.9049999999999998</v>
      </c>
      <c r="N94" s="45">
        <v>2.93</v>
      </c>
      <c r="O94" s="45">
        <v>2.952</v>
      </c>
      <c r="P94" s="45">
        <v>2.9729999999999999</v>
      </c>
      <c r="Q94" s="45">
        <v>2.9929999999999999</v>
      </c>
      <c r="R94" s="45">
        <v>3.0110000000000001</v>
      </c>
      <c r="S94" s="45">
        <v>3.028</v>
      </c>
      <c r="T94" s="45">
        <v>3.044</v>
      </c>
      <c r="U94" s="628">
        <v>3.0590000000000002</v>
      </c>
    </row>
    <row r="95" spans="1:21" x14ac:dyDescent="0.25">
      <c r="A95" s="1111">
        <v>40</v>
      </c>
      <c r="B95" s="627">
        <v>2.0209999999999999</v>
      </c>
      <c r="C95" s="45">
        <v>2.2930000000000001</v>
      </c>
      <c r="D95" s="45">
        <v>2.4409999999999998</v>
      </c>
      <c r="E95" s="45">
        <v>2.5430000000000001</v>
      </c>
      <c r="F95" s="45">
        <v>2.6190000000000002</v>
      </c>
      <c r="G95" s="45">
        <v>2.68</v>
      </c>
      <c r="H95" s="45">
        <v>2.7309999999999999</v>
      </c>
      <c r="I95" s="45">
        <v>2.774</v>
      </c>
      <c r="J95" s="45">
        <v>2.8119999999999998</v>
      </c>
      <c r="K95" s="45">
        <v>2.8450000000000002</v>
      </c>
      <c r="L95" s="45">
        <v>2.875</v>
      </c>
      <c r="M95" s="45">
        <v>2.9020000000000001</v>
      </c>
      <c r="N95" s="45">
        <v>2.9260000000000002</v>
      </c>
      <c r="O95" s="45">
        <v>2.9489999999999998</v>
      </c>
      <c r="P95" s="45">
        <v>2.97</v>
      </c>
      <c r="Q95" s="45">
        <v>2.9889999999999999</v>
      </c>
      <c r="R95" s="45">
        <v>3.0070000000000001</v>
      </c>
      <c r="S95" s="45">
        <v>3.024</v>
      </c>
      <c r="T95" s="45">
        <v>3.04</v>
      </c>
      <c r="U95" s="628">
        <v>3.0550000000000002</v>
      </c>
    </row>
    <row r="96" spans="1:21" x14ac:dyDescent="0.25">
      <c r="A96" s="1111">
        <v>48</v>
      </c>
      <c r="B96" s="627">
        <v>2.0110000000000001</v>
      </c>
      <c r="C96" s="45">
        <v>2.2789999999999999</v>
      </c>
      <c r="D96" s="45">
        <v>2.4260000000000002</v>
      </c>
      <c r="E96" s="45">
        <v>2.5259999999999998</v>
      </c>
      <c r="F96" s="45">
        <v>2.601</v>
      </c>
      <c r="G96" s="45">
        <v>2.661</v>
      </c>
      <c r="H96" s="45">
        <v>2.7109999999999999</v>
      </c>
      <c r="I96" s="45">
        <v>2.7530000000000001</v>
      </c>
      <c r="J96" s="45">
        <v>2.79</v>
      </c>
      <c r="K96" s="45">
        <v>2.823</v>
      </c>
      <c r="L96" s="45">
        <v>2.8519999999999999</v>
      </c>
      <c r="M96" s="45">
        <v>2.879</v>
      </c>
      <c r="N96" s="45">
        <v>2.903</v>
      </c>
      <c r="O96" s="45">
        <v>2.9249999999999998</v>
      </c>
      <c r="P96" s="45">
        <v>2.9449999999999998</v>
      </c>
      <c r="Q96" s="45">
        <v>2.964</v>
      </c>
      <c r="R96" s="45">
        <v>2.9820000000000002</v>
      </c>
      <c r="S96" s="45">
        <v>2.9990000000000001</v>
      </c>
      <c r="T96" s="45">
        <v>3.0150000000000001</v>
      </c>
      <c r="U96" s="628">
        <v>3.0289999999999999</v>
      </c>
    </row>
    <row r="97" spans="1:21" x14ac:dyDescent="0.25">
      <c r="A97" s="1111">
        <v>60</v>
      </c>
      <c r="B97" s="627">
        <v>2</v>
      </c>
      <c r="C97" s="45">
        <v>2.2650000000000001</v>
      </c>
      <c r="D97" s="45">
        <v>2.41</v>
      </c>
      <c r="E97" s="45">
        <v>2.508</v>
      </c>
      <c r="F97" s="45">
        <v>2.5819999999999999</v>
      </c>
      <c r="G97" s="45">
        <v>2.6419999999999999</v>
      </c>
      <c r="H97" s="45">
        <v>2.6909999999999998</v>
      </c>
      <c r="I97" s="45">
        <v>2.7330000000000001</v>
      </c>
      <c r="J97" s="45">
        <v>2.7690000000000001</v>
      </c>
      <c r="K97" s="45">
        <v>2.8010000000000002</v>
      </c>
      <c r="L97" s="45">
        <v>2.83</v>
      </c>
      <c r="M97" s="45">
        <v>2.8559999999999999</v>
      </c>
      <c r="N97" s="45">
        <v>2.88</v>
      </c>
      <c r="O97" s="45">
        <v>2.9009999999999998</v>
      </c>
      <c r="P97" s="45">
        <v>2.9220000000000002</v>
      </c>
      <c r="Q97" s="45">
        <v>2.94</v>
      </c>
      <c r="R97" s="45">
        <v>2.9580000000000002</v>
      </c>
      <c r="S97" s="45">
        <v>2.9740000000000002</v>
      </c>
      <c r="T97" s="45">
        <v>2.9889999999999999</v>
      </c>
      <c r="U97" s="628">
        <v>3.004</v>
      </c>
    </row>
    <row r="98" spans="1:21" x14ac:dyDescent="0.25">
      <c r="A98" s="1111">
        <v>80</v>
      </c>
      <c r="B98" s="627">
        <v>1.99</v>
      </c>
      <c r="C98" s="45">
        <v>2.2519999999999998</v>
      </c>
      <c r="D98" s="45">
        <v>2.3940000000000001</v>
      </c>
      <c r="E98" s="45">
        <v>2.4910000000000001</v>
      </c>
      <c r="F98" s="45">
        <v>2.5640000000000001</v>
      </c>
      <c r="G98" s="45">
        <v>2.6230000000000002</v>
      </c>
      <c r="H98" s="45">
        <v>2.6709999999999998</v>
      </c>
      <c r="I98" s="45">
        <v>2.7120000000000002</v>
      </c>
      <c r="J98" s="45">
        <v>2.7480000000000002</v>
      </c>
      <c r="K98" s="45">
        <v>2.78</v>
      </c>
      <c r="L98" s="45">
        <v>2.8079999999999998</v>
      </c>
      <c r="M98" s="45">
        <v>2.8330000000000002</v>
      </c>
      <c r="N98" s="45">
        <v>2.8570000000000002</v>
      </c>
      <c r="O98" s="45">
        <v>2.8780000000000001</v>
      </c>
      <c r="P98" s="45">
        <v>2.8980000000000001</v>
      </c>
      <c r="Q98" s="45">
        <v>2.9159999999999999</v>
      </c>
      <c r="R98" s="45">
        <v>2.9329999999999998</v>
      </c>
      <c r="S98" s="45">
        <v>2.95</v>
      </c>
      <c r="T98" s="45">
        <v>2.9649999999999999</v>
      </c>
      <c r="U98" s="628">
        <v>2.9790000000000001</v>
      </c>
    </row>
    <row r="99" spans="1:21" x14ac:dyDescent="0.25">
      <c r="A99" s="1111">
        <v>120</v>
      </c>
      <c r="B99" s="627">
        <v>1.98</v>
      </c>
      <c r="C99" s="45">
        <v>2.238</v>
      </c>
      <c r="D99" s="45">
        <v>2.379</v>
      </c>
      <c r="E99" s="45">
        <v>2.4750000000000001</v>
      </c>
      <c r="F99" s="45">
        <v>2.5470000000000002</v>
      </c>
      <c r="G99" s="45">
        <v>2.6040000000000001</v>
      </c>
      <c r="H99" s="45">
        <v>2.6509999999999998</v>
      </c>
      <c r="I99" s="45">
        <v>2.6920000000000002</v>
      </c>
      <c r="J99" s="45">
        <v>2.7269999999999999</v>
      </c>
      <c r="K99" s="45">
        <v>2.758</v>
      </c>
      <c r="L99" s="45">
        <v>2.786</v>
      </c>
      <c r="M99" s="45">
        <v>2.8109999999999999</v>
      </c>
      <c r="N99" s="45">
        <v>2.8340000000000001</v>
      </c>
      <c r="O99" s="45">
        <v>2.855</v>
      </c>
      <c r="P99" s="45">
        <v>2.875</v>
      </c>
      <c r="Q99" s="45">
        <v>2.8929999999999998</v>
      </c>
      <c r="R99" s="45">
        <v>2.91</v>
      </c>
      <c r="S99" s="45">
        <v>2.9249999999999998</v>
      </c>
      <c r="T99" s="45">
        <v>2.94</v>
      </c>
      <c r="U99" s="628">
        <v>2.9540000000000002</v>
      </c>
    </row>
    <row r="100" spans="1:21" x14ac:dyDescent="0.25">
      <c r="A100" s="1111">
        <v>240</v>
      </c>
      <c r="B100" s="627">
        <v>1.97</v>
      </c>
      <c r="C100" s="45">
        <v>2.2250000000000001</v>
      </c>
      <c r="D100" s="45">
        <v>2.3639999999999999</v>
      </c>
      <c r="E100" s="45">
        <v>2.4580000000000002</v>
      </c>
      <c r="F100" s="45">
        <v>2.5289999999999999</v>
      </c>
      <c r="G100" s="45">
        <v>2.585</v>
      </c>
      <c r="H100" s="45">
        <v>2.6320000000000001</v>
      </c>
      <c r="I100" s="45">
        <v>2.6720000000000002</v>
      </c>
      <c r="J100" s="45">
        <v>2.7069999999999999</v>
      </c>
      <c r="K100" s="45">
        <v>2.7370000000000001</v>
      </c>
      <c r="L100" s="45">
        <v>2.7639999999999998</v>
      </c>
      <c r="M100" s="45">
        <v>2.7890000000000001</v>
      </c>
      <c r="N100" s="45">
        <v>2.8119999999999998</v>
      </c>
      <c r="O100" s="45">
        <v>2.8319999999999999</v>
      </c>
      <c r="P100" s="45">
        <v>2.8519999999999999</v>
      </c>
      <c r="Q100" s="45">
        <v>2.8690000000000002</v>
      </c>
      <c r="R100" s="45">
        <v>2.8860000000000001</v>
      </c>
      <c r="S100" s="45">
        <v>2.9009999999999998</v>
      </c>
      <c r="T100" s="45">
        <v>2.9159999999999999</v>
      </c>
      <c r="U100" s="628">
        <v>2.93</v>
      </c>
    </row>
    <row r="101" spans="1:21" x14ac:dyDescent="0.25">
      <c r="A101" s="1112" t="s">
        <v>102</v>
      </c>
      <c r="B101" s="629">
        <v>1.96</v>
      </c>
      <c r="C101" s="981">
        <v>2.2120000000000002</v>
      </c>
      <c r="D101" s="981">
        <v>2.3490000000000002</v>
      </c>
      <c r="E101" s="981">
        <v>2.4420000000000002</v>
      </c>
      <c r="F101" s="981">
        <v>2.5110000000000001</v>
      </c>
      <c r="G101" s="981">
        <v>2.5670000000000002</v>
      </c>
      <c r="H101" s="981">
        <v>2.613</v>
      </c>
      <c r="I101" s="981">
        <v>2.6520000000000001</v>
      </c>
      <c r="J101" s="981">
        <v>2.6859999999999999</v>
      </c>
      <c r="K101" s="981">
        <v>2.7160000000000002</v>
      </c>
      <c r="L101" s="981">
        <v>2.7429999999999999</v>
      </c>
      <c r="M101" s="981">
        <v>2.7669999999999999</v>
      </c>
      <c r="N101" s="981">
        <v>2.79</v>
      </c>
      <c r="O101" s="981">
        <v>2.81</v>
      </c>
      <c r="P101" s="981">
        <v>2.8290000000000002</v>
      </c>
      <c r="Q101" s="981">
        <v>2.8460000000000001</v>
      </c>
      <c r="R101" s="981">
        <v>2.8620000000000001</v>
      </c>
      <c r="S101" s="981">
        <v>2.8780000000000001</v>
      </c>
      <c r="T101" s="981">
        <v>2.8919999999999999</v>
      </c>
      <c r="U101" s="630">
        <v>2.9049999999999998</v>
      </c>
    </row>
    <row r="103" spans="1:21" x14ac:dyDescent="0.25">
      <c r="A103" s="1" t="s">
        <v>106</v>
      </c>
      <c r="B103" s="1113">
        <v>0.1</v>
      </c>
    </row>
    <row r="105" spans="1:21" x14ac:dyDescent="0.25">
      <c r="A105" s="13" t="s">
        <v>2450</v>
      </c>
      <c r="B105">
        <v>2</v>
      </c>
      <c r="C105">
        <v>3</v>
      </c>
      <c r="D105">
        <v>4</v>
      </c>
      <c r="E105">
        <v>5</v>
      </c>
      <c r="F105">
        <v>6</v>
      </c>
      <c r="G105">
        <v>7</v>
      </c>
      <c r="H105">
        <v>8</v>
      </c>
      <c r="I105">
        <v>9</v>
      </c>
      <c r="J105">
        <v>10</v>
      </c>
      <c r="K105">
        <v>11</v>
      </c>
      <c r="L105">
        <v>12</v>
      </c>
      <c r="M105">
        <v>13</v>
      </c>
      <c r="N105">
        <v>14</v>
      </c>
      <c r="O105">
        <v>15</v>
      </c>
      <c r="P105">
        <v>16</v>
      </c>
      <c r="Q105">
        <v>17</v>
      </c>
      <c r="R105">
        <v>18</v>
      </c>
      <c r="S105">
        <v>19</v>
      </c>
      <c r="T105">
        <v>20</v>
      </c>
      <c r="U105">
        <v>21</v>
      </c>
    </row>
    <row r="106" spans="1:21" x14ac:dyDescent="0.25">
      <c r="A106" s="1111">
        <v>1</v>
      </c>
      <c r="B106" s="1109">
        <v>6.3140000000000001</v>
      </c>
      <c r="C106" s="979">
        <v>8.65</v>
      </c>
      <c r="D106" s="979">
        <v>9.9830000000000005</v>
      </c>
      <c r="E106" s="979">
        <v>10.891</v>
      </c>
      <c r="F106" s="979">
        <v>11.57</v>
      </c>
      <c r="G106" s="979">
        <v>12.108000000000001</v>
      </c>
      <c r="H106" s="979">
        <v>12.551</v>
      </c>
      <c r="I106" s="979">
        <v>12.926</v>
      </c>
      <c r="J106" s="979">
        <v>13.25</v>
      </c>
      <c r="K106" s="979">
        <v>13.535</v>
      </c>
      <c r="L106" s="979">
        <v>13.788</v>
      </c>
      <c r="M106" s="979">
        <v>14.016999999999999</v>
      </c>
      <c r="N106" s="979">
        <v>14.224</v>
      </c>
      <c r="O106" s="979">
        <v>14.414</v>
      </c>
      <c r="P106" s="979">
        <v>14.589</v>
      </c>
      <c r="Q106" s="979">
        <v>14.75</v>
      </c>
      <c r="R106" s="979">
        <v>14.901</v>
      </c>
      <c r="S106" s="979">
        <v>15.042</v>
      </c>
      <c r="T106" s="979">
        <v>15.173999999999999</v>
      </c>
      <c r="U106" s="1110">
        <v>15.298</v>
      </c>
    </row>
    <row r="107" spans="1:21" x14ac:dyDescent="0.25">
      <c r="A107">
        <v>2</v>
      </c>
      <c r="B107" s="627">
        <v>2.92</v>
      </c>
      <c r="C107" s="45">
        <v>3.7210000000000001</v>
      </c>
      <c r="D107" s="45">
        <v>4.1820000000000004</v>
      </c>
      <c r="E107" s="45">
        <v>4.5</v>
      </c>
      <c r="F107" s="45">
        <v>4.74</v>
      </c>
      <c r="G107" s="45">
        <v>4.9320000000000004</v>
      </c>
      <c r="H107" s="45">
        <v>5.0910000000000002</v>
      </c>
      <c r="I107" s="45">
        <v>5.226</v>
      </c>
      <c r="J107" s="45">
        <v>5.3440000000000003</v>
      </c>
      <c r="K107" s="45">
        <v>5.4470000000000001</v>
      </c>
      <c r="L107" s="45">
        <v>5.54</v>
      </c>
      <c r="M107" s="45">
        <v>5.6230000000000002</v>
      </c>
      <c r="N107" s="45">
        <v>5.6989999999999998</v>
      </c>
      <c r="O107" s="45">
        <v>5.7679999999999998</v>
      </c>
      <c r="P107" s="45">
        <v>5.8330000000000002</v>
      </c>
      <c r="Q107" s="45">
        <v>5.8920000000000003</v>
      </c>
      <c r="R107" s="45">
        <v>5.9480000000000004</v>
      </c>
      <c r="S107" s="45">
        <v>6</v>
      </c>
      <c r="T107" s="45">
        <v>6.048</v>
      </c>
      <c r="U107" s="628">
        <v>6.0940000000000003</v>
      </c>
    </row>
    <row r="108" spans="1:21" x14ac:dyDescent="0.25">
      <c r="A108">
        <v>3</v>
      </c>
      <c r="B108" s="627">
        <v>2.3530000000000002</v>
      </c>
      <c r="C108" s="45">
        <v>2.9119999999999999</v>
      </c>
      <c r="D108" s="45">
        <v>3.2320000000000002</v>
      </c>
      <c r="E108" s="45">
        <v>3.4529999999999998</v>
      </c>
      <c r="F108" s="45">
        <v>3.621</v>
      </c>
      <c r="G108" s="45">
        <v>3.7549999999999999</v>
      </c>
      <c r="H108" s="45">
        <v>3.8660000000000001</v>
      </c>
      <c r="I108" s="45">
        <v>3.9609999999999999</v>
      </c>
      <c r="J108" s="45">
        <v>4.0439999999999996</v>
      </c>
      <c r="K108" s="45">
        <v>4.117</v>
      </c>
      <c r="L108" s="45">
        <v>4.1820000000000004</v>
      </c>
      <c r="M108" s="45">
        <v>4.242</v>
      </c>
      <c r="N108" s="45">
        <v>4.2949999999999999</v>
      </c>
      <c r="O108" s="45">
        <v>4.3449999999999998</v>
      </c>
      <c r="P108" s="45">
        <v>4.3899999999999997</v>
      </c>
      <c r="Q108" s="45">
        <v>4.4320000000000004</v>
      </c>
      <c r="R108" s="45">
        <v>4.4720000000000004</v>
      </c>
      <c r="S108" s="45">
        <v>4.5090000000000003</v>
      </c>
      <c r="T108" s="45">
        <v>4.5430000000000001</v>
      </c>
      <c r="U108" s="628">
        <v>4.5759999999999996</v>
      </c>
    </row>
    <row r="109" spans="1:21" x14ac:dyDescent="0.25">
      <c r="A109">
        <v>4</v>
      </c>
      <c r="B109" s="627">
        <v>2.1320000000000001</v>
      </c>
      <c r="C109" s="45">
        <v>2.5979999999999999</v>
      </c>
      <c r="D109" s="45">
        <v>2.863</v>
      </c>
      <c r="E109" s="45">
        <v>3.0459999999999998</v>
      </c>
      <c r="F109" s="45">
        <v>3.1850000000000001</v>
      </c>
      <c r="G109" s="45">
        <v>3.2959999999999998</v>
      </c>
      <c r="H109" s="45">
        <v>3.3889999999999998</v>
      </c>
      <c r="I109" s="45">
        <v>3.468</v>
      </c>
      <c r="J109" s="45">
        <v>3.536</v>
      </c>
      <c r="K109" s="45">
        <v>3.597</v>
      </c>
      <c r="L109" s="45">
        <v>3.6520000000000001</v>
      </c>
      <c r="M109" s="45">
        <v>3.7010000000000001</v>
      </c>
      <c r="N109" s="45">
        <v>3.746</v>
      </c>
      <c r="O109" s="45">
        <v>3.7869999999999999</v>
      </c>
      <c r="P109" s="45">
        <v>3.8250000000000002</v>
      </c>
      <c r="Q109" s="45">
        <v>3.86</v>
      </c>
      <c r="R109" s="45">
        <v>3.8929999999999998</v>
      </c>
      <c r="S109" s="45">
        <v>3.9239999999999999</v>
      </c>
      <c r="T109" s="45">
        <v>3.9529999999999998</v>
      </c>
      <c r="U109" s="628">
        <v>3.98</v>
      </c>
    </row>
    <row r="110" spans="1:21" x14ac:dyDescent="0.25">
      <c r="A110">
        <v>5</v>
      </c>
      <c r="B110" s="627">
        <v>2.0150000000000001</v>
      </c>
      <c r="C110" s="45">
        <v>2.4329999999999998</v>
      </c>
      <c r="D110" s="45">
        <v>2.669</v>
      </c>
      <c r="E110" s="45">
        <v>2.8319999999999999</v>
      </c>
      <c r="F110" s="45">
        <v>2.956</v>
      </c>
      <c r="G110" s="45">
        <v>3.0550000000000002</v>
      </c>
      <c r="H110" s="45">
        <v>3.137</v>
      </c>
      <c r="I110" s="45">
        <v>3.2069999999999999</v>
      </c>
      <c r="J110" s="45">
        <v>3.2679999999999998</v>
      </c>
      <c r="K110" s="45">
        <v>3.3220000000000001</v>
      </c>
      <c r="L110" s="45">
        <v>3.371</v>
      </c>
      <c r="M110" s="45">
        <v>3.415</v>
      </c>
      <c r="N110" s="45">
        <v>3.4550000000000001</v>
      </c>
      <c r="O110" s="45">
        <v>3.4910000000000001</v>
      </c>
      <c r="P110" s="45">
        <v>3.5249999999999999</v>
      </c>
      <c r="Q110" s="45">
        <v>3.5569999999999999</v>
      </c>
      <c r="R110" s="45">
        <v>3.5859999999999999</v>
      </c>
      <c r="S110" s="45">
        <v>3.6139999999999999</v>
      </c>
      <c r="T110" s="45">
        <v>3.64</v>
      </c>
      <c r="U110" s="628">
        <v>3.6640000000000001</v>
      </c>
    </row>
    <row r="111" spans="1:21" x14ac:dyDescent="0.25">
      <c r="A111">
        <v>6</v>
      </c>
      <c r="B111" s="627">
        <v>1.9430000000000001</v>
      </c>
      <c r="C111" s="45">
        <v>2.3319999999999999</v>
      </c>
      <c r="D111" s="45">
        <v>2.5510000000000002</v>
      </c>
      <c r="E111" s="45">
        <v>2.7010000000000001</v>
      </c>
      <c r="F111" s="45">
        <v>2.8149999999999999</v>
      </c>
      <c r="G111" s="45">
        <v>2.9060000000000001</v>
      </c>
      <c r="H111" s="45">
        <v>2.9820000000000002</v>
      </c>
      <c r="I111" s="45">
        <v>3.0470000000000002</v>
      </c>
      <c r="J111" s="45">
        <v>3.1030000000000002</v>
      </c>
      <c r="K111" s="45">
        <v>3.153</v>
      </c>
      <c r="L111" s="45">
        <v>3.198</v>
      </c>
      <c r="M111" s="45">
        <v>3.238</v>
      </c>
      <c r="N111" s="45">
        <v>3.2749999999999999</v>
      </c>
      <c r="O111" s="45">
        <v>3.3090000000000002</v>
      </c>
      <c r="P111" s="45">
        <v>3.34</v>
      </c>
      <c r="Q111" s="45">
        <v>3.3690000000000002</v>
      </c>
      <c r="R111" s="45">
        <v>3.3959999999999999</v>
      </c>
      <c r="S111" s="45">
        <v>3.4220000000000002</v>
      </c>
      <c r="T111" s="45">
        <v>3.4460000000000002</v>
      </c>
      <c r="U111" s="628">
        <v>3.468</v>
      </c>
    </row>
    <row r="112" spans="1:21" x14ac:dyDescent="0.25">
      <c r="A112">
        <v>7</v>
      </c>
      <c r="B112" s="627">
        <v>1.895</v>
      </c>
      <c r="C112" s="45">
        <v>2.2639999999999998</v>
      </c>
      <c r="D112" s="45">
        <v>2.4700000000000002</v>
      </c>
      <c r="E112" s="45">
        <v>2.6120000000000001</v>
      </c>
      <c r="F112" s="45">
        <v>2.72</v>
      </c>
      <c r="G112" s="45">
        <v>2.806</v>
      </c>
      <c r="H112" s="45">
        <v>2.8769999999999998</v>
      </c>
      <c r="I112" s="45">
        <v>2.9380000000000002</v>
      </c>
      <c r="J112" s="45">
        <v>2.9910000000000001</v>
      </c>
      <c r="K112" s="45">
        <v>3.0379999999999998</v>
      </c>
      <c r="L112" s="45">
        <v>3.08</v>
      </c>
      <c r="M112" s="45">
        <v>3.1190000000000002</v>
      </c>
      <c r="N112" s="45">
        <v>3.153</v>
      </c>
      <c r="O112" s="45">
        <v>3.1850000000000001</v>
      </c>
      <c r="P112" s="45">
        <v>3.2149999999999999</v>
      </c>
      <c r="Q112" s="45">
        <v>3.242</v>
      </c>
      <c r="R112" s="45">
        <v>3.2679999999999998</v>
      </c>
      <c r="S112" s="45">
        <v>3.2919999999999998</v>
      </c>
      <c r="T112" s="45">
        <v>3.3140000000000001</v>
      </c>
      <c r="U112" s="628">
        <v>3.3359999999999999</v>
      </c>
    </row>
    <row r="113" spans="1:21" x14ac:dyDescent="0.25">
      <c r="A113">
        <v>8</v>
      </c>
      <c r="B113" s="627">
        <v>1.86</v>
      </c>
      <c r="C113" s="45">
        <v>2.2149999999999999</v>
      </c>
      <c r="D113" s="45">
        <v>2.4129999999999998</v>
      </c>
      <c r="E113" s="45">
        <v>2.548</v>
      </c>
      <c r="F113" s="45">
        <v>2.6509999999999998</v>
      </c>
      <c r="G113" s="45">
        <v>2.7330000000000001</v>
      </c>
      <c r="H113" s="45">
        <v>2.802</v>
      </c>
      <c r="I113" s="45">
        <v>2.86</v>
      </c>
      <c r="J113" s="45">
        <v>2.911</v>
      </c>
      <c r="K113" s="45">
        <v>2.956</v>
      </c>
      <c r="L113" s="45">
        <v>2.996</v>
      </c>
      <c r="M113" s="45">
        <v>3.032</v>
      </c>
      <c r="N113" s="45">
        <v>3.0649999999999999</v>
      </c>
      <c r="O113" s="45">
        <v>3.0960000000000001</v>
      </c>
      <c r="P113" s="45">
        <v>3.1240000000000001</v>
      </c>
      <c r="Q113" s="45">
        <v>3.15</v>
      </c>
      <c r="R113" s="45">
        <v>3.1749999999999998</v>
      </c>
      <c r="S113" s="45">
        <v>3.198</v>
      </c>
      <c r="T113" s="45">
        <v>3.2189999999999999</v>
      </c>
      <c r="U113" s="628">
        <v>3.2389999999999999</v>
      </c>
    </row>
    <row r="114" spans="1:21" x14ac:dyDescent="0.25">
      <c r="A114">
        <v>9</v>
      </c>
      <c r="B114" s="627">
        <v>1.833</v>
      </c>
      <c r="C114" s="45">
        <v>2.1779999999999999</v>
      </c>
      <c r="D114" s="45">
        <v>2.3690000000000002</v>
      </c>
      <c r="E114" s="45">
        <v>2.5</v>
      </c>
      <c r="F114" s="45">
        <v>2.5990000000000002</v>
      </c>
      <c r="G114" s="45">
        <v>2.6789999999999998</v>
      </c>
      <c r="H114" s="45">
        <v>2.7450000000000001</v>
      </c>
      <c r="I114" s="45">
        <v>2.8010000000000002</v>
      </c>
      <c r="J114" s="45">
        <v>2.85</v>
      </c>
      <c r="K114" s="45">
        <v>2.8929999999999998</v>
      </c>
      <c r="L114" s="45">
        <v>2.9319999999999999</v>
      </c>
      <c r="M114" s="45">
        <v>2.9670000000000001</v>
      </c>
      <c r="N114" s="45">
        <v>2.9990000000000001</v>
      </c>
      <c r="O114" s="45">
        <v>3.028</v>
      </c>
      <c r="P114" s="45">
        <v>3.0550000000000002</v>
      </c>
      <c r="Q114" s="45">
        <v>3.081</v>
      </c>
      <c r="R114" s="45">
        <v>3.1040000000000001</v>
      </c>
      <c r="S114" s="45">
        <v>3.1259999999999999</v>
      </c>
      <c r="T114" s="45">
        <v>3.1469999999999998</v>
      </c>
      <c r="U114" s="628">
        <v>3.1669999999999998</v>
      </c>
    </row>
    <row r="115" spans="1:21" x14ac:dyDescent="0.25">
      <c r="A115">
        <v>10</v>
      </c>
      <c r="B115" s="627">
        <v>1.8120000000000001</v>
      </c>
      <c r="C115" s="45">
        <v>2.149</v>
      </c>
      <c r="D115" s="45">
        <v>2.335</v>
      </c>
      <c r="E115" s="45">
        <v>2.4630000000000001</v>
      </c>
      <c r="F115" s="45">
        <v>2.5590000000000002</v>
      </c>
      <c r="G115" s="45">
        <v>2.6360000000000001</v>
      </c>
      <c r="H115" s="45">
        <v>2.7</v>
      </c>
      <c r="I115" s="45">
        <v>2.7549999999999999</v>
      </c>
      <c r="J115" s="45">
        <v>2.802</v>
      </c>
      <c r="K115" s="45">
        <v>2.8439999999999999</v>
      </c>
      <c r="L115" s="45">
        <v>2.8820000000000001</v>
      </c>
      <c r="M115" s="45">
        <v>2.9159999999999999</v>
      </c>
      <c r="N115" s="45">
        <v>2.9470000000000001</v>
      </c>
      <c r="O115" s="45">
        <v>2.9750000000000001</v>
      </c>
      <c r="P115" s="45">
        <v>3.0019999999999998</v>
      </c>
      <c r="Q115" s="45">
        <v>3.0259999999999998</v>
      </c>
      <c r="R115" s="45">
        <v>3.0489999999999999</v>
      </c>
      <c r="S115" s="45">
        <v>3.07</v>
      </c>
      <c r="T115" s="45">
        <v>3.0910000000000002</v>
      </c>
      <c r="U115" s="628">
        <v>3.11</v>
      </c>
    </row>
    <row r="116" spans="1:21" x14ac:dyDescent="0.25">
      <c r="A116">
        <v>11</v>
      </c>
      <c r="B116" s="627">
        <v>1.796</v>
      </c>
      <c r="C116" s="45">
        <v>2.1259999999999999</v>
      </c>
      <c r="D116" s="45">
        <v>2.3079999999999998</v>
      </c>
      <c r="E116" s="45">
        <v>2.4329999999999998</v>
      </c>
      <c r="F116" s="45">
        <v>2.5270000000000001</v>
      </c>
      <c r="G116" s="45">
        <v>2.6019999999999999</v>
      </c>
      <c r="H116" s="45">
        <v>2.6640000000000001</v>
      </c>
      <c r="I116" s="45">
        <v>2.718</v>
      </c>
      <c r="J116" s="45">
        <v>2.7639999999999998</v>
      </c>
      <c r="K116" s="45">
        <v>2.8050000000000002</v>
      </c>
      <c r="L116" s="45">
        <v>2.8420000000000001</v>
      </c>
      <c r="M116" s="45">
        <v>2.875</v>
      </c>
      <c r="N116" s="45">
        <v>2.9049999999999998</v>
      </c>
      <c r="O116" s="45">
        <v>2.9329999999999998</v>
      </c>
      <c r="P116" s="45">
        <v>2.9590000000000001</v>
      </c>
      <c r="Q116" s="45">
        <v>2.9820000000000002</v>
      </c>
      <c r="R116" s="45">
        <v>3.0049999999999999</v>
      </c>
      <c r="S116" s="45">
        <v>3.0259999999999998</v>
      </c>
      <c r="T116" s="45">
        <v>3.0449999999999999</v>
      </c>
      <c r="U116" s="628">
        <v>3.0640000000000001</v>
      </c>
    </row>
    <row r="117" spans="1:21" x14ac:dyDescent="0.25">
      <c r="A117">
        <v>12</v>
      </c>
      <c r="B117" s="627">
        <v>1.782</v>
      </c>
      <c r="C117" s="45">
        <v>2.1070000000000002</v>
      </c>
      <c r="D117" s="45">
        <v>2.286</v>
      </c>
      <c r="E117" s="45">
        <v>2.4079999999999999</v>
      </c>
      <c r="F117" s="45">
        <v>2.5</v>
      </c>
      <c r="G117" s="45">
        <v>2.5739999999999998</v>
      </c>
      <c r="H117" s="45">
        <v>2.6349999999999998</v>
      </c>
      <c r="I117" s="45">
        <v>2.6869999999999998</v>
      </c>
      <c r="J117" s="45">
        <v>2.7330000000000001</v>
      </c>
      <c r="K117" s="45">
        <v>2.7730000000000001</v>
      </c>
      <c r="L117" s="45">
        <v>2.8090000000000002</v>
      </c>
      <c r="M117" s="45">
        <v>2.8410000000000002</v>
      </c>
      <c r="N117" s="45">
        <v>2.871</v>
      </c>
      <c r="O117" s="45">
        <v>2.8980000000000001</v>
      </c>
      <c r="P117" s="45">
        <v>2.923</v>
      </c>
      <c r="Q117" s="45">
        <v>2.9470000000000001</v>
      </c>
      <c r="R117" s="45">
        <v>2.968</v>
      </c>
      <c r="S117" s="45">
        <v>2.9889999999999999</v>
      </c>
      <c r="T117" s="45">
        <v>3.008</v>
      </c>
      <c r="U117" s="628">
        <v>3.0259999999999998</v>
      </c>
    </row>
    <row r="118" spans="1:21" x14ac:dyDescent="0.25">
      <c r="A118">
        <v>13</v>
      </c>
      <c r="B118" s="627">
        <v>1.7709999999999999</v>
      </c>
      <c r="C118" s="45">
        <v>2.0910000000000002</v>
      </c>
      <c r="D118" s="45">
        <v>2.2669999999999999</v>
      </c>
      <c r="E118" s="45">
        <v>2.387</v>
      </c>
      <c r="F118" s="45">
        <v>2.4780000000000002</v>
      </c>
      <c r="G118" s="45">
        <v>2.5499999999999998</v>
      </c>
      <c r="H118" s="45">
        <v>2.6110000000000002</v>
      </c>
      <c r="I118" s="45">
        <v>2.6619999999999999</v>
      </c>
      <c r="J118" s="45">
        <v>2.706</v>
      </c>
      <c r="K118" s="45">
        <v>2.746</v>
      </c>
      <c r="L118" s="45">
        <v>2.7810000000000001</v>
      </c>
      <c r="M118" s="45">
        <v>2.8130000000000002</v>
      </c>
      <c r="N118" s="45">
        <v>2.8420000000000001</v>
      </c>
      <c r="O118" s="45">
        <v>2.8690000000000002</v>
      </c>
      <c r="P118" s="45">
        <v>2.8940000000000001</v>
      </c>
      <c r="Q118" s="45">
        <v>2.9169999999999998</v>
      </c>
      <c r="R118" s="45">
        <v>2.9380000000000002</v>
      </c>
      <c r="S118" s="45">
        <v>2.9580000000000002</v>
      </c>
      <c r="T118" s="45">
        <v>2.9769999999999999</v>
      </c>
      <c r="U118" s="628">
        <v>2.9950000000000001</v>
      </c>
    </row>
    <row r="119" spans="1:21" x14ac:dyDescent="0.25">
      <c r="A119">
        <v>14</v>
      </c>
      <c r="B119" s="627">
        <v>1.7609999999999999</v>
      </c>
      <c r="C119" s="45">
        <v>2.0779999999999998</v>
      </c>
      <c r="D119" s="45">
        <v>2.2519999999999998</v>
      </c>
      <c r="E119" s="45">
        <v>2.37</v>
      </c>
      <c r="F119" s="45">
        <v>2.4590000000000001</v>
      </c>
      <c r="G119" s="45">
        <v>2.5310000000000001</v>
      </c>
      <c r="H119" s="45">
        <v>2.59</v>
      </c>
      <c r="I119" s="45">
        <v>2.64</v>
      </c>
      <c r="J119" s="45">
        <v>2.6840000000000002</v>
      </c>
      <c r="K119" s="45">
        <v>2.7229999999999999</v>
      </c>
      <c r="L119" s="45">
        <v>2.758</v>
      </c>
      <c r="M119" s="45">
        <v>2.7890000000000001</v>
      </c>
      <c r="N119" s="45">
        <v>2.8180000000000001</v>
      </c>
      <c r="O119" s="45">
        <v>2.8439999999999999</v>
      </c>
      <c r="P119" s="45">
        <v>2.8679999999999999</v>
      </c>
      <c r="Q119" s="45">
        <v>2.891</v>
      </c>
      <c r="R119" s="45">
        <v>2.9119999999999999</v>
      </c>
      <c r="S119" s="45">
        <v>2.9319999999999999</v>
      </c>
      <c r="T119" s="45">
        <v>2.9510000000000001</v>
      </c>
      <c r="U119" s="628">
        <v>2.968</v>
      </c>
    </row>
    <row r="120" spans="1:21" x14ac:dyDescent="0.25">
      <c r="A120">
        <v>15</v>
      </c>
      <c r="B120" s="627">
        <v>1.7529999999999999</v>
      </c>
      <c r="C120" s="45">
        <v>2.0659999999999998</v>
      </c>
      <c r="D120" s="45">
        <v>2.238</v>
      </c>
      <c r="E120" s="45">
        <v>2.355</v>
      </c>
      <c r="F120" s="45">
        <v>2.4430000000000001</v>
      </c>
      <c r="G120" s="45">
        <v>2.5139999999999998</v>
      </c>
      <c r="H120" s="45">
        <v>2.5720000000000001</v>
      </c>
      <c r="I120" s="45">
        <v>2.6219999999999999</v>
      </c>
      <c r="J120" s="45">
        <v>2.665</v>
      </c>
      <c r="K120" s="45">
        <v>2.7029999999999998</v>
      </c>
      <c r="L120" s="45">
        <v>2.738</v>
      </c>
      <c r="M120" s="45">
        <v>2.7690000000000001</v>
      </c>
      <c r="N120" s="45">
        <v>2.7970000000000002</v>
      </c>
      <c r="O120" s="45">
        <v>2.823</v>
      </c>
      <c r="P120" s="45">
        <v>2.847</v>
      </c>
      <c r="Q120" s="45">
        <v>2.8690000000000002</v>
      </c>
      <c r="R120" s="45">
        <v>2.89</v>
      </c>
      <c r="S120" s="45">
        <v>2.91</v>
      </c>
      <c r="T120" s="45">
        <v>2.9279999999999999</v>
      </c>
      <c r="U120" s="628">
        <v>2.9449999999999998</v>
      </c>
    </row>
    <row r="121" spans="1:21" x14ac:dyDescent="0.25">
      <c r="A121">
        <v>16</v>
      </c>
      <c r="B121" s="627">
        <v>1.746</v>
      </c>
      <c r="C121" s="45">
        <v>2.056</v>
      </c>
      <c r="D121" s="45">
        <v>2.226</v>
      </c>
      <c r="E121" s="45">
        <v>2.3420000000000001</v>
      </c>
      <c r="F121" s="45">
        <v>2.4289999999999998</v>
      </c>
      <c r="G121" s="45">
        <v>2.4990000000000001</v>
      </c>
      <c r="H121" s="45">
        <v>2.5569999999999999</v>
      </c>
      <c r="I121" s="45">
        <v>2.6059999999999999</v>
      </c>
      <c r="J121" s="45">
        <v>2.649</v>
      </c>
      <c r="K121" s="45">
        <v>2.6869999999999998</v>
      </c>
      <c r="L121" s="45">
        <v>2.72</v>
      </c>
      <c r="M121" s="45">
        <v>2.7509999999999999</v>
      </c>
      <c r="N121" s="45">
        <v>2.7789999999999999</v>
      </c>
      <c r="O121" s="45">
        <v>2.8050000000000002</v>
      </c>
      <c r="P121" s="45">
        <v>2.8279999999999998</v>
      </c>
      <c r="Q121" s="45">
        <v>2.85</v>
      </c>
      <c r="R121" s="45">
        <v>2.871</v>
      </c>
      <c r="S121" s="45">
        <v>2.89</v>
      </c>
      <c r="T121" s="45">
        <v>2.9079999999999999</v>
      </c>
      <c r="U121" s="628">
        <v>2.9249999999999998</v>
      </c>
    </row>
    <row r="122" spans="1:21" x14ac:dyDescent="0.25">
      <c r="A122">
        <v>17</v>
      </c>
      <c r="B122" s="627">
        <v>1.74</v>
      </c>
      <c r="C122" s="45">
        <v>2.048</v>
      </c>
      <c r="D122" s="45">
        <v>2.2160000000000002</v>
      </c>
      <c r="E122" s="45">
        <v>2.331</v>
      </c>
      <c r="F122" s="45">
        <v>2.4169999999999998</v>
      </c>
      <c r="G122" s="45">
        <v>2.4860000000000002</v>
      </c>
      <c r="H122" s="45">
        <v>2.5430000000000001</v>
      </c>
      <c r="I122" s="45">
        <v>2.5920000000000001</v>
      </c>
      <c r="J122" s="45">
        <v>2.6339999999999999</v>
      </c>
      <c r="K122" s="45">
        <v>2.6720000000000002</v>
      </c>
      <c r="L122" s="45">
        <v>2.7050000000000001</v>
      </c>
      <c r="M122" s="45">
        <v>2.7349999999999999</v>
      </c>
      <c r="N122" s="45">
        <v>2.7629999999999999</v>
      </c>
      <c r="O122" s="45">
        <v>2.7879999999999998</v>
      </c>
      <c r="P122" s="45">
        <v>2.8119999999999998</v>
      </c>
      <c r="Q122" s="45">
        <v>2.8340000000000001</v>
      </c>
      <c r="R122" s="45">
        <v>2.8540000000000001</v>
      </c>
      <c r="S122" s="45">
        <v>2.8730000000000002</v>
      </c>
      <c r="T122" s="45">
        <v>2.891</v>
      </c>
      <c r="U122" s="628">
        <v>2.9079999999999999</v>
      </c>
    </row>
    <row r="123" spans="1:21" x14ac:dyDescent="0.25">
      <c r="A123">
        <v>18</v>
      </c>
      <c r="B123" s="627">
        <v>1.734</v>
      </c>
      <c r="C123" s="45">
        <v>2.04</v>
      </c>
      <c r="D123" s="45">
        <v>2.2069999999999999</v>
      </c>
      <c r="E123" s="45">
        <v>2.3210000000000002</v>
      </c>
      <c r="F123" s="45">
        <v>2.4060000000000001</v>
      </c>
      <c r="G123" s="45">
        <v>2.4750000000000001</v>
      </c>
      <c r="H123" s="45">
        <v>2.5310000000000001</v>
      </c>
      <c r="I123" s="45">
        <v>2.5790000000000002</v>
      </c>
      <c r="J123" s="45">
        <v>2.621</v>
      </c>
      <c r="K123" s="45">
        <v>2.6589999999999998</v>
      </c>
      <c r="L123" s="45">
        <v>2.6920000000000002</v>
      </c>
      <c r="M123" s="45">
        <v>2.722</v>
      </c>
      <c r="N123" s="45">
        <v>2.7490000000000001</v>
      </c>
      <c r="O123" s="45">
        <v>2.774</v>
      </c>
      <c r="P123" s="45">
        <v>2.7970000000000002</v>
      </c>
      <c r="Q123" s="45">
        <v>2.819</v>
      </c>
      <c r="R123" s="45">
        <v>2.839</v>
      </c>
      <c r="S123" s="45">
        <v>2.8580000000000001</v>
      </c>
      <c r="T123" s="45">
        <v>2.8759999999999999</v>
      </c>
      <c r="U123" s="628">
        <v>2.8919999999999999</v>
      </c>
    </row>
    <row r="124" spans="1:21" x14ac:dyDescent="0.25">
      <c r="A124">
        <v>19</v>
      </c>
      <c r="B124" s="627">
        <v>1.7290000000000001</v>
      </c>
      <c r="C124" s="45">
        <v>2.0329999999999999</v>
      </c>
      <c r="D124" s="45">
        <v>2.1989999999999998</v>
      </c>
      <c r="E124" s="45">
        <v>2.3119999999999998</v>
      </c>
      <c r="F124" s="45">
        <v>2.3969999999999998</v>
      </c>
      <c r="G124" s="45">
        <v>2.464</v>
      </c>
      <c r="H124" s="45">
        <v>2.5209999999999999</v>
      </c>
      <c r="I124" s="45">
        <v>2.5680000000000001</v>
      </c>
      <c r="J124" s="45">
        <v>2.61</v>
      </c>
      <c r="K124" s="45">
        <v>2.6469999999999998</v>
      </c>
      <c r="L124" s="45">
        <v>2.68</v>
      </c>
      <c r="M124" s="45">
        <v>2.71</v>
      </c>
      <c r="N124" s="45">
        <v>2.7370000000000001</v>
      </c>
      <c r="O124" s="45">
        <v>2.762</v>
      </c>
      <c r="P124" s="45">
        <v>2.7850000000000001</v>
      </c>
      <c r="Q124" s="45">
        <v>2.806</v>
      </c>
      <c r="R124" s="45">
        <v>2.8260000000000001</v>
      </c>
      <c r="S124" s="45">
        <v>2.8450000000000002</v>
      </c>
      <c r="T124" s="45">
        <v>2.8620000000000001</v>
      </c>
      <c r="U124" s="628">
        <v>2.879</v>
      </c>
    </row>
    <row r="125" spans="1:21" x14ac:dyDescent="0.25">
      <c r="A125">
        <v>20</v>
      </c>
      <c r="B125" s="627">
        <v>1.7250000000000001</v>
      </c>
      <c r="C125" s="45">
        <v>2.0270000000000001</v>
      </c>
      <c r="D125" s="45">
        <v>2.1920000000000002</v>
      </c>
      <c r="E125" s="45">
        <v>2.3039999999999998</v>
      </c>
      <c r="F125" s="45">
        <v>2.3879999999999999</v>
      </c>
      <c r="G125" s="45">
        <v>2.4550000000000001</v>
      </c>
      <c r="H125" s="45">
        <v>2.5110000000000001</v>
      </c>
      <c r="I125" s="45">
        <v>2.5590000000000002</v>
      </c>
      <c r="J125" s="45">
        <v>2.6</v>
      </c>
      <c r="K125" s="45">
        <v>2.6360000000000001</v>
      </c>
      <c r="L125" s="45">
        <v>2.669</v>
      </c>
      <c r="M125" s="45">
        <v>2.6989999999999998</v>
      </c>
      <c r="N125" s="45">
        <v>2.726</v>
      </c>
      <c r="O125" s="45">
        <v>2.75</v>
      </c>
      <c r="P125" s="45">
        <v>2.7730000000000001</v>
      </c>
      <c r="Q125" s="45">
        <v>2.794</v>
      </c>
      <c r="R125" s="45">
        <v>2.8140000000000001</v>
      </c>
      <c r="S125" s="45">
        <v>2.8330000000000002</v>
      </c>
      <c r="T125" s="45">
        <v>2.85</v>
      </c>
      <c r="U125" s="628">
        <v>2.8660000000000001</v>
      </c>
    </row>
    <row r="126" spans="1:21" x14ac:dyDescent="0.25">
      <c r="A126">
        <v>21</v>
      </c>
      <c r="B126" s="627">
        <v>1.7210000000000001</v>
      </c>
      <c r="C126" s="45">
        <v>2.0209999999999999</v>
      </c>
      <c r="D126" s="45">
        <v>2.1850000000000001</v>
      </c>
      <c r="E126" s="45">
        <v>2.2970000000000002</v>
      </c>
      <c r="F126" s="45">
        <v>2.38</v>
      </c>
      <c r="G126" s="45">
        <v>2.4470000000000001</v>
      </c>
      <c r="H126" s="45">
        <v>2.5030000000000001</v>
      </c>
      <c r="I126" s="45">
        <v>2.5499999999999998</v>
      </c>
      <c r="J126" s="45">
        <v>2.5910000000000002</v>
      </c>
      <c r="K126" s="45">
        <v>2.6269999999999998</v>
      </c>
      <c r="L126" s="45">
        <v>2.6589999999999998</v>
      </c>
      <c r="M126" s="45">
        <v>2.6890000000000001</v>
      </c>
      <c r="N126" s="45">
        <v>2.7149999999999999</v>
      </c>
      <c r="O126" s="45">
        <v>2.74</v>
      </c>
      <c r="P126" s="45">
        <v>2.7629999999999999</v>
      </c>
      <c r="Q126" s="45">
        <v>2.7839999999999998</v>
      </c>
      <c r="R126" s="45">
        <v>2.8029999999999999</v>
      </c>
      <c r="S126" s="45">
        <v>2.8220000000000001</v>
      </c>
      <c r="T126" s="45">
        <v>2.839</v>
      </c>
      <c r="U126" s="628">
        <v>2.855</v>
      </c>
    </row>
    <row r="127" spans="1:21" x14ac:dyDescent="0.25">
      <c r="A127">
        <v>22</v>
      </c>
      <c r="B127" s="627">
        <v>1.7170000000000001</v>
      </c>
      <c r="C127" s="45">
        <v>2.016</v>
      </c>
      <c r="D127" s="45">
        <v>2.1789999999999998</v>
      </c>
      <c r="E127" s="45">
        <v>2.29</v>
      </c>
      <c r="F127" s="45">
        <v>2.3730000000000002</v>
      </c>
      <c r="G127" s="45">
        <v>2.44</v>
      </c>
      <c r="H127" s="45">
        <v>2.4950000000000001</v>
      </c>
      <c r="I127" s="45">
        <v>2.5419999999999998</v>
      </c>
      <c r="J127" s="45">
        <v>2.5830000000000002</v>
      </c>
      <c r="K127" s="45">
        <v>2.6190000000000002</v>
      </c>
      <c r="L127" s="45">
        <v>2.6509999999999998</v>
      </c>
      <c r="M127" s="45">
        <v>2.68</v>
      </c>
      <c r="N127" s="45">
        <v>2.706</v>
      </c>
      <c r="O127" s="45">
        <v>2.7309999999999999</v>
      </c>
      <c r="P127" s="45">
        <v>2.7530000000000001</v>
      </c>
      <c r="Q127" s="45">
        <v>2.774</v>
      </c>
      <c r="R127" s="45">
        <v>2.794</v>
      </c>
      <c r="S127" s="45">
        <v>2.8119999999999998</v>
      </c>
      <c r="T127" s="45">
        <v>2.8290000000000002</v>
      </c>
      <c r="U127" s="628">
        <v>2.8450000000000002</v>
      </c>
    </row>
    <row r="128" spans="1:21" x14ac:dyDescent="0.25">
      <c r="A128">
        <v>23</v>
      </c>
      <c r="B128" s="627">
        <v>1.714</v>
      </c>
      <c r="C128" s="45">
        <v>2.012</v>
      </c>
      <c r="D128" s="45">
        <v>2.1739999999999999</v>
      </c>
      <c r="E128" s="45">
        <v>2.2839999999999998</v>
      </c>
      <c r="F128" s="45">
        <v>2.367</v>
      </c>
      <c r="G128" s="45">
        <v>2.4329999999999998</v>
      </c>
      <c r="H128" s="45">
        <v>2.488</v>
      </c>
      <c r="I128" s="45">
        <v>2.5339999999999998</v>
      </c>
      <c r="J128" s="45">
        <v>2.5750000000000002</v>
      </c>
      <c r="K128" s="45">
        <v>2.6110000000000002</v>
      </c>
      <c r="L128" s="45">
        <v>2.6429999999999998</v>
      </c>
      <c r="M128" s="45">
        <v>2.6720000000000002</v>
      </c>
      <c r="N128" s="45">
        <v>2.698</v>
      </c>
      <c r="O128" s="45">
        <v>2.722</v>
      </c>
      <c r="P128" s="45">
        <v>2.7450000000000001</v>
      </c>
      <c r="Q128" s="45">
        <v>2.766</v>
      </c>
      <c r="R128" s="45">
        <v>2.7850000000000001</v>
      </c>
      <c r="S128" s="45">
        <v>2.8029999999999999</v>
      </c>
      <c r="T128" s="45">
        <v>2.82</v>
      </c>
      <c r="U128" s="628">
        <v>2.8359999999999999</v>
      </c>
    </row>
    <row r="129" spans="1:21" x14ac:dyDescent="0.25">
      <c r="A129">
        <v>24</v>
      </c>
      <c r="B129" s="627">
        <v>1.7110000000000001</v>
      </c>
      <c r="C129" s="45">
        <v>2.008</v>
      </c>
      <c r="D129" s="45">
        <v>2.169</v>
      </c>
      <c r="E129" s="45">
        <v>2.2789999999999999</v>
      </c>
      <c r="F129" s="45">
        <v>2.3610000000000002</v>
      </c>
      <c r="G129" s="45">
        <v>2.427</v>
      </c>
      <c r="H129" s="45">
        <v>2.4809999999999999</v>
      </c>
      <c r="I129" s="45">
        <v>2.528</v>
      </c>
      <c r="J129" s="45">
        <v>2.5680000000000001</v>
      </c>
      <c r="K129" s="45">
        <v>2.6040000000000001</v>
      </c>
      <c r="L129" s="45">
        <v>2.6360000000000001</v>
      </c>
      <c r="M129" s="45">
        <v>2.6640000000000001</v>
      </c>
      <c r="N129" s="45">
        <v>2.6909999999999998</v>
      </c>
      <c r="O129" s="45">
        <v>2.7149999999999999</v>
      </c>
      <c r="P129" s="45">
        <v>2.7370000000000001</v>
      </c>
      <c r="Q129" s="45">
        <v>2.758</v>
      </c>
      <c r="R129" s="45">
        <v>2.7770000000000001</v>
      </c>
      <c r="S129" s="45">
        <v>2.7949999999999999</v>
      </c>
      <c r="T129" s="45">
        <v>2.8119999999999998</v>
      </c>
      <c r="U129" s="628">
        <v>2.8279999999999998</v>
      </c>
    </row>
    <row r="130" spans="1:21" x14ac:dyDescent="0.25">
      <c r="A130">
        <v>25</v>
      </c>
      <c r="B130" s="627">
        <v>1.708</v>
      </c>
      <c r="C130" s="45">
        <v>2.004</v>
      </c>
      <c r="D130" s="45">
        <v>2.165</v>
      </c>
      <c r="E130" s="45">
        <v>2.274</v>
      </c>
      <c r="F130" s="45">
        <v>2.3559999999999999</v>
      </c>
      <c r="G130" s="45">
        <v>2.4209999999999998</v>
      </c>
      <c r="H130" s="45">
        <v>2.476</v>
      </c>
      <c r="I130" s="45">
        <v>2.5219999999999998</v>
      </c>
      <c r="J130" s="45">
        <v>2.5619999999999998</v>
      </c>
      <c r="K130" s="45">
        <v>2.597</v>
      </c>
      <c r="L130" s="45">
        <v>2.629</v>
      </c>
      <c r="M130" s="45">
        <v>2.6579999999999999</v>
      </c>
      <c r="N130" s="45">
        <v>2.6840000000000002</v>
      </c>
      <c r="O130" s="45">
        <v>2.7080000000000002</v>
      </c>
      <c r="P130" s="45">
        <v>2.73</v>
      </c>
      <c r="Q130" s="45">
        <v>2.75</v>
      </c>
      <c r="R130" s="45">
        <v>2.77</v>
      </c>
      <c r="S130" s="45">
        <v>2.7879999999999998</v>
      </c>
      <c r="T130" s="45">
        <v>2.8039999999999998</v>
      </c>
      <c r="U130" s="628">
        <v>2.82</v>
      </c>
    </row>
    <row r="131" spans="1:21" x14ac:dyDescent="0.25">
      <c r="A131">
        <v>26</v>
      </c>
      <c r="B131" s="627">
        <v>1.706</v>
      </c>
      <c r="C131" s="45">
        <v>2</v>
      </c>
      <c r="D131" s="45">
        <v>2.161</v>
      </c>
      <c r="E131" s="45">
        <v>2.2690000000000001</v>
      </c>
      <c r="F131" s="45">
        <v>2.351</v>
      </c>
      <c r="G131" s="45">
        <v>2.4159999999999999</v>
      </c>
      <c r="H131" s="45">
        <v>2.4700000000000002</v>
      </c>
      <c r="I131" s="45">
        <v>2.516</v>
      </c>
      <c r="J131" s="45">
        <v>2.556</v>
      </c>
      <c r="K131" s="45">
        <v>2.5910000000000002</v>
      </c>
      <c r="L131" s="45">
        <v>2.6230000000000002</v>
      </c>
      <c r="M131" s="45">
        <v>2.6509999999999998</v>
      </c>
      <c r="N131" s="45">
        <v>2.677</v>
      </c>
      <c r="O131" s="45">
        <v>2.7010000000000001</v>
      </c>
      <c r="P131" s="45">
        <v>2.7229999999999999</v>
      </c>
      <c r="Q131" s="45">
        <v>2.7440000000000002</v>
      </c>
      <c r="R131" s="45">
        <v>2.7629999999999999</v>
      </c>
      <c r="S131" s="45">
        <v>2.7810000000000001</v>
      </c>
      <c r="T131" s="45">
        <v>2.7970000000000002</v>
      </c>
      <c r="U131" s="628">
        <v>2.8130000000000002</v>
      </c>
    </row>
    <row r="132" spans="1:21" x14ac:dyDescent="0.25">
      <c r="A132">
        <v>27</v>
      </c>
      <c r="B132" s="627">
        <v>1.7030000000000001</v>
      </c>
      <c r="C132" s="45">
        <v>1.9970000000000001</v>
      </c>
      <c r="D132" s="45">
        <v>2.157</v>
      </c>
      <c r="E132" s="45">
        <v>2.2650000000000001</v>
      </c>
      <c r="F132" s="45">
        <v>2.347</v>
      </c>
      <c r="G132" s="45">
        <v>2.411</v>
      </c>
      <c r="H132" s="45">
        <v>2.4649999999999999</v>
      </c>
      <c r="I132" s="45">
        <v>2.5110000000000001</v>
      </c>
      <c r="J132" s="45">
        <v>2.5510000000000002</v>
      </c>
      <c r="K132" s="45">
        <v>2.5859999999999999</v>
      </c>
      <c r="L132" s="45">
        <v>2.617</v>
      </c>
      <c r="M132" s="45">
        <v>2.6459999999999999</v>
      </c>
      <c r="N132" s="45">
        <v>2.6709999999999998</v>
      </c>
      <c r="O132" s="45">
        <v>2.6949999999999998</v>
      </c>
      <c r="P132" s="45">
        <v>2.7170000000000001</v>
      </c>
      <c r="Q132" s="45">
        <v>2.738</v>
      </c>
      <c r="R132" s="45">
        <v>2.7570000000000001</v>
      </c>
      <c r="S132" s="45">
        <v>2.774</v>
      </c>
      <c r="T132" s="45">
        <v>2.7909999999999999</v>
      </c>
      <c r="U132" s="628">
        <v>2.8069999999999999</v>
      </c>
    </row>
    <row r="133" spans="1:21" x14ac:dyDescent="0.25">
      <c r="A133">
        <v>28</v>
      </c>
      <c r="B133" s="627">
        <v>1.7010000000000001</v>
      </c>
      <c r="C133" s="45">
        <v>1.994</v>
      </c>
      <c r="D133" s="45">
        <v>2.153</v>
      </c>
      <c r="E133" s="45">
        <v>2.2610000000000001</v>
      </c>
      <c r="F133" s="45">
        <v>2.3420000000000001</v>
      </c>
      <c r="G133" s="45">
        <v>2.407</v>
      </c>
      <c r="H133" s="45">
        <v>2.4609999999999999</v>
      </c>
      <c r="I133" s="45">
        <v>2.5059999999999998</v>
      </c>
      <c r="J133" s="45">
        <v>2.5459999999999998</v>
      </c>
      <c r="K133" s="45">
        <v>2.581</v>
      </c>
      <c r="L133" s="45">
        <v>2.6120000000000001</v>
      </c>
      <c r="M133" s="45">
        <v>2.64</v>
      </c>
      <c r="N133" s="45">
        <v>2.6659999999999999</v>
      </c>
      <c r="O133" s="45">
        <v>2.69</v>
      </c>
      <c r="P133" s="45">
        <v>2.7120000000000002</v>
      </c>
      <c r="Q133" s="45">
        <v>2.7320000000000002</v>
      </c>
      <c r="R133" s="45">
        <v>2.7509999999999999</v>
      </c>
      <c r="S133" s="45">
        <v>2.7679999999999998</v>
      </c>
      <c r="T133" s="45">
        <v>2.7850000000000001</v>
      </c>
      <c r="U133" s="628">
        <v>2.8010000000000002</v>
      </c>
    </row>
    <row r="134" spans="1:21" x14ac:dyDescent="0.25">
      <c r="A134">
        <v>29</v>
      </c>
      <c r="B134" s="627">
        <v>1.6990000000000001</v>
      </c>
      <c r="C134" s="45">
        <v>1.9910000000000001</v>
      </c>
      <c r="D134" s="45">
        <v>2.15</v>
      </c>
      <c r="E134" s="45">
        <v>2.258</v>
      </c>
      <c r="F134" s="45">
        <v>2.3380000000000001</v>
      </c>
      <c r="G134" s="45">
        <v>2.403</v>
      </c>
      <c r="H134" s="45">
        <v>2.456</v>
      </c>
      <c r="I134" s="45">
        <v>2.5019999999999998</v>
      </c>
      <c r="J134" s="45">
        <v>2.5409999999999999</v>
      </c>
      <c r="K134" s="45">
        <v>2.5760000000000001</v>
      </c>
      <c r="L134" s="45">
        <v>2.6070000000000002</v>
      </c>
      <c r="M134" s="45">
        <v>2.6349999999999998</v>
      </c>
      <c r="N134" s="45">
        <v>2.661</v>
      </c>
      <c r="O134" s="45">
        <v>2.6850000000000001</v>
      </c>
      <c r="P134" s="45">
        <v>2.706</v>
      </c>
      <c r="Q134" s="45">
        <v>2.7269999999999999</v>
      </c>
      <c r="R134" s="45">
        <v>2.7450000000000001</v>
      </c>
      <c r="S134" s="45">
        <v>2.7629999999999999</v>
      </c>
      <c r="T134" s="45">
        <v>2.78</v>
      </c>
      <c r="U134" s="628">
        <v>2.7949999999999999</v>
      </c>
    </row>
    <row r="135" spans="1:21" x14ac:dyDescent="0.25">
      <c r="A135">
        <v>30</v>
      </c>
      <c r="B135" s="627">
        <v>1.6970000000000001</v>
      </c>
      <c r="C135" s="45">
        <v>1.9890000000000001</v>
      </c>
      <c r="D135" s="45">
        <v>2.1469999999999998</v>
      </c>
      <c r="E135" s="45">
        <v>2.254</v>
      </c>
      <c r="F135" s="45">
        <v>2.335</v>
      </c>
      <c r="G135" s="45">
        <v>2.399</v>
      </c>
      <c r="H135" s="45">
        <v>2.452</v>
      </c>
      <c r="I135" s="45">
        <v>2.4969999999999999</v>
      </c>
      <c r="J135" s="45">
        <v>2.5369999999999999</v>
      </c>
      <c r="K135" s="45">
        <v>2.5720000000000001</v>
      </c>
      <c r="L135" s="45">
        <v>2.6030000000000002</v>
      </c>
      <c r="M135" s="45">
        <v>2.6309999999999998</v>
      </c>
      <c r="N135" s="45">
        <v>2.6560000000000001</v>
      </c>
      <c r="O135" s="45">
        <v>2.68</v>
      </c>
      <c r="P135" s="45">
        <v>2.7010000000000001</v>
      </c>
      <c r="Q135" s="45">
        <v>2.722</v>
      </c>
      <c r="R135" s="45">
        <v>2.74</v>
      </c>
      <c r="S135" s="45">
        <v>2.758</v>
      </c>
      <c r="T135" s="45">
        <v>2.7749999999999999</v>
      </c>
      <c r="U135" s="628">
        <v>2.79</v>
      </c>
    </row>
    <row r="136" spans="1:21" x14ac:dyDescent="0.25">
      <c r="A136">
        <v>31</v>
      </c>
      <c r="B136" s="627">
        <v>1.696</v>
      </c>
      <c r="C136" s="45">
        <v>1.986</v>
      </c>
      <c r="D136" s="45">
        <v>2.1440000000000001</v>
      </c>
      <c r="E136" s="45">
        <v>2.2509999999999999</v>
      </c>
      <c r="F136" s="45">
        <v>2.331</v>
      </c>
      <c r="G136" s="45">
        <v>2.395</v>
      </c>
      <c r="H136" s="45">
        <v>2.448</v>
      </c>
      <c r="I136" s="45">
        <v>2.4940000000000002</v>
      </c>
      <c r="J136" s="45">
        <v>2.5329999999999999</v>
      </c>
      <c r="K136" s="45">
        <v>2.5670000000000002</v>
      </c>
      <c r="L136" s="45">
        <v>2.5979999999999999</v>
      </c>
      <c r="M136" s="45">
        <v>2.6259999999999999</v>
      </c>
      <c r="N136" s="45">
        <v>2.6520000000000001</v>
      </c>
      <c r="O136" s="45">
        <v>2.6749999999999998</v>
      </c>
      <c r="P136" s="45">
        <v>2.6970000000000001</v>
      </c>
      <c r="Q136" s="45">
        <v>2.7170000000000001</v>
      </c>
      <c r="R136" s="45">
        <v>2.7360000000000002</v>
      </c>
      <c r="S136" s="45">
        <v>2.7530000000000001</v>
      </c>
      <c r="T136" s="45">
        <v>2.77</v>
      </c>
      <c r="U136" s="628">
        <v>2.7850000000000001</v>
      </c>
    </row>
    <row r="137" spans="1:21" x14ac:dyDescent="0.25">
      <c r="A137">
        <v>32</v>
      </c>
      <c r="B137" s="627">
        <v>1.694</v>
      </c>
      <c r="C137" s="45">
        <v>1.984</v>
      </c>
      <c r="D137" s="45">
        <v>2.1419999999999999</v>
      </c>
      <c r="E137" s="45">
        <v>2.2480000000000002</v>
      </c>
      <c r="F137" s="45">
        <v>2.3279999999999998</v>
      </c>
      <c r="G137" s="45">
        <v>2.3919999999999999</v>
      </c>
      <c r="H137" s="45">
        <v>2.4449999999999998</v>
      </c>
      <c r="I137" s="45">
        <v>2.4900000000000002</v>
      </c>
      <c r="J137" s="45">
        <v>2.5289999999999999</v>
      </c>
      <c r="K137" s="45">
        <v>2.5640000000000001</v>
      </c>
      <c r="L137" s="45">
        <v>2.5939999999999999</v>
      </c>
      <c r="M137" s="45">
        <v>2.6219999999999999</v>
      </c>
      <c r="N137" s="45">
        <v>2.6480000000000001</v>
      </c>
      <c r="O137" s="45">
        <v>2.6709999999999998</v>
      </c>
      <c r="P137" s="45">
        <v>2.6930000000000001</v>
      </c>
      <c r="Q137" s="45">
        <v>2.7130000000000001</v>
      </c>
      <c r="R137" s="45">
        <v>2.7309999999999999</v>
      </c>
      <c r="S137" s="45">
        <v>2.7490000000000001</v>
      </c>
      <c r="T137" s="45">
        <v>2.7650000000000001</v>
      </c>
      <c r="U137" s="628">
        <v>2.7810000000000001</v>
      </c>
    </row>
    <row r="138" spans="1:21" x14ac:dyDescent="0.25">
      <c r="A138">
        <v>33</v>
      </c>
      <c r="B138" s="627">
        <v>1.6919999999999999</v>
      </c>
      <c r="C138" s="45">
        <v>1.982</v>
      </c>
      <c r="D138" s="45">
        <v>2.1389999999999998</v>
      </c>
      <c r="E138" s="45">
        <v>2.2450000000000001</v>
      </c>
      <c r="F138" s="45">
        <v>2.3250000000000002</v>
      </c>
      <c r="G138" s="45">
        <v>2.3889999999999998</v>
      </c>
      <c r="H138" s="45">
        <v>2.4420000000000002</v>
      </c>
      <c r="I138" s="45">
        <v>2.4870000000000001</v>
      </c>
      <c r="J138" s="45">
        <v>2.5259999999999998</v>
      </c>
      <c r="K138" s="45">
        <v>2.56</v>
      </c>
      <c r="L138" s="45">
        <v>2.5910000000000002</v>
      </c>
      <c r="M138" s="45">
        <v>2.6190000000000002</v>
      </c>
      <c r="N138" s="45">
        <v>2.6440000000000001</v>
      </c>
      <c r="O138" s="45">
        <v>2.6669999999999998</v>
      </c>
      <c r="P138" s="45">
        <v>2.6890000000000001</v>
      </c>
      <c r="Q138" s="45">
        <v>2.7090000000000001</v>
      </c>
      <c r="R138" s="45">
        <v>2.7269999999999999</v>
      </c>
      <c r="S138" s="45">
        <v>2.7450000000000001</v>
      </c>
      <c r="T138" s="45">
        <v>2.7610000000000001</v>
      </c>
      <c r="U138" s="628">
        <v>2.7770000000000001</v>
      </c>
    </row>
    <row r="139" spans="1:21" x14ac:dyDescent="0.25">
      <c r="A139">
        <v>34</v>
      </c>
      <c r="B139" s="627">
        <v>1.6910000000000001</v>
      </c>
      <c r="C139" s="45">
        <v>1.98</v>
      </c>
      <c r="D139" s="45">
        <v>2.137</v>
      </c>
      <c r="E139" s="45">
        <v>2.2429999999999999</v>
      </c>
      <c r="F139" s="45">
        <v>2.323</v>
      </c>
      <c r="G139" s="45">
        <v>2.3860000000000001</v>
      </c>
      <c r="H139" s="45">
        <v>2.4390000000000001</v>
      </c>
      <c r="I139" s="45">
        <v>2.4830000000000001</v>
      </c>
      <c r="J139" s="45">
        <v>2.5219999999999998</v>
      </c>
      <c r="K139" s="45">
        <v>2.5569999999999999</v>
      </c>
      <c r="L139" s="45">
        <v>2.5870000000000002</v>
      </c>
      <c r="M139" s="45">
        <v>2.6150000000000002</v>
      </c>
      <c r="N139" s="45">
        <v>2.64</v>
      </c>
      <c r="O139" s="45">
        <v>2.6640000000000001</v>
      </c>
      <c r="P139" s="45">
        <v>2.6850000000000001</v>
      </c>
      <c r="Q139" s="45">
        <v>2.7050000000000001</v>
      </c>
      <c r="R139" s="45">
        <v>2.7229999999999999</v>
      </c>
      <c r="S139" s="45">
        <v>2.7410000000000001</v>
      </c>
      <c r="T139" s="45">
        <v>2.7570000000000001</v>
      </c>
      <c r="U139" s="628">
        <v>2.7730000000000001</v>
      </c>
    </row>
    <row r="140" spans="1:21" x14ac:dyDescent="0.25">
      <c r="A140">
        <v>35</v>
      </c>
      <c r="B140" s="627">
        <v>1.69</v>
      </c>
      <c r="C140" s="45">
        <v>1.978</v>
      </c>
      <c r="D140" s="45">
        <v>2.1349999999999998</v>
      </c>
      <c r="E140" s="45">
        <v>2.2400000000000002</v>
      </c>
      <c r="F140" s="45">
        <v>2.3199999999999998</v>
      </c>
      <c r="G140" s="45">
        <v>2.383</v>
      </c>
      <c r="H140" s="45">
        <v>2.4359999999999999</v>
      </c>
      <c r="I140" s="45">
        <v>2.48</v>
      </c>
      <c r="J140" s="45">
        <v>2.5190000000000001</v>
      </c>
      <c r="K140" s="45">
        <v>2.5529999999999999</v>
      </c>
      <c r="L140" s="45">
        <v>2.5840000000000001</v>
      </c>
      <c r="M140" s="45">
        <v>2.6120000000000001</v>
      </c>
      <c r="N140" s="45">
        <v>2.637</v>
      </c>
      <c r="O140" s="45">
        <v>2.66</v>
      </c>
      <c r="P140" s="45">
        <v>2.681</v>
      </c>
      <c r="Q140" s="45">
        <v>2.7010000000000001</v>
      </c>
      <c r="R140" s="45">
        <v>2.72</v>
      </c>
      <c r="S140" s="45">
        <v>2.7370000000000001</v>
      </c>
      <c r="T140" s="45">
        <v>2.7530000000000001</v>
      </c>
      <c r="U140" s="628">
        <v>2.7690000000000001</v>
      </c>
    </row>
    <row r="141" spans="1:21" x14ac:dyDescent="0.25">
      <c r="A141">
        <v>36</v>
      </c>
      <c r="B141" s="627">
        <v>1.6879999999999999</v>
      </c>
      <c r="C141" s="45">
        <v>1.976</v>
      </c>
      <c r="D141" s="45">
        <v>2.1320000000000001</v>
      </c>
      <c r="E141" s="45">
        <v>2.238</v>
      </c>
      <c r="F141" s="45">
        <v>2.3180000000000001</v>
      </c>
      <c r="G141" s="45">
        <v>2.3809999999999998</v>
      </c>
      <c r="H141" s="45">
        <v>2.4329999999999998</v>
      </c>
      <c r="I141" s="45">
        <v>2.4780000000000002</v>
      </c>
      <c r="J141" s="45">
        <v>2.516</v>
      </c>
      <c r="K141" s="45">
        <v>2.5499999999999998</v>
      </c>
      <c r="L141" s="45">
        <v>2.581</v>
      </c>
      <c r="M141" s="45">
        <v>2.609</v>
      </c>
      <c r="N141" s="45">
        <v>2.6339999999999999</v>
      </c>
      <c r="O141" s="45">
        <v>2.657</v>
      </c>
      <c r="P141" s="45">
        <v>2.6779999999999999</v>
      </c>
      <c r="Q141" s="45">
        <v>2.698</v>
      </c>
      <c r="R141" s="45">
        <v>2.7160000000000002</v>
      </c>
      <c r="S141" s="45">
        <v>2.734</v>
      </c>
      <c r="T141" s="45">
        <v>2.75</v>
      </c>
      <c r="U141" s="628">
        <v>2.7650000000000001</v>
      </c>
    </row>
    <row r="142" spans="1:21" x14ac:dyDescent="0.25">
      <c r="A142">
        <v>37</v>
      </c>
      <c r="B142" s="627">
        <v>1.6870000000000001</v>
      </c>
      <c r="C142" s="45">
        <v>1.9750000000000001</v>
      </c>
      <c r="D142" s="45">
        <v>2.13</v>
      </c>
      <c r="E142" s="45">
        <v>2.2360000000000002</v>
      </c>
      <c r="F142" s="45">
        <v>2.3149999999999999</v>
      </c>
      <c r="G142" s="45">
        <v>2.3780000000000001</v>
      </c>
      <c r="H142" s="45">
        <v>2.4300000000000002</v>
      </c>
      <c r="I142" s="45">
        <v>2.4750000000000001</v>
      </c>
      <c r="J142" s="45">
        <v>2.5139999999999998</v>
      </c>
      <c r="K142" s="45">
        <v>2.548</v>
      </c>
      <c r="L142" s="45">
        <v>2.5779999999999998</v>
      </c>
      <c r="M142" s="45">
        <v>2.6059999999999999</v>
      </c>
      <c r="N142" s="45">
        <v>2.6309999999999998</v>
      </c>
      <c r="O142" s="45">
        <v>2.6539999999999999</v>
      </c>
      <c r="P142" s="45">
        <v>2.6749999999999998</v>
      </c>
      <c r="Q142" s="45">
        <v>2.6949999999999998</v>
      </c>
      <c r="R142" s="45">
        <v>2.7130000000000001</v>
      </c>
      <c r="S142" s="45">
        <v>2.73</v>
      </c>
      <c r="T142" s="45">
        <v>2.7469999999999999</v>
      </c>
      <c r="U142" s="628">
        <v>2.762</v>
      </c>
    </row>
    <row r="143" spans="1:21" x14ac:dyDescent="0.25">
      <c r="A143">
        <v>38</v>
      </c>
      <c r="B143" s="627">
        <v>1.6859999999999999</v>
      </c>
      <c r="C143" s="45">
        <v>1.9730000000000001</v>
      </c>
      <c r="D143" s="45">
        <v>2.129</v>
      </c>
      <c r="E143" s="45">
        <v>2.234</v>
      </c>
      <c r="F143" s="45">
        <v>2.3130000000000002</v>
      </c>
      <c r="G143" s="45">
        <v>2.3759999999999999</v>
      </c>
      <c r="H143" s="45">
        <v>2.4279999999999999</v>
      </c>
      <c r="I143" s="45">
        <v>2.472</v>
      </c>
      <c r="J143" s="45">
        <v>2.5110000000000001</v>
      </c>
      <c r="K143" s="45">
        <v>2.5449999999999999</v>
      </c>
      <c r="L143" s="45">
        <v>2.5750000000000002</v>
      </c>
      <c r="M143" s="45">
        <v>2.6030000000000002</v>
      </c>
      <c r="N143" s="45">
        <v>2.6280000000000001</v>
      </c>
      <c r="O143" s="45">
        <v>2.6509999999999998</v>
      </c>
      <c r="P143" s="45">
        <v>2.6720000000000002</v>
      </c>
      <c r="Q143" s="45">
        <v>2.6920000000000002</v>
      </c>
      <c r="R143" s="45">
        <v>2.71</v>
      </c>
      <c r="S143" s="45">
        <v>2.7269999999999999</v>
      </c>
      <c r="T143" s="45">
        <v>2.7429999999999999</v>
      </c>
      <c r="U143" s="628">
        <v>2.7589999999999999</v>
      </c>
    </row>
    <row r="144" spans="1:21" x14ac:dyDescent="0.25">
      <c r="A144">
        <v>39</v>
      </c>
      <c r="B144" s="627">
        <v>1.6850000000000001</v>
      </c>
      <c r="C144" s="45">
        <v>1.972</v>
      </c>
      <c r="D144" s="45">
        <v>2.1269999999999998</v>
      </c>
      <c r="E144" s="45">
        <v>2.2320000000000002</v>
      </c>
      <c r="F144" s="45">
        <v>2.3109999999999999</v>
      </c>
      <c r="G144" s="45">
        <v>2.3740000000000001</v>
      </c>
      <c r="H144" s="45">
        <v>2.4260000000000002</v>
      </c>
      <c r="I144" s="45">
        <v>2.4700000000000002</v>
      </c>
      <c r="J144" s="45">
        <v>2.508</v>
      </c>
      <c r="K144" s="45">
        <v>2.5419999999999998</v>
      </c>
      <c r="L144" s="45">
        <v>2.573</v>
      </c>
      <c r="M144" s="45">
        <v>2.6</v>
      </c>
      <c r="N144" s="45">
        <v>2.625</v>
      </c>
      <c r="O144" s="45">
        <v>2.6480000000000001</v>
      </c>
      <c r="P144" s="45">
        <v>2.669</v>
      </c>
      <c r="Q144" s="45">
        <v>2.6890000000000001</v>
      </c>
      <c r="R144" s="45">
        <v>2.7069999999999999</v>
      </c>
      <c r="S144" s="45">
        <v>2.7240000000000002</v>
      </c>
      <c r="T144" s="45">
        <v>2.74</v>
      </c>
      <c r="U144" s="628">
        <v>2.7559999999999998</v>
      </c>
    </row>
    <row r="145" spans="1:21" x14ac:dyDescent="0.25">
      <c r="A145">
        <v>40</v>
      </c>
      <c r="B145" s="627">
        <v>1.6839999999999999</v>
      </c>
      <c r="C145" s="45">
        <v>1.97</v>
      </c>
      <c r="D145" s="45">
        <v>2.125</v>
      </c>
      <c r="E145" s="45">
        <v>2.23</v>
      </c>
      <c r="F145" s="45">
        <v>2.3090000000000002</v>
      </c>
      <c r="G145" s="45">
        <v>2.3719999999999999</v>
      </c>
      <c r="H145" s="45">
        <v>2.4239999999999999</v>
      </c>
      <c r="I145" s="45">
        <v>2.468</v>
      </c>
      <c r="J145" s="45">
        <v>2.5059999999999998</v>
      </c>
      <c r="K145" s="45">
        <v>2.54</v>
      </c>
      <c r="L145" s="45">
        <v>2.57</v>
      </c>
      <c r="M145" s="45">
        <v>2.5979999999999999</v>
      </c>
      <c r="N145" s="45">
        <v>2.6230000000000002</v>
      </c>
      <c r="O145" s="45">
        <v>2.645</v>
      </c>
      <c r="P145" s="45">
        <v>2.6669999999999998</v>
      </c>
      <c r="Q145" s="45">
        <v>2.6859999999999999</v>
      </c>
      <c r="R145" s="45">
        <v>2.7040000000000002</v>
      </c>
      <c r="S145" s="45">
        <v>2.722</v>
      </c>
      <c r="T145" s="45">
        <v>2.738</v>
      </c>
      <c r="U145" s="628">
        <v>2.7530000000000001</v>
      </c>
    </row>
    <row r="146" spans="1:21" x14ac:dyDescent="0.25">
      <c r="A146">
        <v>48</v>
      </c>
      <c r="B146" s="627">
        <v>1.677</v>
      </c>
      <c r="C146" s="45">
        <v>1.9610000000000001</v>
      </c>
      <c r="D146" s="45">
        <v>2.1139999999999999</v>
      </c>
      <c r="E146" s="45">
        <v>2.218</v>
      </c>
      <c r="F146" s="45">
        <v>2.2959999999999998</v>
      </c>
      <c r="G146" s="45">
        <v>2.3580000000000001</v>
      </c>
      <c r="H146" s="45">
        <v>2.4089999999999998</v>
      </c>
      <c r="I146" s="45">
        <v>2.4529999999999998</v>
      </c>
      <c r="J146" s="45">
        <v>2.4910000000000001</v>
      </c>
      <c r="K146" s="45">
        <v>2.524</v>
      </c>
      <c r="L146" s="45">
        <v>2.5539999999999998</v>
      </c>
      <c r="M146" s="45">
        <v>2.581</v>
      </c>
      <c r="N146" s="45">
        <v>2.6059999999999999</v>
      </c>
      <c r="O146" s="45">
        <v>2.6280000000000001</v>
      </c>
      <c r="P146" s="45">
        <v>2.649</v>
      </c>
      <c r="Q146" s="45">
        <v>2.669</v>
      </c>
      <c r="R146" s="45">
        <v>2.6869999999999998</v>
      </c>
      <c r="S146" s="45">
        <v>2.7040000000000002</v>
      </c>
      <c r="T146" s="45">
        <v>2.7189999999999999</v>
      </c>
      <c r="U146" s="628">
        <v>2.734</v>
      </c>
    </row>
    <row r="147" spans="1:21" x14ac:dyDescent="0.25">
      <c r="A147">
        <v>60</v>
      </c>
      <c r="B147" s="627">
        <v>1.671</v>
      </c>
      <c r="C147" s="45">
        <v>1.952</v>
      </c>
      <c r="D147" s="45">
        <v>2.1040000000000001</v>
      </c>
      <c r="E147" s="45">
        <v>2.206</v>
      </c>
      <c r="F147" s="45">
        <v>2.2829999999999999</v>
      </c>
      <c r="G147" s="45">
        <v>2.3450000000000002</v>
      </c>
      <c r="H147" s="45">
        <v>2.395</v>
      </c>
      <c r="I147" s="45">
        <v>2.4380000000000002</v>
      </c>
      <c r="J147" s="45">
        <v>2.476</v>
      </c>
      <c r="K147" s="45">
        <v>2.5089999999999999</v>
      </c>
      <c r="L147" s="45">
        <v>2.5379999999999998</v>
      </c>
      <c r="M147" s="45">
        <v>2.5649999999999999</v>
      </c>
      <c r="N147" s="45">
        <v>2.589</v>
      </c>
      <c r="O147" s="45">
        <v>2.6120000000000001</v>
      </c>
      <c r="P147" s="45">
        <v>2.6320000000000001</v>
      </c>
      <c r="Q147" s="45">
        <v>2.6509999999999998</v>
      </c>
      <c r="R147" s="45">
        <v>2.669</v>
      </c>
      <c r="S147" s="45">
        <v>2.6859999999999999</v>
      </c>
      <c r="T147" s="45">
        <v>2.7010000000000001</v>
      </c>
      <c r="U147" s="628">
        <v>2.7160000000000002</v>
      </c>
    </row>
    <row r="148" spans="1:21" x14ac:dyDescent="0.25">
      <c r="A148">
        <v>80</v>
      </c>
      <c r="B148" s="627">
        <v>1.6639999999999999</v>
      </c>
      <c r="C148" s="45">
        <v>1.9430000000000001</v>
      </c>
      <c r="D148" s="45">
        <v>2.093</v>
      </c>
      <c r="E148" s="45">
        <v>2.1949999999999998</v>
      </c>
      <c r="F148" s="45">
        <v>2.2709999999999999</v>
      </c>
      <c r="G148" s="45">
        <v>2.331</v>
      </c>
      <c r="H148" s="45">
        <v>2.3809999999999998</v>
      </c>
      <c r="I148" s="45">
        <v>2.4239999999999999</v>
      </c>
      <c r="J148" s="45">
        <v>2.4609999999999999</v>
      </c>
      <c r="K148" s="45">
        <v>2.4940000000000002</v>
      </c>
      <c r="L148" s="45">
        <v>2.5230000000000001</v>
      </c>
      <c r="M148" s="45">
        <v>2.5489999999999999</v>
      </c>
      <c r="N148" s="45">
        <v>2.573</v>
      </c>
      <c r="O148" s="45">
        <v>2.5950000000000002</v>
      </c>
      <c r="P148" s="45">
        <v>2.6150000000000002</v>
      </c>
      <c r="Q148" s="45">
        <v>2.6339999999999999</v>
      </c>
      <c r="R148" s="45">
        <v>2.6520000000000001</v>
      </c>
      <c r="S148" s="45">
        <v>2.6680000000000001</v>
      </c>
      <c r="T148" s="45">
        <v>2.6840000000000002</v>
      </c>
      <c r="U148" s="628">
        <v>2.698</v>
      </c>
    </row>
    <row r="149" spans="1:21" x14ac:dyDescent="0.25">
      <c r="A149" s="1111">
        <v>120</v>
      </c>
      <c r="B149" s="627">
        <v>1.6579999999999999</v>
      </c>
      <c r="C149" s="45">
        <v>1.9339999999999999</v>
      </c>
      <c r="D149" s="45">
        <v>2.0830000000000002</v>
      </c>
      <c r="E149" s="45">
        <v>2.1829999999999998</v>
      </c>
      <c r="F149" s="45">
        <v>2.258</v>
      </c>
      <c r="G149" s="45">
        <v>2.3180000000000001</v>
      </c>
      <c r="H149" s="45">
        <v>2.3679999999999999</v>
      </c>
      <c r="I149" s="45">
        <v>2.41</v>
      </c>
      <c r="J149" s="45">
        <v>2.4460000000000002</v>
      </c>
      <c r="K149" s="45">
        <v>2.4780000000000002</v>
      </c>
      <c r="L149" s="45">
        <v>2.5070000000000001</v>
      </c>
      <c r="M149" s="45">
        <v>2.5329999999999999</v>
      </c>
      <c r="N149" s="45">
        <v>2.5569999999999999</v>
      </c>
      <c r="O149" s="45">
        <v>2.5779999999999998</v>
      </c>
      <c r="P149" s="45">
        <v>2.5979999999999999</v>
      </c>
      <c r="Q149" s="45">
        <v>2.617</v>
      </c>
      <c r="R149" s="45">
        <v>2.6339999999999999</v>
      </c>
      <c r="S149" s="45">
        <v>2.6509999999999998</v>
      </c>
      <c r="T149" s="45">
        <v>2.6659999999999999</v>
      </c>
      <c r="U149" s="628">
        <v>2.68</v>
      </c>
    </row>
    <row r="150" spans="1:21" x14ac:dyDescent="0.25">
      <c r="A150" s="1111">
        <v>240</v>
      </c>
      <c r="B150" s="627">
        <v>1.651</v>
      </c>
      <c r="C150" s="45">
        <v>1.925</v>
      </c>
      <c r="D150" s="45">
        <v>2.0720000000000001</v>
      </c>
      <c r="E150" s="45">
        <v>2.1720000000000002</v>
      </c>
      <c r="F150" s="45">
        <v>2.246</v>
      </c>
      <c r="G150" s="45">
        <v>2.3050000000000002</v>
      </c>
      <c r="H150" s="45">
        <v>2.3540000000000001</v>
      </c>
      <c r="I150" s="45">
        <v>2.395</v>
      </c>
      <c r="J150" s="45">
        <v>2.4319999999999999</v>
      </c>
      <c r="K150" s="45">
        <v>2.4630000000000001</v>
      </c>
      <c r="L150" s="45">
        <v>2.492</v>
      </c>
      <c r="M150" s="45">
        <v>2.5169999999999999</v>
      </c>
      <c r="N150" s="45">
        <v>2.5409999999999999</v>
      </c>
      <c r="O150" s="45">
        <v>2.5619999999999998</v>
      </c>
      <c r="P150" s="45">
        <v>2.5819999999999999</v>
      </c>
      <c r="Q150" s="45">
        <v>2.6</v>
      </c>
      <c r="R150" s="45">
        <v>2.617</v>
      </c>
      <c r="S150" s="45">
        <v>2.633</v>
      </c>
      <c r="T150" s="45">
        <v>2.6480000000000001</v>
      </c>
      <c r="U150" s="628">
        <v>2.6629999999999998</v>
      </c>
    </row>
    <row r="151" spans="1:21" x14ac:dyDescent="0.25">
      <c r="A151" s="1112" t="s">
        <v>102</v>
      </c>
      <c r="B151" s="629">
        <v>1.645</v>
      </c>
      <c r="C151" s="981">
        <v>1.9159999999999999</v>
      </c>
      <c r="D151" s="981">
        <v>2.0619999999999998</v>
      </c>
      <c r="E151" s="981">
        <v>2.16</v>
      </c>
      <c r="F151" s="981">
        <v>2.234</v>
      </c>
      <c r="G151" s="981">
        <v>2.2919999999999998</v>
      </c>
      <c r="H151" s="981">
        <v>2.34</v>
      </c>
      <c r="I151" s="981">
        <v>2.3809999999999998</v>
      </c>
      <c r="J151" s="981">
        <v>2.4169999999999998</v>
      </c>
      <c r="K151" s="981">
        <v>2.448</v>
      </c>
      <c r="L151" s="981">
        <v>2.476</v>
      </c>
      <c r="M151" s="981">
        <v>2.5019999999999998</v>
      </c>
      <c r="N151" s="981">
        <v>2.5249999999999999</v>
      </c>
      <c r="O151" s="981">
        <v>2.5459999999999998</v>
      </c>
      <c r="P151" s="981">
        <v>2.5649999999999999</v>
      </c>
      <c r="Q151" s="981">
        <v>2.5830000000000002</v>
      </c>
      <c r="R151" s="981">
        <v>2.6</v>
      </c>
      <c r="S151" s="981">
        <v>2.6160000000000001</v>
      </c>
      <c r="T151" s="981">
        <v>2.6309999999999998</v>
      </c>
      <c r="U151" s="630">
        <v>2.645</v>
      </c>
    </row>
    <row r="153" spans="1:21" x14ac:dyDescent="0.25">
      <c r="A153" t="s">
        <v>2451</v>
      </c>
    </row>
    <row r="154" spans="1:21" x14ac:dyDescent="0.25">
      <c r="A154" t="s">
        <v>2452</v>
      </c>
    </row>
  </sheetData>
  <pageMargins left="0.7" right="0.7" top="0.75" bottom="0.75" header="0.3" footer="0.3"/>
  <pageSetup paperSize="9" orientation="portrait" verticalDpi="0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/>
  <dimension ref="A1:AO56"/>
  <sheetViews>
    <sheetView zoomScaleNormal="100" workbookViewId="0"/>
  </sheetViews>
  <sheetFormatPr defaultRowHeight="15" x14ac:dyDescent="0.25"/>
  <cols>
    <col min="1" max="1" width="5.7109375" style="27" customWidth="1"/>
    <col min="2" max="41" width="5.7109375" style="44" customWidth="1"/>
    <col min="42" max="16384" width="9.140625" style="44"/>
  </cols>
  <sheetData>
    <row r="1" spans="1:41" x14ac:dyDescent="0.25">
      <c r="A1" s="1024" t="s">
        <v>2260</v>
      </c>
    </row>
    <row r="3" spans="1:41" x14ac:dyDescent="0.25">
      <c r="A3" s="1024" t="s">
        <v>2264</v>
      </c>
    </row>
    <row r="5" spans="1:41" s="27" customFormat="1" x14ac:dyDescent="0.25">
      <c r="A5" s="1025" t="s">
        <v>2262</v>
      </c>
      <c r="B5" s="1336">
        <v>1</v>
      </c>
      <c r="C5" s="1336"/>
      <c r="D5" s="1336">
        <v>2</v>
      </c>
      <c r="E5" s="1336"/>
      <c r="F5" s="1336">
        <v>3</v>
      </c>
      <c r="G5" s="1336"/>
      <c r="H5" s="1336">
        <v>4</v>
      </c>
      <c r="I5" s="1336"/>
      <c r="J5" s="1336">
        <v>5</v>
      </c>
      <c r="K5" s="1336"/>
      <c r="L5" s="1336">
        <v>6</v>
      </c>
      <c r="M5" s="1336"/>
      <c r="N5" s="1336">
        <v>7</v>
      </c>
      <c r="O5" s="1336"/>
      <c r="P5" s="1336">
        <v>8</v>
      </c>
      <c r="Q5" s="1336"/>
      <c r="R5" s="1336">
        <v>9</v>
      </c>
      <c r="S5" s="1336"/>
      <c r="T5" s="1336">
        <v>10</v>
      </c>
      <c r="U5" s="1336"/>
      <c r="V5" s="1336">
        <v>11</v>
      </c>
      <c r="W5" s="1336"/>
      <c r="X5" s="1336">
        <v>12</v>
      </c>
      <c r="Y5" s="1336"/>
      <c r="Z5" s="1336">
        <v>13</v>
      </c>
      <c r="AA5" s="1336"/>
      <c r="AB5" s="1336">
        <v>14</v>
      </c>
      <c r="AC5" s="1336"/>
      <c r="AD5" s="1336">
        <v>15</v>
      </c>
      <c r="AE5" s="1336"/>
      <c r="AF5" s="1336">
        <v>16</v>
      </c>
      <c r="AG5" s="1336"/>
      <c r="AH5" s="1336">
        <v>17</v>
      </c>
      <c r="AI5" s="1336"/>
      <c r="AJ5" s="1336">
        <v>18</v>
      </c>
      <c r="AK5" s="1336"/>
      <c r="AL5" s="1336">
        <v>19</v>
      </c>
      <c r="AM5" s="1336"/>
      <c r="AN5" s="1336">
        <v>20</v>
      </c>
      <c r="AO5" s="1336"/>
    </row>
    <row r="6" spans="1:41" x14ac:dyDescent="0.25">
      <c r="A6" s="1026">
        <v>6</v>
      </c>
      <c r="B6" s="982">
        <v>0.39</v>
      </c>
      <c r="C6" s="979">
        <v>1.1419999999999999</v>
      </c>
      <c r="D6" s="982"/>
      <c r="E6" s="980"/>
      <c r="F6" s="979"/>
      <c r="G6" s="979"/>
      <c r="H6" s="982"/>
      <c r="I6" s="980"/>
      <c r="J6" s="979"/>
      <c r="K6" s="979"/>
      <c r="L6" s="982"/>
      <c r="M6" s="980"/>
      <c r="N6" s="979"/>
      <c r="O6" s="979"/>
      <c r="P6" s="982"/>
      <c r="Q6" s="979"/>
      <c r="R6" s="982"/>
      <c r="S6" s="980"/>
      <c r="T6" s="979"/>
      <c r="U6" s="979"/>
      <c r="V6" s="1178"/>
      <c r="W6" s="1180"/>
      <c r="X6" s="1178"/>
      <c r="Y6" s="1180"/>
      <c r="Z6" s="1178"/>
      <c r="AA6" s="1180"/>
      <c r="AB6" s="1178"/>
      <c r="AC6" s="1180"/>
      <c r="AD6" s="1178"/>
      <c r="AE6" s="1180"/>
      <c r="AF6" s="1178"/>
      <c r="AG6" s="1179"/>
      <c r="AH6" s="1180"/>
      <c r="AI6" s="1179"/>
      <c r="AJ6" s="1180"/>
      <c r="AK6" s="1179"/>
      <c r="AL6" s="1180"/>
      <c r="AM6" s="1179"/>
      <c r="AN6" s="1180"/>
      <c r="AO6" s="1179"/>
    </row>
    <row r="7" spans="1:41" x14ac:dyDescent="0.25">
      <c r="A7" s="582">
        <v>7</v>
      </c>
      <c r="B7" s="627">
        <v>0.435</v>
      </c>
      <c r="C7" s="45">
        <v>1.036</v>
      </c>
      <c r="D7" s="627">
        <v>0.29399999999999998</v>
      </c>
      <c r="E7" s="628">
        <v>1.6759999999999999</v>
      </c>
      <c r="F7" s="45"/>
      <c r="G7" s="45"/>
      <c r="H7" s="627"/>
      <c r="I7" s="628"/>
      <c r="J7" s="45"/>
      <c r="K7" s="45"/>
      <c r="L7" s="627"/>
      <c r="M7" s="628"/>
      <c r="N7" s="45"/>
      <c r="O7" s="45"/>
      <c r="P7" s="627"/>
      <c r="Q7" s="45"/>
      <c r="R7" s="627"/>
      <c r="S7" s="628"/>
      <c r="T7" s="45"/>
      <c r="U7" s="45"/>
      <c r="V7" s="627"/>
      <c r="W7" s="45"/>
      <c r="X7" s="627"/>
      <c r="Y7" s="45"/>
      <c r="Z7" s="627"/>
      <c r="AA7" s="45"/>
      <c r="AB7" s="627"/>
      <c r="AC7" s="45"/>
      <c r="AD7" s="627"/>
      <c r="AE7" s="45"/>
      <c r="AF7" s="627"/>
      <c r="AG7" s="628"/>
      <c r="AH7" s="45"/>
      <c r="AI7" s="628"/>
      <c r="AJ7" s="45"/>
      <c r="AK7" s="628"/>
      <c r="AL7" s="45"/>
      <c r="AM7" s="628"/>
      <c r="AN7" s="45"/>
      <c r="AO7" s="628"/>
    </row>
    <row r="8" spans="1:41" x14ac:dyDescent="0.25">
      <c r="A8" s="582">
        <v>8</v>
      </c>
      <c r="B8" s="627">
        <v>0.497</v>
      </c>
      <c r="C8" s="45">
        <v>1.0029999999999999</v>
      </c>
      <c r="D8" s="627">
        <v>0.34499999999999997</v>
      </c>
      <c r="E8" s="628">
        <v>1.4890000000000001</v>
      </c>
      <c r="F8" s="45">
        <v>0.22900000000000001</v>
      </c>
      <c r="G8" s="45">
        <v>2.1019999999999999</v>
      </c>
      <c r="H8" s="627"/>
      <c r="I8" s="628"/>
      <c r="J8" s="45"/>
      <c r="K8" s="45"/>
      <c r="L8" s="627"/>
      <c r="M8" s="628"/>
      <c r="N8" s="45"/>
      <c r="O8" s="45"/>
      <c r="P8" s="627"/>
      <c r="Q8" s="45"/>
      <c r="R8" s="627"/>
      <c r="S8" s="628"/>
      <c r="T8" s="45"/>
      <c r="U8" s="45"/>
      <c r="V8" s="627"/>
      <c r="W8" s="45"/>
      <c r="X8" s="627"/>
      <c r="Y8" s="45"/>
      <c r="Z8" s="627"/>
      <c r="AA8" s="45"/>
      <c r="AB8" s="627"/>
      <c r="AC8" s="45"/>
      <c r="AD8" s="627"/>
      <c r="AE8" s="45"/>
      <c r="AF8" s="627"/>
      <c r="AG8" s="628"/>
      <c r="AH8" s="45"/>
      <c r="AI8" s="628"/>
      <c r="AJ8" s="45"/>
      <c r="AK8" s="628"/>
      <c r="AL8" s="45"/>
      <c r="AM8" s="628"/>
      <c r="AN8" s="45"/>
      <c r="AO8" s="628"/>
    </row>
    <row r="9" spans="1:41" x14ac:dyDescent="0.25">
      <c r="A9" s="582">
        <v>9</v>
      </c>
      <c r="B9" s="627">
        <v>0.55400000000000005</v>
      </c>
      <c r="C9" s="45">
        <v>0.998</v>
      </c>
      <c r="D9" s="627">
        <v>0.40799999999999997</v>
      </c>
      <c r="E9" s="628">
        <v>1.389</v>
      </c>
      <c r="F9" s="45">
        <v>0.27900000000000003</v>
      </c>
      <c r="G9" s="45">
        <v>1.875</v>
      </c>
      <c r="H9" s="627">
        <v>0.183</v>
      </c>
      <c r="I9" s="628">
        <v>2.4329999999999998</v>
      </c>
      <c r="J9" s="45"/>
      <c r="K9" s="45"/>
      <c r="L9" s="627"/>
      <c r="M9" s="628"/>
      <c r="N9" s="45"/>
      <c r="O9" s="45"/>
      <c r="P9" s="627"/>
      <c r="Q9" s="45"/>
      <c r="R9" s="627"/>
      <c r="S9" s="628"/>
      <c r="T9" s="45"/>
      <c r="U9" s="45"/>
      <c r="V9" s="627"/>
      <c r="W9" s="45"/>
      <c r="X9" s="627"/>
      <c r="Y9" s="45"/>
      <c r="Z9" s="627"/>
      <c r="AA9" s="45"/>
      <c r="AB9" s="627"/>
      <c r="AC9" s="45"/>
      <c r="AD9" s="627"/>
      <c r="AE9" s="45"/>
      <c r="AF9" s="627"/>
      <c r="AG9" s="628"/>
      <c r="AH9" s="45"/>
      <c r="AI9" s="628"/>
      <c r="AJ9" s="45"/>
      <c r="AK9" s="628"/>
      <c r="AL9" s="45"/>
      <c r="AM9" s="628"/>
      <c r="AN9" s="45"/>
      <c r="AO9" s="628"/>
    </row>
    <row r="10" spans="1:41" x14ac:dyDescent="0.25">
      <c r="A10" s="582">
        <v>10</v>
      </c>
      <c r="B10" s="627">
        <v>0.60399999999999998</v>
      </c>
      <c r="C10" s="45">
        <v>1.0009999999999999</v>
      </c>
      <c r="D10" s="627">
        <v>0.46600000000000003</v>
      </c>
      <c r="E10" s="628">
        <v>1.333</v>
      </c>
      <c r="F10" s="45">
        <v>0.34</v>
      </c>
      <c r="G10" s="45">
        <v>1.7330000000000001</v>
      </c>
      <c r="H10" s="627">
        <v>0.23</v>
      </c>
      <c r="I10" s="628">
        <v>2.1930000000000001</v>
      </c>
      <c r="J10" s="45">
        <v>0.15</v>
      </c>
      <c r="K10" s="45">
        <v>2.69</v>
      </c>
      <c r="L10" s="627"/>
      <c r="M10" s="628"/>
      <c r="N10" s="45"/>
      <c r="O10" s="45"/>
      <c r="P10" s="627"/>
      <c r="Q10" s="45"/>
      <c r="R10" s="627"/>
      <c r="S10" s="628"/>
      <c r="T10" s="45"/>
      <c r="U10" s="45"/>
      <c r="V10" s="627"/>
      <c r="W10" s="45"/>
      <c r="X10" s="627"/>
      <c r="Y10" s="45"/>
      <c r="Z10" s="627"/>
      <c r="AA10" s="45"/>
      <c r="AB10" s="627"/>
      <c r="AC10" s="45"/>
      <c r="AD10" s="627"/>
      <c r="AE10" s="45"/>
      <c r="AF10" s="627"/>
      <c r="AG10" s="628"/>
      <c r="AH10" s="45"/>
      <c r="AI10" s="628"/>
      <c r="AJ10" s="45"/>
      <c r="AK10" s="628"/>
      <c r="AL10" s="45"/>
      <c r="AM10" s="628"/>
      <c r="AN10" s="45"/>
      <c r="AO10" s="628"/>
    </row>
    <row r="11" spans="1:41" x14ac:dyDescent="0.25">
      <c r="A11" s="582">
        <v>11</v>
      </c>
      <c r="B11" s="627">
        <v>0.65300000000000002</v>
      </c>
      <c r="C11" s="45">
        <v>1.01</v>
      </c>
      <c r="D11" s="627">
        <v>0.51900000000000002</v>
      </c>
      <c r="E11" s="628">
        <v>1.2969999999999999</v>
      </c>
      <c r="F11" s="45">
        <v>0.39600000000000002</v>
      </c>
      <c r="G11" s="45">
        <v>1.64</v>
      </c>
      <c r="H11" s="627">
        <v>0.28599999999999998</v>
      </c>
      <c r="I11" s="628">
        <v>2.0299999999999998</v>
      </c>
      <c r="J11" s="45">
        <v>0.193</v>
      </c>
      <c r="K11" s="45">
        <v>2.4529999999999998</v>
      </c>
      <c r="L11" s="627">
        <v>0.124</v>
      </c>
      <c r="M11" s="628">
        <v>2.8919999999999999</v>
      </c>
      <c r="N11" s="45"/>
      <c r="O11" s="45"/>
      <c r="P11" s="627"/>
      <c r="Q11" s="45"/>
      <c r="R11" s="627"/>
      <c r="S11" s="628"/>
      <c r="T11" s="45"/>
      <c r="U11" s="45"/>
      <c r="V11" s="627"/>
      <c r="W11" s="45"/>
      <c r="X11" s="627"/>
      <c r="Y11" s="45"/>
      <c r="Z11" s="627"/>
      <c r="AA11" s="45"/>
      <c r="AB11" s="627"/>
      <c r="AC11" s="45"/>
      <c r="AD11" s="627"/>
      <c r="AE11" s="45"/>
      <c r="AF11" s="627"/>
      <c r="AG11" s="628"/>
      <c r="AH11" s="45"/>
      <c r="AI11" s="628"/>
      <c r="AJ11" s="45"/>
      <c r="AK11" s="628"/>
      <c r="AL11" s="45"/>
      <c r="AM11" s="628"/>
      <c r="AN11" s="45"/>
      <c r="AO11" s="628"/>
    </row>
    <row r="12" spans="1:41" x14ac:dyDescent="0.25">
      <c r="A12" s="582">
        <v>12</v>
      </c>
      <c r="B12" s="627">
        <v>0.69699999999999995</v>
      </c>
      <c r="C12" s="45">
        <v>1.0229999999999999</v>
      </c>
      <c r="D12" s="627">
        <v>0.56899999999999995</v>
      </c>
      <c r="E12" s="628">
        <v>1.274</v>
      </c>
      <c r="F12" s="45">
        <v>0.44900000000000001</v>
      </c>
      <c r="G12" s="45">
        <v>1.575</v>
      </c>
      <c r="H12" s="627">
        <v>0.33900000000000002</v>
      </c>
      <c r="I12" s="628">
        <v>1.913</v>
      </c>
      <c r="J12" s="45">
        <v>0.24399999999999999</v>
      </c>
      <c r="K12" s="45">
        <v>2.2799999999999998</v>
      </c>
      <c r="L12" s="627">
        <v>0.16400000000000001</v>
      </c>
      <c r="M12" s="628">
        <v>2.665</v>
      </c>
      <c r="N12" s="45">
        <v>0.105</v>
      </c>
      <c r="O12" s="45">
        <v>3.0529999999999999</v>
      </c>
      <c r="P12" s="627"/>
      <c r="Q12" s="45"/>
      <c r="R12" s="627"/>
      <c r="S12" s="628"/>
      <c r="T12" s="45"/>
      <c r="U12" s="45"/>
      <c r="V12" s="627"/>
      <c r="W12" s="45"/>
      <c r="X12" s="627"/>
      <c r="Y12" s="45"/>
      <c r="Z12" s="627"/>
      <c r="AA12" s="45"/>
      <c r="AB12" s="627"/>
      <c r="AC12" s="45"/>
      <c r="AD12" s="627"/>
      <c r="AE12" s="45"/>
      <c r="AF12" s="627"/>
      <c r="AG12" s="628"/>
      <c r="AH12" s="45"/>
      <c r="AI12" s="628"/>
      <c r="AJ12" s="45"/>
      <c r="AK12" s="628"/>
      <c r="AL12" s="45"/>
      <c r="AM12" s="628"/>
      <c r="AN12" s="45"/>
      <c r="AO12" s="628"/>
    </row>
    <row r="13" spans="1:41" x14ac:dyDescent="0.25">
      <c r="A13" s="582">
        <v>13</v>
      </c>
      <c r="B13" s="627">
        <v>0.73799999999999999</v>
      </c>
      <c r="C13" s="45">
        <v>1.038</v>
      </c>
      <c r="D13" s="627">
        <v>0.61599999999999999</v>
      </c>
      <c r="E13" s="628">
        <v>1.2609999999999999</v>
      </c>
      <c r="F13" s="45">
        <v>0.499</v>
      </c>
      <c r="G13" s="45">
        <v>1.526</v>
      </c>
      <c r="H13" s="627">
        <v>0.39100000000000001</v>
      </c>
      <c r="I13" s="628">
        <v>1.8260000000000001</v>
      </c>
      <c r="J13" s="45">
        <v>0.29399999999999998</v>
      </c>
      <c r="K13" s="45">
        <v>2.15</v>
      </c>
      <c r="L13" s="627">
        <v>0.21099999999999999</v>
      </c>
      <c r="M13" s="628">
        <v>2.4900000000000002</v>
      </c>
      <c r="N13" s="45">
        <v>0.14000000000000001</v>
      </c>
      <c r="O13" s="45">
        <v>2.8380000000000001</v>
      </c>
      <c r="P13" s="627">
        <v>0.09</v>
      </c>
      <c r="Q13" s="45">
        <v>3.1819999999999999</v>
      </c>
      <c r="R13" s="627"/>
      <c r="S13" s="628"/>
      <c r="T13" s="45"/>
      <c r="U13" s="45"/>
      <c r="V13" s="627"/>
      <c r="W13" s="45"/>
      <c r="X13" s="627"/>
      <c r="Y13" s="45"/>
      <c r="Z13" s="627"/>
      <c r="AA13" s="45"/>
      <c r="AB13" s="627"/>
      <c r="AC13" s="45"/>
      <c r="AD13" s="627"/>
      <c r="AE13" s="45"/>
      <c r="AF13" s="627"/>
      <c r="AG13" s="628"/>
      <c r="AH13" s="45"/>
      <c r="AI13" s="628"/>
      <c r="AJ13" s="45"/>
      <c r="AK13" s="628"/>
      <c r="AL13" s="45"/>
      <c r="AM13" s="628"/>
      <c r="AN13" s="45"/>
      <c r="AO13" s="628"/>
    </row>
    <row r="14" spans="1:41" x14ac:dyDescent="0.25">
      <c r="A14" s="582">
        <v>14</v>
      </c>
      <c r="B14" s="627">
        <v>0.77600000000000002</v>
      </c>
      <c r="C14" s="45">
        <v>1.054</v>
      </c>
      <c r="D14" s="627">
        <v>0.66</v>
      </c>
      <c r="E14" s="628">
        <v>1.254</v>
      </c>
      <c r="F14" s="45">
        <v>0.54700000000000004</v>
      </c>
      <c r="G14" s="45">
        <v>1.49</v>
      </c>
      <c r="H14" s="627">
        <v>0.441</v>
      </c>
      <c r="I14" s="628">
        <v>1.7569999999999999</v>
      </c>
      <c r="J14" s="45">
        <v>0.34300000000000003</v>
      </c>
      <c r="K14" s="45">
        <v>2.0489999999999999</v>
      </c>
      <c r="L14" s="627">
        <v>0.25700000000000001</v>
      </c>
      <c r="M14" s="628">
        <v>2.3540000000000001</v>
      </c>
      <c r="N14" s="45">
        <v>0.183</v>
      </c>
      <c r="O14" s="45">
        <v>2.6669999999999998</v>
      </c>
      <c r="P14" s="627">
        <v>0.122</v>
      </c>
      <c r="Q14" s="45">
        <v>2.9809999999999999</v>
      </c>
      <c r="R14" s="627">
        <v>7.8E-2</v>
      </c>
      <c r="S14" s="628">
        <v>3.2869999999999999</v>
      </c>
      <c r="T14" s="45"/>
      <c r="U14" s="45"/>
      <c r="V14" s="627"/>
      <c r="W14" s="45"/>
      <c r="X14" s="627"/>
      <c r="Y14" s="45"/>
      <c r="Z14" s="627"/>
      <c r="AA14" s="45"/>
      <c r="AB14" s="627"/>
      <c r="AC14" s="45"/>
      <c r="AD14" s="627"/>
      <c r="AE14" s="45"/>
      <c r="AF14" s="627"/>
      <c r="AG14" s="628"/>
      <c r="AH14" s="45"/>
      <c r="AI14" s="628"/>
      <c r="AJ14" s="45"/>
      <c r="AK14" s="628"/>
      <c r="AL14" s="45"/>
      <c r="AM14" s="628"/>
      <c r="AN14" s="45"/>
      <c r="AO14" s="628"/>
    </row>
    <row r="15" spans="1:41" x14ac:dyDescent="0.25">
      <c r="A15" s="582">
        <v>15</v>
      </c>
      <c r="B15" s="627">
        <v>0.81100000000000005</v>
      </c>
      <c r="C15" s="45">
        <v>1.07</v>
      </c>
      <c r="D15" s="627">
        <v>0.7</v>
      </c>
      <c r="E15" s="628">
        <v>1.252</v>
      </c>
      <c r="F15" s="45">
        <v>0.59099999999999997</v>
      </c>
      <c r="G15" s="45">
        <v>1.4650000000000001</v>
      </c>
      <c r="H15" s="627">
        <v>0.48699999999999999</v>
      </c>
      <c r="I15" s="628">
        <v>1.7050000000000001</v>
      </c>
      <c r="J15" s="45">
        <v>0.39</v>
      </c>
      <c r="K15" s="45">
        <v>1.9670000000000001</v>
      </c>
      <c r="L15" s="627">
        <v>0.30299999999999999</v>
      </c>
      <c r="M15" s="628">
        <v>2.2440000000000002</v>
      </c>
      <c r="N15" s="45">
        <v>0.22600000000000001</v>
      </c>
      <c r="O15" s="45">
        <v>2.5299999999999998</v>
      </c>
      <c r="P15" s="627">
        <v>0.161</v>
      </c>
      <c r="Q15" s="45">
        <v>2.8170000000000002</v>
      </c>
      <c r="R15" s="627">
        <v>0.107</v>
      </c>
      <c r="S15" s="628">
        <v>3.101</v>
      </c>
      <c r="T15" s="45">
        <v>6.8000000000000005E-2</v>
      </c>
      <c r="U15" s="45">
        <v>3.3740000000000001</v>
      </c>
      <c r="V15" s="627"/>
      <c r="W15" s="45"/>
      <c r="X15" s="627"/>
      <c r="Y15" s="45"/>
      <c r="Z15" s="627"/>
      <c r="AA15" s="45"/>
      <c r="AB15" s="627"/>
      <c r="AC15" s="45"/>
      <c r="AD15" s="627"/>
      <c r="AE15" s="45"/>
      <c r="AF15" s="627"/>
      <c r="AG15" s="628"/>
      <c r="AH15" s="45"/>
      <c r="AI15" s="628"/>
      <c r="AJ15" s="45"/>
      <c r="AK15" s="628"/>
      <c r="AL15" s="45"/>
      <c r="AM15" s="628"/>
      <c r="AN15" s="45"/>
      <c r="AO15" s="628"/>
    </row>
    <row r="16" spans="1:41" x14ac:dyDescent="0.25">
      <c r="A16" s="582">
        <v>16</v>
      </c>
      <c r="B16" s="627">
        <v>0.84399999999999997</v>
      </c>
      <c r="C16" s="45">
        <v>1.0860000000000001</v>
      </c>
      <c r="D16" s="627">
        <v>0.73799999999999999</v>
      </c>
      <c r="E16" s="628">
        <v>1.2529999999999999</v>
      </c>
      <c r="F16" s="45">
        <v>0.63300000000000001</v>
      </c>
      <c r="G16" s="45">
        <v>1.4470000000000001</v>
      </c>
      <c r="H16" s="627">
        <v>0.53200000000000003</v>
      </c>
      <c r="I16" s="628">
        <v>1.6639999999999999</v>
      </c>
      <c r="J16" s="45">
        <v>0.437</v>
      </c>
      <c r="K16" s="45">
        <v>1.901</v>
      </c>
      <c r="L16" s="627">
        <v>0.34899999999999998</v>
      </c>
      <c r="M16" s="628">
        <v>2.153</v>
      </c>
      <c r="N16" s="45">
        <v>0.26900000000000002</v>
      </c>
      <c r="O16" s="45">
        <v>2.4159999999999999</v>
      </c>
      <c r="P16" s="627">
        <v>0.2</v>
      </c>
      <c r="Q16" s="45">
        <v>2.681</v>
      </c>
      <c r="R16" s="627">
        <v>0.14199999999999999</v>
      </c>
      <c r="S16" s="628">
        <v>2.944</v>
      </c>
      <c r="T16" s="45">
        <v>9.4E-2</v>
      </c>
      <c r="U16" s="45">
        <v>3.2010000000000001</v>
      </c>
      <c r="V16" s="627">
        <v>0.06</v>
      </c>
      <c r="W16" s="45">
        <v>3.4460000000000002</v>
      </c>
      <c r="X16" s="627"/>
      <c r="Y16" s="45"/>
      <c r="Z16" s="627"/>
      <c r="AA16" s="45"/>
      <c r="AB16" s="627"/>
      <c r="AC16" s="45"/>
      <c r="AD16" s="627"/>
      <c r="AE16" s="45"/>
      <c r="AF16" s="627"/>
      <c r="AG16" s="628"/>
      <c r="AH16" s="45"/>
      <c r="AI16" s="628"/>
      <c r="AJ16" s="45"/>
      <c r="AK16" s="628"/>
      <c r="AL16" s="45"/>
      <c r="AM16" s="628"/>
      <c r="AN16" s="45"/>
      <c r="AO16" s="628"/>
    </row>
    <row r="17" spans="1:41" x14ac:dyDescent="0.25">
      <c r="A17" s="582">
        <v>17</v>
      </c>
      <c r="B17" s="627">
        <v>0.873</v>
      </c>
      <c r="C17" s="45">
        <v>1.1020000000000001</v>
      </c>
      <c r="D17" s="627">
        <v>0.77300000000000002</v>
      </c>
      <c r="E17" s="628">
        <v>1.2549999999999999</v>
      </c>
      <c r="F17" s="45">
        <v>0.67200000000000004</v>
      </c>
      <c r="G17" s="45">
        <v>1.4319999999999999</v>
      </c>
      <c r="H17" s="627">
        <v>0.57399999999999995</v>
      </c>
      <c r="I17" s="628">
        <v>1.631</v>
      </c>
      <c r="J17" s="45">
        <v>0.48099999999999998</v>
      </c>
      <c r="K17" s="45">
        <v>1.847</v>
      </c>
      <c r="L17" s="627">
        <v>0.39300000000000002</v>
      </c>
      <c r="M17" s="628">
        <v>2.0779999999999998</v>
      </c>
      <c r="N17" s="45">
        <v>0.313</v>
      </c>
      <c r="O17" s="45">
        <v>2.319</v>
      </c>
      <c r="P17" s="627">
        <v>0.24099999999999999</v>
      </c>
      <c r="Q17" s="45">
        <v>2.5659999999999998</v>
      </c>
      <c r="R17" s="627">
        <v>0.17899999999999999</v>
      </c>
      <c r="S17" s="628">
        <v>2.8109999999999999</v>
      </c>
      <c r="T17" s="45">
        <v>0.127</v>
      </c>
      <c r="U17" s="45">
        <v>3.0529999999999999</v>
      </c>
      <c r="V17" s="627">
        <v>8.4000000000000005E-2</v>
      </c>
      <c r="W17" s="45">
        <v>3.286</v>
      </c>
      <c r="X17" s="627">
        <v>5.2999999999999999E-2</v>
      </c>
      <c r="Y17" s="45">
        <v>3.5059999999999998</v>
      </c>
      <c r="Z17" s="627"/>
      <c r="AA17" s="45"/>
      <c r="AB17" s="627"/>
      <c r="AC17" s="45"/>
      <c r="AD17" s="627"/>
      <c r="AE17" s="45"/>
      <c r="AF17" s="627"/>
      <c r="AG17" s="628"/>
      <c r="AH17" s="45"/>
      <c r="AI17" s="628"/>
      <c r="AJ17" s="45"/>
      <c r="AK17" s="628"/>
      <c r="AL17" s="45"/>
      <c r="AM17" s="628"/>
      <c r="AN17" s="45"/>
      <c r="AO17" s="628"/>
    </row>
    <row r="18" spans="1:41" x14ac:dyDescent="0.25">
      <c r="A18" s="582">
        <v>18</v>
      </c>
      <c r="B18" s="627">
        <v>0.90200000000000002</v>
      </c>
      <c r="C18" s="45">
        <v>1.1180000000000001</v>
      </c>
      <c r="D18" s="627">
        <v>0.80500000000000005</v>
      </c>
      <c r="E18" s="628">
        <v>1.2589999999999999</v>
      </c>
      <c r="F18" s="45">
        <v>0.70799999999999996</v>
      </c>
      <c r="G18" s="45">
        <v>1.4219999999999999</v>
      </c>
      <c r="H18" s="627">
        <v>0.61399999999999999</v>
      </c>
      <c r="I18" s="628">
        <v>1.6040000000000001</v>
      </c>
      <c r="J18" s="45">
        <v>0.52200000000000002</v>
      </c>
      <c r="K18" s="45">
        <v>1.8029999999999999</v>
      </c>
      <c r="L18" s="627">
        <v>0.435</v>
      </c>
      <c r="M18" s="628">
        <v>2.0150000000000001</v>
      </c>
      <c r="N18" s="45">
        <v>0.35499999999999998</v>
      </c>
      <c r="O18" s="45">
        <v>2.238</v>
      </c>
      <c r="P18" s="627">
        <v>0.28199999999999997</v>
      </c>
      <c r="Q18" s="45">
        <v>2.4670000000000001</v>
      </c>
      <c r="R18" s="627">
        <v>0.216</v>
      </c>
      <c r="S18" s="628">
        <v>2.6970000000000001</v>
      </c>
      <c r="T18" s="45">
        <v>0.16</v>
      </c>
      <c r="U18" s="45">
        <v>2.9249999999999998</v>
      </c>
      <c r="V18" s="627">
        <v>0.113</v>
      </c>
      <c r="W18" s="45">
        <v>3.1459999999999999</v>
      </c>
      <c r="X18" s="627">
        <v>7.4999999999999997E-2</v>
      </c>
      <c r="Y18" s="45">
        <v>3.3580000000000001</v>
      </c>
      <c r="Z18" s="627">
        <v>4.7E-2</v>
      </c>
      <c r="AA18" s="45">
        <v>3.5569999999999999</v>
      </c>
      <c r="AB18" s="627"/>
      <c r="AC18" s="45"/>
      <c r="AD18" s="627"/>
      <c r="AE18" s="45"/>
      <c r="AF18" s="627"/>
      <c r="AG18" s="628"/>
      <c r="AH18" s="45"/>
      <c r="AI18" s="628"/>
      <c r="AJ18" s="45"/>
      <c r="AK18" s="628"/>
      <c r="AL18" s="45"/>
      <c r="AM18" s="628"/>
      <c r="AN18" s="45"/>
      <c r="AO18" s="628"/>
    </row>
    <row r="19" spans="1:41" x14ac:dyDescent="0.25">
      <c r="A19" s="582">
        <v>19</v>
      </c>
      <c r="B19" s="627">
        <v>0.92800000000000005</v>
      </c>
      <c r="C19" s="45">
        <v>1.133</v>
      </c>
      <c r="D19" s="627">
        <v>0.83499999999999996</v>
      </c>
      <c r="E19" s="628">
        <v>1.264</v>
      </c>
      <c r="F19" s="45">
        <v>0.74199999999999999</v>
      </c>
      <c r="G19" s="45">
        <v>1.4159999999999999</v>
      </c>
      <c r="H19" s="627">
        <v>0.65</v>
      </c>
      <c r="I19" s="628">
        <v>1.583</v>
      </c>
      <c r="J19" s="45">
        <v>0.56100000000000005</v>
      </c>
      <c r="K19" s="45">
        <v>1.7669999999999999</v>
      </c>
      <c r="L19" s="627">
        <v>0.47599999999999998</v>
      </c>
      <c r="M19" s="628">
        <v>1.9630000000000001</v>
      </c>
      <c r="N19" s="45">
        <v>0.39600000000000002</v>
      </c>
      <c r="O19" s="45">
        <v>2.169</v>
      </c>
      <c r="P19" s="627">
        <v>0.32200000000000001</v>
      </c>
      <c r="Q19" s="45">
        <v>2.3809999999999998</v>
      </c>
      <c r="R19" s="627">
        <v>0.255</v>
      </c>
      <c r="S19" s="628">
        <v>2.597</v>
      </c>
      <c r="T19" s="45">
        <v>0.19600000000000001</v>
      </c>
      <c r="U19" s="45">
        <v>2.8130000000000002</v>
      </c>
      <c r="V19" s="627">
        <v>0.14499999999999999</v>
      </c>
      <c r="W19" s="45">
        <v>3.0230000000000001</v>
      </c>
      <c r="X19" s="627">
        <v>0.10199999999999999</v>
      </c>
      <c r="Y19" s="45">
        <v>3.2269999999999999</v>
      </c>
      <c r="Z19" s="627">
        <v>6.7000000000000004E-2</v>
      </c>
      <c r="AA19" s="45">
        <v>3.42</v>
      </c>
      <c r="AB19" s="627">
        <v>4.2999999999999997E-2</v>
      </c>
      <c r="AC19" s="45">
        <v>3.601</v>
      </c>
      <c r="AD19" s="627"/>
      <c r="AE19" s="45"/>
      <c r="AF19" s="627"/>
      <c r="AG19" s="628"/>
      <c r="AH19" s="45"/>
      <c r="AI19" s="628"/>
      <c r="AJ19" s="45"/>
      <c r="AK19" s="628"/>
      <c r="AL19" s="45"/>
      <c r="AM19" s="628"/>
      <c r="AN19" s="45"/>
      <c r="AO19" s="628"/>
    </row>
    <row r="20" spans="1:41" x14ac:dyDescent="0.25">
      <c r="A20" s="582">
        <v>20</v>
      </c>
      <c r="B20" s="627">
        <v>0.95199999999999996</v>
      </c>
      <c r="C20" s="45">
        <v>1.147</v>
      </c>
      <c r="D20" s="627">
        <v>0.86199999999999999</v>
      </c>
      <c r="E20" s="628">
        <v>1.27</v>
      </c>
      <c r="F20" s="45">
        <v>0.77400000000000002</v>
      </c>
      <c r="G20" s="45">
        <v>1.41</v>
      </c>
      <c r="H20" s="627">
        <v>0.68400000000000005</v>
      </c>
      <c r="I20" s="628">
        <v>1.5669999999999999</v>
      </c>
      <c r="J20" s="45">
        <v>0.59799999999999998</v>
      </c>
      <c r="K20" s="45">
        <v>1.736</v>
      </c>
      <c r="L20" s="627">
        <v>0.51500000000000001</v>
      </c>
      <c r="M20" s="628">
        <v>1.9179999999999999</v>
      </c>
      <c r="N20" s="45">
        <v>0.436</v>
      </c>
      <c r="O20" s="45">
        <v>2.11</v>
      </c>
      <c r="P20" s="627">
        <v>0.36199999999999999</v>
      </c>
      <c r="Q20" s="45">
        <v>2.3079999999999998</v>
      </c>
      <c r="R20" s="627">
        <v>0.29399999999999998</v>
      </c>
      <c r="S20" s="628">
        <v>2.5099999999999998</v>
      </c>
      <c r="T20" s="45">
        <v>0.23200000000000001</v>
      </c>
      <c r="U20" s="45">
        <v>2.1739999999999999</v>
      </c>
      <c r="V20" s="627">
        <v>0.17799999999999999</v>
      </c>
      <c r="W20" s="45">
        <v>2.9140000000000001</v>
      </c>
      <c r="X20" s="627">
        <v>0.13100000000000001</v>
      </c>
      <c r="Y20" s="45">
        <v>3.109</v>
      </c>
      <c r="Z20" s="627">
        <v>9.1999999999999998E-2</v>
      </c>
      <c r="AA20" s="45">
        <v>3.2970000000000002</v>
      </c>
      <c r="AB20" s="627">
        <v>6.0999999999999999E-2</v>
      </c>
      <c r="AC20" s="45">
        <v>3.4740000000000002</v>
      </c>
      <c r="AD20" s="627">
        <v>3.7999999999999999E-2</v>
      </c>
      <c r="AE20" s="45">
        <v>3.6389999999999998</v>
      </c>
      <c r="AF20" s="627"/>
      <c r="AG20" s="628"/>
      <c r="AH20" s="45"/>
      <c r="AI20" s="628"/>
      <c r="AJ20" s="45"/>
      <c r="AK20" s="628"/>
      <c r="AL20" s="45"/>
      <c r="AM20" s="628"/>
      <c r="AN20" s="45"/>
      <c r="AO20" s="628"/>
    </row>
    <row r="21" spans="1:41" x14ac:dyDescent="0.25">
      <c r="A21" s="582">
        <v>21</v>
      </c>
      <c r="B21" s="627">
        <v>0.97499999999999998</v>
      </c>
      <c r="C21" s="45">
        <v>1.161</v>
      </c>
      <c r="D21" s="627">
        <v>0.88900000000000001</v>
      </c>
      <c r="E21" s="628">
        <v>1.276</v>
      </c>
      <c r="F21" s="45">
        <v>0.80300000000000005</v>
      </c>
      <c r="G21" s="45">
        <v>1.4079999999999999</v>
      </c>
      <c r="H21" s="627">
        <v>0.71799999999999997</v>
      </c>
      <c r="I21" s="628">
        <v>1.554</v>
      </c>
      <c r="J21" s="45">
        <v>0.63400000000000001</v>
      </c>
      <c r="K21" s="45">
        <v>1.712</v>
      </c>
      <c r="L21" s="627">
        <v>0.55200000000000005</v>
      </c>
      <c r="M21" s="628">
        <v>1.881</v>
      </c>
      <c r="N21" s="45">
        <v>0.47399999999999998</v>
      </c>
      <c r="O21" s="45">
        <v>2.0590000000000002</v>
      </c>
      <c r="P21" s="627">
        <v>0.4</v>
      </c>
      <c r="Q21" s="45">
        <v>2.2440000000000002</v>
      </c>
      <c r="R21" s="627">
        <v>0.33100000000000002</v>
      </c>
      <c r="S21" s="628">
        <v>2.4340000000000002</v>
      </c>
      <c r="T21" s="45">
        <v>0.26800000000000002</v>
      </c>
      <c r="U21" s="45">
        <v>2.625</v>
      </c>
      <c r="V21" s="627">
        <v>0.21199999999999999</v>
      </c>
      <c r="W21" s="45">
        <v>2.8170000000000002</v>
      </c>
      <c r="X21" s="627">
        <v>0.16200000000000001</v>
      </c>
      <c r="Y21" s="45">
        <v>3.004</v>
      </c>
      <c r="Z21" s="627">
        <v>0.11899999999999999</v>
      </c>
      <c r="AA21" s="45">
        <v>3.1850000000000001</v>
      </c>
      <c r="AB21" s="627">
        <v>8.4000000000000005E-2</v>
      </c>
      <c r="AC21" s="45">
        <v>3.3580000000000001</v>
      </c>
      <c r="AD21" s="627">
        <v>5.5E-2</v>
      </c>
      <c r="AE21" s="45">
        <v>3.5209999999999999</v>
      </c>
      <c r="AF21" s="627">
        <v>3.5000000000000003E-2</v>
      </c>
      <c r="AG21" s="628">
        <v>3.6709999999999998</v>
      </c>
      <c r="AH21" s="45"/>
      <c r="AI21" s="628"/>
      <c r="AJ21" s="45"/>
      <c r="AK21" s="628"/>
      <c r="AL21" s="45"/>
      <c r="AM21" s="628"/>
      <c r="AN21" s="45"/>
      <c r="AO21" s="628"/>
    </row>
    <row r="22" spans="1:41" x14ac:dyDescent="0.25">
      <c r="A22" s="582">
        <v>22</v>
      </c>
      <c r="B22" s="627">
        <v>0.997</v>
      </c>
      <c r="C22" s="45">
        <v>1.1739999999999999</v>
      </c>
      <c r="D22" s="627">
        <v>0.91500000000000004</v>
      </c>
      <c r="E22" s="628">
        <v>1.284</v>
      </c>
      <c r="F22" s="45">
        <v>0.83199999999999996</v>
      </c>
      <c r="G22" s="45">
        <v>1.407</v>
      </c>
      <c r="H22" s="627">
        <v>0.748</v>
      </c>
      <c r="I22" s="628">
        <v>1.5429999999999999</v>
      </c>
      <c r="J22" s="45">
        <v>0.66600000000000004</v>
      </c>
      <c r="K22" s="45">
        <v>1.6910000000000001</v>
      </c>
      <c r="L22" s="627">
        <v>0.58699999999999997</v>
      </c>
      <c r="M22" s="628">
        <v>1.849</v>
      </c>
      <c r="N22" s="45">
        <v>0.51</v>
      </c>
      <c r="O22" s="45">
        <v>2.0150000000000001</v>
      </c>
      <c r="P22" s="627">
        <v>0.437</v>
      </c>
      <c r="Q22" s="45">
        <v>2.1880000000000002</v>
      </c>
      <c r="R22" s="627">
        <v>0.36799999999999999</v>
      </c>
      <c r="S22" s="628">
        <v>2.367</v>
      </c>
      <c r="T22" s="45">
        <v>0.30399999999999999</v>
      </c>
      <c r="U22" s="45">
        <v>2.548</v>
      </c>
      <c r="V22" s="627">
        <v>0.246</v>
      </c>
      <c r="W22" s="45">
        <v>2.7290000000000001</v>
      </c>
      <c r="X22" s="627">
        <v>0.19400000000000001</v>
      </c>
      <c r="Y22" s="45">
        <v>2.9089999999999998</v>
      </c>
      <c r="Z22" s="627">
        <v>0.14799999999999999</v>
      </c>
      <c r="AA22" s="45">
        <v>3.0840000000000001</v>
      </c>
      <c r="AB22" s="627">
        <v>0.109</v>
      </c>
      <c r="AC22" s="45">
        <v>3.2519999999999998</v>
      </c>
      <c r="AD22" s="627">
        <v>7.6999999999999999E-2</v>
      </c>
      <c r="AE22" s="45">
        <v>3.4119999999999999</v>
      </c>
      <c r="AF22" s="627">
        <v>0.05</v>
      </c>
      <c r="AG22" s="628">
        <v>3.5619999999999998</v>
      </c>
      <c r="AH22" s="45">
        <v>3.2000000000000001E-2</v>
      </c>
      <c r="AI22" s="628">
        <v>3.7</v>
      </c>
      <c r="AJ22" s="45"/>
      <c r="AK22" s="628"/>
      <c r="AL22" s="45"/>
      <c r="AM22" s="628"/>
      <c r="AN22" s="45"/>
      <c r="AO22" s="628"/>
    </row>
    <row r="23" spans="1:41" x14ac:dyDescent="0.25">
      <c r="A23" s="582">
        <v>23</v>
      </c>
      <c r="B23" s="627">
        <v>1.0169999999999999</v>
      </c>
      <c r="C23" s="45">
        <v>1.1859999999999999</v>
      </c>
      <c r="D23" s="627">
        <v>0.93799999999999994</v>
      </c>
      <c r="E23" s="628">
        <v>1.29</v>
      </c>
      <c r="F23" s="45">
        <v>0.85799999999999998</v>
      </c>
      <c r="G23" s="45">
        <v>1.407</v>
      </c>
      <c r="H23" s="627">
        <v>0.77700000000000002</v>
      </c>
      <c r="I23" s="628">
        <v>1.5349999999999999</v>
      </c>
      <c r="J23" s="45">
        <v>0.69899999999999995</v>
      </c>
      <c r="K23" s="45">
        <v>1.6739999999999999</v>
      </c>
      <c r="L23" s="627">
        <v>0.62</v>
      </c>
      <c r="M23" s="628">
        <v>1.821</v>
      </c>
      <c r="N23" s="45">
        <v>0.54500000000000004</v>
      </c>
      <c r="O23" s="45">
        <v>1.9770000000000001</v>
      </c>
      <c r="P23" s="627">
        <v>0.47299999999999998</v>
      </c>
      <c r="Q23" s="45">
        <v>2.14</v>
      </c>
      <c r="R23" s="627">
        <v>0.40400000000000003</v>
      </c>
      <c r="S23" s="628">
        <v>2.3079999999999998</v>
      </c>
      <c r="T23" s="45">
        <v>0.34</v>
      </c>
      <c r="U23" s="45">
        <v>2.4790000000000001</v>
      </c>
      <c r="V23" s="627">
        <v>0.28100000000000003</v>
      </c>
      <c r="W23" s="45">
        <v>2.6509999999999998</v>
      </c>
      <c r="X23" s="627">
        <v>0.22700000000000001</v>
      </c>
      <c r="Y23" s="45">
        <v>2.8220000000000001</v>
      </c>
      <c r="Z23" s="627">
        <v>0.17799999999999999</v>
      </c>
      <c r="AA23" s="45">
        <v>2.9910000000000001</v>
      </c>
      <c r="AB23" s="627">
        <v>0.13600000000000001</v>
      </c>
      <c r="AC23" s="45">
        <v>3.1549999999999998</v>
      </c>
      <c r="AD23" s="627">
        <v>0.1</v>
      </c>
      <c r="AE23" s="45">
        <v>3.3109999999999999</v>
      </c>
      <c r="AF23" s="627">
        <v>7.0000000000000007E-2</v>
      </c>
      <c r="AG23" s="628">
        <v>3.4590000000000001</v>
      </c>
      <c r="AH23" s="45">
        <v>4.5999999999999999E-2</v>
      </c>
      <c r="AI23" s="628">
        <v>3.597</v>
      </c>
      <c r="AJ23" s="45">
        <v>2.9000000000000001E-2</v>
      </c>
      <c r="AK23" s="628">
        <v>3.7250000000000001</v>
      </c>
      <c r="AL23" s="45"/>
      <c r="AM23" s="628"/>
      <c r="AN23" s="45"/>
      <c r="AO23" s="628"/>
    </row>
    <row r="24" spans="1:41" x14ac:dyDescent="0.25">
      <c r="A24" s="582">
        <v>24</v>
      </c>
      <c r="B24" s="627">
        <v>1.0369999999999999</v>
      </c>
      <c r="C24" s="45">
        <v>1.1990000000000001</v>
      </c>
      <c r="D24" s="627">
        <v>0.95899999999999996</v>
      </c>
      <c r="E24" s="628">
        <v>1.298</v>
      </c>
      <c r="F24" s="45">
        <v>0.88100000000000001</v>
      </c>
      <c r="G24" s="45">
        <v>1.407</v>
      </c>
      <c r="H24" s="627">
        <v>0.80500000000000005</v>
      </c>
      <c r="I24" s="628">
        <v>1.5269999999999999</v>
      </c>
      <c r="J24" s="45">
        <v>0.72799999999999998</v>
      </c>
      <c r="K24" s="45">
        <v>1.659</v>
      </c>
      <c r="L24" s="627">
        <v>0.65200000000000002</v>
      </c>
      <c r="M24" s="628">
        <v>1.7969999999999999</v>
      </c>
      <c r="N24" s="45">
        <v>0.57799999999999996</v>
      </c>
      <c r="O24" s="45">
        <v>1.944</v>
      </c>
      <c r="P24" s="627">
        <v>0.50700000000000001</v>
      </c>
      <c r="Q24" s="45">
        <v>2.097</v>
      </c>
      <c r="R24" s="627">
        <v>0.439</v>
      </c>
      <c r="S24" s="628">
        <v>2.2549999999999999</v>
      </c>
      <c r="T24" s="45">
        <v>0.375</v>
      </c>
      <c r="U24" s="45">
        <v>2.4169999999999998</v>
      </c>
      <c r="V24" s="627">
        <v>0.315</v>
      </c>
      <c r="W24" s="45">
        <v>2.58</v>
      </c>
      <c r="X24" s="627">
        <v>0.26</v>
      </c>
      <c r="Y24" s="45">
        <v>2.7440000000000002</v>
      </c>
      <c r="Z24" s="627">
        <v>0.20899999999999999</v>
      </c>
      <c r="AA24" s="45">
        <v>2.9060000000000001</v>
      </c>
      <c r="AB24" s="627">
        <v>0.16500000000000001</v>
      </c>
      <c r="AC24" s="45">
        <v>3.0649999999999999</v>
      </c>
      <c r="AD24" s="627">
        <v>0.125</v>
      </c>
      <c r="AE24" s="45">
        <v>3.218</v>
      </c>
      <c r="AF24" s="627">
        <v>9.1999999999999998E-2</v>
      </c>
      <c r="AG24" s="628">
        <v>3.363</v>
      </c>
      <c r="AH24" s="45">
        <v>6.5000000000000002E-2</v>
      </c>
      <c r="AI24" s="628">
        <v>3.5009999999999999</v>
      </c>
      <c r="AJ24" s="45">
        <v>4.2999999999999997E-2</v>
      </c>
      <c r="AK24" s="628">
        <v>3.629</v>
      </c>
      <c r="AL24" s="45">
        <v>2.7E-2</v>
      </c>
      <c r="AM24" s="628">
        <v>3.7469999999999999</v>
      </c>
      <c r="AN24" s="45"/>
      <c r="AO24" s="628"/>
    </row>
    <row r="25" spans="1:41" x14ac:dyDescent="0.25">
      <c r="A25" s="582">
        <v>25</v>
      </c>
      <c r="B25" s="627">
        <v>1.0549999999999999</v>
      </c>
      <c r="C25" s="45">
        <v>1.21</v>
      </c>
      <c r="D25" s="627">
        <v>0.98099999999999998</v>
      </c>
      <c r="E25" s="628">
        <v>1.3049999999999999</v>
      </c>
      <c r="F25" s="45">
        <v>0.90600000000000003</v>
      </c>
      <c r="G25" s="45">
        <v>1.4079999999999999</v>
      </c>
      <c r="H25" s="627">
        <v>0.83199999999999996</v>
      </c>
      <c r="I25" s="628">
        <v>1.5209999999999999</v>
      </c>
      <c r="J25" s="45">
        <v>0.75600000000000001</v>
      </c>
      <c r="K25" s="45">
        <v>1.645</v>
      </c>
      <c r="L25" s="627">
        <v>0.68200000000000005</v>
      </c>
      <c r="M25" s="628">
        <v>1.776</v>
      </c>
      <c r="N25" s="45">
        <v>0.61</v>
      </c>
      <c r="O25" s="45">
        <v>1.915</v>
      </c>
      <c r="P25" s="627">
        <v>0.54</v>
      </c>
      <c r="Q25" s="45">
        <v>2.0590000000000002</v>
      </c>
      <c r="R25" s="627">
        <v>0.47299999999999998</v>
      </c>
      <c r="S25" s="628">
        <v>2.2090000000000001</v>
      </c>
      <c r="T25" s="45">
        <v>0.40899999999999997</v>
      </c>
      <c r="U25" s="45">
        <v>2.3620000000000001</v>
      </c>
      <c r="V25" s="627">
        <v>0.34799999999999998</v>
      </c>
      <c r="W25" s="45">
        <v>2.5169999999999999</v>
      </c>
      <c r="X25" s="627">
        <v>0.29199999999999998</v>
      </c>
      <c r="Y25" s="45">
        <v>2.6739999999999999</v>
      </c>
      <c r="Z25" s="627">
        <v>0.24</v>
      </c>
      <c r="AA25" s="45">
        <v>2.8290000000000002</v>
      </c>
      <c r="AB25" s="627">
        <v>0.19400000000000001</v>
      </c>
      <c r="AC25" s="45">
        <v>2.9820000000000002</v>
      </c>
      <c r="AD25" s="627">
        <v>0.152</v>
      </c>
      <c r="AE25" s="45">
        <v>3.1309999999999998</v>
      </c>
      <c r="AF25" s="627">
        <v>0.11600000000000001</v>
      </c>
      <c r="AG25" s="628">
        <v>3.274</v>
      </c>
      <c r="AH25" s="45">
        <v>8.5000000000000006E-2</v>
      </c>
      <c r="AI25" s="628">
        <v>3.41</v>
      </c>
      <c r="AJ25" s="45">
        <v>0.06</v>
      </c>
      <c r="AK25" s="628">
        <v>3.5379999999999998</v>
      </c>
      <c r="AL25" s="45">
        <v>3.9E-2</v>
      </c>
      <c r="AM25" s="628">
        <v>3.657</v>
      </c>
      <c r="AN25" s="45">
        <v>2.5000000000000001E-2</v>
      </c>
      <c r="AO25" s="628">
        <v>3.766</v>
      </c>
    </row>
    <row r="26" spans="1:41" x14ac:dyDescent="0.25">
      <c r="A26" s="582">
        <v>26</v>
      </c>
      <c r="B26" s="627">
        <v>1.0720000000000001</v>
      </c>
      <c r="C26" s="45">
        <v>1.222</v>
      </c>
      <c r="D26" s="627">
        <v>1</v>
      </c>
      <c r="E26" s="628">
        <v>1.3109999999999999</v>
      </c>
      <c r="F26" s="45">
        <v>0.92800000000000005</v>
      </c>
      <c r="G26" s="45">
        <v>1.41</v>
      </c>
      <c r="H26" s="627">
        <v>0.85499999999999998</v>
      </c>
      <c r="I26" s="628">
        <v>1.5169999999999999</v>
      </c>
      <c r="J26" s="45">
        <v>0.78200000000000003</v>
      </c>
      <c r="K26" s="45">
        <v>1.635</v>
      </c>
      <c r="L26" s="627">
        <v>0.71099999999999997</v>
      </c>
      <c r="M26" s="628">
        <v>1.7589999999999999</v>
      </c>
      <c r="N26" s="45">
        <v>0.64</v>
      </c>
      <c r="O26" s="45">
        <v>1.889</v>
      </c>
      <c r="P26" s="627">
        <v>0.57199999999999995</v>
      </c>
      <c r="Q26" s="45">
        <v>2.0259999999999998</v>
      </c>
      <c r="R26" s="627">
        <v>0.505</v>
      </c>
      <c r="S26" s="628">
        <v>2.1680000000000001</v>
      </c>
      <c r="T26" s="45">
        <v>0.441</v>
      </c>
      <c r="U26" s="45">
        <v>2.3130000000000002</v>
      </c>
      <c r="V26" s="627">
        <v>0.38100000000000001</v>
      </c>
      <c r="W26" s="45">
        <v>2.46</v>
      </c>
      <c r="X26" s="627">
        <v>0.32400000000000001</v>
      </c>
      <c r="Y26" s="45">
        <v>2.61</v>
      </c>
      <c r="Z26" s="627">
        <v>0.27200000000000002</v>
      </c>
      <c r="AA26" s="45">
        <v>2.758</v>
      </c>
      <c r="AB26" s="627">
        <v>0.224</v>
      </c>
      <c r="AC26" s="45">
        <v>2.9060000000000001</v>
      </c>
      <c r="AD26" s="627">
        <v>0.18</v>
      </c>
      <c r="AE26" s="45">
        <v>3.05</v>
      </c>
      <c r="AF26" s="627">
        <v>0.14099999999999999</v>
      </c>
      <c r="AG26" s="628">
        <v>3.1909999999999998</v>
      </c>
      <c r="AH26" s="45">
        <v>0.107</v>
      </c>
      <c r="AI26" s="628">
        <v>3.3250000000000002</v>
      </c>
      <c r="AJ26" s="45">
        <v>7.9000000000000001E-2</v>
      </c>
      <c r="AK26" s="628">
        <v>3.452</v>
      </c>
      <c r="AL26" s="45">
        <v>5.5E-2</v>
      </c>
      <c r="AM26" s="628">
        <v>3.5720000000000001</v>
      </c>
      <c r="AN26" s="45">
        <v>3.5999999999999997E-2</v>
      </c>
      <c r="AO26" s="628">
        <v>3.6819999999999999</v>
      </c>
    </row>
    <row r="27" spans="1:41" x14ac:dyDescent="0.25">
      <c r="A27" s="582">
        <v>27</v>
      </c>
      <c r="B27" s="627">
        <v>1.0880000000000001</v>
      </c>
      <c r="C27" s="45">
        <v>1.232</v>
      </c>
      <c r="D27" s="627">
        <v>1.0189999999999999</v>
      </c>
      <c r="E27" s="628">
        <v>1.3180000000000001</v>
      </c>
      <c r="F27" s="45">
        <v>0.94799999999999995</v>
      </c>
      <c r="G27" s="45">
        <v>1.413</v>
      </c>
      <c r="H27" s="627">
        <v>0.878</v>
      </c>
      <c r="I27" s="628">
        <v>1.514</v>
      </c>
      <c r="J27" s="45">
        <v>0.80800000000000005</v>
      </c>
      <c r="K27" s="45">
        <v>1.625</v>
      </c>
      <c r="L27" s="627">
        <v>0.73799999999999999</v>
      </c>
      <c r="M27" s="628">
        <v>1.7430000000000001</v>
      </c>
      <c r="N27" s="45">
        <v>0.66900000000000004</v>
      </c>
      <c r="O27" s="45">
        <v>1.867</v>
      </c>
      <c r="P27" s="627">
        <v>0.60199999999999998</v>
      </c>
      <c r="Q27" s="45">
        <v>1.9970000000000001</v>
      </c>
      <c r="R27" s="627">
        <v>0.53600000000000003</v>
      </c>
      <c r="S27" s="628">
        <v>2.1309999999999998</v>
      </c>
      <c r="T27" s="45">
        <v>0.47299999999999998</v>
      </c>
      <c r="U27" s="45">
        <v>2.2690000000000001</v>
      </c>
      <c r="V27" s="627">
        <v>0.41299999999999998</v>
      </c>
      <c r="W27" s="45">
        <v>2.4089999999999998</v>
      </c>
      <c r="X27" s="627">
        <v>0.35599999999999998</v>
      </c>
      <c r="Y27" s="45">
        <v>2.552</v>
      </c>
      <c r="Z27" s="627">
        <v>0.30299999999999999</v>
      </c>
      <c r="AA27" s="45">
        <v>2.694</v>
      </c>
      <c r="AB27" s="627">
        <v>0.253</v>
      </c>
      <c r="AC27" s="45">
        <v>2.8359999999999999</v>
      </c>
      <c r="AD27" s="627">
        <v>0.20799999999999999</v>
      </c>
      <c r="AE27" s="45">
        <v>2.976</v>
      </c>
      <c r="AF27" s="627">
        <v>0.16700000000000001</v>
      </c>
      <c r="AG27" s="628">
        <v>3.113</v>
      </c>
      <c r="AH27" s="45">
        <v>0.13100000000000001</v>
      </c>
      <c r="AI27" s="628">
        <v>3.2450000000000001</v>
      </c>
      <c r="AJ27" s="45">
        <v>0.1</v>
      </c>
      <c r="AK27" s="628">
        <v>3.371</v>
      </c>
      <c r="AL27" s="45">
        <v>7.2999999999999995E-2</v>
      </c>
      <c r="AM27" s="628">
        <v>3.49</v>
      </c>
      <c r="AN27" s="45">
        <v>5.0999999999999997E-2</v>
      </c>
      <c r="AO27" s="628">
        <v>3.6019999999999999</v>
      </c>
    </row>
    <row r="28" spans="1:41" x14ac:dyDescent="0.25">
      <c r="A28" s="582">
        <v>28</v>
      </c>
      <c r="B28" s="627">
        <v>1.1040000000000001</v>
      </c>
      <c r="C28" s="45">
        <v>1.244</v>
      </c>
      <c r="D28" s="627">
        <v>1.036</v>
      </c>
      <c r="E28" s="628">
        <v>1.325</v>
      </c>
      <c r="F28" s="45">
        <v>0.96899999999999997</v>
      </c>
      <c r="G28" s="45">
        <v>1.4139999999999999</v>
      </c>
      <c r="H28" s="627">
        <v>0.90100000000000002</v>
      </c>
      <c r="I28" s="628">
        <v>1.512</v>
      </c>
      <c r="J28" s="45">
        <v>0.83199999999999996</v>
      </c>
      <c r="K28" s="45">
        <v>1.6180000000000001</v>
      </c>
      <c r="L28" s="627">
        <v>0.76400000000000001</v>
      </c>
      <c r="M28" s="628">
        <v>1.7290000000000001</v>
      </c>
      <c r="N28" s="45">
        <v>0.69599999999999995</v>
      </c>
      <c r="O28" s="45">
        <v>1.847</v>
      </c>
      <c r="P28" s="627">
        <v>0.63</v>
      </c>
      <c r="Q28" s="45">
        <v>1.97</v>
      </c>
      <c r="R28" s="627">
        <v>0.56599999999999995</v>
      </c>
      <c r="S28" s="628">
        <v>2.0979999999999999</v>
      </c>
      <c r="T28" s="45">
        <v>0.504</v>
      </c>
      <c r="U28" s="45">
        <v>2.2290000000000001</v>
      </c>
      <c r="V28" s="627">
        <v>0.44400000000000001</v>
      </c>
      <c r="W28" s="45">
        <v>2.363</v>
      </c>
      <c r="X28" s="627">
        <v>0.38700000000000001</v>
      </c>
      <c r="Y28" s="45">
        <v>2.4990000000000001</v>
      </c>
      <c r="Z28" s="627">
        <v>0.33300000000000002</v>
      </c>
      <c r="AA28" s="45">
        <v>2.6349999999999998</v>
      </c>
      <c r="AB28" s="627">
        <v>0.28299999999999997</v>
      </c>
      <c r="AC28" s="45">
        <v>2.7719999999999998</v>
      </c>
      <c r="AD28" s="627">
        <v>0.23699999999999999</v>
      </c>
      <c r="AE28" s="45">
        <v>2.907</v>
      </c>
      <c r="AF28" s="627">
        <v>0.19400000000000001</v>
      </c>
      <c r="AG28" s="628">
        <v>3.04</v>
      </c>
      <c r="AH28" s="45">
        <v>0.156</v>
      </c>
      <c r="AI28" s="628">
        <v>3.169</v>
      </c>
      <c r="AJ28" s="45">
        <v>0.122</v>
      </c>
      <c r="AK28" s="628">
        <v>3.294</v>
      </c>
      <c r="AL28" s="45">
        <v>9.2999999999999999E-2</v>
      </c>
      <c r="AM28" s="628">
        <v>3.4119999999999999</v>
      </c>
      <c r="AN28" s="45">
        <v>6.8000000000000005E-2</v>
      </c>
      <c r="AO28" s="628">
        <v>3.524</v>
      </c>
    </row>
    <row r="29" spans="1:41" x14ac:dyDescent="0.25">
      <c r="A29" s="582">
        <v>29</v>
      </c>
      <c r="B29" s="627">
        <v>1.119</v>
      </c>
      <c r="C29" s="45">
        <v>1.254</v>
      </c>
      <c r="D29" s="627">
        <v>1.0529999999999999</v>
      </c>
      <c r="E29" s="628">
        <v>1.3320000000000001</v>
      </c>
      <c r="F29" s="45">
        <v>0.98799999999999999</v>
      </c>
      <c r="G29" s="45">
        <v>1.4179999999999999</v>
      </c>
      <c r="H29" s="627">
        <v>0.92100000000000004</v>
      </c>
      <c r="I29" s="628">
        <v>1.5109999999999999</v>
      </c>
      <c r="J29" s="45">
        <v>0.85499999999999998</v>
      </c>
      <c r="K29" s="45">
        <v>1.611</v>
      </c>
      <c r="L29" s="627">
        <v>0.78800000000000003</v>
      </c>
      <c r="M29" s="628">
        <v>1.718</v>
      </c>
      <c r="N29" s="45">
        <v>0.72299999999999998</v>
      </c>
      <c r="O29" s="45">
        <v>1.83</v>
      </c>
      <c r="P29" s="627">
        <v>0.65800000000000003</v>
      </c>
      <c r="Q29" s="45">
        <v>1.9470000000000001</v>
      </c>
      <c r="R29" s="627">
        <v>0.59499999999999997</v>
      </c>
      <c r="S29" s="628">
        <v>2.0680000000000001</v>
      </c>
      <c r="T29" s="45">
        <v>0.53300000000000003</v>
      </c>
      <c r="U29" s="45">
        <v>2.1930000000000001</v>
      </c>
      <c r="V29" s="627">
        <v>0.47399999999999998</v>
      </c>
      <c r="W29" s="45">
        <v>2.3210000000000002</v>
      </c>
      <c r="X29" s="627">
        <v>0.41699999999999998</v>
      </c>
      <c r="Y29" s="45">
        <v>2.4510000000000001</v>
      </c>
      <c r="Z29" s="627">
        <v>0.36299999999999999</v>
      </c>
      <c r="AA29" s="45">
        <v>2.5819999999999999</v>
      </c>
      <c r="AB29" s="627">
        <v>0.313</v>
      </c>
      <c r="AC29" s="45">
        <v>2.7130000000000001</v>
      </c>
      <c r="AD29" s="627">
        <v>0.26600000000000001</v>
      </c>
      <c r="AE29" s="45">
        <v>2.843</v>
      </c>
      <c r="AF29" s="627">
        <v>0.222</v>
      </c>
      <c r="AG29" s="628">
        <v>2.972</v>
      </c>
      <c r="AH29" s="45">
        <v>0.182</v>
      </c>
      <c r="AI29" s="628">
        <v>3.0979999999999999</v>
      </c>
      <c r="AJ29" s="45">
        <v>0.14599999999999999</v>
      </c>
      <c r="AK29" s="628">
        <v>3.22</v>
      </c>
      <c r="AL29" s="45">
        <v>0.114</v>
      </c>
      <c r="AM29" s="628">
        <v>3.3380000000000001</v>
      </c>
      <c r="AN29" s="45">
        <v>8.6999999999999994E-2</v>
      </c>
      <c r="AO29" s="628">
        <v>3.45</v>
      </c>
    </row>
    <row r="30" spans="1:41" x14ac:dyDescent="0.25">
      <c r="A30" s="582">
        <v>30</v>
      </c>
      <c r="B30" s="627">
        <v>1.1339999999999999</v>
      </c>
      <c r="C30" s="45">
        <v>1.264</v>
      </c>
      <c r="D30" s="627">
        <v>1.07</v>
      </c>
      <c r="E30" s="628">
        <v>1.339</v>
      </c>
      <c r="F30" s="45">
        <v>1.006</v>
      </c>
      <c r="G30" s="45">
        <v>1.421</v>
      </c>
      <c r="H30" s="627">
        <v>0.94099999999999995</v>
      </c>
      <c r="I30" s="628">
        <v>1.51</v>
      </c>
      <c r="J30" s="45">
        <v>0.877</v>
      </c>
      <c r="K30" s="45">
        <v>1.6060000000000001</v>
      </c>
      <c r="L30" s="627">
        <v>0.81200000000000006</v>
      </c>
      <c r="M30" s="628">
        <v>1.7070000000000001</v>
      </c>
      <c r="N30" s="45">
        <v>0.748</v>
      </c>
      <c r="O30" s="45">
        <v>1.8140000000000001</v>
      </c>
      <c r="P30" s="627">
        <v>0.68400000000000005</v>
      </c>
      <c r="Q30" s="45">
        <v>1.925</v>
      </c>
      <c r="R30" s="627">
        <v>0.622</v>
      </c>
      <c r="S30" s="628">
        <v>2.0409999999999999</v>
      </c>
      <c r="T30" s="45">
        <v>0.56200000000000006</v>
      </c>
      <c r="U30" s="45">
        <v>2.16</v>
      </c>
      <c r="V30" s="627">
        <v>0.503</v>
      </c>
      <c r="W30" s="45">
        <v>2.2829999999999999</v>
      </c>
      <c r="X30" s="627">
        <v>0.44700000000000001</v>
      </c>
      <c r="Y30" s="45">
        <v>2.407</v>
      </c>
      <c r="Z30" s="627">
        <v>0.39300000000000002</v>
      </c>
      <c r="AA30" s="45">
        <v>2.5329999999999999</v>
      </c>
      <c r="AB30" s="627">
        <v>0.34200000000000003</v>
      </c>
      <c r="AC30" s="45">
        <v>2.6589999999999998</v>
      </c>
      <c r="AD30" s="627">
        <v>0.29399999999999998</v>
      </c>
      <c r="AE30" s="45">
        <v>2.7850000000000001</v>
      </c>
      <c r="AF30" s="627">
        <v>0.249</v>
      </c>
      <c r="AG30" s="628">
        <v>2.9089999999999998</v>
      </c>
      <c r="AH30" s="45">
        <v>0.20799999999999999</v>
      </c>
      <c r="AI30" s="628">
        <v>3.032</v>
      </c>
      <c r="AJ30" s="45">
        <v>0.17100000000000001</v>
      </c>
      <c r="AK30" s="628">
        <v>3.1520000000000001</v>
      </c>
      <c r="AL30" s="45">
        <v>0.13700000000000001</v>
      </c>
      <c r="AM30" s="628">
        <v>3.2669999999999999</v>
      </c>
      <c r="AN30" s="45">
        <v>0.107</v>
      </c>
      <c r="AO30" s="628">
        <v>3.379</v>
      </c>
    </row>
    <row r="31" spans="1:41" x14ac:dyDescent="0.25">
      <c r="A31" s="582">
        <v>31</v>
      </c>
      <c r="B31" s="627">
        <v>1.147</v>
      </c>
      <c r="C31" s="45">
        <v>1.274</v>
      </c>
      <c r="D31" s="627">
        <v>1.085</v>
      </c>
      <c r="E31" s="628">
        <v>1.345</v>
      </c>
      <c r="F31" s="45">
        <v>1.022</v>
      </c>
      <c r="G31" s="45">
        <v>1.425</v>
      </c>
      <c r="H31" s="627">
        <v>0.96</v>
      </c>
      <c r="I31" s="628">
        <v>1.5089999999999999</v>
      </c>
      <c r="J31" s="45">
        <v>0.89700000000000002</v>
      </c>
      <c r="K31" s="45">
        <v>1.601</v>
      </c>
      <c r="L31" s="627">
        <v>0.83399999999999996</v>
      </c>
      <c r="M31" s="628">
        <v>1.698</v>
      </c>
      <c r="N31" s="45">
        <v>0.77200000000000002</v>
      </c>
      <c r="O31" s="45">
        <v>1.8</v>
      </c>
      <c r="P31" s="627">
        <v>0.71</v>
      </c>
      <c r="Q31" s="45">
        <v>1.9059999999999999</v>
      </c>
      <c r="R31" s="627">
        <v>0.64900000000000002</v>
      </c>
      <c r="S31" s="628">
        <v>2.0169999999999999</v>
      </c>
      <c r="T31" s="45">
        <v>0.58899999999999997</v>
      </c>
      <c r="U31" s="45">
        <v>2.1309999999999998</v>
      </c>
      <c r="V31" s="627">
        <v>0.53100000000000003</v>
      </c>
      <c r="W31" s="45">
        <v>2.2480000000000002</v>
      </c>
      <c r="X31" s="627">
        <v>0.47499999999999998</v>
      </c>
      <c r="Y31" s="45">
        <v>2.367</v>
      </c>
      <c r="Z31" s="627">
        <v>0.42199999999999999</v>
      </c>
      <c r="AA31" s="45">
        <v>2.4870000000000001</v>
      </c>
      <c r="AB31" s="627">
        <v>0.371</v>
      </c>
      <c r="AC31" s="45">
        <v>2.609</v>
      </c>
      <c r="AD31" s="627">
        <v>0.32200000000000001</v>
      </c>
      <c r="AE31" s="45">
        <v>2.73</v>
      </c>
      <c r="AF31" s="627">
        <v>0.27700000000000002</v>
      </c>
      <c r="AG31" s="628">
        <v>2.851</v>
      </c>
      <c r="AH31" s="45">
        <v>0.23400000000000001</v>
      </c>
      <c r="AI31" s="628">
        <v>2.97</v>
      </c>
      <c r="AJ31" s="45">
        <v>0.193</v>
      </c>
      <c r="AK31" s="628">
        <v>3.0870000000000002</v>
      </c>
      <c r="AL31" s="45">
        <v>0.16</v>
      </c>
      <c r="AM31" s="628">
        <v>3.2010000000000001</v>
      </c>
      <c r="AN31" s="45">
        <v>0.128</v>
      </c>
      <c r="AO31" s="628">
        <v>3.3109999999999999</v>
      </c>
    </row>
    <row r="32" spans="1:41" x14ac:dyDescent="0.25">
      <c r="A32" s="582">
        <v>32</v>
      </c>
      <c r="B32" s="627">
        <v>1.1599999999999999</v>
      </c>
      <c r="C32" s="45">
        <v>1.2829999999999999</v>
      </c>
      <c r="D32" s="627">
        <v>1.1000000000000001</v>
      </c>
      <c r="E32" s="628">
        <v>1.351</v>
      </c>
      <c r="F32" s="45">
        <v>1.0389999999999999</v>
      </c>
      <c r="G32" s="45">
        <v>1.4279999999999999</v>
      </c>
      <c r="H32" s="627">
        <v>0.97799999999999998</v>
      </c>
      <c r="I32" s="628">
        <v>1.5089999999999999</v>
      </c>
      <c r="J32" s="45">
        <v>0.91700000000000004</v>
      </c>
      <c r="K32" s="45">
        <v>1.597</v>
      </c>
      <c r="L32" s="627">
        <v>0.85599999999999998</v>
      </c>
      <c r="M32" s="628">
        <v>1.69</v>
      </c>
      <c r="N32" s="45">
        <v>0.79400000000000004</v>
      </c>
      <c r="O32" s="45">
        <v>1.788</v>
      </c>
      <c r="P32" s="627">
        <v>0.73399999999999999</v>
      </c>
      <c r="Q32" s="45">
        <v>1.889</v>
      </c>
      <c r="R32" s="627">
        <v>0.67400000000000004</v>
      </c>
      <c r="S32" s="628">
        <v>1.9950000000000001</v>
      </c>
      <c r="T32" s="45">
        <v>0.61499999999999999</v>
      </c>
      <c r="U32" s="45">
        <v>2.1040000000000001</v>
      </c>
      <c r="V32" s="627">
        <v>0.55800000000000005</v>
      </c>
      <c r="W32" s="45">
        <v>2.2160000000000002</v>
      </c>
      <c r="X32" s="627">
        <v>0.503</v>
      </c>
      <c r="Y32" s="45">
        <v>2.33</v>
      </c>
      <c r="Z32" s="627">
        <v>0.45</v>
      </c>
      <c r="AA32" s="45">
        <v>2.4460000000000002</v>
      </c>
      <c r="AB32" s="627">
        <v>0.39900000000000002</v>
      </c>
      <c r="AC32" s="45">
        <v>2.5630000000000002</v>
      </c>
      <c r="AD32" s="627">
        <v>0.35</v>
      </c>
      <c r="AE32" s="45">
        <v>2.68</v>
      </c>
      <c r="AF32" s="627">
        <v>0.30399999999999999</v>
      </c>
      <c r="AG32" s="628">
        <v>2.7970000000000002</v>
      </c>
      <c r="AH32" s="45">
        <v>0.26100000000000001</v>
      </c>
      <c r="AI32" s="628">
        <v>2.9119999999999999</v>
      </c>
      <c r="AJ32" s="45">
        <v>0.221</v>
      </c>
      <c r="AK32" s="628">
        <v>3.0259999999999998</v>
      </c>
      <c r="AL32" s="45">
        <v>0.184</v>
      </c>
      <c r="AM32" s="628">
        <v>3.137</v>
      </c>
      <c r="AN32" s="45">
        <v>0.151</v>
      </c>
      <c r="AO32" s="628">
        <v>3.246</v>
      </c>
    </row>
    <row r="33" spans="1:41" x14ac:dyDescent="0.25">
      <c r="A33" s="582">
        <v>33</v>
      </c>
      <c r="B33" s="627">
        <v>1.171</v>
      </c>
      <c r="C33" s="45">
        <v>1.2909999999999999</v>
      </c>
      <c r="D33" s="627">
        <v>1.1140000000000001</v>
      </c>
      <c r="E33" s="628">
        <v>1.3580000000000001</v>
      </c>
      <c r="F33" s="45">
        <v>1.0549999999999999</v>
      </c>
      <c r="G33" s="45">
        <v>1.4319999999999999</v>
      </c>
      <c r="H33" s="627">
        <v>0.995</v>
      </c>
      <c r="I33" s="628">
        <v>1.51</v>
      </c>
      <c r="J33" s="45">
        <v>0.93500000000000005</v>
      </c>
      <c r="K33" s="45">
        <v>1.5940000000000001</v>
      </c>
      <c r="L33" s="627">
        <v>0.876</v>
      </c>
      <c r="M33" s="628">
        <v>1.6830000000000001</v>
      </c>
      <c r="N33" s="45">
        <v>0.81599999999999995</v>
      </c>
      <c r="O33" s="45">
        <v>1.776</v>
      </c>
      <c r="P33" s="627">
        <v>0.75700000000000001</v>
      </c>
      <c r="Q33" s="45">
        <v>1.8740000000000001</v>
      </c>
      <c r="R33" s="627">
        <v>0.69799999999999995</v>
      </c>
      <c r="S33" s="628">
        <v>1.9750000000000001</v>
      </c>
      <c r="T33" s="45">
        <v>0.64100000000000001</v>
      </c>
      <c r="U33" s="45">
        <v>2.08</v>
      </c>
      <c r="V33" s="627">
        <v>0.58499999999999996</v>
      </c>
      <c r="W33" s="45">
        <v>2.1869999999999998</v>
      </c>
      <c r="X33" s="627">
        <v>0.53</v>
      </c>
      <c r="Y33" s="45">
        <v>2.2959999999999998</v>
      </c>
      <c r="Z33" s="627">
        <v>0.47699999999999998</v>
      </c>
      <c r="AA33" s="45">
        <v>2.4079999999999999</v>
      </c>
      <c r="AB33" s="627">
        <v>0.42599999999999999</v>
      </c>
      <c r="AC33" s="45">
        <v>2.52</v>
      </c>
      <c r="AD33" s="627">
        <v>0.377</v>
      </c>
      <c r="AE33" s="45">
        <v>2.633</v>
      </c>
      <c r="AF33" s="627">
        <v>0.33100000000000002</v>
      </c>
      <c r="AG33" s="628">
        <v>2.746</v>
      </c>
      <c r="AH33" s="45">
        <v>0.28699999999999998</v>
      </c>
      <c r="AI33" s="628">
        <v>2.8580000000000001</v>
      </c>
      <c r="AJ33" s="45">
        <v>0.246</v>
      </c>
      <c r="AK33" s="628">
        <v>2.9689999999999999</v>
      </c>
      <c r="AL33" s="45">
        <v>0.20899999999999999</v>
      </c>
      <c r="AM33" s="628">
        <v>3.0779999999999998</v>
      </c>
      <c r="AN33" s="45">
        <v>0.17399999999999999</v>
      </c>
      <c r="AO33" s="628">
        <v>3.1840000000000002</v>
      </c>
    </row>
    <row r="34" spans="1:41" x14ac:dyDescent="0.25">
      <c r="A34" s="582">
        <v>34</v>
      </c>
      <c r="B34" s="627">
        <v>1.1839999999999999</v>
      </c>
      <c r="C34" s="45">
        <v>1.298</v>
      </c>
      <c r="D34" s="627">
        <v>1.1279999999999999</v>
      </c>
      <c r="E34" s="628">
        <v>1.3640000000000001</v>
      </c>
      <c r="F34" s="45">
        <v>1.07</v>
      </c>
      <c r="G34" s="45">
        <v>1.4359999999999999</v>
      </c>
      <c r="H34" s="627">
        <v>1.012</v>
      </c>
      <c r="I34" s="628">
        <v>1.5109999999999999</v>
      </c>
      <c r="J34" s="45">
        <v>0.95399999999999996</v>
      </c>
      <c r="K34" s="45">
        <v>1.591</v>
      </c>
      <c r="L34" s="627">
        <v>0.89600000000000002</v>
      </c>
      <c r="M34" s="628">
        <v>1.677</v>
      </c>
      <c r="N34" s="45">
        <v>0.83699999999999997</v>
      </c>
      <c r="O34" s="45">
        <v>1.766</v>
      </c>
      <c r="P34" s="627">
        <v>0.77900000000000003</v>
      </c>
      <c r="Q34" s="45">
        <v>1.86</v>
      </c>
      <c r="R34" s="627">
        <v>0.72199999999999998</v>
      </c>
      <c r="S34" s="628">
        <v>1.9570000000000001</v>
      </c>
      <c r="T34" s="45">
        <v>0.66500000000000004</v>
      </c>
      <c r="U34" s="45">
        <v>2.0569999999999999</v>
      </c>
      <c r="V34" s="627">
        <v>0.61</v>
      </c>
      <c r="W34" s="45">
        <v>2.16</v>
      </c>
      <c r="X34" s="627">
        <v>0.55600000000000005</v>
      </c>
      <c r="Y34" s="45">
        <v>2.266</v>
      </c>
      <c r="Z34" s="627">
        <v>0.503</v>
      </c>
      <c r="AA34" s="45">
        <v>2.3730000000000002</v>
      </c>
      <c r="AB34" s="627">
        <v>0.45200000000000001</v>
      </c>
      <c r="AC34" s="45">
        <v>2.4809999999999999</v>
      </c>
      <c r="AD34" s="627">
        <v>0.40400000000000003</v>
      </c>
      <c r="AE34" s="45">
        <v>2.59</v>
      </c>
      <c r="AF34" s="627">
        <v>0.35699999999999998</v>
      </c>
      <c r="AG34" s="628">
        <v>2.6989999999999998</v>
      </c>
      <c r="AH34" s="45">
        <v>0.313</v>
      </c>
      <c r="AI34" s="628">
        <v>2.8079999999999998</v>
      </c>
      <c r="AJ34" s="45">
        <v>0.27200000000000002</v>
      </c>
      <c r="AK34" s="628">
        <v>2.915</v>
      </c>
      <c r="AL34" s="45">
        <v>0.23300000000000001</v>
      </c>
      <c r="AM34" s="628">
        <v>3.0219999999999998</v>
      </c>
      <c r="AN34" s="45">
        <v>0.19700000000000001</v>
      </c>
      <c r="AO34" s="628">
        <v>3.1259999999999999</v>
      </c>
    </row>
    <row r="35" spans="1:41" x14ac:dyDescent="0.25">
      <c r="A35" s="582">
        <v>35</v>
      </c>
      <c r="B35" s="627">
        <v>1.1950000000000001</v>
      </c>
      <c r="C35" s="45">
        <v>1.3069999999999999</v>
      </c>
      <c r="D35" s="627">
        <v>1.141</v>
      </c>
      <c r="E35" s="628">
        <v>1.37</v>
      </c>
      <c r="F35" s="45">
        <v>1.085</v>
      </c>
      <c r="G35" s="45">
        <v>1.4390000000000001</v>
      </c>
      <c r="H35" s="627">
        <v>1.028</v>
      </c>
      <c r="I35" s="628">
        <v>1.512</v>
      </c>
      <c r="J35" s="45">
        <v>0.97099999999999997</v>
      </c>
      <c r="K35" s="45">
        <v>1.589</v>
      </c>
      <c r="L35" s="627">
        <v>0.91400000000000003</v>
      </c>
      <c r="M35" s="628">
        <v>1.671</v>
      </c>
      <c r="N35" s="45">
        <v>0.85699999999999998</v>
      </c>
      <c r="O35" s="45">
        <v>1.7569999999999999</v>
      </c>
      <c r="P35" s="627">
        <v>0.8</v>
      </c>
      <c r="Q35" s="45">
        <v>1.847</v>
      </c>
      <c r="R35" s="627">
        <v>0.74399999999999999</v>
      </c>
      <c r="S35" s="628">
        <v>1.94</v>
      </c>
      <c r="T35" s="45">
        <v>0.68899999999999995</v>
      </c>
      <c r="U35" s="45">
        <v>2.0369999999999999</v>
      </c>
      <c r="V35" s="627">
        <v>0.63400000000000001</v>
      </c>
      <c r="W35" s="45">
        <v>2.1360000000000001</v>
      </c>
      <c r="X35" s="627">
        <v>0.58099999999999996</v>
      </c>
      <c r="Y35" s="45">
        <v>2.2370000000000001</v>
      </c>
      <c r="Z35" s="627">
        <v>0.52900000000000003</v>
      </c>
      <c r="AA35" s="45">
        <v>2.34</v>
      </c>
      <c r="AB35" s="627">
        <v>0.47799999999999998</v>
      </c>
      <c r="AC35" s="45">
        <v>2.444</v>
      </c>
      <c r="AD35" s="627">
        <v>0.43</v>
      </c>
      <c r="AE35" s="45">
        <v>2.5499999999999998</v>
      </c>
      <c r="AF35" s="627">
        <v>0.38300000000000001</v>
      </c>
      <c r="AG35" s="628">
        <v>2.6549999999999998</v>
      </c>
      <c r="AH35" s="45">
        <v>0.33900000000000002</v>
      </c>
      <c r="AI35" s="628">
        <v>2.7610000000000001</v>
      </c>
      <c r="AJ35" s="45">
        <v>0.29699999999999999</v>
      </c>
      <c r="AK35" s="628">
        <v>2.8650000000000002</v>
      </c>
      <c r="AL35" s="45">
        <v>0.25700000000000001</v>
      </c>
      <c r="AM35" s="628">
        <v>2.9689999999999999</v>
      </c>
      <c r="AN35" s="45">
        <v>0.221</v>
      </c>
      <c r="AO35" s="628">
        <v>3.0710000000000002</v>
      </c>
    </row>
    <row r="36" spans="1:41" x14ac:dyDescent="0.25">
      <c r="A36" s="582">
        <v>36</v>
      </c>
      <c r="B36" s="627">
        <v>1.2050000000000001</v>
      </c>
      <c r="C36" s="45">
        <v>1.3149999999999999</v>
      </c>
      <c r="D36" s="627">
        <v>1.153</v>
      </c>
      <c r="E36" s="628">
        <v>1.3759999999999999</v>
      </c>
      <c r="F36" s="45">
        <v>1.0980000000000001</v>
      </c>
      <c r="G36" s="45">
        <v>1.4419999999999999</v>
      </c>
      <c r="H36" s="627">
        <v>1.0429999999999999</v>
      </c>
      <c r="I36" s="628">
        <v>1.5129999999999999</v>
      </c>
      <c r="J36" s="45">
        <v>0.98699999999999999</v>
      </c>
      <c r="K36" s="45">
        <v>1.587</v>
      </c>
      <c r="L36" s="627">
        <v>0.93200000000000005</v>
      </c>
      <c r="M36" s="628">
        <v>1.6659999999999999</v>
      </c>
      <c r="N36" s="45">
        <v>0.877</v>
      </c>
      <c r="O36" s="45">
        <v>1.7490000000000001</v>
      </c>
      <c r="P36" s="627">
        <v>0.82099999999999995</v>
      </c>
      <c r="Q36" s="45">
        <v>1.8360000000000001</v>
      </c>
      <c r="R36" s="627">
        <v>0.76600000000000001</v>
      </c>
      <c r="S36" s="628">
        <v>1.925</v>
      </c>
      <c r="T36" s="45">
        <v>0.71099999999999997</v>
      </c>
      <c r="U36" s="45">
        <v>2.0179999999999998</v>
      </c>
      <c r="V36" s="627">
        <v>0.65800000000000003</v>
      </c>
      <c r="W36" s="45">
        <v>2.113</v>
      </c>
      <c r="X36" s="627">
        <v>0.60499999999999998</v>
      </c>
      <c r="Y36" s="45">
        <v>2.21</v>
      </c>
      <c r="Z36" s="627">
        <v>0.55400000000000005</v>
      </c>
      <c r="AA36" s="45">
        <v>2.31</v>
      </c>
      <c r="AB36" s="627">
        <v>0.504</v>
      </c>
      <c r="AC36" s="45">
        <v>2.41</v>
      </c>
      <c r="AD36" s="627">
        <v>0.45500000000000002</v>
      </c>
      <c r="AE36" s="45">
        <v>2.512</v>
      </c>
      <c r="AF36" s="627">
        <v>0.40899999999999997</v>
      </c>
      <c r="AG36" s="628">
        <v>2.6139999999999999</v>
      </c>
      <c r="AH36" s="45">
        <v>0.36399999999999999</v>
      </c>
      <c r="AI36" s="628">
        <v>2.7170000000000001</v>
      </c>
      <c r="AJ36" s="45">
        <v>0.32200000000000001</v>
      </c>
      <c r="AK36" s="628">
        <v>2.8180000000000001</v>
      </c>
      <c r="AL36" s="45">
        <v>0.28199999999999997</v>
      </c>
      <c r="AM36" s="628">
        <v>2.919</v>
      </c>
      <c r="AN36" s="45">
        <v>0.24399999999999999</v>
      </c>
      <c r="AO36" s="628">
        <v>3.0190000000000001</v>
      </c>
    </row>
    <row r="37" spans="1:41" x14ac:dyDescent="0.25">
      <c r="A37" s="582">
        <v>37</v>
      </c>
      <c r="B37" s="627">
        <v>1.2170000000000001</v>
      </c>
      <c r="C37" s="45">
        <v>1.3220000000000001</v>
      </c>
      <c r="D37" s="627">
        <v>1.1639999999999999</v>
      </c>
      <c r="E37" s="628">
        <v>1.383</v>
      </c>
      <c r="F37" s="45">
        <v>1.1120000000000001</v>
      </c>
      <c r="G37" s="45">
        <v>1.446</v>
      </c>
      <c r="H37" s="627">
        <v>1.0580000000000001</v>
      </c>
      <c r="I37" s="628">
        <v>1.514</v>
      </c>
      <c r="J37" s="45">
        <v>1.004</v>
      </c>
      <c r="K37" s="45">
        <v>1.585</v>
      </c>
      <c r="L37" s="627">
        <v>0.95</v>
      </c>
      <c r="M37" s="628">
        <v>1.6619999999999999</v>
      </c>
      <c r="N37" s="45">
        <v>0.89500000000000002</v>
      </c>
      <c r="O37" s="45">
        <v>1.742</v>
      </c>
      <c r="P37" s="627">
        <v>0.84099999999999997</v>
      </c>
      <c r="Q37" s="45">
        <v>1.825</v>
      </c>
      <c r="R37" s="627">
        <v>0.78700000000000003</v>
      </c>
      <c r="S37" s="628">
        <v>1.911</v>
      </c>
      <c r="T37" s="45">
        <v>0.73299999999999998</v>
      </c>
      <c r="U37" s="45">
        <v>2.0009999999999999</v>
      </c>
      <c r="V37" s="627">
        <v>0.68</v>
      </c>
      <c r="W37" s="45">
        <v>2.0920000000000001</v>
      </c>
      <c r="X37" s="627">
        <v>0.628</v>
      </c>
      <c r="Y37" s="45">
        <v>2.1859999999999999</v>
      </c>
      <c r="Z37" s="627">
        <v>0.57799999999999996</v>
      </c>
      <c r="AA37" s="45">
        <v>2.282</v>
      </c>
      <c r="AB37" s="627">
        <v>0.52800000000000002</v>
      </c>
      <c r="AC37" s="45">
        <v>2.379</v>
      </c>
      <c r="AD37" s="627">
        <v>0.48</v>
      </c>
      <c r="AE37" s="45">
        <v>2.4769999999999999</v>
      </c>
      <c r="AF37" s="627">
        <v>0.434</v>
      </c>
      <c r="AG37" s="628">
        <v>2.5760000000000001</v>
      </c>
      <c r="AH37" s="45">
        <v>0.38900000000000001</v>
      </c>
      <c r="AI37" s="628">
        <v>2.6749999999999998</v>
      </c>
      <c r="AJ37" s="45">
        <v>0.34699999999999998</v>
      </c>
      <c r="AK37" s="628">
        <v>2.774</v>
      </c>
      <c r="AL37" s="45">
        <v>0.30599999999999999</v>
      </c>
      <c r="AM37" s="628">
        <v>2.8719999999999999</v>
      </c>
      <c r="AN37" s="45">
        <v>0.26800000000000002</v>
      </c>
      <c r="AO37" s="628">
        <v>2.9689999999999999</v>
      </c>
    </row>
    <row r="38" spans="1:41" x14ac:dyDescent="0.25">
      <c r="A38" s="582">
        <v>38</v>
      </c>
      <c r="B38" s="627">
        <v>1.2270000000000001</v>
      </c>
      <c r="C38" s="45">
        <v>1.33</v>
      </c>
      <c r="D38" s="627">
        <v>1.1759999999999999</v>
      </c>
      <c r="E38" s="628">
        <v>1.3879999999999999</v>
      </c>
      <c r="F38" s="45">
        <v>1.1240000000000001</v>
      </c>
      <c r="G38" s="45">
        <v>1.4490000000000001</v>
      </c>
      <c r="H38" s="627">
        <v>1.0720000000000001</v>
      </c>
      <c r="I38" s="628">
        <v>1.5149999999999999</v>
      </c>
      <c r="J38" s="45">
        <v>1.0189999999999999</v>
      </c>
      <c r="K38" s="45">
        <v>1.5840000000000001</v>
      </c>
      <c r="L38" s="627">
        <v>0.96599999999999997</v>
      </c>
      <c r="M38" s="628">
        <v>1.6579999999999999</v>
      </c>
      <c r="N38" s="45">
        <v>0.91300000000000003</v>
      </c>
      <c r="O38" s="45">
        <v>1.7350000000000001</v>
      </c>
      <c r="P38" s="627">
        <v>0.86</v>
      </c>
      <c r="Q38" s="45">
        <v>1.8160000000000001</v>
      </c>
      <c r="R38" s="627">
        <v>0.80700000000000005</v>
      </c>
      <c r="S38" s="628">
        <v>1.899</v>
      </c>
      <c r="T38" s="45">
        <v>0.754</v>
      </c>
      <c r="U38" s="45">
        <v>1.9850000000000001</v>
      </c>
      <c r="V38" s="627">
        <v>0.70199999999999996</v>
      </c>
      <c r="W38" s="45">
        <v>2.073</v>
      </c>
      <c r="X38" s="627">
        <v>0.65100000000000002</v>
      </c>
      <c r="Y38" s="45">
        <v>2.1640000000000001</v>
      </c>
      <c r="Z38" s="627">
        <v>0.60099999999999998</v>
      </c>
      <c r="AA38" s="45">
        <v>2.2559999999999998</v>
      </c>
      <c r="AB38" s="627">
        <v>0.55200000000000005</v>
      </c>
      <c r="AC38" s="45">
        <v>2.35</v>
      </c>
      <c r="AD38" s="627">
        <v>0.504</v>
      </c>
      <c r="AE38" s="45">
        <v>2.4449999999999998</v>
      </c>
      <c r="AF38" s="627">
        <v>0.45800000000000002</v>
      </c>
      <c r="AG38" s="628">
        <v>2.54</v>
      </c>
      <c r="AH38" s="45">
        <v>0.41399999999999998</v>
      </c>
      <c r="AI38" s="628">
        <v>2.637</v>
      </c>
      <c r="AJ38" s="45">
        <v>0.371</v>
      </c>
      <c r="AK38" s="628">
        <v>2.7330000000000001</v>
      </c>
      <c r="AL38" s="45">
        <v>0.33</v>
      </c>
      <c r="AM38" s="628">
        <v>2.8279999999999998</v>
      </c>
      <c r="AN38" s="45">
        <v>0.29099999999999998</v>
      </c>
      <c r="AO38" s="628">
        <v>2.923</v>
      </c>
    </row>
    <row r="39" spans="1:41" x14ac:dyDescent="0.25">
      <c r="A39" s="582">
        <v>39</v>
      </c>
      <c r="B39" s="627">
        <v>1.2370000000000001</v>
      </c>
      <c r="C39" s="45">
        <v>1.337</v>
      </c>
      <c r="D39" s="627">
        <v>1.1870000000000001</v>
      </c>
      <c r="E39" s="628">
        <v>1.3919999999999999</v>
      </c>
      <c r="F39" s="45">
        <v>1.137</v>
      </c>
      <c r="G39" s="45">
        <v>1.452</v>
      </c>
      <c r="H39" s="627">
        <v>1.085</v>
      </c>
      <c r="I39" s="628">
        <v>1.5169999999999999</v>
      </c>
      <c r="J39" s="45">
        <v>1.0329999999999999</v>
      </c>
      <c r="K39" s="45">
        <v>1.583</v>
      </c>
      <c r="L39" s="627">
        <v>0.98199999999999998</v>
      </c>
      <c r="M39" s="628">
        <v>1.655</v>
      </c>
      <c r="N39" s="45">
        <v>0.93</v>
      </c>
      <c r="O39" s="45">
        <v>1.7290000000000001</v>
      </c>
      <c r="P39" s="627">
        <v>0.878</v>
      </c>
      <c r="Q39" s="45">
        <v>1.8069999999999999</v>
      </c>
      <c r="R39" s="627">
        <v>0.82599999999999996</v>
      </c>
      <c r="S39" s="628">
        <v>1.887</v>
      </c>
      <c r="T39" s="45">
        <v>0.77400000000000002</v>
      </c>
      <c r="U39" s="45">
        <v>1.97</v>
      </c>
      <c r="V39" s="627">
        <v>0.72299999999999998</v>
      </c>
      <c r="W39" s="45">
        <v>2.0550000000000002</v>
      </c>
      <c r="X39" s="627">
        <v>0.67300000000000004</v>
      </c>
      <c r="Y39" s="45">
        <v>2.1429999999999998</v>
      </c>
      <c r="Z39" s="627">
        <v>0.623</v>
      </c>
      <c r="AA39" s="45">
        <v>2.2320000000000002</v>
      </c>
      <c r="AB39" s="627">
        <v>0.57499999999999996</v>
      </c>
      <c r="AC39" s="45">
        <v>2.323</v>
      </c>
      <c r="AD39" s="627">
        <v>0.52800000000000002</v>
      </c>
      <c r="AE39" s="45">
        <v>2.4140000000000001</v>
      </c>
      <c r="AF39" s="627">
        <v>0.48199999999999998</v>
      </c>
      <c r="AG39" s="628">
        <v>2.5070000000000001</v>
      </c>
      <c r="AH39" s="45">
        <v>0.438</v>
      </c>
      <c r="AI39" s="628">
        <v>2.6</v>
      </c>
      <c r="AJ39" s="45">
        <v>0.39500000000000002</v>
      </c>
      <c r="AK39" s="628">
        <v>2.694</v>
      </c>
      <c r="AL39" s="45">
        <v>0.35399999999999998</v>
      </c>
      <c r="AM39" s="628">
        <v>2.7869999999999999</v>
      </c>
      <c r="AN39" s="45">
        <v>0.315</v>
      </c>
      <c r="AO39" s="628">
        <v>2.879</v>
      </c>
    </row>
    <row r="40" spans="1:41" x14ac:dyDescent="0.25">
      <c r="A40" s="582">
        <v>40</v>
      </c>
      <c r="B40" s="627">
        <v>1.246</v>
      </c>
      <c r="C40" s="45">
        <v>1.3440000000000001</v>
      </c>
      <c r="D40" s="627">
        <v>1.1970000000000001</v>
      </c>
      <c r="E40" s="628">
        <v>1.3979999999999999</v>
      </c>
      <c r="F40" s="45">
        <v>1.149</v>
      </c>
      <c r="G40" s="45">
        <v>1.456</v>
      </c>
      <c r="H40" s="627">
        <v>1.0980000000000001</v>
      </c>
      <c r="I40" s="628">
        <v>1.518</v>
      </c>
      <c r="J40" s="45">
        <v>1.0469999999999999</v>
      </c>
      <c r="K40" s="45">
        <v>1.583</v>
      </c>
      <c r="L40" s="627">
        <v>0.997</v>
      </c>
      <c r="M40" s="628">
        <v>1.6519999999999999</v>
      </c>
      <c r="N40" s="45">
        <v>0.94599999999999995</v>
      </c>
      <c r="O40" s="45">
        <v>1.724</v>
      </c>
      <c r="P40" s="627">
        <v>0.89500000000000002</v>
      </c>
      <c r="Q40" s="45">
        <v>1.7989999999999999</v>
      </c>
      <c r="R40" s="627">
        <v>0.84399999999999997</v>
      </c>
      <c r="S40" s="628">
        <v>1.8759999999999999</v>
      </c>
      <c r="T40" s="45">
        <v>0.749</v>
      </c>
      <c r="U40" s="45">
        <v>1.956</v>
      </c>
      <c r="V40" s="627">
        <v>0.74399999999999999</v>
      </c>
      <c r="W40" s="45">
        <v>2.0390000000000001</v>
      </c>
      <c r="X40" s="627">
        <v>0.69399999999999995</v>
      </c>
      <c r="Y40" s="45">
        <v>2.1230000000000002</v>
      </c>
      <c r="Z40" s="627">
        <v>0.64500000000000002</v>
      </c>
      <c r="AA40" s="45">
        <v>2.21</v>
      </c>
      <c r="AB40" s="627">
        <v>0.59699999999999998</v>
      </c>
      <c r="AC40" s="45">
        <v>2.2970000000000002</v>
      </c>
      <c r="AD40" s="627">
        <v>0.55100000000000005</v>
      </c>
      <c r="AE40" s="45">
        <v>2.3860000000000001</v>
      </c>
      <c r="AF40" s="627">
        <v>0.505</v>
      </c>
      <c r="AG40" s="628">
        <v>2.476</v>
      </c>
      <c r="AH40" s="45">
        <v>0.46100000000000002</v>
      </c>
      <c r="AI40" s="628">
        <v>2.5659999999999998</v>
      </c>
      <c r="AJ40" s="45">
        <v>0.41799999999999998</v>
      </c>
      <c r="AK40" s="628">
        <v>2.657</v>
      </c>
      <c r="AL40" s="45">
        <v>0.377</v>
      </c>
      <c r="AM40" s="628">
        <v>2.7480000000000002</v>
      </c>
      <c r="AN40" s="45">
        <v>0.33800000000000002</v>
      </c>
      <c r="AO40" s="628">
        <v>2.8380000000000001</v>
      </c>
    </row>
    <row r="41" spans="1:41" x14ac:dyDescent="0.25">
      <c r="A41" s="582">
        <v>45</v>
      </c>
      <c r="B41" s="627">
        <v>1.288</v>
      </c>
      <c r="C41" s="45">
        <v>1.3759999999999999</v>
      </c>
      <c r="D41" s="627">
        <v>1.2450000000000001</v>
      </c>
      <c r="E41" s="628">
        <v>1.4239999999999999</v>
      </c>
      <c r="F41" s="45">
        <v>1.2010000000000001</v>
      </c>
      <c r="G41" s="45">
        <v>1.474</v>
      </c>
      <c r="H41" s="627">
        <v>1.1559999999999999</v>
      </c>
      <c r="I41" s="628">
        <v>1.528</v>
      </c>
      <c r="J41" s="45">
        <v>1.111</v>
      </c>
      <c r="K41" s="45">
        <v>1.583</v>
      </c>
      <c r="L41" s="627">
        <v>1.0649999999999999</v>
      </c>
      <c r="M41" s="628">
        <v>1.643</v>
      </c>
      <c r="N41" s="45">
        <v>1.0189999999999999</v>
      </c>
      <c r="O41" s="45">
        <v>1.704</v>
      </c>
      <c r="P41" s="627">
        <v>0.97399999999999998</v>
      </c>
      <c r="Q41" s="45">
        <v>1.768</v>
      </c>
      <c r="R41" s="627">
        <v>0.92700000000000005</v>
      </c>
      <c r="S41" s="628">
        <v>1.8340000000000001</v>
      </c>
      <c r="T41" s="45">
        <v>0.88100000000000001</v>
      </c>
      <c r="U41" s="45">
        <v>1.9019999999999999</v>
      </c>
      <c r="V41" s="627">
        <v>0.83499999999999996</v>
      </c>
      <c r="W41" s="45">
        <v>1.972</v>
      </c>
      <c r="X41" s="627">
        <v>0.79</v>
      </c>
      <c r="Y41" s="45">
        <v>2.044</v>
      </c>
      <c r="Z41" s="627">
        <v>0.74399999999999999</v>
      </c>
      <c r="AA41" s="45">
        <v>2.1179999999999999</v>
      </c>
      <c r="AB41" s="627">
        <v>0.7</v>
      </c>
      <c r="AC41" s="45">
        <v>2.1930000000000001</v>
      </c>
      <c r="AD41" s="627">
        <v>0.65500000000000003</v>
      </c>
      <c r="AE41" s="45">
        <v>2.2690000000000001</v>
      </c>
      <c r="AF41" s="627">
        <v>0.61199999999999999</v>
      </c>
      <c r="AG41" s="628">
        <v>2.3460000000000001</v>
      </c>
      <c r="AH41" s="45">
        <v>0.56999999999999995</v>
      </c>
      <c r="AI41" s="628">
        <v>2.4239999999999999</v>
      </c>
      <c r="AJ41" s="45">
        <v>0.52800000000000002</v>
      </c>
      <c r="AK41" s="628">
        <v>2.5030000000000001</v>
      </c>
      <c r="AL41" s="45">
        <v>0.48799999999999999</v>
      </c>
      <c r="AM41" s="628">
        <v>2.5819999999999999</v>
      </c>
      <c r="AN41" s="45">
        <v>0.44800000000000001</v>
      </c>
      <c r="AO41" s="628">
        <v>2.661</v>
      </c>
    </row>
    <row r="42" spans="1:41" x14ac:dyDescent="0.25">
      <c r="A42" s="582">
        <v>50</v>
      </c>
      <c r="B42" s="627">
        <v>1.3240000000000001</v>
      </c>
      <c r="C42" s="45">
        <v>1.403</v>
      </c>
      <c r="D42" s="627">
        <v>1.2849999999999999</v>
      </c>
      <c r="E42" s="628">
        <v>1.4450000000000001</v>
      </c>
      <c r="F42" s="45">
        <v>1.2450000000000001</v>
      </c>
      <c r="G42" s="45">
        <v>1.4910000000000001</v>
      </c>
      <c r="H42" s="627">
        <v>1.206</v>
      </c>
      <c r="I42" s="628">
        <v>1.5369999999999999</v>
      </c>
      <c r="J42" s="45">
        <v>1.1639999999999999</v>
      </c>
      <c r="K42" s="45">
        <v>1.587</v>
      </c>
      <c r="L42" s="627">
        <v>1.123</v>
      </c>
      <c r="M42" s="628">
        <v>1.639</v>
      </c>
      <c r="N42" s="45">
        <v>1.081</v>
      </c>
      <c r="O42" s="45">
        <v>1.6919999999999999</v>
      </c>
      <c r="P42" s="627">
        <v>1.0389999999999999</v>
      </c>
      <c r="Q42" s="45">
        <v>1.748</v>
      </c>
      <c r="R42" s="627">
        <v>0.997</v>
      </c>
      <c r="S42" s="628">
        <v>1.8049999999999999</v>
      </c>
      <c r="T42" s="45">
        <v>0.95499999999999996</v>
      </c>
      <c r="U42" s="45">
        <v>1.8640000000000001</v>
      </c>
      <c r="V42" s="627">
        <v>0.91300000000000003</v>
      </c>
      <c r="W42" s="45">
        <v>1.925</v>
      </c>
      <c r="X42" s="627">
        <v>0.871</v>
      </c>
      <c r="Y42" s="45">
        <v>1.9870000000000001</v>
      </c>
      <c r="Z42" s="627">
        <v>0.82899999999999996</v>
      </c>
      <c r="AA42" s="45">
        <v>2.0510000000000002</v>
      </c>
      <c r="AB42" s="627">
        <v>0.78700000000000003</v>
      </c>
      <c r="AC42" s="45">
        <v>2.1160000000000001</v>
      </c>
      <c r="AD42" s="627">
        <v>0.746</v>
      </c>
      <c r="AE42" s="45">
        <v>2.1819999999999999</v>
      </c>
      <c r="AF42" s="627">
        <v>0.70499999999999996</v>
      </c>
      <c r="AG42" s="628">
        <v>2.25</v>
      </c>
      <c r="AH42" s="45">
        <v>0.66500000000000004</v>
      </c>
      <c r="AI42" s="628">
        <v>2.3180000000000001</v>
      </c>
      <c r="AJ42" s="45">
        <v>0.625</v>
      </c>
      <c r="AK42" s="628">
        <v>2.387</v>
      </c>
      <c r="AL42" s="45">
        <v>0.58599999999999997</v>
      </c>
      <c r="AM42" s="628">
        <v>2.456</v>
      </c>
      <c r="AN42" s="45">
        <v>0.54800000000000004</v>
      </c>
      <c r="AO42" s="628">
        <v>2.5259999999999998</v>
      </c>
    </row>
    <row r="43" spans="1:41" x14ac:dyDescent="0.25">
      <c r="A43" s="582">
        <v>55</v>
      </c>
      <c r="B43" s="627">
        <v>1.3560000000000001</v>
      </c>
      <c r="C43" s="45">
        <v>1.4279999999999999</v>
      </c>
      <c r="D43" s="627">
        <v>1.32</v>
      </c>
      <c r="E43" s="628">
        <v>1.466</v>
      </c>
      <c r="F43" s="45">
        <v>1.284</v>
      </c>
      <c r="G43" s="45">
        <v>1.5049999999999999</v>
      </c>
      <c r="H43" s="627">
        <v>1.246</v>
      </c>
      <c r="I43" s="628">
        <v>1.548</v>
      </c>
      <c r="J43" s="45">
        <v>1.2090000000000001</v>
      </c>
      <c r="K43" s="45">
        <v>1.5920000000000001</v>
      </c>
      <c r="L43" s="627">
        <v>1.1719999999999999</v>
      </c>
      <c r="M43" s="628">
        <v>1.6379999999999999</v>
      </c>
      <c r="N43" s="45">
        <v>1.1339999999999999</v>
      </c>
      <c r="O43" s="45">
        <v>1.6850000000000001</v>
      </c>
      <c r="P43" s="627">
        <v>1.095</v>
      </c>
      <c r="Q43" s="45">
        <v>1.734</v>
      </c>
      <c r="R43" s="627">
        <v>1.0569999999999999</v>
      </c>
      <c r="S43" s="628">
        <v>1.7849999999999999</v>
      </c>
      <c r="T43" s="45">
        <v>1.018</v>
      </c>
      <c r="U43" s="45">
        <v>1.837</v>
      </c>
      <c r="V43" s="627">
        <v>0.97899999999999998</v>
      </c>
      <c r="W43" s="45">
        <v>1.891</v>
      </c>
      <c r="X43" s="627">
        <v>0.94</v>
      </c>
      <c r="Y43" s="45">
        <v>1.9450000000000001</v>
      </c>
      <c r="Z43" s="627">
        <v>0.90200000000000002</v>
      </c>
      <c r="AA43" s="45">
        <v>2.0019999999999998</v>
      </c>
      <c r="AB43" s="627">
        <v>0.86299999999999999</v>
      </c>
      <c r="AC43" s="45">
        <v>2.0590000000000002</v>
      </c>
      <c r="AD43" s="627">
        <v>0.82499999999999996</v>
      </c>
      <c r="AE43" s="45">
        <v>2.117</v>
      </c>
      <c r="AF43" s="627">
        <v>0.78600000000000003</v>
      </c>
      <c r="AG43" s="628">
        <v>2.1760000000000002</v>
      </c>
      <c r="AH43" s="45">
        <v>0.748</v>
      </c>
      <c r="AI43" s="628">
        <v>2.2370000000000001</v>
      </c>
      <c r="AJ43" s="45">
        <v>0.71099999999999997</v>
      </c>
      <c r="AK43" s="628">
        <v>2.298</v>
      </c>
      <c r="AL43" s="45">
        <v>0.67400000000000004</v>
      </c>
      <c r="AM43" s="628">
        <v>2.359</v>
      </c>
      <c r="AN43" s="45">
        <v>0.63700000000000001</v>
      </c>
      <c r="AO43" s="628">
        <v>2.4209999999999998</v>
      </c>
    </row>
    <row r="44" spans="1:41" x14ac:dyDescent="0.25">
      <c r="A44" s="582">
        <v>60</v>
      </c>
      <c r="B44" s="627">
        <v>1.3819999999999999</v>
      </c>
      <c r="C44" s="45">
        <v>1.4490000000000001</v>
      </c>
      <c r="D44" s="627">
        <v>1.351</v>
      </c>
      <c r="E44" s="628">
        <v>1.484</v>
      </c>
      <c r="F44" s="45">
        <v>1.3169999999999999</v>
      </c>
      <c r="G44" s="45">
        <v>1.52</v>
      </c>
      <c r="H44" s="627">
        <v>1.2829999999999999</v>
      </c>
      <c r="I44" s="628">
        <v>1.5589999999999999</v>
      </c>
      <c r="J44" s="45">
        <v>1.248</v>
      </c>
      <c r="K44" s="45">
        <v>1.5980000000000001</v>
      </c>
      <c r="L44" s="627">
        <v>1.214</v>
      </c>
      <c r="M44" s="628">
        <v>1.639</v>
      </c>
      <c r="N44" s="45">
        <v>1.179</v>
      </c>
      <c r="O44" s="45">
        <v>1.6819999999999999</v>
      </c>
      <c r="P44" s="627">
        <v>1.1439999999999999</v>
      </c>
      <c r="Q44" s="45">
        <v>1.726</v>
      </c>
      <c r="R44" s="627">
        <v>1.1080000000000001</v>
      </c>
      <c r="S44" s="628">
        <v>1.7709999999999999</v>
      </c>
      <c r="T44" s="45">
        <v>1.0720000000000001</v>
      </c>
      <c r="U44" s="45">
        <v>1.8169999999999999</v>
      </c>
      <c r="V44" s="627">
        <v>1.0369999999999999</v>
      </c>
      <c r="W44" s="45">
        <v>1.865</v>
      </c>
      <c r="X44" s="627">
        <v>1.0009999999999999</v>
      </c>
      <c r="Y44" s="45">
        <v>1.9139999999999999</v>
      </c>
      <c r="Z44" s="627">
        <v>0.96499999999999997</v>
      </c>
      <c r="AA44" s="45">
        <v>1.964</v>
      </c>
      <c r="AB44" s="627">
        <v>0.92900000000000005</v>
      </c>
      <c r="AC44" s="45">
        <v>2.0150000000000001</v>
      </c>
      <c r="AD44" s="627">
        <v>0.89300000000000002</v>
      </c>
      <c r="AE44" s="45">
        <v>2.0670000000000002</v>
      </c>
      <c r="AF44" s="627">
        <v>0.85699999999999998</v>
      </c>
      <c r="AG44" s="628">
        <v>2.12</v>
      </c>
      <c r="AH44" s="45">
        <v>0.82199999999999995</v>
      </c>
      <c r="AI44" s="628">
        <v>2.173</v>
      </c>
      <c r="AJ44" s="45">
        <v>0.78600000000000003</v>
      </c>
      <c r="AK44" s="628">
        <v>2.2269999999999999</v>
      </c>
      <c r="AL44" s="45">
        <v>0.751</v>
      </c>
      <c r="AM44" s="628">
        <v>2.2829999999999999</v>
      </c>
      <c r="AN44" s="45">
        <v>0.71599999999999997</v>
      </c>
      <c r="AO44" s="628">
        <v>2.3380000000000001</v>
      </c>
    </row>
    <row r="45" spans="1:41" x14ac:dyDescent="0.25">
      <c r="A45" s="582">
        <v>65</v>
      </c>
      <c r="B45" s="627">
        <v>1.407</v>
      </c>
      <c r="C45" s="45">
        <v>1.4670000000000001</v>
      </c>
      <c r="D45" s="627">
        <v>1.377</v>
      </c>
      <c r="E45" s="628">
        <v>1.5</v>
      </c>
      <c r="F45" s="45">
        <v>1.3460000000000001</v>
      </c>
      <c r="G45" s="45">
        <v>1.534</v>
      </c>
      <c r="H45" s="627">
        <v>1.3140000000000001</v>
      </c>
      <c r="I45" s="628">
        <v>1.5680000000000001</v>
      </c>
      <c r="J45" s="45">
        <v>1.2829999999999999</v>
      </c>
      <c r="K45" s="45">
        <v>1.6040000000000001</v>
      </c>
      <c r="L45" s="627">
        <v>1.2509999999999999</v>
      </c>
      <c r="M45" s="628">
        <v>1.6419999999999999</v>
      </c>
      <c r="N45" s="45">
        <v>1.218</v>
      </c>
      <c r="O45" s="45">
        <v>1.68</v>
      </c>
      <c r="P45" s="627">
        <v>1.1859999999999999</v>
      </c>
      <c r="Q45" s="45">
        <v>1.72</v>
      </c>
      <c r="R45" s="627">
        <v>1.153</v>
      </c>
      <c r="S45" s="628">
        <v>1.7609999999999999</v>
      </c>
      <c r="T45" s="45">
        <v>1.1200000000000001</v>
      </c>
      <c r="U45" s="45">
        <v>1.802</v>
      </c>
      <c r="V45" s="627">
        <v>1.087</v>
      </c>
      <c r="W45" s="45">
        <v>1.845</v>
      </c>
      <c r="X45" s="627">
        <v>1.0529999999999999</v>
      </c>
      <c r="Y45" s="45">
        <v>1.889</v>
      </c>
      <c r="Z45" s="627">
        <v>1.02</v>
      </c>
      <c r="AA45" s="45">
        <v>1.9339999999999999</v>
      </c>
      <c r="AB45" s="627">
        <v>0.98599999999999999</v>
      </c>
      <c r="AC45" s="45">
        <v>1.98</v>
      </c>
      <c r="AD45" s="627">
        <v>0.95299999999999996</v>
      </c>
      <c r="AE45" s="45">
        <v>2.0270000000000001</v>
      </c>
      <c r="AF45" s="627">
        <v>0.91900000000000004</v>
      </c>
      <c r="AG45" s="628">
        <v>2.0750000000000002</v>
      </c>
      <c r="AH45" s="45">
        <v>0.88600000000000001</v>
      </c>
      <c r="AI45" s="628">
        <v>2.1230000000000002</v>
      </c>
      <c r="AJ45" s="45">
        <v>0.85199999999999998</v>
      </c>
      <c r="AK45" s="628">
        <v>2.1720000000000002</v>
      </c>
      <c r="AL45" s="45">
        <v>0.81899999999999995</v>
      </c>
      <c r="AM45" s="628">
        <v>2.2210000000000001</v>
      </c>
      <c r="AN45" s="45">
        <v>0.78900000000000003</v>
      </c>
      <c r="AO45" s="628">
        <v>2.2719999999999998</v>
      </c>
    </row>
    <row r="46" spans="1:41" x14ac:dyDescent="0.25">
      <c r="A46" s="582">
        <v>70</v>
      </c>
      <c r="B46" s="627">
        <v>1.429</v>
      </c>
      <c r="C46" s="45">
        <v>1.4850000000000001</v>
      </c>
      <c r="D46" s="627">
        <v>1.4</v>
      </c>
      <c r="E46" s="628">
        <v>1.514</v>
      </c>
      <c r="F46" s="45">
        <v>1.3720000000000001</v>
      </c>
      <c r="G46" s="45">
        <v>1.546</v>
      </c>
      <c r="H46" s="627">
        <v>1.343</v>
      </c>
      <c r="I46" s="628">
        <v>1.577</v>
      </c>
      <c r="J46" s="45">
        <v>1.3129999999999999</v>
      </c>
      <c r="K46" s="45">
        <v>1.611</v>
      </c>
      <c r="L46" s="627">
        <v>1.2829999999999999</v>
      </c>
      <c r="M46" s="628">
        <v>1.645</v>
      </c>
      <c r="N46" s="45">
        <v>1.2529999999999999</v>
      </c>
      <c r="O46" s="45">
        <v>1.68</v>
      </c>
      <c r="P46" s="627">
        <v>1.2230000000000001</v>
      </c>
      <c r="Q46" s="45">
        <v>1.716</v>
      </c>
      <c r="R46" s="627">
        <v>1.1919999999999999</v>
      </c>
      <c r="S46" s="628">
        <v>1.754</v>
      </c>
      <c r="T46" s="45">
        <v>1.1619999999999999</v>
      </c>
      <c r="U46" s="45">
        <v>1.792</v>
      </c>
      <c r="V46" s="627">
        <v>1.131</v>
      </c>
      <c r="W46" s="45">
        <v>1.831</v>
      </c>
      <c r="X46" s="627">
        <v>1.099</v>
      </c>
      <c r="Y46" s="45">
        <v>1.87</v>
      </c>
      <c r="Z46" s="627">
        <v>1.0680000000000001</v>
      </c>
      <c r="AA46" s="45">
        <v>1.911</v>
      </c>
      <c r="AB46" s="627">
        <v>1.0369999999999999</v>
      </c>
      <c r="AC46" s="45">
        <v>1.9530000000000001</v>
      </c>
      <c r="AD46" s="627">
        <v>1.0049999999999999</v>
      </c>
      <c r="AE46" s="45">
        <v>1.9950000000000001</v>
      </c>
      <c r="AF46" s="627">
        <v>0.97399999999999998</v>
      </c>
      <c r="AG46" s="628">
        <v>2.0379999999999998</v>
      </c>
      <c r="AH46" s="45">
        <v>0.94299999999999995</v>
      </c>
      <c r="AI46" s="628">
        <v>2.0819999999999999</v>
      </c>
      <c r="AJ46" s="45">
        <v>0.91100000000000003</v>
      </c>
      <c r="AK46" s="628">
        <v>2.1269999999999998</v>
      </c>
      <c r="AL46" s="45">
        <v>0.88</v>
      </c>
      <c r="AM46" s="628">
        <v>2.1720000000000002</v>
      </c>
      <c r="AN46" s="45">
        <v>0.84899999999999998</v>
      </c>
      <c r="AO46" s="628">
        <v>2.2170000000000001</v>
      </c>
    </row>
    <row r="47" spans="1:41" x14ac:dyDescent="0.25">
      <c r="A47" s="582">
        <v>75</v>
      </c>
      <c r="B47" s="627">
        <v>1.448</v>
      </c>
      <c r="C47" s="45">
        <v>1.5009999999999999</v>
      </c>
      <c r="D47" s="627">
        <v>1.4219999999999999</v>
      </c>
      <c r="E47" s="628">
        <v>1.5289999999999999</v>
      </c>
      <c r="F47" s="45">
        <v>1.395</v>
      </c>
      <c r="G47" s="45">
        <v>1.5569999999999999</v>
      </c>
      <c r="H47" s="627">
        <v>1.3680000000000001</v>
      </c>
      <c r="I47" s="628">
        <v>1.5860000000000001</v>
      </c>
      <c r="J47" s="45">
        <v>1.34</v>
      </c>
      <c r="K47" s="45">
        <v>1.617</v>
      </c>
      <c r="L47" s="627">
        <v>1.3129999999999999</v>
      </c>
      <c r="M47" s="628">
        <v>1.649</v>
      </c>
      <c r="N47" s="45">
        <v>1.284</v>
      </c>
      <c r="O47" s="45">
        <v>1.6819999999999999</v>
      </c>
      <c r="P47" s="627">
        <v>1.256</v>
      </c>
      <c r="Q47" s="45">
        <v>1.714</v>
      </c>
      <c r="R47" s="627">
        <v>1.2270000000000001</v>
      </c>
      <c r="S47" s="628">
        <v>1.748</v>
      </c>
      <c r="T47" s="45">
        <v>1.1990000000000001</v>
      </c>
      <c r="U47" s="45">
        <v>1.7829999999999999</v>
      </c>
      <c r="V47" s="627">
        <v>1.17</v>
      </c>
      <c r="W47" s="45">
        <v>1.819</v>
      </c>
      <c r="X47" s="627">
        <v>1.141</v>
      </c>
      <c r="Y47" s="45">
        <v>1.8560000000000001</v>
      </c>
      <c r="Z47" s="627">
        <v>1.111</v>
      </c>
      <c r="AA47" s="45">
        <v>1.893</v>
      </c>
      <c r="AB47" s="627">
        <v>1.0820000000000001</v>
      </c>
      <c r="AC47" s="45">
        <v>1.931</v>
      </c>
      <c r="AD47" s="627">
        <v>1.052</v>
      </c>
      <c r="AE47" s="45">
        <v>1.97</v>
      </c>
      <c r="AF47" s="627">
        <v>1.0229999999999999</v>
      </c>
      <c r="AG47" s="628">
        <v>2.0089999999999999</v>
      </c>
      <c r="AH47" s="45">
        <v>0.99299999999999999</v>
      </c>
      <c r="AI47" s="628">
        <v>2.0489999999999999</v>
      </c>
      <c r="AJ47" s="45">
        <v>0.96399999999999997</v>
      </c>
      <c r="AK47" s="628">
        <v>2.09</v>
      </c>
      <c r="AL47" s="45">
        <v>0.93400000000000005</v>
      </c>
      <c r="AM47" s="628">
        <v>2.1309999999999998</v>
      </c>
      <c r="AN47" s="45">
        <v>0.90500000000000003</v>
      </c>
      <c r="AO47" s="628">
        <v>2.1720000000000002</v>
      </c>
    </row>
    <row r="48" spans="1:41" x14ac:dyDescent="0.25">
      <c r="A48" s="582">
        <v>80</v>
      </c>
      <c r="B48" s="627">
        <v>1.4650000000000001</v>
      </c>
      <c r="C48" s="45">
        <v>1.514</v>
      </c>
      <c r="D48" s="627">
        <v>1.44</v>
      </c>
      <c r="E48" s="628">
        <v>1.5409999999999999</v>
      </c>
      <c r="F48" s="45">
        <v>1.4159999999999999</v>
      </c>
      <c r="G48" s="45">
        <v>1.5680000000000001</v>
      </c>
      <c r="H48" s="627">
        <v>1.39</v>
      </c>
      <c r="I48" s="628">
        <v>1.595</v>
      </c>
      <c r="J48" s="45">
        <v>1.3640000000000001</v>
      </c>
      <c r="K48" s="45">
        <v>1.6240000000000001</v>
      </c>
      <c r="L48" s="627">
        <v>1.3380000000000001</v>
      </c>
      <c r="M48" s="628">
        <v>1.653</v>
      </c>
      <c r="N48" s="45">
        <v>1.3120000000000001</v>
      </c>
      <c r="O48" s="45">
        <v>1.6830000000000001</v>
      </c>
      <c r="P48" s="627">
        <v>1.2849999999999999</v>
      </c>
      <c r="Q48" s="45">
        <v>1.714</v>
      </c>
      <c r="R48" s="627">
        <v>1.2589999999999999</v>
      </c>
      <c r="S48" s="628">
        <v>1.7450000000000001</v>
      </c>
      <c r="T48" s="45">
        <v>1.232</v>
      </c>
      <c r="U48" s="45">
        <v>1.7769999999999999</v>
      </c>
      <c r="V48" s="627">
        <v>1.2050000000000001</v>
      </c>
      <c r="W48" s="45">
        <v>1.81</v>
      </c>
      <c r="X48" s="627">
        <v>1.177</v>
      </c>
      <c r="Y48" s="45">
        <v>1.8440000000000001</v>
      </c>
      <c r="Z48" s="627">
        <v>1.1499999999999999</v>
      </c>
      <c r="AA48" s="45">
        <v>1.8779999999999999</v>
      </c>
      <c r="AB48" s="627">
        <v>1.1220000000000001</v>
      </c>
      <c r="AC48" s="45">
        <v>1.913</v>
      </c>
      <c r="AD48" s="627">
        <v>1.0940000000000001</v>
      </c>
      <c r="AE48" s="45">
        <v>1.9490000000000001</v>
      </c>
      <c r="AF48" s="627">
        <v>1.0660000000000001</v>
      </c>
      <c r="AG48" s="628">
        <v>1.984</v>
      </c>
      <c r="AH48" s="45">
        <v>1.0389999999999999</v>
      </c>
      <c r="AI48" s="628">
        <v>2.0219999999999998</v>
      </c>
      <c r="AJ48" s="45">
        <v>1.0109999999999999</v>
      </c>
      <c r="AK48" s="628">
        <v>2.0590000000000002</v>
      </c>
      <c r="AL48" s="45">
        <v>0.98299999999999998</v>
      </c>
      <c r="AM48" s="628">
        <v>2.097</v>
      </c>
      <c r="AN48" s="45">
        <v>0.95499999999999996</v>
      </c>
      <c r="AO48" s="628">
        <v>2.1349999999999998</v>
      </c>
    </row>
    <row r="49" spans="1:41" x14ac:dyDescent="0.25">
      <c r="A49" s="582">
        <v>85</v>
      </c>
      <c r="B49" s="627">
        <v>1.4810000000000001</v>
      </c>
      <c r="C49" s="45">
        <v>1.5289999999999999</v>
      </c>
      <c r="D49" s="627">
        <v>1.458</v>
      </c>
      <c r="E49" s="628">
        <v>1.5529999999999999</v>
      </c>
      <c r="F49" s="45">
        <v>1.4339999999999999</v>
      </c>
      <c r="G49" s="45">
        <v>1.577</v>
      </c>
      <c r="H49" s="627">
        <v>1.411</v>
      </c>
      <c r="I49" s="628">
        <v>1.603</v>
      </c>
      <c r="J49" s="45">
        <v>1.3859999999999999</v>
      </c>
      <c r="K49" s="45">
        <v>1.63</v>
      </c>
      <c r="L49" s="627">
        <v>1.3620000000000001</v>
      </c>
      <c r="M49" s="628">
        <v>1.657</v>
      </c>
      <c r="N49" s="45">
        <v>1.337</v>
      </c>
      <c r="O49" s="45">
        <v>1.6850000000000001</v>
      </c>
      <c r="P49" s="627">
        <v>1.3120000000000001</v>
      </c>
      <c r="Q49" s="45">
        <v>1.714</v>
      </c>
      <c r="R49" s="627">
        <v>1.2869999999999999</v>
      </c>
      <c r="S49" s="628">
        <v>1.7430000000000001</v>
      </c>
      <c r="T49" s="45">
        <v>1.262</v>
      </c>
      <c r="U49" s="45">
        <v>1.7729999999999999</v>
      </c>
      <c r="V49" s="627">
        <v>1.236</v>
      </c>
      <c r="W49" s="45">
        <v>1.8029999999999999</v>
      </c>
      <c r="X49" s="627">
        <v>1.21</v>
      </c>
      <c r="Y49" s="45">
        <v>1.8340000000000001</v>
      </c>
      <c r="Z49" s="627">
        <v>1.1839999999999999</v>
      </c>
      <c r="AA49" s="45">
        <v>1.8660000000000001</v>
      </c>
      <c r="AB49" s="627">
        <v>1.1579999999999999</v>
      </c>
      <c r="AC49" s="45">
        <v>1.8979999999999999</v>
      </c>
      <c r="AD49" s="627">
        <v>1.1319999999999999</v>
      </c>
      <c r="AE49" s="45">
        <v>1.931</v>
      </c>
      <c r="AF49" s="627">
        <v>1.1060000000000001</v>
      </c>
      <c r="AG49" s="628">
        <v>1.9650000000000001</v>
      </c>
      <c r="AH49" s="45">
        <v>1.08</v>
      </c>
      <c r="AI49" s="628">
        <v>1.9990000000000001</v>
      </c>
      <c r="AJ49" s="45">
        <v>1.0529999999999999</v>
      </c>
      <c r="AK49" s="628">
        <v>2.0329999999999999</v>
      </c>
      <c r="AL49" s="45">
        <v>1.0269999999999999</v>
      </c>
      <c r="AM49" s="628">
        <v>2.0680000000000001</v>
      </c>
      <c r="AN49" s="45">
        <v>1</v>
      </c>
      <c r="AO49" s="628">
        <v>2.1040000000000001</v>
      </c>
    </row>
    <row r="50" spans="1:41" x14ac:dyDescent="0.25">
      <c r="A50" s="582">
        <v>90</v>
      </c>
      <c r="B50" s="627">
        <v>1.496</v>
      </c>
      <c r="C50" s="45">
        <v>1.5409999999999999</v>
      </c>
      <c r="D50" s="627">
        <v>1.474</v>
      </c>
      <c r="E50" s="628">
        <v>1.5629999999999999</v>
      </c>
      <c r="F50" s="45">
        <v>1.452</v>
      </c>
      <c r="G50" s="45">
        <v>1.587</v>
      </c>
      <c r="H50" s="627">
        <v>1.429</v>
      </c>
      <c r="I50" s="628">
        <v>1.611</v>
      </c>
      <c r="J50" s="45">
        <v>1.4059999999999999</v>
      </c>
      <c r="K50" s="45">
        <v>1.6359999999999999</v>
      </c>
      <c r="L50" s="627">
        <v>1.383</v>
      </c>
      <c r="M50" s="628">
        <v>1.661</v>
      </c>
      <c r="N50" s="45">
        <v>1.36</v>
      </c>
      <c r="O50" s="45">
        <v>1.6870000000000001</v>
      </c>
      <c r="P50" s="627">
        <v>1.3360000000000001</v>
      </c>
      <c r="Q50" s="45">
        <v>1.714</v>
      </c>
      <c r="R50" s="627">
        <v>1.3120000000000001</v>
      </c>
      <c r="S50" s="628">
        <v>1.7410000000000001</v>
      </c>
      <c r="T50" s="45">
        <v>1.288</v>
      </c>
      <c r="U50" s="45">
        <v>1.7689999999999999</v>
      </c>
      <c r="V50" s="627">
        <v>1.264</v>
      </c>
      <c r="W50" s="45">
        <v>1.798</v>
      </c>
      <c r="X50" s="627">
        <v>1.24</v>
      </c>
      <c r="Y50" s="45">
        <v>1.827</v>
      </c>
      <c r="Z50" s="627">
        <v>1.2150000000000001</v>
      </c>
      <c r="AA50" s="45">
        <v>1.8560000000000001</v>
      </c>
      <c r="AB50" s="627">
        <v>1.1910000000000001</v>
      </c>
      <c r="AC50" s="45">
        <v>1.8859999999999999</v>
      </c>
      <c r="AD50" s="627">
        <v>1.1659999999999999</v>
      </c>
      <c r="AE50" s="45">
        <v>1.917</v>
      </c>
      <c r="AF50" s="627">
        <v>1.141</v>
      </c>
      <c r="AG50" s="628">
        <v>1.948</v>
      </c>
      <c r="AH50" s="45">
        <v>1.1160000000000001</v>
      </c>
      <c r="AI50" s="628">
        <v>1.9790000000000001</v>
      </c>
      <c r="AJ50" s="45">
        <v>1.091</v>
      </c>
      <c r="AK50" s="628">
        <v>2.012</v>
      </c>
      <c r="AL50" s="45">
        <v>1.0660000000000001</v>
      </c>
      <c r="AM50" s="628">
        <v>2.044</v>
      </c>
      <c r="AN50" s="45">
        <v>1.0409999999999999</v>
      </c>
      <c r="AO50" s="628">
        <v>2.077</v>
      </c>
    </row>
    <row r="51" spans="1:41" x14ac:dyDescent="0.25">
      <c r="A51" s="582">
        <v>95</v>
      </c>
      <c r="B51" s="627">
        <v>1.51</v>
      </c>
      <c r="C51" s="45">
        <v>1.552</v>
      </c>
      <c r="D51" s="627">
        <v>1.4890000000000001</v>
      </c>
      <c r="E51" s="628">
        <v>1.573</v>
      </c>
      <c r="F51" s="45">
        <v>1.468</v>
      </c>
      <c r="G51" s="45">
        <v>1.5960000000000001</v>
      </c>
      <c r="H51" s="627">
        <v>1.446</v>
      </c>
      <c r="I51" s="628">
        <v>1.6180000000000001</v>
      </c>
      <c r="J51" s="45">
        <v>1.425</v>
      </c>
      <c r="K51" s="45">
        <v>1.641</v>
      </c>
      <c r="L51" s="627">
        <v>1.403</v>
      </c>
      <c r="M51" s="628">
        <v>1.6659999999999999</v>
      </c>
      <c r="N51" s="45">
        <v>1.381</v>
      </c>
      <c r="O51" s="45">
        <v>1.69</v>
      </c>
      <c r="P51" s="627">
        <v>1.3580000000000001</v>
      </c>
      <c r="Q51" s="45">
        <v>1.7150000000000001</v>
      </c>
      <c r="R51" s="627">
        <v>1.3360000000000001</v>
      </c>
      <c r="S51" s="628">
        <v>1.7410000000000001</v>
      </c>
      <c r="T51" s="45">
        <v>1.3129999999999999</v>
      </c>
      <c r="U51" s="45">
        <v>1.7669999999999999</v>
      </c>
      <c r="V51" s="627">
        <v>1.29</v>
      </c>
      <c r="W51" s="45">
        <v>1.7929999999999999</v>
      </c>
      <c r="X51" s="627">
        <v>1.2669999999999999</v>
      </c>
      <c r="Y51" s="45">
        <v>1.821</v>
      </c>
      <c r="Z51" s="627">
        <v>1.244</v>
      </c>
      <c r="AA51" s="45">
        <v>1.8480000000000001</v>
      </c>
      <c r="AB51" s="627">
        <v>1.2210000000000001</v>
      </c>
      <c r="AC51" s="45">
        <v>1.8759999999999999</v>
      </c>
      <c r="AD51" s="627">
        <v>1.1970000000000001</v>
      </c>
      <c r="AE51" s="45">
        <v>1.905</v>
      </c>
      <c r="AF51" s="627">
        <v>1.1739999999999999</v>
      </c>
      <c r="AG51" s="628">
        <v>1.9430000000000001</v>
      </c>
      <c r="AH51" s="45">
        <v>1.1499999999999999</v>
      </c>
      <c r="AI51" s="628">
        <v>1.9630000000000001</v>
      </c>
      <c r="AJ51" s="45">
        <v>1.1259999999999999</v>
      </c>
      <c r="AK51" s="628">
        <v>1.9930000000000001</v>
      </c>
      <c r="AL51" s="45">
        <v>1.1020000000000001</v>
      </c>
      <c r="AM51" s="628">
        <v>2.0230000000000001</v>
      </c>
      <c r="AN51" s="45">
        <v>1.079</v>
      </c>
      <c r="AO51" s="628">
        <v>2.0539999999999998</v>
      </c>
    </row>
    <row r="52" spans="1:41" x14ac:dyDescent="0.25">
      <c r="A52" s="582">
        <v>100</v>
      </c>
      <c r="B52" s="627">
        <v>1.522</v>
      </c>
      <c r="C52" s="45">
        <v>1.5620000000000001</v>
      </c>
      <c r="D52" s="627">
        <v>1.502</v>
      </c>
      <c r="E52" s="628">
        <v>1.5820000000000001</v>
      </c>
      <c r="F52" s="45">
        <v>1.482</v>
      </c>
      <c r="G52" s="45">
        <v>1.6040000000000001</v>
      </c>
      <c r="H52" s="627">
        <v>1.4610000000000001</v>
      </c>
      <c r="I52" s="628">
        <v>1.625</v>
      </c>
      <c r="J52" s="45">
        <v>1.4410000000000001</v>
      </c>
      <c r="K52" s="45">
        <v>1.647</v>
      </c>
      <c r="L52" s="627">
        <v>1.421</v>
      </c>
      <c r="M52" s="628">
        <v>1.67</v>
      </c>
      <c r="N52" s="45">
        <v>1.4</v>
      </c>
      <c r="O52" s="45">
        <v>1.6930000000000001</v>
      </c>
      <c r="P52" s="627">
        <v>1.3779999999999999</v>
      </c>
      <c r="Q52" s="45">
        <v>1.7170000000000001</v>
      </c>
      <c r="R52" s="627">
        <v>1.357</v>
      </c>
      <c r="S52" s="628">
        <v>1.7410000000000001</v>
      </c>
      <c r="T52" s="45">
        <v>1.335</v>
      </c>
      <c r="U52" s="45">
        <v>1.7649999999999999</v>
      </c>
      <c r="V52" s="627">
        <v>1.3140000000000001</v>
      </c>
      <c r="W52" s="45">
        <v>1.79</v>
      </c>
      <c r="X52" s="627">
        <v>1.292</v>
      </c>
      <c r="Y52" s="45">
        <v>1.8160000000000001</v>
      </c>
      <c r="Z52" s="627">
        <v>1.27</v>
      </c>
      <c r="AA52" s="45">
        <v>1.841</v>
      </c>
      <c r="AB52" s="627">
        <v>1.248</v>
      </c>
      <c r="AC52" s="45">
        <v>1.8680000000000001</v>
      </c>
      <c r="AD52" s="627">
        <v>1.2250000000000001</v>
      </c>
      <c r="AE52" s="45">
        <v>1.895</v>
      </c>
      <c r="AF52" s="627">
        <v>1.2030000000000001</v>
      </c>
      <c r="AG52" s="628">
        <v>1.9219999999999999</v>
      </c>
      <c r="AH52" s="45">
        <v>1.181</v>
      </c>
      <c r="AI52" s="628">
        <v>1.9490000000000001</v>
      </c>
      <c r="AJ52" s="45">
        <v>1.1579999999999999</v>
      </c>
      <c r="AK52" s="628">
        <v>1.9770000000000001</v>
      </c>
      <c r="AL52" s="45">
        <v>1.1359999999999999</v>
      </c>
      <c r="AM52" s="628">
        <v>2.0059999999999998</v>
      </c>
      <c r="AN52" s="45">
        <v>1.113</v>
      </c>
      <c r="AO52" s="628">
        <v>2.0339999999999998</v>
      </c>
    </row>
    <row r="53" spans="1:41" x14ac:dyDescent="0.25">
      <c r="A53" s="582">
        <v>150</v>
      </c>
      <c r="B53" s="627">
        <v>1.611</v>
      </c>
      <c r="C53" s="45">
        <v>1.637</v>
      </c>
      <c r="D53" s="627">
        <v>1.5980000000000001</v>
      </c>
      <c r="E53" s="628">
        <v>1.651</v>
      </c>
      <c r="F53" s="45">
        <v>1.5840000000000001</v>
      </c>
      <c r="G53" s="45">
        <v>1.665</v>
      </c>
      <c r="H53" s="627">
        <v>1.571</v>
      </c>
      <c r="I53" s="628">
        <v>1.679</v>
      </c>
      <c r="J53" s="45">
        <v>1.5569999999999999</v>
      </c>
      <c r="K53" s="45">
        <v>1.6930000000000001</v>
      </c>
      <c r="L53" s="627">
        <v>1.5429999999999999</v>
      </c>
      <c r="M53" s="628">
        <v>1.708</v>
      </c>
      <c r="N53" s="45">
        <v>1.53</v>
      </c>
      <c r="O53" s="45">
        <v>1.722</v>
      </c>
      <c r="P53" s="627">
        <v>1.5149999999999999</v>
      </c>
      <c r="Q53" s="45">
        <v>1.7370000000000001</v>
      </c>
      <c r="R53" s="627">
        <v>1.5009999999999999</v>
      </c>
      <c r="S53" s="628">
        <v>1.752</v>
      </c>
      <c r="T53" s="45">
        <v>1.486</v>
      </c>
      <c r="U53" s="45">
        <v>1.7669999999999999</v>
      </c>
      <c r="V53" s="627">
        <v>1.4730000000000001</v>
      </c>
      <c r="W53" s="45">
        <v>1.7829999999999999</v>
      </c>
      <c r="X53" s="627">
        <v>1.458</v>
      </c>
      <c r="Y53" s="45">
        <v>1.7989999999999999</v>
      </c>
      <c r="Z53" s="627">
        <v>1.444</v>
      </c>
      <c r="AA53" s="45">
        <v>1.8140000000000001</v>
      </c>
      <c r="AB53" s="627">
        <v>1.429</v>
      </c>
      <c r="AC53" s="45">
        <v>1.83</v>
      </c>
      <c r="AD53" s="627">
        <v>1.4139999999999999</v>
      </c>
      <c r="AE53" s="45">
        <v>1.847</v>
      </c>
      <c r="AF53" s="627">
        <v>1.4</v>
      </c>
      <c r="AG53" s="628">
        <v>1.863</v>
      </c>
      <c r="AH53" s="45">
        <v>1.385</v>
      </c>
      <c r="AI53" s="628">
        <v>1.88</v>
      </c>
      <c r="AJ53" s="45">
        <v>1.37</v>
      </c>
      <c r="AK53" s="628">
        <v>1.897</v>
      </c>
      <c r="AL53" s="45">
        <v>1.355</v>
      </c>
      <c r="AM53" s="628">
        <v>1.913</v>
      </c>
      <c r="AN53" s="45">
        <v>1.34</v>
      </c>
      <c r="AO53" s="628">
        <v>1.931</v>
      </c>
    </row>
    <row r="54" spans="1:41" x14ac:dyDescent="0.25">
      <c r="A54" s="581">
        <v>200</v>
      </c>
      <c r="B54" s="629">
        <v>1.6639999999999999</v>
      </c>
      <c r="C54" s="981">
        <v>1.6839999999999999</v>
      </c>
      <c r="D54" s="629">
        <v>1.653</v>
      </c>
      <c r="E54" s="630">
        <v>1.6930000000000001</v>
      </c>
      <c r="F54" s="981">
        <v>1.643</v>
      </c>
      <c r="G54" s="981">
        <v>1.704</v>
      </c>
      <c r="H54" s="629">
        <v>1.633</v>
      </c>
      <c r="I54" s="630">
        <v>1.7150000000000001</v>
      </c>
      <c r="J54" s="981">
        <v>1.623</v>
      </c>
      <c r="K54" s="981">
        <v>1.7250000000000001</v>
      </c>
      <c r="L54" s="629">
        <v>1.613</v>
      </c>
      <c r="M54" s="630">
        <v>1.7350000000000001</v>
      </c>
      <c r="N54" s="981">
        <v>1.603</v>
      </c>
      <c r="O54" s="981">
        <v>1.746</v>
      </c>
      <c r="P54" s="629">
        <v>1.5920000000000001</v>
      </c>
      <c r="Q54" s="981">
        <v>1.7569999999999999</v>
      </c>
      <c r="R54" s="629">
        <v>1.5820000000000001</v>
      </c>
      <c r="S54" s="630">
        <v>1.768</v>
      </c>
      <c r="T54" s="981">
        <v>1.571</v>
      </c>
      <c r="U54" s="981">
        <v>1.7789999999999999</v>
      </c>
      <c r="V54" s="629">
        <v>1.5609999999999999</v>
      </c>
      <c r="W54" s="981">
        <v>1.7909999999999999</v>
      </c>
      <c r="X54" s="629">
        <v>1.55</v>
      </c>
      <c r="Y54" s="981">
        <v>1.8009999999999999</v>
      </c>
      <c r="Z54" s="629">
        <v>1.5389999999999999</v>
      </c>
      <c r="AA54" s="981">
        <v>1.8129999999999999</v>
      </c>
      <c r="AB54" s="629">
        <v>1.528</v>
      </c>
      <c r="AC54" s="981">
        <v>1.8240000000000001</v>
      </c>
      <c r="AD54" s="629">
        <v>1.518</v>
      </c>
      <c r="AE54" s="981">
        <v>1.8360000000000001</v>
      </c>
      <c r="AF54" s="629">
        <v>1.5069999999999999</v>
      </c>
      <c r="AG54" s="630">
        <v>1.847</v>
      </c>
      <c r="AH54" s="981">
        <v>1.4950000000000001</v>
      </c>
      <c r="AI54" s="630">
        <v>1.86</v>
      </c>
      <c r="AJ54" s="981">
        <v>1.484</v>
      </c>
      <c r="AK54" s="630">
        <v>1.871</v>
      </c>
      <c r="AL54" s="981">
        <v>1.474</v>
      </c>
      <c r="AM54" s="630">
        <v>1.883</v>
      </c>
      <c r="AN54" s="981">
        <v>1.462</v>
      </c>
      <c r="AO54" s="630">
        <v>1.8959999999999999</v>
      </c>
    </row>
    <row r="56" spans="1:41" x14ac:dyDescent="0.25">
      <c r="A56" s="1177" t="s">
        <v>2263</v>
      </c>
    </row>
  </sheetData>
  <mergeCells count="20">
    <mergeCell ref="X5:Y5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AL5:AM5"/>
    <mergeCell ref="AN5:AO5"/>
    <mergeCell ref="Z5:AA5"/>
    <mergeCell ref="AB5:AC5"/>
    <mergeCell ref="AD5:AE5"/>
    <mergeCell ref="AF5:AG5"/>
    <mergeCell ref="AH5:AI5"/>
    <mergeCell ref="AJ5:AK5"/>
  </mergeCells>
  <hyperlinks>
    <hyperlink ref="A56" r:id="rId1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/>
  <dimension ref="A1:AO54"/>
  <sheetViews>
    <sheetView workbookViewId="0"/>
  </sheetViews>
  <sheetFormatPr defaultRowHeight="15" x14ac:dyDescent="0.25"/>
  <cols>
    <col min="1" max="1" width="5.7109375" style="27" customWidth="1"/>
    <col min="2" max="41" width="5.7109375" style="44" customWidth="1"/>
    <col min="42" max="16384" width="9.140625" style="44"/>
  </cols>
  <sheetData>
    <row r="1" spans="1:41" x14ac:dyDescent="0.25">
      <c r="A1" s="1024" t="s">
        <v>2260</v>
      </c>
    </row>
    <row r="3" spans="1:41" x14ac:dyDescent="0.25">
      <c r="A3" s="1024" t="s">
        <v>2261</v>
      </c>
    </row>
    <row r="5" spans="1:41" s="27" customFormat="1" x14ac:dyDescent="0.25">
      <c r="A5" s="1025" t="s">
        <v>2262</v>
      </c>
      <c r="B5" s="1336">
        <v>1</v>
      </c>
      <c r="C5" s="1336"/>
      <c r="D5" s="1336">
        <v>2</v>
      </c>
      <c r="E5" s="1336"/>
      <c r="F5" s="1336">
        <v>3</v>
      </c>
      <c r="G5" s="1336"/>
      <c r="H5" s="1336">
        <v>4</v>
      </c>
      <c r="I5" s="1336"/>
      <c r="J5" s="1336">
        <v>5</v>
      </c>
      <c r="K5" s="1336"/>
      <c r="L5" s="1336">
        <v>6</v>
      </c>
      <c r="M5" s="1336"/>
      <c r="N5" s="1336">
        <v>7</v>
      </c>
      <c r="O5" s="1336"/>
      <c r="P5" s="1336">
        <v>8</v>
      </c>
      <c r="Q5" s="1336"/>
      <c r="R5" s="1336">
        <v>9</v>
      </c>
      <c r="S5" s="1336"/>
      <c r="T5" s="1336">
        <v>10</v>
      </c>
      <c r="U5" s="1336"/>
      <c r="V5" s="1336">
        <v>11</v>
      </c>
      <c r="W5" s="1336"/>
      <c r="X5" s="1336">
        <v>12</v>
      </c>
      <c r="Y5" s="1336"/>
      <c r="Z5" s="1336">
        <v>13</v>
      </c>
      <c r="AA5" s="1336"/>
      <c r="AB5" s="1336">
        <v>14</v>
      </c>
      <c r="AC5" s="1336"/>
      <c r="AD5" s="1336">
        <v>15</v>
      </c>
      <c r="AE5" s="1336"/>
      <c r="AF5" s="1336">
        <v>16</v>
      </c>
      <c r="AG5" s="1336"/>
      <c r="AH5" s="1336">
        <v>17</v>
      </c>
      <c r="AI5" s="1336"/>
      <c r="AJ5" s="1336">
        <v>18</v>
      </c>
      <c r="AK5" s="1336"/>
      <c r="AL5" s="1336">
        <v>19</v>
      </c>
      <c r="AM5" s="1336"/>
      <c r="AN5" s="1336">
        <v>20</v>
      </c>
      <c r="AO5" s="1336"/>
    </row>
    <row r="6" spans="1:41" x14ac:dyDescent="0.25">
      <c r="A6" s="1026">
        <v>6</v>
      </c>
      <c r="B6" s="982">
        <v>0.61</v>
      </c>
      <c r="C6" s="979">
        <v>1.4</v>
      </c>
      <c r="D6" s="982"/>
      <c r="E6" s="980"/>
      <c r="F6" s="979"/>
      <c r="G6" s="979"/>
      <c r="H6" s="982"/>
      <c r="I6" s="980"/>
      <c r="J6" s="979"/>
      <c r="K6" s="979"/>
      <c r="L6" s="982"/>
      <c r="M6" s="980"/>
      <c r="N6" s="979"/>
      <c r="O6" s="979"/>
      <c r="P6" s="982"/>
      <c r="Q6" s="979"/>
      <c r="R6" s="982"/>
      <c r="S6" s="980"/>
      <c r="T6" s="979"/>
      <c r="U6" s="979"/>
      <c r="V6" s="982"/>
      <c r="W6" s="980"/>
      <c r="X6" s="979"/>
      <c r="Y6" s="979"/>
      <c r="Z6" s="982"/>
      <c r="AA6" s="980"/>
      <c r="AB6" s="979"/>
      <c r="AC6" s="979"/>
      <c r="AD6" s="982"/>
      <c r="AE6" s="980"/>
      <c r="AF6" s="979"/>
      <c r="AG6" s="979"/>
      <c r="AH6" s="982"/>
      <c r="AI6" s="980"/>
      <c r="AJ6" s="979"/>
      <c r="AK6" s="979"/>
      <c r="AL6" s="982"/>
      <c r="AM6" s="980"/>
      <c r="AN6" s="979"/>
      <c r="AO6" s="980"/>
    </row>
    <row r="7" spans="1:41" x14ac:dyDescent="0.25">
      <c r="A7" s="582">
        <v>7</v>
      </c>
      <c r="B7" s="627">
        <v>0.7</v>
      </c>
      <c r="C7" s="45">
        <v>1.3560000000000001</v>
      </c>
      <c r="D7" s="627">
        <v>0.46700000000000003</v>
      </c>
      <c r="E7" s="628">
        <v>1.8959999999999999</v>
      </c>
      <c r="F7" s="45"/>
      <c r="G7" s="45"/>
      <c r="H7" s="627"/>
      <c r="I7" s="628"/>
      <c r="J7" s="45"/>
      <c r="K7" s="45"/>
      <c r="L7" s="627"/>
      <c r="M7" s="628"/>
      <c r="N7" s="45"/>
      <c r="O7" s="45"/>
      <c r="P7" s="627"/>
      <c r="Q7" s="45"/>
      <c r="R7" s="627"/>
      <c r="S7" s="628"/>
      <c r="T7" s="45"/>
      <c r="U7" s="45"/>
      <c r="V7" s="627"/>
      <c r="W7" s="628"/>
      <c r="X7" s="45"/>
      <c r="Y7" s="45"/>
      <c r="Z7" s="627"/>
      <c r="AA7" s="628"/>
      <c r="AB7" s="45"/>
      <c r="AC7" s="45"/>
      <c r="AD7" s="627"/>
      <c r="AE7" s="628"/>
      <c r="AF7" s="45"/>
      <c r="AG7" s="45"/>
      <c r="AH7" s="627"/>
      <c r="AI7" s="628"/>
      <c r="AJ7" s="45"/>
      <c r="AK7" s="45"/>
      <c r="AL7" s="627"/>
      <c r="AM7" s="628"/>
      <c r="AN7" s="45"/>
      <c r="AO7" s="628"/>
    </row>
    <row r="8" spans="1:41" x14ac:dyDescent="0.25">
      <c r="A8" s="582">
        <v>8</v>
      </c>
      <c r="B8" s="627">
        <v>0.76300000000000001</v>
      </c>
      <c r="C8" s="45">
        <v>1.3320000000000001</v>
      </c>
      <c r="D8" s="627">
        <v>0.55900000000000005</v>
      </c>
      <c r="E8" s="628">
        <v>1.7769999999999999</v>
      </c>
      <c r="F8" s="45">
        <v>0.36699999999999999</v>
      </c>
      <c r="G8" s="45">
        <v>2.2869999999999999</v>
      </c>
      <c r="H8" s="627"/>
      <c r="I8" s="628"/>
      <c r="J8" s="45"/>
      <c r="K8" s="45"/>
      <c r="L8" s="627"/>
      <c r="M8" s="628"/>
      <c r="N8" s="45"/>
      <c r="O8" s="45"/>
      <c r="P8" s="627"/>
      <c r="Q8" s="45"/>
      <c r="R8" s="627"/>
      <c r="S8" s="628"/>
      <c r="T8" s="45"/>
      <c r="U8" s="45"/>
      <c r="V8" s="627"/>
      <c r="W8" s="628"/>
      <c r="X8" s="45"/>
      <c r="Y8" s="45"/>
      <c r="Z8" s="627"/>
      <c r="AA8" s="628"/>
      <c r="AB8" s="45"/>
      <c r="AC8" s="45"/>
      <c r="AD8" s="627"/>
      <c r="AE8" s="628"/>
      <c r="AF8" s="45"/>
      <c r="AG8" s="45"/>
      <c r="AH8" s="627"/>
      <c r="AI8" s="628"/>
      <c r="AJ8" s="45"/>
      <c r="AK8" s="45"/>
      <c r="AL8" s="627"/>
      <c r="AM8" s="628"/>
      <c r="AN8" s="45"/>
      <c r="AO8" s="628"/>
    </row>
    <row r="9" spans="1:41" x14ac:dyDescent="0.25">
      <c r="A9" s="582">
        <v>9</v>
      </c>
      <c r="B9" s="627">
        <v>0.82399999999999995</v>
      </c>
      <c r="C9" s="45">
        <v>1.32</v>
      </c>
      <c r="D9" s="627">
        <v>0.629</v>
      </c>
      <c r="E9" s="628">
        <v>1.6990000000000001</v>
      </c>
      <c r="F9" s="45">
        <v>0.45500000000000002</v>
      </c>
      <c r="G9" s="45">
        <v>2.1280000000000001</v>
      </c>
      <c r="H9" s="627">
        <v>0.29599999999999999</v>
      </c>
      <c r="I9" s="628">
        <v>2.5880000000000001</v>
      </c>
      <c r="J9" s="45"/>
      <c r="K9" s="45"/>
      <c r="L9" s="627"/>
      <c r="M9" s="628"/>
      <c r="N9" s="45"/>
      <c r="O9" s="45"/>
      <c r="P9" s="627"/>
      <c r="Q9" s="45"/>
      <c r="R9" s="627"/>
      <c r="S9" s="628"/>
      <c r="T9" s="45"/>
      <c r="U9" s="45"/>
      <c r="V9" s="627"/>
      <c r="W9" s="628"/>
      <c r="X9" s="45"/>
      <c r="Y9" s="45"/>
      <c r="Z9" s="627"/>
      <c r="AA9" s="628"/>
      <c r="AB9" s="45"/>
      <c r="AC9" s="45"/>
      <c r="AD9" s="627"/>
      <c r="AE9" s="628"/>
      <c r="AF9" s="45"/>
      <c r="AG9" s="45"/>
      <c r="AH9" s="627"/>
      <c r="AI9" s="628"/>
      <c r="AJ9" s="45"/>
      <c r="AK9" s="45"/>
      <c r="AL9" s="627"/>
      <c r="AM9" s="628"/>
      <c r="AN9" s="45"/>
      <c r="AO9" s="628"/>
    </row>
    <row r="10" spans="1:41" x14ac:dyDescent="0.25">
      <c r="A10" s="582">
        <v>10</v>
      </c>
      <c r="B10" s="627">
        <v>0.879</v>
      </c>
      <c r="C10" s="45">
        <v>1.32</v>
      </c>
      <c r="D10" s="627">
        <v>0.69699999999999995</v>
      </c>
      <c r="E10" s="628">
        <v>1.641</v>
      </c>
      <c r="F10" s="45">
        <v>0.52500000000000002</v>
      </c>
      <c r="G10" s="45">
        <v>2.016</v>
      </c>
      <c r="H10" s="627">
        <v>0.376</v>
      </c>
      <c r="I10" s="628">
        <v>2.4140000000000001</v>
      </c>
      <c r="J10" s="45">
        <v>0.24299999999999999</v>
      </c>
      <c r="K10" s="45">
        <v>2.8220000000000001</v>
      </c>
      <c r="L10" s="627"/>
      <c r="M10" s="628"/>
      <c r="N10" s="45"/>
      <c r="O10" s="45"/>
      <c r="P10" s="627"/>
      <c r="Q10" s="45"/>
      <c r="R10" s="627"/>
      <c r="S10" s="628"/>
      <c r="T10" s="45"/>
      <c r="U10" s="45"/>
      <c r="V10" s="627"/>
      <c r="W10" s="628"/>
      <c r="X10" s="45"/>
      <c r="Y10" s="45"/>
      <c r="Z10" s="627"/>
      <c r="AA10" s="628"/>
      <c r="AB10" s="45"/>
      <c r="AC10" s="45"/>
      <c r="AD10" s="627"/>
      <c r="AE10" s="628"/>
      <c r="AF10" s="45"/>
      <c r="AG10" s="45"/>
      <c r="AH10" s="627"/>
      <c r="AI10" s="628"/>
      <c r="AJ10" s="45"/>
      <c r="AK10" s="45"/>
      <c r="AL10" s="627"/>
      <c r="AM10" s="628"/>
      <c r="AN10" s="45"/>
      <c r="AO10" s="628"/>
    </row>
    <row r="11" spans="1:41" x14ac:dyDescent="0.25">
      <c r="A11" s="582">
        <v>11</v>
      </c>
      <c r="B11" s="627">
        <v>0.92700000000000005</v>
      </c>
      <c r="C11" s="45">
        <v>1.3240000000000001</v>
      </c>
      <c r="D11" s="627">
        <v>0.75800000000000001</v>
      </c>
      <c r="E11" s="628">
        <v>1.6040000000000001</v>
      </c>
      <c r="F11" s="45">
        <v>0.59499999999999997</v>
      </c>
      <c r="G11" s="45">
        <v>1.9279999999999999</v>
      </c>
      <c r="H11" s="627">
        <v>0.44400000000000001</v>
      </c>
      <c r="I11" s="628">
        <v>2.2829999999999999</v>
      </c>
      <c r="J11" s="45">
        <v>0.315</v>
      </c>
      <c r="K11" s="45">
        <v>2.645</v>
      </c>
      <c r="L11" s="627">
        <v>0.20300000000000001</v>
      </c>
      <c r="M11" s="628">
        <v>3.004</v>
      </c>
      <c r="N11" s="45"/>
      <c r="O11" s="45"/>
      <c r="P11" s="627"/>
      <c r="Q11" s="45"/>
      <c r="R11" s="627"/>
      <c r="S11" s="628"/>
      <c r="T11" s="45"/>
      <c r="U11" s="45"/>
      <c r="V11" s="627"/>
      <c r="W11" s="628"/>
      <c r="X11" s="45"/>
      <c r="Y11" s="45"/>
      <c r="Z11" s="627"/>
      <c r="AA11" s="628"/>
      <c r="AB11" s="45"/>
      <c r="AC11" s="45"/>
      <c r="AD11" s="627"/>
      <c r="AE11" s="628"/>
      <c r="AF11" s="45"/>
      <c r="AG11" s="45"/>
      <c r="AH11" s="627"/>
      <c r="AI11" s="628"/>
      <c r="AJ11" s="45"/>
      <c r="AK11" s="45"/>
      <c r="AL11" s="627"/>
      <c r="AM11" s="628"/>
      <c r="AN11" s="45"/>
      <c r="AO11" s="628"/>
    </row>
    <row r="12" spans="1:41" x14ac:dyDescent="0.25">
      <c r="A12" s="582">
        <v>12</v>
      </c>
      <c r="B12" s="627">
        <v>0.97099999999999997</v>
      </c>
      <c r="C12" s="45">
        <v>1.331</v>
      </c>
      <c r="D12" s="627">
        <v>0.81200000000000006</v>
      </c>
      <c r="E12" s="628">
        <v>1.579</v>
      </c>
      <c r="F12" s="45">
        <v>0.65800000000000003</v>
      </c>
      <c r="G12" s="45">
        <v>1.8640000000000001</v>
      </c>
      <c r="H12" s="627">
        <v>0.51200000000000001</v>
      </c>
      <c r="I12" s="628">
        <v>2.177</v>
      </c>
      <c r="J12" s="45">
        <v>0.38</v>
      </c>
      <c r="K12" s="45">
        <v>2.5059999999999998</v>
      </c>
      <c r="L12" s="627">
        <v>0.26800000000000002</v>
      </c>
      <c r="M12" s="628">
        <v>2.8319999999999999</v>
      </c>
      <c r="N12" s="45">
        <v>0.17100000000000001</v>
      </c>
      <c r="O12" s="45">
        <v>3.149</v>
      </c>
      <c r="P12" s="627"/>
      <c r="Q12" s="45"/>
      <c r="R12" s="627"/>
      <c r="S12" s="628"/>
      <c r="T12" s="45"/>
      <c r="U12" s="45"/>
      <c r="V12" s="627"/>
      <c r="W12" s="628"/>
      <c r="X12" s="45"/>
      <c r="Y12" s="45"/>
      <c r="Z12" s="627"/>
      <c r="AA12" s="628"/>
      <c r="AB12" s="45"/>
      <c r="AC12" s="45"/>
      <c r="AD12" s="627"/>
      <c r="AE12" s="628"/>
      <c r="AF12" s="45"/>
      <c r="AG12" s="45"/>
      <c r="AH12" s="627"/>
      <c r="AI12" s="628"/>
      <c r="AJ12" s="45"/>
      <c r="AK12" s="45"/>
      <c r="AL12" s="627"/>
      <c r="AM12" s="628"/>
      <c r="AN12" s="45"/>
      <c r="AO12" s="628"/>
    </row>
    <row r="13" spans="1:41" x14ac:dyDescent="0.25">
      <c r="A13" s="582">
        <v>13</v>
      </c>
      <c r="B13" s="627">
        <v>1.01</v>
      </c>
      <c r="C13" s="45">
        <v>1.34</v>
      </c>
      <c r="D13" s="627">
        <v>0.86099999999999999</v>
      </c>
      <c r="E13" s="628">
        <v>1.5620000000000001</v>
      </c>
      <c r="F13" s="45">
        <v>0.71499999999999997</v>
      </c>
      <c r="G13" s="45">
        <v>1.8160000000000001</v>
      </c>
      <c r="H13" s="627">
        <v>0.57399999999999995</v>
      </c>
      <c r="I13" s="628">
        <v>2.0939999999999999</v>
      </c>
      <c r="J13" s="45">
        <v>0.44400000000000001</v>
      </c>
      <c r="K13" s="45">
        <v>2.39</v>
      </c>
      <c r="L13" s="627">
        <v>0.32800000000000001</v>
      </c>
      <c r="M13" s="628">
        <v>2.6920000000000002</v>
      </c>
      <c r="N13" s="45">
        <v>0.23</v>
      </c>
      <c r="O13" s="45">
        <v>2.9849999999999999</v>
      </c>
      <c r="P13" s="627">
        <v>0.14699999999999999</v>
      </c>
      <c r="Q13" s="45">
        <v>3.266</v>
      </c>
      <c r="R13" s="627"/>
      <c r="S13" s="628"/>
      <c r="T13" s="45"/>
      <c r="U13" s="45"/>
      <c r="V13" s="627"/>
      <c r="W13" s="628"/>
      <c r="X13" s="45"/>
      <c r="Y13" s="45"/>
      <c r="Z13" s="627"/>
      <c r="AA13" s="628"/>
      <c r="AB13" s="45"/>
      <c r="AC13" s="45"/>
      <c r="AD13" s="627"/>
      <c r="AE13" s="628"/>
      <c r="AF13" s="45"/>
      <c r="AG13" s="45"/>
      <c r="AH13" s="627"/>
      <c r="AI13" s="628"/>
      <c r="AJ13" s="45"/>
      <c r="AK13" s="45"/>
      <c r="AL13" s="627"/>
      <c r="AM13" s="628"/>
      <c r="AN13" s="45"/>
      <c r="AO13" s="628"/>
    </row>
    <row r="14" spans="1:41" x14ac:dyDescent="0.25">
      <c r="A14" s="582">
        <v>14</v>
      </c>
      <c r="B14" s="627">
        <v>1.0449999999999999</v>
      </c>
      <c r="C14" s="45">
        <v>1.35</v>
      </c>
      <c r="D14" s="627">
        <v>0.90500000000000003</v>
      </c>
      <c r="E14" s="628">
        <v>1.5509999999999999</v>
      </c>
      <c r="F14" s="45">
        <v>0.76700000000000002</v>
      </c>
      <c r="G14" s="45">
        <v>1.7789999999999999</v>
      </c>
      <c r="H14" s="627">
        <v>0.63200000000000001</v>
      </c>
      <c r="I14" s="628">
        <v>2.0299999999999998</v>
      </c>
      <c r="J14" s="45">
        <v>0.505</v>
      </c>
      <c r="K14" s="45">
        <v>2.2959999999999998</v>
      </c>
      <c r="L14" s="627">
        <v>0.38900000000000001</v>
      </c>
      <c r="M14" s="628">
        <v>2.5720000000000001</v>
      </c>
      <c r="N14" s="45">
        <v>0.28599999999999998</v>
      </c>
      <c r="O14" s="45">
        <v>2.8479999999999999</v>
      </c>
      <c r="P14" s="627">
        <v>0.2</v>
      </c>
      <c r="Q14" s="45">
        <v>3.1110000000000002</v>
      </c>
      <c r="R14" s="627">
        <v>0.127</v>
      </c>
      <c r="S14" s="628">
        <v>3.36</v>
      </c>
      <c r="T14" s="45"/>
      <c r="U14" s="45"/>
      <c r="V14" s="627"/>
      <c r="W14" s="628"/>
      <c r="X14" s="45"/>
      <c r="Y14" s="45"/>
      <c r="Z14" s="627"/>
      <c r="AA14" s="628"/>
      <c r="AB14" s="45"/>
      <c r="AC14" s="45"/>
      <c r="AD14" s="627"/>
      <c r="AE14" s="628"/>
      <c r="AF14" s="45"/>
      <c r="AG14" s="45"/>
      <c r="AH14" s="627"/>
      <c r="AI14" s="628"/>
      <c r="AJ14" s="45"/>
      <c r="AK14" s="45"/>
      <c r="AL14" s="627"/>
      <c r="AM14" s="628"/>
      <c r="AN14" s="45"/>
      <c r="AO14" s="628"/>
    </row>
    <row r="15" spans="1:41" x14ac:dyDescent="0.25">
      <c r="A15" s="582">
        <v>15</v>
      </c>
      <c r="B15" s="627">
        <v>1.077</v>
      </c>
      <c r="C15" s="45">
        <v>1.361</v>
      </c>
      <c r="D15" s="627">
        <v>0.94599999999999995</v>
      </c>
      <c r="E15" s="628">
        <v>1.5429999999999999</v>
      </c>
      <c r="F15" s="45">
        <v>0.81399999999999995</v>
      </c>
      <c r="G15" s="45">
        <v>1.75</v>
      </c>
      <c r="H15" s="627">
        <v>0.68500000000000005</v>
      </c>
      <c r="I15" s="628">
        <v>1.9770000000000001</v>
      </c>
      <c r="J15" s="45">
        <v>0.56200000000000006</v>
      </c>
      <c r="K15" s="45">
        <v>2.2200000000000002</v>
      </c>
      <c r="L15" s="627">
        <v>0.44700000000000001</v>
      </c>
      <c r="M15" s="628">
        <v>2.4710000000000001</v>
      </c>
      <c r="N15" s="45">
        <v>0.34300000000000003</v>
      </c>
      <c r="O15" s="45">
        <v>2.7269999999999999</v>
      </c>
      <c r="P15" s="627">
        <v>0.251</v>
      </c>
      <c r="Q15" s="45">
        <v>2.9790000000000001</v>
      </c>
      <c r="R15" s="627">
        <v>0.17499999999999999</v>
      </c>
      <c r="S15" s="628">
        <v>3.2160000000000002</v>
      </c>
      <c r="T15" s="45">
        <v>0.111</v>
      </c>
      <c r="U15" s="45">
        <v>3.4380000000000002</v>
      </c>
      <c r="V15" s="627"/>
      <c r="W15" s="628"/>
      <c r="X15" s="45"/>
      <c r="Y15" s="45"/>
      <c r="Z15" s="627"/>
      <c r="AA15" s="628"/>
      <c r="AB15" s="45"/>
      <c r="AC15" s="45"/>
      <c r="AD15" s="627"/>
      <c r="AE15" s="628"/>
      <c r="AF15" s="45"/>
      <c r="AG15" s="45"/>
      <c r="AH15" s="627"/>
      <c r="AI15" s="628"/>
      <c r="AJ15" s="45"/>
      <c r="AK15" s="45"/>
      <c r="AL15" s="627"/>
      <c r="AM15" s="628"/>
      <c r="AN15" s="45"/>
      <c r="AO15" s="628"/>
    </row>
    <row r="16" spans="1:41" x14ac:dyDescent="0.25">
      <c r="A16" s="582">
        <v>16</v>
      </c>
      <c r="B16" s="627">
        <v>1.1060000000000001</v>
      </c>
      <c r="C16" s="45">
        <v>1.371</v>
      </c>
      <c r="D16" s="627">
        <v>0.98199999999999998</v>
      </c>
      <c r="E16" s="628">
        <v>1.5389999999999999</v>
      </c>
      <c r="F16" s="45">
        <v>0.85699999999999998</v>
      </c>
      <c r="G16" s="45">
        <v>1.728</v>
      </c>
      <c r="H16" s="627">
        <v>0.73399999999999999</v>
      </c>
      <c r="I16" s="628">
        <v>1.9350000000000001</v>
      </c>
      <c r="J16" s="45">
        <v>0.61499999999999999</v>
      </c>
      <c r="K16" s="45">
        <v>2.157</v>
      </c>
      <c r="L16" s="627">
        <v>0.502</v>
      </c>
      <c r="M16" s="628">
        <v>2.3879999999999999</v>
      </c>
      <c r="N16" s="45">
        <v>0.39800000000000002</v>
      </c>
      <c r="O16" s="45">
        <v>2.6240000000000001</v>
      </c>
      <c r="P16" s="627">
        <v>0.30399999999999999</v>
      </c>
      <c r="Q16" s="45">
        <v>2.86</v>
      </c>
      <c r="R16" s="627">
        <v>0.222</v>
      </c>
      <c r="S16" s="628">
        <v>3.09</v>
      </c>
      <c r="T16" s="45">
        <v>0.155</v>
      </c>
      <c r="U16" s="45">
        <v>3.3039999999999998</v>
      </c>
      <c r="V16" s="627">
        <v>9.8000000000000004E-2</v>
      </c>
      <c r="W16" s="628">
        <v>3.5030000000000001</v>
      </c>
      <c r="X16" s="45"/>
      <c r="Y16" s="45"/>
      <c r="Z16" s="627"/>
      <c r="AA16" s="628"/>
      <c r="AB16" s="45"/>
      <c r="AC16" s="45"/>
      <c r="AD16" s="627"/>
      <c r="AE16" s="628"/>
      <c r="AF16" s="45"/>
      <c r="AG16" s="45"/>
      <c r="AH16" s="627"/>
      <c r="AI16" s="628"/>
      <c r="AJ16" s="45"/>
      <c r="AK16" s="45"/>
      <c r="AL16" s="627"/>
      <c r="AM16" s="628"/>
      <c r="AN16" s="45"/>
      <c r="AO16" s="628"/>
    </row>
    <row r="17" spans="1:41" x14ac:dyDescent="0.25">
      <c r="A17" s="582">
        <v>17</v>
      </c>
      <c r="B17" s="627">
        <v>1.133</v>
      </c>
      <c r="C17" s="45">
        <v>1.381</v>
      </c>
      <c r="D17" s="627">
        <v>1.0149999999999999</v>
      </c>
      <c r="E17" s="628">
        <v>1.536</v>
      </c>
      <c r="F17" s="45">
        <v>0.89700000000000002</v>
      </c>
      <c r="G17" s="45">
        <v>1.71</v>
      </c>
      <c r="H17" s="627">
        <v>0.77900000000000003</v>
      </c>
      <c r="I17" s="628">
        <v>1.9</v>
      </c>
      <c r="J17" s="45">
        <v>0.66400000000000003</v>
      </c>
      <c r="K17" s="45">
        <v>2.1040000000000001</v>
      </c>
      <c r="L17" s="627">
        <v>0.55400000000000005</v>
      </c>
      <c r="M17" s="628">
        <v>2.3180000000000001</v>
      </c>
      <c r="N17" s="45">
        <v>0.45100000000000001</v>
      </c>
      <c r="O17" s="45">
        <v>2.5369999999999999</v>
      </c>
      <c r="P17" s="627">
        <v>0.35599999999999998</v>
      </c>
      <c r="Q17" s="45">
        <v>2.7570000000000001</v>
      </c>
      <c r="R17" s="627">
        <v>0.27200000000000002</v>
      </c>
      <c r="S17" s="628">
        <v>2.9750000000000001</v>
      </c>
      <c r="T17" s="45">
        <v>0.19800000000000001</v>
      </c>
      <c r="U17" s="45">
        <v>3.1840000000000002</v>
      </c>
      <c r="V17" s="627">
        <v>0.13800000000000001</v>
      </c>
      <c r="W17" s="628">
        <v>3.3780000000000001</v>
      </c>
      <c r="X17" s="45">
        <v>8.6999999999999994E-2</v>
      </c>
      <c r="Y17" s="45">
        <v>3.5569999999999999</v>
      </c>
      <c r="Z17" s="627"/>
      <c r="AA17" s="628"/>
      <c r="AB17" s="45"/>
      <c r="AC17" s="45"/>
      <c r="AD17" s="627"/>
      <c r="AE17" s="628"/>
      <c r="AF17" s="45"/>
      <c r="AG17" s="45"/>
      <c r="AH17" s="627"/>
      <c r="AI17" s="628"/>
      <c r="AJ17" s="45"/>
      <c r="AK17" s="45"/>
      <c r="AL17" s="627"/>
      <c r="AM17" s="628"/>
      <c r="AN17" s="45"/>
      <c r="AO17" s="628"/>
    </row>
    <row r="18" spans="1:41" x14ac:dyDescent="0.25">
      <c r="A18" s="582">
        <v>18</v>
      </c>
      <c r="B18" s="627">
        <v>1.1579999999999999</v>
      </c>
      <c r="C18" s="45">
        <v>1.391</v>
      </c>
      <c r="D18" s="627">
        <v>1.046</v>
      </c>
      <c r="E18" s="628">
        <v>1.5349999999999999</v>
      </c>
      <c r="F18" s="45">
        <v>0.93300000000000005</v>
      </c>
      <c r="G18" s="45">
        <v>1.696</v>
      </c>
      <c r="H18" s="627">
        <v>0.82</v>
      </c>
      <c r="I18" s="628">
        <v>1.8720000000000001</v>
      </c>
      <c r="J18" s="45">
        <v>0.71</v>
      </c>
      <c r="K18" s="45">
        <v>2.06</v>
      </c>
      <c r="L18" s="627">
        <v>0.60299999999999998</v>
      </c>
      <c r="M18" s="628">
        <v>2.258</v>
      </c>
      <c r="N18" s="45">
        <v>0.502</v>
      </c>
      <c r="O18" s="45">
        <v>2.4609999999999999</v>
      </c>
      <c r="P18" s="627">
        <v>0.40699999999999997</v>
      </c>
      <c r="Q18" s="45">
        <v>2.6680000000000001</v>
      </c>
      <c r="R18" s="627">
        <v>0.32100000000000001</v>
      </c>
      <c r="S18" s="628">
        <v>2.8730000000000002</v>
      </c>
      <c r="T18" s="45">
        <v>0.24399999999999999</v>
      </c>
      <c r="U18" s="45">
        <v>3.073</v>
      </c>
      <c r="V18" s="627">
        <v>0.17699999999999999</v>
      </c>
      <c r="W18" s="628">
        <v>3.2650000000000001</v>
      </c>
      <c r="X18" s="45">
        <v>0.123</v>
      </c>
      <c r="Y18" s="45">
        <v>3.4409999999999998</v>
      </c>
      <c r="Z18" s="627">
        <v>7.8E-2</v>
      </c>
      <c r="AA18" s="628">
        <v>3.6030000000000002</v>
      </c>
      <c r="AB18" s="45"/>
      <c r="AC18" s="45"/>
      <c r="AD18" s="627"/>
      <c r="AE18" s="628"/>
      <c r="AF18" s="45"/>
      <c r="AG18" s="45"/>
      <c r="AH18" s="627"/>
      <c r="AI18" s="628"/>
      <c r="AJ18" s="45"/>
      <c r="AK18" s="45"/>
      <c r="AL18" s="627"/>
      <c r="AM18" s="628"/>
      <c r="AN18" s="45"/>
      <c r="AO18" s="628"/>
    </row>
    <row r="19" spans="1:41" x14ac:dyDescent="0.25">
      <c r="A19" s="582">
        <v>19</v>
      </c>
      <c r="B19" s="627">
        <v>1.18</v>
      </c>
      <c r="C19" s="45">
        <v>1.401</v>
      </c>
      <c r="D19" s="627">
        <v>1.0740000000000001</v>
      </c>
      <c r="E19" s="628">
        <v>1.536</v>
      </c>
      <c r="F19" s="45">
        <v>0.96699999999999997</v>
      </c>
      <c r="G19" s="45">
        <v>1.6850000000000001</v>
      </c>
      <c r="H19" s="627">
        <v>0.85899999999999999</v>
      </c>
      <c r="I19" s="628">
        <v>1.8480000000000001</v>
      </c>
      <c r="J19" s="45">
        <v>0.752</v>
      </c>
      <c r="K19" s="45">
        <v>2.0230000000000001</v>
      </c>
      <c r="L19" s="627">
        <v>0.64900000000000002</v>
      </c>
      <c r="M19" s="628">
        <v>2.206</v>
      </c>
      <c r="N19" s="45">
        <v>0.54900000000000004</v>
      </c>
      <c r="O19" s="45">
        <v>2.3959999999999999</v>
      </c>
      <c r="P19" s="627">
        <v>0.45600000000000002</v>
      </c>
      <c r="Q19" s="45">
        <v>2.589</v>
      </c>
      <c r="R19" s="627">
        <v>0.36899999999999999</v>
      </c>
      <c r="S19" s="628">
        <v>2.7829999999999999</v>
      </c>
      <c r="T19" s="45">
        <v>0.28999999999999998</v>
      </c>
      <c r="U19" s="45">
        <v>2.9740000000000002</v>
      </c>
      <c r="V19" s="627">
        <v>0.22</v>
      </c>
      <c r="W19" s="628">
        <v>3.1589999999999998</v>
      </c>
      <c r="X19" s="45">
        <v>0.16</v>
      </c>
      <c r="Y19" s="45">
        <v>3.335</v>
      </c>
      <c r="Z19" s="627">
        <v>0.111</v>
      </c>
      <c r="AA19" s="628">
        <v>3.496</v>
      </c>
      <c r="AB19" s="45">
        <v>7.0000000000000007E-2</v>
      </c>
      <c r="AC19" s="45">
        <v>3.6419999999999999</v>
      </c>
      <c r="AD19" s="627"/>
      <c r="AE19" s="628"/>
      <c r="AF19" s="45"/>
      <c r="AG19" s="45"/>
      <c r="AH19" s="627"/>
      <c r="AI19" s="628"/>
      <c r="AJ19" s="45"/>
      <c r="AK19" s="45"/>
      <c r="AL19" s="627"/>
      <c r="AM19" s="628"/>
      <c r="AN19" s="45"/>
      <c r="AO19" s="628"/>
    </row>
    <row r="20" spans="1:41" x14ac:dyDescent="0.25">
      <c r="A20" s="582">
        <v>20</v>
      </c>
      <c r="B20" s="627">
        <v>1.2010000000000001</v>
      </c>
      <c r="C20" s="45">
        <v>1.411</v>
      </c>
      <c r="D20" s="627">
        <v>1.1000000000000001</v>
      </c>
      <c r="E20" s="628">
        <v>1.5369999999999999</v>
      </c>
      <c r="F20" s="45">
        <v>0.998</v>
      </c>
      <c r="G20" s="45">
        <v>1.6759999999999999</v>
      </c>
      <c r="H20" s="627">
        <v>0.89400000000000002</v>
      </c>
      <c r="I20" s="628">
        <v>1.8280000000000001</v>
      </c>
      <c r="J20" s="45">
        <v>0.79200000000000004</v>
      </c>
      <c r="K20" s="45">
        <v>1.9910000000000001</v>
      </c>
      <c r="L20" s="627">
        <v>0.69099999999999995</v>
      </c>
      <c r="M20" s="628">
        <v>2.1619999999999999</v>
      </c>
      <c r="N20" s="45">
        <v>0.59499999999999997</v>
      </c>
      <c r="O20" s="45">
        <v>2.339</v>
      </c>
      <c r="P20" s="627">
        <v>0.502</v>
      </c>
      <c r="Q20" s="45">
        <v>2.5209999999999999</v>
      </c>
      <c r="R20" s="627">
        <v>0.41599999999999998</v>
      </c>
      <c r="S20" s="628">
        <v>2.7040000000000002</v>
      </c>
      <c r="T20" s="45">
        <v>0.33600000000000002</v>
      </c>
      <c r="U20" s="45">
        <v>2.8849999999999998</v>
      </c>
      <c r="V20" s="627">
        <v>0.26300000000000001</v>
      </c>
      <c r="W20" s="628">
        <v>3.0630000000000002</v>
      </c>
      <c r="X20" s="45">
        <v>0.2</v>
      </c>
      <c r="Y20" s="45">
        <v>3.234</v>
      </c>
      <c r="Z20" s="627">
        <v>0.14499999999999999</v>
      </c>
      <c r="AA20" s="628">
        <v>3.395</v>
      </c>
      <c r="AB20" s="45">
        <v>0.1</v>
      </c>
      <c r="AC20" s="45">
        <v>3.5419999999999998</v>
      </c>
      <c r="AD20" s="627">
        <v>6.3E-2</v>
      </c>
      <c r="AE20" s="628">
        <v>3.6760000000000002</v>
      </c>
      <c r="AF20" s="45"/>
      <c r="AG20" s="45"/>
      <c r="AH20" s="627"/>
      <c r="AI20" s="628"/>
      <c r="AJ20" s="45"/>
      <c r="AK20" s="45"/>
      <c r="AL20" s="627"/>
      <c r="AM20" s="628"/>
      <c r="AN20" s="45"/>
      <c r="AO20" s="628"/>
    </row>
    <row r="21" spans="1:41" x14ac:dyDescent="0.25">
      <c r="A21" s="582">
        <v>21</v>
      </c>
      <c r="B21" s="627">
        <v>1.2210000000000001</v>
      </c>
      <c r="C21" s="45">
        <v>1.42</v>
      </c>
      <c r="D21" s="627">
        <v>1.125</v>
      </c>
      <c r="E21" s="628">
        <v>1.538</v>
      </c>
      <c r="F21" s="45">
        <v>1.026</v>
      </c>
      <c r="G21" s="45">
        <v>1.669</v>
      </c>
      <c r="H21" s="627">
        <v>0.92700000000000005</v>
      </c>
      <c r="I21" s="628">
        <v>1.8120000000000001</v>
      </c>
      <c r="J21" s="45">
        <v>0.82899999999999996</v>
      </c>
      <c r="K21" s="45">
        <v>1.964</v>
      </c>
      <c r="L21" s="627">
        <v>0.73099999999999998</v>
      </c>
      <c r="M21" s="628">
        <v>2.1240000000000001</v>
      </c>
      <c r="N21" s="45">
        <v>0.63700000000000001</v>
      </c>
      <c r="O21" s="45">
        <v>2.29</v>
      </c>
      <c r="P21" s="627">
        <v>0.54600000000000004</v>
      </c>
      <c r="Q21" s="45">
        <v>2.4609999999999999</v>
      </c>
      <c r="R21" s="627">
        <v>0.46100000000000002</v>
      </c>
      <c r="S21" s="628">
        <v>2.633</v>
      </c>
      <c r="T21" s="45">
        <v>0.38</v>
      </c>
      <c r="U21" s="45">
        <v>2.806</v>
      </c>
      <c r="V21" s="627">
        <v>0.307</v>
      </c>
      <c r="W21" s="628">
        <v>2.976</v>
      </c>
      <c r="X21" s="45">
        <v>0.24</v>
      </c>
      <c r="Y21" s="45">
        <v>3.141</v>
      </c>
      <c r="Z21" s="627">
        <v>0.182</v>
      </c>
      <c r="AA21" s="628">
        <v>3.3</v>
      </c>
      <c r="AB21" s="45">
        <v>0.13200000000000001</v>
      </c>
      <c r="AC21" s="45">
        <v>3.448</v>
      </c>
      <c r="AD21" s="627">
        <v>9.0999999999999998E-2</v>
      </c>
      <c r="AE21" s="628">
        <v>3.5830000000000002</v>
      </c>
      <c r="AF21" s="45">
        <v>5.8000000000000003E-2</v>
      </c>
      <c r="AG21" s="45">
        <v>3.7050000000000001</v>
      </c>
      <c r="AH21" s="627"/>
      <c r="AI21" s="628"/>
      <c r="AJ21" s="45"/>
      <c r="AK21" s="45"/>
      <c r="AL21" s="627"/>
      <c r="AM21" s="628"/>
      <c r="AN21" s="45"/>
      <c r="AO21" s="628"/>
    </row>
    <row r="22" spans="1:41" x14ac:dyDescent="0.25">
      <c r="A22" s="582">
        <v>22</v>
      </c>
      <c r="B22" s="627">
        <v>1.2390000000000001</v>
      </c>
      <c r="C22" s="45">
        <v>1.429</v>
      </c>
      <c r="D22" s="627">
        <v>1.147</v>
      </c>
      <c r="E22" s="628">
        <v>1.5409999999999999</v>
      </c>
      <c r="F22" s="45">
        <v>1.0529999999999999</v>
      </c>
      <c r="G22" s="45">
        <v>1.6639999999999999</v>
      </c>
      <c r="H22" s="627">
        <v>0.95799999999999996</v>
      </c>
      <c r="I22" s="628">
        <v>1.7969999999999999</v>
      </c>
      <c r="J22" s="45">
        <v>0.86299999999999999</v>
      </c>
      <c r="K22" s="45">
        <v>1.94</v>
      </c>
      <c r="L22" s="627">
        <v>0.76900000000000002</v>
      </c>
      <c r="M22" s="628">
        <v>2.09</v>
      </c>
      <c r="N22" s="45">
        <v>0.67700000000000005</v>
      </c>
      <c r="O22" s="45">
        <v>2.246</v>
      </c>
      <c r="P22" s="627">
        <v>0.58799999999999997</v>
      </c>
      <c r="Q22" s="45">
        <v>2.407</v>
      </c>
      <c r="R22" s="627">
        <v>0.504</v>
      </c>
      <c r="S22" s="628">
        <v>2.5710000000000002</v>
      </c>
      <c r="T22" s="45">
        <v>0.42399999999999999</v>
      </c>
      <c r="U22" s="45">
        <v>2.7349999999999999</v>
      </c>
      <c r="V22" s="627">
        <v>0.34899999999999998</v>
      </c>
      <c r="W22" s="628">
        <v>2.8969999999999998</v>
      </c>
      <c r="X22" s="45">
        <v>0.28100000000000003</v>
      </c>
      <c r="Y22" s="45">
        <v>3.0569999999999999</v>
      </c>
      <c r="Z22" s="627">
        <v>0.22</v>
      </c>
      <c r="AA22" s="628">
        <v>3.2109999999999999</v>
      </c>
      <c r="AB22" s="45">
        <v>0.16600000000000001</v>
      </c>
      <c r="AC22" s="45">
        <v>3.3580000000000001</v>
      </c>
      <c r="AD22" s="627">
        <v>0.12</v>
      </c>
      <c r="AE22" s="628">
        <v>3.4950000000000001</v>
      </c>
      <c r="AF22" s="45">
        <v>8.3000000000000004E-2</v>
      </c>
      <c r="AG22" s="45">
        <v>3.6190000000000002</v>
      </c>
      <c r="AH22" s="627">
        <v>5.1999999999999998E-2</v>
      </c>
      <c r="AI22" s="628">
        <v>3.7309999999999999</v>
      </c>
      <c r="AJ22" s="45"/>
      <c r="AK22" s="45"/>
      <c r="AL22" s="627"/>
      <c r="AM22" s="628"/>
      <c r="AN22" s="45"/>
      <c r="AO22" s="628"/>
    </row>
    <row r="23" spans="1:41" x14ac:dyDescent="0.25">
      <c r="A23" s="582">
        <v>23</v>
      </c>
      <c r="B23" s="627">
        <v>1.2569999999999999</v>
      </c>
      <c r="C23" s="45">
        <v>1.4370000000000001</v>
      </c>
      <c r="D23" s="627">
        <v>1.1679999999999999</v>
      </c>
      <c r="E23" s="628">
        <v>1.5429999999999999</v>
      </c>
      <c r="F23" s="45">
        <v>1.0780000000000001</v>
      </c>
      <c r="G23" s="45">
        <v>1.66</v>
      </c>
      <c r="H23" s="627">
        <v>0.98599999999999999</v>
      </c>
      <c r="I23" s="628">
        <v>1.7849999999999999</v>
      </c>
      <c r="J23" s="45">
        <v>0.89500000000000002</v>
      </c>
      <c r="K23" s="45">
        <v>1.92</v>
      </c>
      <c r="L23" s="627">
        <v>0.80400000000000005</v>
      </c>
      <c r="M23" s="628">
        <v>2.0609999999999999</v>
      </c>
      <c r="N23" s="45">
        <v>0.71499999999999997</v>
      </c>
      <c r="O23" s="45">
        <v>2.2080000000000002</v>
      </c>
      <c r="P23" s="627">
        <v>0.628</v>
      </c>
      <c r="Q23" s="45">
        <v>2.36</v>
      </c>
      <c r="R23" s="627">
        <v>0.54500000000000004</v>
      </c>
      <c r="S23" s="628">
        <v>2.5139999999999998</v>
      </c>
      <c r="T23" s="45">
        <v>0.46500000000000002</v>
      </c>
      <c r="U23" s="45">
        <v>2.67</v>
      </c>
      <c r="V23" s="627">
        <v>0.39100000000000001</v>
      </c>
      <c r="W23" s="628">
        <v>2.8260000000000001</v>
      </c>
      <c r="X23" s="45">
        <v>0.32200000000000001</v>
      </c>
      <c r="Y23" s="45">
        <v>2.9790000000000001</v>
      </c>
      <c r="Z23" s="627">
        <v>0.25900000000000001</v>
      </c>
      <c r="AA23" s="628">
        <v>3.1280000000000001</v>
      </c>
      <c r="AB23" s="45">
        <v>0.20200000000000001</v>
      </c>
      <c r="AC23" s="45">
        <v>3.2719999999999998</v>
      </c>
      <c r="AD23" s="627">
        <v>0.153</v>
      </c>
      <c r="AE23" s="628">
        <v>3.4089999999999998</v>
      </c>
      <c r="AF23" s="45">
        <v>0.11</v>
      </c>
      <c r="AG23" s="45">
        <v>3.5350000000000001</v>
      </c>
      <c r="AH23" s="627">
        <v>7.5999999999999998E-2</v>
      </c>
      <c r="AI23" s="628">
        <v>3.65</v>
      </c>
      <c r="AJ23" s="45">
        <v>4.8000000000000001E-2</v>
      </c>
      <c r="AK23" s="45">
        <v>3.7530000000000001</v>
      </c>
      <c r="AL23" s="627"/>
      <c r="AM23" s="628"/>
      <c r="AN23" s="45"/>
      <c r="AO23" s="628"/>
    </row>
    <row r="24" spans="1:41" x14ac:dyDescent="0.25">
      <c r="A24" s="582">
        <v>24</v>
      </c>
      <c r="B24" s="627">
        <v>1.2729999999999999</v>
      </c>
      <c r="C24" s="45">
        <v>1.446</v>
      </c>
      <c r="D24" s="627">
        <v>1.1879999999999999</v>
      </c>
      <c r="E24" s="628">
        <v>1.546</v>
      </c>
      <c r="F24" s="45">
        <v>1.101</v>
      </c>
      <c r="G24" s="45">
        <v>1.6559999999999999</v>
      </c>
      <c r="H24" s="627">
        <v>1.0129999999999999</v>
      </c>
      <c r="I24" s="628">
        <v>1.7749999999999999</v>
      </c>
      <c r="J24" s="45">
        <v>0.92500000000000004</v>
      </c>
      <c r="K24" s="45">
        <v>1.9019999999999999</v>
      </c>
      <c r="L24" s="627">
        <v>0.83699999999999997</v>
      </c>
      <c r="M24" s="628">
        <v>2.0350000000000001</v>
      </c>
      <c r="N24" s="45">
        <v>0.75</v>
      </c>
      <c r="O24" s="45">
        <v>2.1739999999999999</v>
      </c>
      <c r="P24" s="627">
        <v>0.66600000000000004</v>
      </c>
      <c r="Q24" s="45">
        <v>2.3180000000000001</v>
      </c>
      <c r="R24" s="627">
        <v>0.58399999999999996</v>
      </c>
      <c r="S24" s="628">
        <v>2.464</v>
      </c>
      <c r="T24" s="45">
        <v>0.50600000000000001</v>
      </c>
      <c r="U24" s="45">
        <v>2.613</v>
      </c>
      <c r="V24" s="627">
        <v>0.43099999999999999</v>
      </c>
      <c r="W24" s="628">
        <v>2.7610000000000001</v>
      </c>
      <c r="X24" s="45">
        <v>0.36199999999999999</v>
      </c>
      <c r="Y24" s="45">
        <v>2.9079999999999999</v>
      </c>
      <c r="Z24" s="627">
        <v>0.29699999999999999</v>
      </c>
      <c r="AA24" s="628">
        <v>3.0529999999999999</v>
      </c>
      <c r="AB24" s="45">
        <v>0.23899999999999999</v>
      </c>
      <c r="AC24" s="45">
        <v>3.1930000000000001</v>
      </c>
      <c r="AD24" s="627">
        <v>0.186</v>
      </c>
      <c r="AE24" s="628">
        <v>3.327</v>
      </c>
      <c r="AF24" s="45">
        <v>0.14099999999999999</v>
      </c>
      <c r="AG24" s="45">
        <v>3.4540000000000002</v>
      </c>
      <c r="AH24" s="627">
        <v>0.10100000000000001</v>
      </c>
      <c r="AI24" s="628">
        <v>3.5720000000000001</v>
      </c>
      <c r="AJ24" s="45">
        <v>7.0000000000000007E-2</v>
      </c>
      <c r="AK24" s="45">
        <v>3.6779999999999999</v>
      </c>
      <c r="AL24" s="627">
        <v>4.3999999999999997E-2</v>
      </c>
      <c r="AM24" s="628">
        <v>3.7730000000000001</v>
      </c>
      <c r="AN24" s="45"/>
      <c r="AO24" s="628"/>
    </row>
    <row r="25" spans="1:41" x14ac:dyDescent="0.25">
      <c r="A25" s="582">
        <v>25</v>
      </c>
      <c r="B25" s="627">
        <v>1.288</v>
      </c>
      <c r="C25" s="45">
        <v>1.454</v>
      </c>
      <c r="D25" s="627">
        <v>1.206</v>
      </c>
      <c r="E25" s="628">
        <v>1.55</v>
      </c>
      <c r="F25" s="45">
        <v>1.123</v>
      </c>
      <c r="G25" s="45">
        <v>1.6539999999999999</v>
      </c>
      <c r="H25" s="627">
        <v>1.038</v>
      </c>
      <c r="I25" s="628">
        <v>1.7669999999999999</v>
      </c>
      <c r="J25" s="45">
        <v>0.95299999999999996</v>
      </c>
      <c r="K25" s="45">
        <v>1.8859999999999999</v>
      </c>
      <c r="L25" s="627">
        <v>0.86799999999999999</v>
      </c>
      <c r="M25" s="628">
        <v>2.0129999999999999</v>
      </c>
      <c r="N25" s="45">
        <v>0.78400000000000003</v>
      </c>
      <c r="O25" s="45">
        <v>2.1440000000000001</v>
      </c>
      <c r="P25" s="627">
        <v>0.70199999999999996</v>
      </c>
      <c r="Q25" s="45">
        <v>2.2799999999999998</v>
      </c>
      <c r="R25" s="627">
        <v>0.621</v>
      </c>
      <c r="S25" s="628">
        <v>2.419</v>
      </c>
      <c r="T25" s="45">
        <v>0.54400000000000004</v>
      </c>
      <c r="U25" s="45">
        <v>2.56</v>
      </c>
      <c r="V25" s="627">
        <v>0.47</v>
      </c>
      <c r="W25" s="628">
        <v>2.702</v>
      </c>
      <c r="X25" s="45">
        <v>0.4</v>
      </c>
      <c r="Y25" s="45">
        <v>2.8439999999999999</v>
      </c>
      <c r="Z25" s="627">
        <v>0.33500000000000002</v>
      </c>
      <c r="AA25" s="628">
        <v>2.9830000000000001</v>
      </c>
      <c r="AB25" s="45">
        <v>0.27500000000000002</v>
      </c>
      <c r="AC25" s="45">
        <v>3.1190000000000002</v>
      </c>
      <c r="AD25" s="627">
        <v>0.221</v>
      </c>
      <c r="AE25" s="628">
        <v>3.2509999999999999</v>
      </c>
      <c r="AF25" s="45">
        <v>0.17199999999999999</v>
      </c>
      <c r="AG25" s="45">
        <v>3.3759999999999999</v>
      </c>
      <c r="AH25" s="627">
        <v>0.13</v>
      </c>
      <c r="AI25" s="628">
        <v>3.4940000000000002</v>
      </c>
      <c r="AJ25" s="45">
        <v>9.4E-2</v>
      </c>
      <c r="AK25" s="45">
        <v>3.6040000000000001</v>
      </c>
      <c r="AL25" s="627">
        <v>6.5000000000000002E-2</v>
      </c>
      <c r="AM25" s="628">
        <v>3.702</v>
      </c>
      <c r="AN25" s="45">
        <v>4.1000000000000002E-2</v>
      </c>
      <c r="AO25" s="628">
        <v>3.79</v>
      </c>
    </row>
    <row r="26" spans="1:41" x14ac:dyDescent="0.25">
      <c r="A26" s="582">
        <v>26</v>
      </c>
      <c r="B26" s="627">
        <v>1.302</v>
      </c>
      <c r="C26" s="45">
        <v>1.4610000000000001</v>
      </c>
      <c r="D26" s="627">
        <v>1.224</v>
      </c>
      <c r="E26" s="628">
        <v>1.5529999999999999</v>
      </c>
      <c r="F26" s="45">
        <v>1.143</v>
      </c>
      <c r="G26" s="45">
        <v>1.6519999999999999</v>
      </c>
      <c r="H26" s="627">
        <v>1.0620000000000001</v>
      </c>
      <c r="I26" s="628">
        <v>1.7589999999999999</v>
      </c>
      <c r="J26" s="45">
        <v>0.97899999999999998</v>
      </c>
      <c r="K26" s="45">
        <v>1.873</v>
      </c>
      <c r="L26" s="627">
        <v>0.89700000000000002</v>
      </c>
      <c r="M26" s="628">
        <v>1.992</v>
      </c>
      <c r="N26" s="45">
        <v>0.81599999999999995</v>
      </c>
      <c r="O26" s="45">
        <v>2.117</v>
      </c>
      <c r="P26" s="627">
        <v>0.73499999999999999</v>
      </c>
      <c r="Q26" s="45">
        <v>2.246</v>
      </c>
      <c r="R26" s="627">
        <v>0.65700000000000003</v>
      </c>
      <c r="S26" s="628">
        <v>2.379</v>
      </c>
      <c r="T26" s="45">
        <v>0.58099999999999996</v>
      </c>
      <c r="U26" s="45">
        <v>2.5129999999999999</v>
      </c>
      <c r="V26" s="627">
        <v>0.50800000000000001</v>
      </c>
      <c r="W26" s="628">
        <v>2.649</v>
      </c>
      <c r="X26" s="45">
        <v>0.438</v>
      </c>
      <c r="Y26" s="45">
        <v>2.7839999999999998</v>
      </c>
      <c r="Z26" s="627">
        <v>0.373</v>
      </c>
      <c r="AA26" s="628">
        <v>2.919</v>
      </c>
      <c r="AB26" s="45">
        <v>0.312</v>
      </c>
      <c r="AC26" s="45">
        <v>3.0510000000000002</v>
      </c>
      <c r="AD26" s="627">
        <v>0.25600000000000001</v>
      </c>
      <c r="AE26" s="628">
        <v>3.1789999999999998</v>
      </c>
      <c r="AF26" s="45">
        <v>0.20499999999999999</v>
      </c>
      <c r="AG26" s="45">
        <v>3.3029999999999999</v>
      </c>
      <c r="AH26" s="627">
        <v>0.16</v>
      </c>
      <c r="AI26" s="628">
        <v>3.42</v>
      </c>
      <c r="AJ26" s="45">
        <v>0.12</v>
      </c>
      <c r="AK26" s="45">
        <v>3.5310000000000001</v>
      </c>
      <c r="AL26" s="627">
        <v>8.6999999999999994E-2</v>
      </c>
      <c r="AM26" s="628">
        <v>3.6320000000000001</v>
      </c>
      <c r="AN26" s="45">
        <v>0.06</v>
      </c>
      <c r="AO26" s="628">
        <v>3.7240000000000002</v>
      </c>
    </row>
    <row r="27" spans="1:41" x14ac:dyDescent="0.25">
      <c r="A27" s="582">
        <v>27</v>
      </c>
      <c r="B27" s="627">
        <v>1.3160000000000001</v>
      </c>
      <c r="C27" s="45">
        <v>1.4690000000000001</v>
      </c>
      <c r="D27" s="627">
        <v>1.24</v>
      </c>
      <c r="E27" s="628">
        <v>1.556</v>
      </c>
      <c r="F27" s="45">
        <v>1.1619999999999999</v>
      </c>
      <c r="G27" s="45">
        <v>1.651</v>
      </c>
      <c r="H27" s="627">
        <v>1.0840000000000001</v>
      </c>
      <c r="I27" s="628">
        <v>1.7529999999999999</v>
      </c>
      <c r="J27" s="45">
        <v>1.004</v>
      </c>
      <c r="K27" s="45">
        <v>1.861</v>
      </c>
      <c r="L27" s="627">
        <v>0.92500000000000004</v>
      </c>
      <c r="M27" s="628">
        <v>1.974</v>
      </c>
      <c r="N27" s="45">
        <v>0.84499999999999997</v>
      </c>
      <c r="O27" s="45">
        <v>2.093</v>
      </c>
      <c r="P27" s="627">
        <v>0.76700000000000002</v>
      </c>
      <c r="Q27" s="45">
        <v>2.2160000000000002</v>
      </c>
      <c r="R27" s="627">
        <v>0.69099999999999995</v>
      </c>
      <c r="S27" s="628">
        <v>2.3420000000000001</v>
      </c>
      <c r="T27" s="45">
        <v>0.61599999999999999</v>
      </c>
      <c r="U27" s="45">
        <v>2.4700000000000002</v>
      </c>
      <c r="V27" s="627">
        <v>0.54400000000000004</v>
      </c>
      <c r="W27" s="628">
        <v>2.6</v>
      </c>
      <c r="X27" s="45">
        <v>0.47499999999999998</v>
      </c>
      <c r="Y27" s="45">
        <v>2.73</v>
      </c>
      <c r="Z27" s="627">
        <v>0.40899999999999997</v>
      </c>
      <c r="AA27" s="628">
        <v>2.859</v>
      </c>
      <c r="AB27" s="45">
        <v>0.34799999999999998</v>
      </c>
      <c r="AC27" s="45">
        <v>2.9870000000000001</v>
      </c>
      <c r="AD27" s="627">
        <v>0.29099999999999998</v>
      </c>
      <c r="AE27" s="628">
        <v>3.1120000000000001</v>
      </c>
      <c r="AF27" s="45">
        <v>0.23799999999999999</v>
      </c>
      <c r="AG27" s="45">
        <v>3.2330000000000001</v>
      </c>
      <c r="AH27" s="627">
        <v>0.191</v>
      </c>
      <c r="AI27" s="628">
        <v>3.3490000000000002</v>
      </c>
      <c r="AJ27" s="45">
        <v>0.14899999999999999</v>
      </c>
      <c r="AK27" s="45">
        <v>3.46</v>
      </c>
      <c r="AL27" s="627">
        <v>0.112</v>
      </c>
      <c r="AM27" s="628">
        <v>3.5630000000000002</v>
      </c>
      <c r="AN27" s="45">
        <v>8.1000000000000003E-2</v>
      </c>
      <c r="AO27" s="628">
        <v>3.6579999999999999</v>
      </c>
    </row>
    <row r="28" spans="1:41" x14ac:dyDescent="0.25">
      <c r="A28" s="582">
        <v>28</v>
      </c>
      <c r="B28" s="627">
        <v>1.3280000000000001</v>
      </c>
      <c r="C28" s="45">
        <v>1.476</v>
      </c>
      <c r="D28" s="627">
        <v>1.2549999999999999</v>
      </c>
      <c r="E28" s="628">
        <v>1.56</v>
      </c>
      <c r="F28" s="45">
        <v>1.181</v>
      </c>
      <c r="G28" s="45">
        <v>1.65</v>
      </c>
      <c r="H28" s="627">
        <v>1.1040000000000001</v>
      </c>
      <c r="I28" s="628">
        <v>1.7470000000000001</v>
      </c>
      <c r="J28" s="45">
        <v>1.028</v>
      </c>
      <c r="K28" s="45">
        <v>1.85</v>
      </c>
      <c r="L28" s="627">
        <v>0.95099999999999996</v>
      </c>
      <c r="M28" s="628">
        <v>1.9590000000000001</v>
      </c>
      <c r="N28" s="45">
        <v>0.874</v>
      </c>
      <c r="O28" s="45">
        <v>2.0710000000000002</v>
      </c>
      <c r="P28" s="627">
        <v>0.79800000000000004</v>
      </c>
      <c r="Q28" s="45">
        <v>2.1880000000000002</v>
      </c>
      <c r="R28" s="627">
        <v>0.72299999999999998</v>
      </c>
      <c r="S28" s="628">
        <v>2.3090000000000002</v>
      </c>
      <c r="T28" s="45">
        <v>0.64900000000000002</v>
      </c>
      <c r="U28" s="45">
        <v>2.431</v>
      </c>
      <c r="V28" s="627">
        <v>0.57799999999999996</v>
      </c>
      <c r="W28" s="628">
        <v>2.5550000000000002</v>
      </c>
      <c r="X28" s="45">
        <v>0.51</v>
      </c>
      <c r="Y28" s="45">
        <v>2.68</v>
      </c>
      <c r="Z28" s="627">
        <v>0.44500000000000001</v>
      </c>
      <c r="AA28" s="628">
        <v>2.8050000000000002</v>
      </c>
      <c r="AB28" s="45">
        <v>0.38300000000000001</v>
      </c>
      <c r="AC28" s="45">
        <v>2.9279999999999999</v>
      </c>
      <c r="AD28" s="627">
        <v>0.32500000000000001</v>
      </c>
      <c r="AE28" s="628">
        <v>3.05</v>
      </c>
      <c r="AF28" s="45">
        <v>0.27100000000000002</v>
      </c>
      <c r="AG28" s="45">
        <v>3.1680000000000001</v>
      </c>
      <c r="AH28" s="627">
        <v>0.222</v>
      </c>
      <c r="AI28" s="628">
        <v>3.2829999999999999</v>
      </c>
      <c r="AJ28" s="45">
        <v>0.17799999999999999</v>
      </c>
      <c r="AK28" s="45">
        <v>3.3919999999999999</v>
      </c>
      <c r="AL28" s="627">
        <v>0.13800000000000001</v>
      </c>
      <c r="AM28" s="628">
        <v>3.4950000000000001</v>
      </c>
      <c r="AN28" s="45">
        <v>0.104</v>
      </c>
      <c r="AO28" s="628">
        <v>3.5920000000000001</v>
      </c>
    </row>
    <row r="29" spans="1:41" x14ac:dyDescent="0.25">
      <c r="A29" s="582">
        <v>29</v>
      </c>
      <c r="B29" s="627">
        <v>1.341</v>
      </c>
      <c r="C29" s="45">
        <v>1.4830000000000001</v>
      </c>
      <c r="D29" s="627">
        <v>1.27</v>
      </c>
      <c r="E29" s="628">
        <v>1.5629999999999999</v>
      </c>
      <c r="F29" s="45">
        <v>1.198</v>
      </c>
      <c r="G29" s="45">
        <v>1.65</v>
      </c>
      <c r="H29" s="627">
        <v>1.1240000000000001</v>
      </c>
      <c r="I29" s="628">
        <v>1.7430000000000001</v>
      </c>
      <c r="J29" s="45">
        <v>1.05</v>
      </c>
      <c r="K29" s="45">
        <v>1.841</v>
      </c>
      <c r="L29" s="627">
        <v>0.97499999999999998</v>
      </c>
      <c r="M29" s="628">
        <v>1.944</v>
      </c>
      <c r="N29" s="45">
        <v>0.9</v>
      </c>
      <c r="O29" s="45">
        <v>2.052</v>
      </c>
      <c r="P29" s="627">
        <v>0.82599999999999996</v>
      </c>
      <c r="Q29" s="45">
        <v>2.1640000000000001</v>
      </c>
      <c r="R29" s="627">
        <v>0.753</v>
      </c>
      <c r="S29" s="628">
        <v>2.278</v>
      </c>
      <c r="T29" s="45">
        <v>0.68100000000000005</v>
      </c>
      <c r="U29" s="45">
        <v>2.3959999999999999</v>
      </c>
      <c r="V29" s="627">
        <v>0.61199999999999999</v>
      </c>
      <c r="W29" s="628">
        <v>2.5150000000000001</v>
      </c>
      <c r="X29" s="45">
        <v>0.54400000000000004</v>
      </c>
      <c r="Y29" s="45">
        <v>2.6339999999999999</v>
      </c>
      <c r="Z29" s="627">
        <v>0.47899999999999998</v>
      </c>
      <c r="AA29" s="628">
        <v>2.7549999999999999</v>
      </c>
      <c r="AB29" s="45">
        <v>0.41799999999999998</v>
      </c>
      <c r="AC29" s="45">
        <v>2.8740000000000001</v>
      </c>
      <c r="AD29" s="627">
        <v>0.35899999999999999</v>
      </c>
      <c r="AE29" s="628">
        <v>2.992</v>
      </c>
      <c r="AF29" s="45">
        <v>0.30499999999999999</v>
      </c>
      <c r="AG29" s="45">
        <v>3.1070000000000002</v>
      </c>
      <c r="AH29" s="627">
        <v>0.254</v>
      </c>
      <c r="AI29" s="628">
        <v>3.2189999999999999</v>
      </c>
      <c r="AJ29" s="45">
        <v>0.20799999999999999</v>
      </c>
      <c r="AK29" s="45">
        <v>3.327</v>
      </c>
      <c r="AL29" s="627">
        <v>0.16600000000000001</v>
      </c>
      <c r="AM29" s="628">
        <v>3.431</v>
      </c>
      <c r="AN29" s="45">
        <v>0.129</v>
      </c>
      <c r="AO29" s="628">
        <v>3.528</v>
      </c>
    </row>
    <row r="30" spans="1:41" x14ac:dyDescent="0.25">
      <c r="A30" s="582">
        <v>30</v>
      </c>
      <c r="B30" s="627">
        <v>1.3520000000000001</v>
      </c>
      <c r="C30" s="45">
        <v>1.4890000000000001</v>
      </c>
      <c r="D30" s="627">
        <v>1.284</v>
      </c>
      <c r="E30" s="628">
        <v>1.5669999999999999</v>
      </c>
      <c r="F30" s="45">
        <v>1.214</v>
      </c>
      <c r="G30" s="45">
        <v>1.65</v>
      </c>
      <c r="H30" s="627">
        <v>1.143</v>
      </c>
      <c r="I30" s="628">
        <v>1.7390000000000001</v>
      </c>
      <c r="J30" s="45">
        <v>1.071</v>
      </c>
      <c r="K30" s="45">
        <v>1.833</v>
      </c>
      <c r="L30" s="627">
        <v>0.998</v>
      </c>
      <c r="M30" s="628">
        <v>1.931</v>
      </c>
      <c r="N30" s="45">
        <v>0.92600000000000005</v>
      </c>
      <c r="O30" s="45">
        <v>2.0339999999999998</v>
      </c>
      <c r="P30" s="627">
        <v>0.85399999999999998</v>
      </c>
      <c r="Q30" s="45">
        <v>2.141</v>
      </c>
      <c r="R30" s="627">
        <v>0.78200000000000003</v>
      </c>
      <c r="S30" s="628">
        <v>2.2509999999999999</v>
      </c>
      <c r="T30" s="45">
        <v>0.71199999999999997</v>
      </c>
      <c r="U30" s="45">
        <v>2.363</v>
      </c>
      <c r="V30" s="627">
        <v>0.64300000000000002</v>
      </c>
      <c r="W30" s="628">
        <v>2.4769999999999999</v>
      </c>
      <c r="X30" s="45">
        <v>0.57699999999999996</v>
      </c>
      <c r="Y30" s="45">
        <v>2.5920000000000001</v>
      </c>
      <c r="Z30" s="627">
        <v>0.51200000000000001</v>
      </c>
      <c r="AA30" s="628">
        <v>2.7080000000000002</v>
      </c>
      <c r="AB30" s="45">
        <v>0.45100000000000001</v>
      </c>
      <c r="AC30" s="45">
        <v>2.823</v>
      </c>
      <c r="AD30" s="627">
        <v>0.39200000000000002</v>
      </c>
      <c r="AE30" s="628">
        <v>2.9369999999999998</v>
      </c>
      <c r="AF30" s="45">
        <v>0.33700000000000002</v>
      </c>
      <c r="AG30" s="45">
        <v>3.05</v>
      </c>
      <c r="AH30" s="627">
        <v>0.28599999999999998</v>
      </c>
      <c r="AI30" s="628">
        <v>3.16</v>
      </c>
      <c r="AJ30" s="45">
        <v>0.23799999999999999</v>
      </c>
      <c r="AK30" s="45">
        <v>3.266</v>
      </c>
      <c r="AL30" s="627">
        <v>0.19500000000000001</v>
      </c>
      <c r="AM30" s="628">
        <v>3.3679999999999999</v>
      </c>
      <c r="AN30" s="45">
        <v>0.156</v>
      </c>
      <c r="AO30" s="628">
        <v>3.4649999999999999</v>
      </c>
    </row>
    <row r="31" spans="1:41" x14ac:dyDescent="0.25">
      <c r="A31" s="582">
        <v>31</v>
      </c>
      <c r="B31" s="627">
        <v>1.363</v>
      </c>
      <c r="C31" s="45">
        <v>1.496</v>
      </c>
      <c r="D31" s="627">
        <v>1.2969999999999999</v>
      </c>
      <c r="E31" s="628">
        <v>1.57</v>
      </c>
      <c r="F31" s="45">
        <v>1.2290000000000001</v>
      </c>
      <c r="G31" s="45">
        <v>1.65</v>
      </c>
      <c r="H31" s="627">
        <v>1.1599999999999999</v>
      </c>
      <c r="I31" s="628">
        <v>1.7350000000000001</v>
      </c>
      <c r="J31" s="45">
        <v>1.0900000000000001</v>
      </c>
      <c r="K31" s="45">
        <v>1.825</v>
      </c>
      <c r="L31" s="627">
        <v>1.02</v>
      </c>
      <c r="M31" s="628">
        <v>1.92</v>
      </c>
      <c r="N31" s="45">
        <v>0.95</v>
      </c>
      <c r="O31" s="45">
        <v>2.0179999999999998</v>
      </c>
      <c r="P31" s="627">
        <v>0.879</v>
      </c>
      <c r="Q31" s="45">
        <v>2.12</v>
      </c>
      <c r="R31" s="627">
        <v>0.81</v>
      </c>
      <c r="S31" s="628">
        <v>2.226</v>
      </c>
      <c r="T31" s="45">
        <v>0.74099999999999999</v>
      </c>
      <c r="U31" s="45">
        <v>2.3330000000000002</v>
      </c>
      <c r="V31" s="627">
        <v>0.67400000000000004</v>
      </c>
      <c r="W31" s="628">
        <v>2.4430000000000001</v>
      </c>
      <c r="X31" s="45">
        <v>0.60799999999999998</v>
      </c>
      <c r="Y31" s="45">
        <v>2.5529999999999999</v>
      </c>
      <c r="Z31" s="627">
        <v>0.54500000000000004</v>
      </c>
      <c r="AA31" s="628">
        <v>2.665</v>
      </c>
      <c r="AB31" s="45">
        <v>0.48399999999999999</v>
      </c>
      <c r="AC31" s="45">
        <v>2.7759999999999998</v>
      </c>
      <c r="AD31" s="627">
        <v>0.42499999999999999</v>
      </c>
      <c r="AE31" s="628">
        <v>2.887</v>
      </c>
      <c r="AF31" s="45">
        <v>0.37</v>
      </c>
      <c r="AG31" s="45">
        <v>2.996</v>
      </c>
      <c r="AH31" s="627">
        <v>0.317</v>
      </c>
      <c r="AI31" s="628">
        <v>3.1030000000000002</v>
      </c>
      <c r="AJ31" s="45">
        <v>0.26900000000000002</v>
      </c>
      <c r="AK31" s="45">
        <v>3.2080000000000002</v>
      </c>
      <c r="AL31" s="627">
        <v>0.224</v>
      </c>
      <c r="AM31" s="628">
        <v>3.3090000000000002</v>
      </c>
      <c r="AN31" s="45">
        <v>0.183</v>
      </c>
      <c r="AO31" s="628">
        <v>3.4060000000000001</v>
      </c>
    </row>
    <row r="32" spans="1:41" x14ac:dyDescent="0.25">
      <c r="A32" s="582">
        <v>32</v>
      </c>
      <c r="B32" s="627">
        <v>1.373</v>
      </c>
      <c r="C32" s="45">
        <v>1.502</v>
      </c>
      <c r="D32" s="627">
        <v>1.3089999999999999</v>
      </c>
      <c r="E32" s="628">
        <v>1.5740000000000001</v>
      </c>
      <c r="F32" s="45">
        <v>1.244</v>
      </c>
      <c r="G32" s="45">
        <v>1.65</v>
      </c>
      <c r="H32" s="627">
        <v>1.177</v>
      </c>
      <c r="I32" s="628">
        <v>1.732</v>
      </c>
      <c r="J32" s="45">
        <v>1.109</v>
      </c>
      <c r="K32" s="45">
        <v>1.819</v>
      </c>
      <c r="L32" s="627">
        <v>1.0409999999999999</v>
      </c>
      <c r="M32" s="628">
        <v>1.909</v>
      </c>
      <c r="N32" s="45">
        <v>0.97199999999999998</v>
      </c>
      <c r="O32" s="45">
        <v>2.004</v>
      </c>
      <c r="P32" s="627">
        <v>0.90400000000000003</v>
      </c>
      <c r="Q32" s="45">
        <v>2.1019999999999999</v>
      </c>
      <c r="R32" s="627">
        <v>0.83599999999999997</v>
      </c>
      <c r="S32" s="628">
        <v>2.2029999999999998</v>
      </c>
      <c r="T32" s="45">
        <v>0.76900000000000002</v>
      </c>
      <c r="U32" s="45">
        <v>2.306</v>
      </c>
      <c r="V32" s="627">
        <v>0.70299999999999996</v>
      </c>
      <c r="W32" s="628">
        <v>2.411</v>
      </c>
      <c r="X32" s="45">
        <v>0.63800000000000001</v>
      </c>
      <c r="Y32" s="45">
        <v>2.5169999999999999</v>
      </c>
      <c r="Z32" s="627">
        <v>0.57599999999999996</v>
      </c>
      <c r="AA32" s="628">
        <v>2.625</v>
      </c>
      <c r="AB32" s="45">
        <v>0.51500000000000001</v>
      </c>
      <c r="AC32" s="45">
        <v>2.7330000000000001</v>
      </c>
      <c r="AD32" s="627">
        <v>0.45700000000000002</v>
      </c>
      <c r="AE32" s="628">
        <v>2.84</v>
      </c>
      <c r="AF32" s="45">
        <v>0.40100000000000002</v>
      </c>
      <c r="AG32" s="45">
        <v>2.9460000000000002</v>
      </c>
      <c r="AH32" s="627">
        <v>0.34899999999999998</v>
      </c>
      <c r="AI32" s="628">
        <v>3.05</v>
      </c>
      <c r="AJ32" s="45">
        <v>0.29899999999999999</v>
      </c>
      <c r="AK32" s="45">
        <v>3.153</v>
      </c>
      <c r="AL32" s="627">
        <v>0.253</v>
      </c>
      <c r="AM32" s="628">
        <v>3.2519999999999998</v>
      </c>
      <c r="AN32" s="45">
        <v>0.21099999999999999</v>
      </c>
      <c r="AO32" s="628">
        <v>3.3479999999999999</v>
      </c>
    </row>
    <row r="33" spans="1:41" x14ac:dyDescent="0.25">
      <c r="A33" s="582">
        <v>33</v>
      </c>
      <c r="B33" s="627">
        <v>1.383</v>
      </c>
      <c r="C33" s="45">
        <v>1.508</v>
      </c>
      <c r="D33" s="627">
        <v>1.321</v>
      </c>
      <c r="E33" s="628">
        <v>1.577</v>
      </c>
      <c r="F33" s="45">
        <v>1.258</v>
      </c>
      <c r="G33" s="45">
        <v>1.651</v>
      </c>
      <c r="H33" s="627">
        <v>1.1930000000000001</v>
      </c>
      <c r="I33" s="628">
        <v>1.73</v>
      </c>
      <c r="J33" s="45">
        <v>1.127</v>
      </c>
      <c r="K33" s="45">
        <v>1.8129999999999999</v>
      </c>
      <c r="L33" s="627">
        <v>1.0609999999999999</v>
      </c>
      <c r="M33" s="628">
        <v>1.9</v>
      </c>
      <c r="N33" s="45">
        <v>0.99399999999999999</v>
      </c>
      <c r="O33" s="45">
        <v>1.9910000000000001</v>
      </c>
      <c r="P33" s="627">
        <v>0.92700000000000005</v>
      </c>
      <c r="Q33" s="45">
        <v>2.085</v>
      </c>
      <c r="R33" s="627">
        <v>0.86099999999999999</v>
      </c>
      <c r="S33" s="628">
        <v>2.181</v>
      </c>
      <c r="T33" s="45">
        <v>0.79600000000000004</v>
      </c>
      <c r="U33" s="45">
        <v>2.2810000000000001</v>
      </c>
      <c r="V33" s="627">
        <v>0.73099999999999998</v>
      </c>
      <c r="W33" s="628">
        <v>2.3820000000000001</v>
      </c>
      <c r="X33" s="45">
        <v>0.66800000000000004</v>
      </c>
      <c r="Y33" s="45">
        <v>2.484</v>
      </c>
      <c r="Z33" s="627">
        <v>0.60599999999999998</v>
      </c>
      <c r="AA33" s="628">
        <v>2.5880000000000001</v>
      </c>
      <c r="AB33" s="45">
        <v>0.54600000000000004</v>
      </c>
      <c r="AC33" s="45">
        <v>2.6920000000000002</v>
      </c>
      <c r="AD33" s="627">
        <v>0.48799999999999999</v>
      </c>
      <c r="AE33" s="628">
        <v>2.7959999999999998</v>
      </c>
      <c r="AF33" s="45">
        <v>0.432</v>
      </c>
      <c r="AG33" s="45">
        <v>2.899</v>
      </c>
      <c r="AH33" s="627">
        <v>0.379</v>
      </c>
      <c r="AI33" s="628">
        <v>3</v>
      </c>
      <c r="AJ33" s="45">
        <v>0.32900000000000001</v>
      </c>
      <c r="AK33" s="45">
        <v>3.1</v>
      </c>
      <c r="AL33" s="627">
        <v>0.28299999999999997</v>
      </c>
      <c r="AM33" s="628">
        <v>3.198</v>
      </c>
      <c r="AN33" s="45">
        <v>0.23899999999999999</v>
      </c>
      <c r="AO33" s="628">
        <v>3.2930000000000001</v>
      </c>
    </row>
    <row r="34" spans="1:41" x14ac:dyDescent="0.25">
      <c r="A34" s="582">
        <v>34</v>
      </c>
      <c r="B34" s="627">
        <v>1.393</v>
      </c>
      <c r="C34" s="45">
        <v>1.514</v>
      </c>
      <c r="D34" s="627">
        <v>1.333</v>
      </c>
      <c r="E34" s="628">
        <v>1.58</v>
      </c>
      <c r="F34" s="45">
        <v>1.2709999999999999</v>
      </c>
      <c r="G34" s="45">
        <v>1.6519999999999999</v>
      </c>
      <c r="H34" s="627">
        <v>1.208</v>
      </c>
      <c r="I34" s="628">
        <v>1.728</v>
      </c>
      <c r="J34" s="45">
        <v>1.1439999999999999</v>
      </c>
      <c r="K34" s="45">
        <v>1.8080000000000001</v>
      </c>
      <c r="L34" s="627">
        <v>1.079</v>
      </c>
      <c r="M34" s="628">
        <v>1.891</v>
      </c>
      <c r="N34" s="45">
        <v>1.0149999999999999</v>
      </c>
      <c r="O34" s="45">
        <v>1.978</v>
      </c>
      <c r="P34" s="627">
        <v>0.95</v>
      </c>
      <c r="Q34" s="45">
        <v>2.069</v>
      </c>
      <c r="R34" s="627">
        <v>0.88500000000000001</v>
      </c>
      <c r="S34" s="628">
        <v>2.1619999999999999</v>
      </c>
      <c r="T34" s="45">
        <v>0.82099999999999995</v>
      </c>
      <c r="U34" s="45">
        <v>2.2570000000000001</v>
      </c>
      <c r="V34" s="627">
        <v>0.75800000000000001</v>
      </c>
      <c r="W34" s="628">
        <v>2.355</v>
      </c>
      <c r="X34" s="45">
        <v>0.69499999999999995</v>
      </c>
      <c r="Y34" s="45">
        <v>2.4540000000000002</v>
      </c>
      <c r="Z34" s="627">
        <v>0.63400000000000001</v>
      </c>
      <c r="AA34" s="628">
        <v>2.5539999999999998</v>
      </c>
      <c r="AB34" s="45">
        <v>0.57499999999999996</v>
      </c>
      <c r="AC34" s="45">
        <v>2.6539999999999999</v>
      </c>
      <c r="AD34" s="627">
        <v>0.51800000000000002</v>
      </c>
      <c r="AE34" s="628">
        <v>2.754</v>
      </c>
      <c r="AF34" s="45">
        <v>0.46200000000000002</v>
      </c>
      <c r="AG34" s="45">
        <v>2.8540000000000001</v>
      </c>
      <c r="AH34" s="627">
        <v>0.40899999999999997</v>
      </c>
      <c r="AI34" s="628">
        <v>2.9540000000000002</v>
      </c>
      <c r="AJ34" s="45">
        <v>0.35899999999999999</v>
      </c>
      <c r="AK34" s="45">
        <v>3.0510000000000002</v>
      </c>
      <c r="AL34" s="627">
        <v>0.312</v>
      </c>
      <c r="AM34" s="628">
        <v>3.1469999999999998</v>
      </c>
      <c r="AN34" s="45">
        <v>0.26700000000000002</v>
      </c>
      <c r="AO34" s="628">
        <v>3.24</v>
      </c>
    </row>
    <row r="35" spans="1:41" x14ac:dyDescent="0.25">
      <c r="A35" s="582">
        <v>35</v>
      </c>
      <c r="B35" s="627">
        <v>1.4019999999999999</v>
      </c>
      <c r="C35" s="45">
        <v>1.5189999999999999</v>
      </c>
      <c r="D35" s="627">
        <v>1.343</v>
      </c>
      <c r="E35" s="628">
        <v>1.5840000000000001</v>
      </c>
      <c r="F35" s="45">
        <v>1.2829999999999999</v>
      </c>
      <c r="G35" s="45">
        <v>1.653</v>
      </c>
      <c r="H35" s="627">
        <v>1.222</v>
      </c>
      <c r="I35" s="628">
        <v>1.726</v>
      </c>
      <c r="J35" s="45">
        <v>1.1599999999999999</v>
      </c>
      <c r="K35" s="45">
        <v>1.8029999999999999</v>
      </c>
      <c r="L35" s="627">
        <v>1.097</v>
      </c>
      <c r="M35" s="628">
        <v>1.8839999999999999</v>
      </c>
      <c r="N35" s="45">
        <v>1.034</v>
      </c>
      <c r="O35" s="45">
        <v>1.9670000000000001</v>
      </c>
      <c r="P35" s="627">
        <v>0.97099999999999997</v>
      </c>
      <c r="Q35" s="45">
        <v>2.0539999999999998</v>
      </c>
      <c r="R35" s="627">
        <v>0.90800000000000003</v>
      </c>
      <c r="S35" s="628">
        <v>2.1440000000000001</v>
      </c>
      <c r="T35" s="45">
        <v>0.84499999999999997</v>
      </c>
      <c r="U35" s="45">
        <v>2.2360000000000002</v>
      </c>
      <c r="V35" s="627">
        <v>0.78300000000000003</v>
      </c>
      <c r="W35" s="628">
        <v>2.33</v>
      </c>
      <c r="X35" s="45">
        <v>0.72199999999999998</v>
      </c>
      <c r="Y35" s="45">
        <v>2.4249999999999998</v>
      </c>
      <c r="Z35" s="627">
        <v>0.66200000000000003</v>
      </c>
      <c r="AA35" s="628">
        <v>2.5209999999999999</v>
      </c>
      <c r="AB35" s="45">
        <v>0.60399999999999998</v>
      </c>
      <c r="AC35" s="45">
        <v>2.6190000000000002</v>
      </c>
      <c r="AD35" s="627">
        <v>0.54700000000000004</v>
      </c>
      <c r="AE35" s="628">
        <v>2.7160000000000002</v>
      </c>
      <c r="AF35" s="45">
        <v>0.49199999999999999</v>
      </c>
      <c r="AG35" s="45">
        <v>2.8130000000000002</v>
      </c>
      <c r="AH35" s="627">
        <v>0.439</v>
      </c>
      <c r="AI35" s="628">
        <v>2.91</v>
      </c>
      <c r="AJ35" s="45">
        <v>0.38800000000000001</v>
      </c>
      <c r="AK35" s="45">
        <v>3.0049999999999999</v>
      </c>
      <c r="AL35" s="627">
        <v>0.34</v>
      </c>
      <c r="AM35" s="628">
        <v>3.0990000000000002</v>
      </c>
      <c r="AN35" s="45">
        <v>0.29499999999999998</v>
      </c>
      <c r="AO35" s="628">
        <v>3.19</v>
      </c>
    </row>
    <row r="36" spans="1:41" x14ac:dyDescent="0.25">
      <c r="A36" s="582">
        <v>36</v>
      </c>
      <c r="B36" s="627">
        <v>1.411</v>
      </c>
      <c r="C36" s="45">
        <v>1.5249999999999999</v>
      </c>
      <c r="D36" s="627">
        <v>1.3540000000000001</v>
      </c>
      <c r="E36" s="628">
        <v>1.587</v>
      </c>
      <c r="F36" s="45">
        <v>1.2949999999999999</v>
      </c>
      <c r="G36" s="45">
        <v>1.6539999999999999</v>
      </c>
      <c r="H36" s="627">
        <v>1.236</v>
      </c>
      <c r="I36" s="628">
        <v>1.724</v>
      </c>
      <c r="J36" s="45">
        <v>1.175</v>
      </c>
      <c r="K36" s="45">
        <v>1.7989999999999999</v>
      </c>
      <c r="L36" s="627">
        <v>1.1140000000000001</v>
      </c>
      <c r="M36" s="628">
        <v>1.8759999999999999</v>
      </c>
      <c r="N36" s="45">
        <v>1.0529999999999999</v>
      </c>
      <c r="O36" s="45">
        <v>1.9570000000000001</v>
      </c>
      <c r="P36" s="627">
        <v>0.99099999999999999</v>
      </c>
      <c r="Q36" s="45">
        <v>2.0409999999999999</v>
      </c>
      <c r="R36" s="627">
        <v>0.93</v>
      </c>
      <c r="S36" s="628">
        <v>2.1269999999999998</v>
      </c>
      <c r="T36" s="45">
        <v>0.86799999999999999</v>
      </c>
      <c r="U36" s="45">
        <v>2.2160000000000002</v>
      </c>
      <c r="V36" s="627">
        <v>0.80800000000000005</v>
      </c>
      <c r="W36" s="628">
        <v>2.306</v>
      </c>
      <c r="X36" s="45">
        <v>0.748</v>
      </c>
      <c r="Y36" s="45">
        <v>2.3980000000000001</v>
      </c>
      <c r="Z36" s="627">
        <v>0.68899999999999995</v>
      </c>
      <c r="AA36" s="628">
        <v>2.492</v>
      </c>
      <c r="AB36" s="45">
        <v>0.63100000000000001</v>
      </c>
      <c r="AC36" s="45">
        <v>2.5859999999999999</v>
      </c>
      <c r="AD36" s="627">
        <v>0.57499999999999996</v>
      </c>
      <c r="AE36" s="628">
        <v>2.68</v>
      </c>
      <c r="AF36" s="45">
        <v>0.52</v>
      </c>
      <c r="AG36" s="45">
        <v>2.774</v>
      </c>
      <c r="AH36" s="627">
        <v>0.46700000000000003</v>
      </c>
      <c r="AI36" s="628">
        <v>2.8679999999999999</v>
      </c>
      <c r="AJ36" s="45">
        <v>0.41699999999999998</v>
      </c>
      <c r="AK36" s="45">
        <v>2.9609999999999999</v>
      </c>
      <c r="AL36" s="627">
        <v>0.36899999999999999</v>
      </c>
      <c r="AM36" s="628">
        <v>3.0529999999999999</v>
      </c>
      <c r="AN36" s="45">
        <v>0.32300000000000001</v>
      </c>
      <c r="AO36" s="628">
        <v>3.1419999999999999</v>
      </c>
    </row>
    <row r="37" spans="1:41" x14ac:dyDescent="0.25">
      <c r="A37" s="582">
        <v>37</v>
      </c>
      <c r="B37" s="627">
        <v>1.419</v>
      </c>
      <c r="C37" s="45">
        <v>1.53</v>
      </c>
      <c r="D37" s="627">
        <v>1.3640000000000001</v>
      </c>
      <c r="E37" s="628">
        <v>1.59</v>
      </c>
      <c r="F37" s="45">
        <v>1.3069999999999999</v>
      </c>
      <c r="G37" s="45">
        <v>1.655</v>
      </c>
      <c r="H37" s="627">
        <v>1.2490000000000001</v>
      </c>
      <c r="I37" s="628">
        <v>1.7230000000000001</v>
      </c>
      <c r="J37" s="45">
        <v>1.19</v>
      </c>
      <c r="K37" s="45">
        <v>1.7949999999999999</v>
      </c>
      <c r="L37" s="627">
        <v>1.131</v>
      </c>
      <c r="M37" s="628">
        <v>1.87</v>
      </c>
      <c r="N37" s="45">
        <v>1.071</v>
      </c>
      <c r="O37" s="45">
        <v>1.948</v>
      </c>
      <c r="P37" s="627">
        <v>1.0109999999999999</v>
      </c>
      <c r="Q37" s="45">
        <v>2.0289999999999999</v>
      </c>
      <c r="R37" s="627">
        <v>0.95099999999999996</v>
      </c>
      <c r="S37" s="628">
        <v>2.1120000000000001</v>
      </c>
      <c r="T37" s="45">
        <v>0.89100000000000001</v>
      </c>
      <c r="U37" s="45">
        <v>2.1970000000000001</v>
      </c>
      <c r="V37" s="627">
        <v>0.83099999999999996</v>
      </c>
      <c r="W37" s="628">
        <v>2.2850000000000001</v>
      </c>
      <c r="X37" s="45">
        <v>0.77200000000000002</v>
      </c>
      <c r="Y37" s="45">
        <v>2.3740000000000001</v>
      </c>
      <c r="Z37" s="627">
        <v>0.71399999999999997</v>
      </c>
      <c r="AA37" s="628">
        <v>2.464</v>
      </c>
      <c r="AB37" s="45">
        <v>0.65700000000000003</v>
      </c>
      <c r="AC37" s="45">
        <v>2.5550000000000002</v>
      </c>
      <c r="AD37" s="627">
        <v>0.60199999999999998</v>
      </c>
      <c r="AE37" s="628">
        <v>2.6459999999999999</v>
      </c>
      <c r="AF37" s="45">
        <v>0.54800000000000004</v>
      </c>
      <c r="AG37" s="45">
        <v>2.738</v>
      </c>
      <c r="AH37" s="627">
        <v>0.495</v>
      </c>
      <c r="AI37" s="628">
        <v>2.8290000000000002</v>
      </c>
      <c r="AJ37" s="45">
        <v>0.44500000000000001</v>
      </c>
      <c r="AK37" s="45">
        <v>2.92</v>
      </c>
      <c r="AL37" s="627">
        <v>0.39700000000000002</v>
      </c>
      <c r="AM37" s="628">
        <v>3.0089999999999999</v>
      </c>
      <c r="AN37" s="45">
        <v>0.35099999999999998</v>
      </c>
      <c r="AO37" s="628">
        <v>3.097</v>
      </c>
    </row>
    <row r="38" spans="1:41" x14ac:dyDescent="0.25">
      <c r="A38" s="582">
        <v>38</v>
      </c>
      <c r="B38" s="627">
        <v>1.427</v>
      </c>
      <c r="C38" s="45">
        <v>1.5349999999999999</v>
      </c>
      <c r="D38" s="627">
        <v>1.373</v>
      </c>
      <c r="E38" s="628">
        <v>1.5940000000000001</v>
      </c>
      <c r="F38" s="45">
        <v>1.3180000000000001</v>
      </c>
      <c r="G38" s="45">
        <v>1.6559999999999999</v>
      </c>
      <c r="H38" s="627">
        <v>1.2609999999999999</v>
      </c>
      <c r="I38" s="628">
        <v>1.722</v>
      </c>
      <c r="J38" s="45">
        <v>1.204</v>
      </c>
      <c r="K38" s="45">
        <v>1.792</v>
      </c>
      <c r="L38" s="627">
        <v>1.1459999999999999</v>
      </c>
      <c r="M38" s="628">
        <v>1.8640000000000001</v>
      </c>
      <c r="N38" s="45">
        <v>1.0880000000000001</v>
      </c>
      <c r="O38" s="45">
        <v>1.9390000000000001</v>
      </c>
      <c r="P38" s="627">
        <v>1.0289999999999999</v>
      </c>
      <c r="Q38" s="45">
        <v>2.0169999999999999</v>
      </c>
      <c r="R38" s="627">
        <v>0.97</v>
      </c>
      <c r="S38" s="628">
        <v>2.0979999999999999</v>
      </c>
      <c r="T38" s="45">
        <v>0.91200000000000003</v>
      </c>
      <c r="U38" s="45">
        <v>2.1800000000000002</v>
      </c>
      <c r="V38" s="627">
        <v>0.85399999999999998</v>
      </c>
      <c r="W38" s="628">
        <v>2.2650000000000001</v>
      </c>
      <c r="X38" s="45">
        <v>0.79600000000000004</v>
      </c>
      <c r="Y38" s="45">
        <v>2.351</v>
      </c>
      <c r="Z38" s="627">
        <v>0.73899999999999999</v>
      </c>
      <c r="AA38" s="628">
        <v>2.4380000000000002</v>
      </c>
      <c r="AB38" s="45">
        <v>0.68300000000000005</v>
      </c>
      <c r="AC38" s="45">
        <v>2.5259999999999998</v>
      </c>
      <c r="AD38" s="627">
        <v>0.628</v>
      </c>
      <c r="AE38" s="628">
        <v>2.6139999999999999</v>
      </c>
      <c r="AF38" s="45">
        <v>0.57499999999999996</v>
      </c>
      <c r="AG38" s="45">
        <v>2.7029999999999998</v>
      </c>
      <c r="AH38" s="627">
        <v>0.52200000000000002</v>
      </c>
      <c r="AI38" s="628">
        <v>2.7919999999999998</v>
      </c>
      <c r="AJ38" s="45">
        <v>0.47199999999999998</v>
      </c>
      <c r="AK38" s="45">
        <v>2.88</v>
      </c>
      <c r="AL38" s="627">
        <v>0.42399999999999999</v>
      </c>
      <c r="AM38" s="628">
        <v>2.968</v>
      </c>
      <c r="AN38" s="45">
        <v>0.378</v>
      </c>
      <c r="AO38" s="628">
        <v>3.0539999999999998</v>
      </c>
    </row>
    <row r="39" spans="1:41" x14ac:dyDescent="0.25">
      <c r="A39" s="582">
        <v>39</v>
      </c>
      <c r="B39" s="627">
        <v>1.4350000000000001</v>
      </c>
      <c r="C39" s="45">
        <v>1.54</v>
      </c>
      <c r="D39" s="627">
        <v>1.3819999999999999</v>
      </c>
      <c r="E39" s="628">
        <v>1.597</v>
      </c>
      <c r="F39" s="45">
        <v>1.3280000000000001</v>
      </c>
      <c r="G39" s="45">
        <v>1.6579999999999999</v>
      </c>
      <c r="H39" s="627">
        <v>1.2729999999999999</v>
      </c>
      <c r="I39" s="628">
        <v>1.722</v>
      </c>
      <c r="J39" s="45">
        <v>1.218</v>
      </c>
      <c r="K39" s="45">
        <v>1.7889999999999999</v>
      </c>
      <c r="L39" s="627">
        <v>1.161</v>
      </c>
      <c r="M39" s="628">
        <v>1.859</v>
      </c>
      <c r="N39" s="45">
        <v>1.1040000000000001</v>
      </c>
      <c r="O39" s="45">
        <v>1.9319999999999999</v>
      </c>
      <c r="P39" s="627">
        <v>1.0469999999999999</v>
      </c>
      <c r="Q39" s="45">
        <v>2.0070000000000001</v>
      </c>
      <c r="R39" s="627">
        <v>0.99</v>
      </c>
      <c r="S39" s="628">
        <v>2.085</v>
      </c>
      <c r="T39" s="45">
        <v>0.93200000000000005</v>
      </c>
      <c r="U39" s="45">
        <v>2.1640000000000001</v>
      </c>
      <c r="V39" s="627">
        <v>0.875</v>
      </c>
      <c r="W39" s="628">
        <v>2.246</v>
      </c>
      <c r="X39" s="45">
        <v>0.81899999999999995</v>
      </c>
      <c r="Y39" s="45">
        <v>2.3290000000000002</v>
      </c>
      <c r="Z39" s="627">
        <v>0.76300000000000001</v>
      </c>
      <c r="AA39" s="628">
        <v>2.4129999999999998</v>
      </c>
      <c r="AB39" s="45">
        <v>0.70699999999999996</v>
      </c>
      <c r="AC39" s="45">
        <v>2.4990000000000001</v>
      </c>
      <c r="AD39" s="627">
        <v>0.65300000000000002</v>
      </c>
      <c r="AE39" s="628">
        <v>2.585</v>
      </c>
      <c r="AF39" s="45">
        <v>0.6</v>
      </c>
      <c r="AG39" s="45">
        <v>2.6709999999999998</v>
      </c>
      <c r="AH39" s="627">
        <v>0.54900000000000004</v>
      </c>
      <c r="AI39" s="628">
        <v>2.7570000000000001</v>
      </c>
      <c r="AJ39" s="45">
        <v>0.499</v>
      </c>
      <c r="AK39" s="45">
        <v>2.843</v>
      </c>
      <c r="AL39" s="627">
        <v>0.45100000000000001</v>
      </c>
      <c r="AM39" s="628">
        <v>2.9289999999999998</v>
      </c>
      <c r="AN39" s="45">
        <v>0.40400000000000003</v>
      </c>
      <c r="AO39" s="628">
        <v>3.0129999999999999</v>
      </c>
    </row>
    <row r="40" spans="1:41" x14ac:dyDescent="0.25">
      <c r="A40" s="582">
        <v>40</v>
      </c>
      <c r="B40" s="627">
        <v>1.4419999999999999</v>
      </c>
      <c r="C40" s="45">
        <v>1.544</v>
      </c>
      <c r="D40" s="627">
        <v>1.391</v>
      </c>
      <c r="E40" s="628">
        <v>1.6</v>
      </c>
      <c r="F40" s="45">
        <v>1.3380000000000001</v>
      </c>
      <c r="G40" s="45">
        <v>1.659</v>
      </c>
      <c r="H40" s="627">
        <v>1.2849999999999999</v>
      </c>
      <c r="I40" s="628">
        <v>1.7210000000000001</v>
      </c>
      <c r="J40" s="45">
        <v>1.23</v>
      </c>
      <c r="K40" s="45">
        <v>1.786</v>
      </c>
      <c r="L40" s="627">
        <v>1.175</v>
      </c>
      <c r="M40" s="628">
        <v>1.8540000000000001</v>
      </c>
      <c r="N40" s="45">
        <v>1.1200000000000001</v>
      </c>
      <c r="O40" s="45">
        <v>1.9239999999999999</v>
      </c>
      <c r="P40" s="627">
        <v>1.0640000000000001</v>
      </c>
      <c r="Q40" s="45">
        <v>1.9970000000000001</v>
      </c>
      <c r="R40" s="627">
        <v>1.008</v>
      </c>
      <c r="S40" s="628">
        <v>2.0720000000000001</v>
      </c>
      <c r="T40" s="45">
        <v>0.95199999999999996</v>
      </c>
      <c r="U40" s="45">
        <v>2.149</v>
      </c>
      <c r="V40" s="627">
        <v>0.89600000000000002</v>
      </c>
      <c r="W40" s="628">
        <v>2.2280000000000002</v>
      </c>
      <c r="X40" s="45">
        <v>0.84</v>
      </c>
      <c r="Y40" s="45">
        <v>2.3090000000000002</v>
      </c>
      <c r="Z40" s="627">
        <v>0.78500000000000003</v>
      </c>
      <c r="AA40" s="628">
        <v>2.391</v>
      </c>
      <c r="AB40" s="45">
        <v>0.73099999999999998</v>
      </c>
      <c r="AC40" s="45">
        <v>2.4729999999999999</v>
      </c>
      <c r="AD40" s="627">
        <v>0.67800000000000005</v>
      </c>
      <c r="AE40" s="628">
        <v>2.5569999999999999</v>
      </c>
      <c r="AF40" s="45">
        <v>0.626</v>
      </c>
      <c r="AG40" s="45">
        <v>2.641</v>
      </c>
      <c r="AH40" s="627">
        <v>0.57499999999999996</v>
      </c>
      <c r="AI40" s="628">
        <v>2.7240000000000002</v>
      </c>
      <c r="AJ40" s="45">
        <v>0.52500000000000002</v>
      </c>
      <c r="AK40" s="45">
        <v>2.8079999999999998</v>
      </c>
      <c r="AL40" s="627">
        <v>0.47699999999999998</v>
      </c>
      <c r="AM40" s="628">
        <v>2.8290000000000002</v>
      </c>
      <c r="AN40" s="45">
        <v>0.43</v>
      </c>
      <c r="AO40" s="628">
        <v>2.9740000000000002</v>
      </c>
    </row>
    <row r="41" spans="1:41" x14ac:dyDescent="0.25">
      <c r="A41" s="582">
        <v>45</v>
      </c>
      <c r="B41" s="627">
        <v>1.4750000000000001</v>
      </c>
      <c r="C41" s="45">
        <v>1.5660000000000001</v>
      </c>
      <c r="D41" s="627">
        <v>1.43</v>
      </c>
      <c r="E41" s="628">
        <v>1.615</v>
      </c>
      <c r="F41" s="45">
        <v>1.383</v>
      </c>
      <c r="G41" s="45">
        <v>1.6659999999999999</v>
      </c>
      <c r="H41" s="627">
        <v>1.3360000000000001</v>
      </c>
      <c r="I41" s="628">
        <v>1.72</v>
      </c>
      <c r="J41" s="45">
        <v>1.2869999999999999</v>
      </c>
      <c r="K41" s="45">
        <v>1.776</v>
      </c>
      <c r="L41" s="627">
        <v>1.238</v>
      </c>
      <c r="M41" s="628">
        <v>1.835</v>
      </c>
      <c r="N41" s="45">
        <v>1.1890000000000001</v>
      </c>
      <c r="O41" s="45">
        <v>1.895</v>
      </c>
      <c r="P41" s="627">
        <v>1.139</v>
      </c>
      <c r="Q41" s="45">
        <v>1.958</v>
      </c>
      <c r="R41" s="627">
        <v>1.089</v>
      </c>
      <c r="S41" s="628">
        <v>2.0219999999999998</v>
      </c>
      <c r="T41" s="45">
        <v>1.038</v>
      </c>
      <c r="U41" s="45">
        <v>2.0880000000000001</v>
      </c>
      <c r="V41" s="627">
        <v>0.98799999999999999</v>
      </c>
      <c r="W41" s="628">
        <v>2.1560000000000001</v>
      </c>
      <c r="X41" s="45">
        <v>0.93799999999999994</v>
      </c>
      <c r="Y41" s="45">
        <v>2.2250000000000001</v>
      </c>
      <c r="Z41" s="627">
        <v>0.88700000000000001</v>
      </c>
      <c r="AA41" s="628">
        <v>2.2959999999999998</v>
      </c>
      <c r="AB41" s="45">
        <v>0.83799999999999997</v>
      </c>
      <c r="AC41" s="45">
        <v>2.367</v>
      </c>
      <c r="AD41" s="627">
        <v>0.78800000000000003</v>
      </c>
      <c r="AE41" s="628">
        <v>2.4390000000000001</v>
      </c>
      <c r="AF41" s="45">
        <v>0.74</v>
      </c>
      <c r="AG41" s="45">
        <v>2.512</v>
      </c>
      <c r="AH41" s="627">
        <v>0.69199999999999995</v>
      </c>
      <c r="AI41" s="628">
        <v>2.5859999999999999</v>
      </c>
      <c r="AJ41" s="45">
        <v>0.64400000000000002</v>
      </c>
      <c r="AK41" s="45">
        <v>2.6589999999999998</v>
      </c>
      <c r="AL41" s="627">
        <v>0.59799999999999998</v>
      </c>
      <c r="AM41" s="628">
        <v>2.7330000000000001</v>
      </c>
      <c r="AN41" s="45">
        <v>0.55300000000000005</v>
      </c>
      <c r="AO41" s="628">
        <v>2.8069999999999999</v>
      </c>
    </row>
    <row r="42" spans="1:41" x14ac:dyDescent="0.25">
      <c r="A42" s="582">
        <v>50</v>
      </c>
      <c r="B42" s="627">
        <v>1.5029999999999999</v>
      </c>
      <c r="C42" s="45">
        <v>1.585</v>
      </c>
      <c r="D42" s="627">
        <v>1.462</v>
      </c>
      <c r="E42" s="628">
        <v>1.6279999999999999</v>
      </c>
      <c r="F42" s="45">
        <v>1.421</v>
      </c>
      <c r="G42" s="45">
        <v>1.6739999999999999</v>
      </c>
      <c r="H42" s="627">
        <v>1.3779999999999999</v>
      </c>
      <c r="I42" s="628">
        <v>1.7210000000000001</v>
      </c>
      <c r="J42" s="45">
        <v>1.335</v>
      </c>
      <c r="K42" s="45">
        <v>1.7709999999999999</v>
      </c>
      <c r="L42" s="627">
        <v>1.2909999999999999</v>
      </c>
      <c r="M42" s="628">
        <v>1.8220000000000001</v>
      </c>
      <c r="N42" s="45">
        <v>1.246</v>
      </c>
      <c r="O42" s="45">
        <v>1.875</v>
      </c>
      <c r="P42" s="627">
        <v>1.2010000000000001</v>
      </c>
      <c r="Q42" s="45">
        <v>1.93</v>
      </c>
      <c r="R42" s="627">
        <v>1.1559999999999999</v>
      </c>
      <c r="S42" s="628">
        <v>1.986</v>
      </c>
      <c r="T42" s="45">
        <v>1.1100000000000001</v>
      </c>
      <c r="U42" s="45">
        <v>2.044</v>
      </c>
      <c r="V42" s="627">
        <v>1.0640000000000001</v>
      </c>
      <c r="W42" s="628">
        <v>2.1030000000000002</v>
      </c>
      <c r="X42" s="45">
        <v>1.0189999999999999</v>
      </c>
      <c r="Y42" s="45">
        <v>2.1629999999999998</v>
      </c>
      <c r="Z42" s="627">
        <v>0.97299999999999998</v>
      </c>
      <c r="AA42" s="628">
        <v>2.2250000000000001</v>
      </c>
      <c r="AB42" s="45">
        <v>0.92700000000000005</v>
      </c>
      <c r="AC42" s="45">
        <v>2.2869999999999999</v>
      </c>
      <c r="AD42" s="627">
        <v>0.88200000000000001</v>
      </c>
      <c r="AE42" s="628">
        <v>2.35</v>
      </c>
      <c r="AF42" s="45">
        <v>0.83599999999999997</v>
      </c>
      <c r="AG42" s="45">
        <v>2.4140000000000001</v>
      </c>
      <c r="AH42" s="627">
        <v>0.79200000000000004</v>
      </c>
      <c r="AI42" s="628">
        <v>2.4790000000000001</v>
      </c>
      <c r="AJ42" s="45">
        <v>0.747</v>
      </c>
      <c r="AK42" s="45">
        <v>2.544</v>
      </c>
      <c r="AL42" s="627">
        <v>0.70299999999999996</v>
      </c>
      <c r="AM42" s="628">
        <v>2.61</v>
      </c>
      <c r="AN42" s="45">
        <v>0.66</v>
      </c>
      <c r="AO42" s="628">
        <v>2.6749999999999998</v>
      </c>
    </row>
    <row r="43" spans="1:41" x14ac:dyDescent="0.25">
      <c r="A43" s="582">
        <v>55</v>
      </c>
      <c r="B43" s="627">
        <v>1.528</v>
      </c>
      <c r="C43" s="45">
        <v>1.601</v>
      </c>
      <c r="D43" s="627">
        <v>1.49</v>
      </c>
      <c r="E43" s="628">
        <v>1.641</v>
      </c>
      <c r="F43" s="45">
        <v>1.452</v>
      </c>
      <c r="G43" s="45">
        <v>1.681</v>
      </c>
      <c r="H43" s="627">
        <v>1.4139999999999999</v>
      </c>
      <c r="I43" s="628">
        <v>1.724</v>
      </c>
      <c r="J43" s="45">
        <v>1.3740000000000001</v>
      </c>
      <c r="K43" s="45">
        <v>1.768</v>
      </c>
      <c r="L43" s="627">
        <v>1.3340000000000001</v>
      </c>
      <c r="M43" s="628">
        <v>1.8140000000000001</v>
      </c>
      <c r="N43" s="45">
        <v>1.294</v>
      </c>
      <c r="O43" s="45">
        <v>1.861</v>
      </c>
      <c r="P43" s="627">
        <v>1.2529999999999999</v>
      </c>
      <c r="Q43" s="45">
        <v>1.909</v>
      </c>
      <c r="R43" s="627">
        <v>1.212</v>
      </c>
      <c r="S43" s="628">
        <v>1.9590000000000001</v>
      </c>
      <c r="T43" s="45">
        <v>1.17</v>
      </c>
      <c r="U43" s="45">
        <v>2.0099999999999998</v>
      </c>
      <c r="V43" s="627">
        <v>1.129</v>
      </c>
      <c r="W43" s="628">
        <v>2.0619999999999998</v>
      </c>
      <c r="X43" s="45">
        <v>1.087</v>
      </c>
      <c r="Y43" s="45">
        <v>2.1160000000000001</v>
      </c>
      <c r="Z43" s="627">
        <v>1.0449999999999999</v>
      </c>
      <c r="AA43" s="628">
        <v>2.17</v>
      </c>
      <c r="AB43" s="45">
        <v>1.0029999999999999</v>
      </c>
      <c r="AC43" s="45">
        <v>2.2250000000000001</v>
      </c>
      <c r="AD43" s="627">
        <v>0.96099999999999997</v>
      </c>
      <c r="AE43" s="628">
        <v>2.2810000000000001</v>
      </c>
      <c r="AF43" s="45">
        <v>0.91900000000000004</v>
      </c>
      <c r="AG43" s="45">
        <v>2.3380000000000001</v>
      </c>
      <c r="AH43" s="627">
        <v>0.877</v>
      </c>
      <c r="AI43" s="628">
        <v>2.3959999999999999</v>
      </c>
      <c r="AJ43" s="45">
        <v>0.83599999999999997</v>
      </c>
      <c r="AK43" s="45">
        <v>2.4540000000000002</v>
      </c>
      <c r="AL43" s="627">
        <v>0.79500000000000004</v>
      </c>
      <c r="AM43" s="628">
        <v>2.512</v>
      </c>
      <c r="AN43" s="45">
        <v>0.754</v>
      </c>
      <c r="AO43" s="628">
        <v>2.5710000000000002</v>
      </c>
    </row>
    <row r="44" spans="1:41" x14ac:dyDescent="0.25">
      <c r="A44" s="582">
        <v>60</v>
      </c>
      <c r="B44" s="627">
        <v>1.5489999999999999</v>
      </c>
      <c r="C44" s="45">
        <v>1.6160000000000001</v>
      </c>
      <c r="D44" s="627">
        <v>1.514</v>
      </c>
      <c r="E44" s="628">
        <v>1.6519999999999999</v>
      </c>
      <c r="F44" s="45">
        <v>1.48</v>
      </c>
      <c r="G44" s="45">
        <v>1.6890000000000001</v>
      </c>
      <c r="H44" s="627">
        <v>1.444</v>
      </c>
      <c r="I44" s="628">
        <v>1.7270000000000001</v>
      </c>
      <c r="J44" s="45">
        <v>1.4079999999999999</v>
      </c>
      <c r="K44" s="45">
        <v>1.7669999999999999</v>
      </c>
      <c r="L44" s="627">
        <v>1.3720000000000001</v>
      </c>
      <c r="M44" s="628">
        <v>1.8080000000000001</v>
      </c>
      <c r="N44" s="45">
        <v>1.335</v>
      </c>
      <c r="O44" s="45">
        <v>1.85</v>
      </c>
      <c r="P44" s="627">
        <v>1.298</v>
      </c>
      <c r="Q44" s="45">
        <v>1.8939999999999999</v>
      </c>
      <c r="R44" s="627">
        <v>1.26</v>
      </c>
      <c r="S44" s="628">
        <v>1.9390000000000001</v>
      </c>
      <c r="T44" s="45">
        <v>1.222</v>
      </c>
      <c r="U44" s="45">
        <v>1.984</v>
      </c>
      <c r="V44" s="627">
        <v>1.1839999999999999</v>
      </c>
      <c r="W44" s="628">
        <v>2.0310000000000001</v>
      </c>
      <c r="X44" s="45">
        <v>1.145</v>
      </c>
      <c r="Y44" s="45">
        <v>2.0790000000000002</v>
      </c>
      <c r="Z44" s="627">
        <v>1.1060000000000001</v>
      </c>
      <c r="AA44" s="628">
        <v>2.1269999999999998</v>
      </c>
      <c r="AB44" s="45">
        <v>1.0680000000000001</v>
      </c>
      <c r="AC44" s="45">
        <v>2.177</v>
      </c>
      <c r="AD44" s="627">
        <v>1.0289999999999999</v>
      </c>
      <c r="AE44" s="628">
        <v>2.2269999999999999</v>
      </c>
      <c r="AF44" s="45">
        <v>0.99</v>
      </c>
      <c r="AG44" s="45">
        <v>2.278</v>
      </c>
      <c r="AH44" s="627">
        <v>0.95099999999999996</v>
      </c>
      <c r="AI44" s="628">
        <v>2.33</v>
      </c>
      <c r="AJ44" s="45">
        <v>0.91300000000000003</v>
      </c>
      <c r="AK44" s="45">
        <v>2.3820000000000001</v>
      </c>
      <c r="AL44" s="627">
        <v>0.874</v>
      </c>
      <c r="AM44" s="628">
        <v>2.4340000000000002</v>
      </c>
      <c r="AN44" s="45">
        <v>0.83599999999999997</v>
      </c>
      <c r="AO44" s="628">
        <v>2.4870000000000001</v>
      </c>
    </row>
    <row r="45" spans="1:41" x14ac:dyDescent="0.25">
      <c r="A45" s="582">
        <v>65</v>
      </c>
      <c r="B45" s="627">
        <v>1.5669999999999999</v>
      </c>
      <c r="C45" s="45">
        <v>1.629</v>
      </c>
      <c r="D45" s="627">
        <v>1.536</v>
      </c>
      <c r="E45" s="628">
        <v>1.6619999999999999</v>
      </c>
      <c r="F45" s="45">
        <v>1.5029999999999999</v>
      </c>
      <c r="G45" s="45">
        <v>1.696</v>
      </c>
      <c r="H45" s="627">
        <v>1.4710000000000001</v>
      </c>
      <c r="I45" s="628">
        <v>1.7310000000000001</v>
      </c>
      <c r="J45" s="45">
        <v>1.4379999999999999</v>
      </c>
      <c r="K45" s="45">
        <v>1.7669999999999999</v>
      </c>
      <c r="L45" s="627">
        <v>1.4039999999999999</v>
      </c>
      <c r="M45" s="628">
        <v>1.8049999999999999</v>
      </c>
      <c r="N45" s="45">
        <v>1.37</v>
      </c>
      <c r="O45" s="45">
        <v>1.843</v>
      </c>
      <c r="P45" s="627">
        <v>1.3360000000000001</v>
      </c>
      <c r="Q45" s="45">
        <v>1.8819999999999999</v>
      </c>
      <c r="R45" s="627">
        <v>1.3009999999999999</v>
      </c>
      <c r="S45" s="628">
        <v>1.923</v>
      </c>
      <c r="T45" s="45">
        <v>1.266</v>
      </c>
      <c r="U45" s="45">
        <v>1.964</v>
      </c>
      <c r="V45" s="627">
        <v>1.2310000000000001</v>
      </c>
      <c r="W45" s="628">
        <v>2.0059999999999998</v>
      </c>
      <c r="X45" s="45">
        <v>1.1950000000000001</v>
      </c>
      <c r="Y45" s="45">
        <v>2.0489999999999999</v>
      </c>
      <c r="Z45" s="627">
        <v>1.1599999999999999</v>
      </c>
      <c r="AA45" s="628">
        <v>2.093</v>
      </c>
      <c r="AB45" s="45">
        <v>1.1240000000000001</v>
      </c>
      <c r="AC45" s="45">
        <v>2.1379999999999999</v>
      </c>
      <c r="AD45" s="627">
        <v>1.0880000000000001</v>
      </c>
      <c r="AE45" s="628">
        <v>2.1829999999999998</v>
      </c>
      <c r="AF45" s="45">
        <v>1.052</v>
      </c>
      <c r="AG45" s="45">
        <v>2.2290000000000001</v>
      </c>
      <c r="AH45" s="627">
        <v>1.016</v>
      </c>
      <c r="AI45" s="628">
        <v>2.2759999999999998</v>
      </c>
      <c r="AJ45" s="45">
        <v>0.98</v>
      </c>
      <c r="AK45" s="45">
        <v>2.323</v>
      </c>
      <c r="AL45" s="627">
        <v>0.94399999999999995</v>
      </c>
      <c r="AM45" s="628">
        <v>2.371</v>
      </c>
      <c r="AN45" s="45">
        <v>0.90800000000000003</v>
      </c>
      <c r="AO45" s="628">
        <v>2.419</v>
      </c>
    </row>
    <row r="46" spans="1:41" x14ac:dyDescent="0.25">
      <c r="A46" s="582">
        <v>70</v>
      </c>
      <c r="B46" s="627">
        <v>1.583</v>
      </c>
      <c r="C46" s="45">
        <v>1.641</v>
      </c>
      <c r="D46" s="627">
        <v>1.554</v>
      </c>
      <c r="E46" s="628">
        <v>1.6719999999999999</v>
      </c>
      <c r="F46" s="45">
        <v>1.5249999999999999</v>
      </c>
      <c r="G46" s="45">
        <v>1.7030000000000001</v>
      </c>
      <c r="H46" s="627">
        <v>1.494</v>
      </c>
      <c r="I46" s="628">
        <v>1.7350000000000001</v>
      </c>
      <c r="J46" s="45">
        <v>1.464</v>
      </c>
      <c r="K46" s="45">
        <v>1.768</v>
      </c>
      <c r="L46" s="627">
        <v>1.4330000000000001</v>
      </c>
      <c r="M46" s="628">
        <v>1.802</v>
      </c>
      <c r="N46" s="45">
        <v>1.401</v>
      </c>
      <c r="O46" s="45">
        <v>1.8380000000000001</v>
      </c>
      <c r="P46" s="627">
        <v>1.369</v>
      </c>
      <c r="Q46" s="45">
        <v>1.8740000000000001</v>
      </c>
      <c r="R46" s="627">
        <v>1.337</v>
      </c>
      <c r="S46" s="628">
        <v>1.91</v>
      </c>
      <c r="T46" s="45">
        <v>1.3049999999999999</v>
      </c>
      <c r="U46" s="45">
        <v>1.948</v>
      </c>
      <c r="V46" s="627">
        <v>1.272</v>
      </c>
      <c r="W46" s="628">
        <v>1.9870000000000001</v>
      </c>
      <c r="X46" s="45">
        <v>1.2390000000000001</v>
      </c>
      <c r="Y46" s="45">
        <v>2.0259999999999998</v>
      </c>
      <c r="Z46" s="627">
        <v>1.206</v>
      </c>
      <c r="AA46" s="628">
        <v>2.0659999999999998</v>
      </c>
      <c r="AB46" s="45">
        <v>1.1719999999999999</v>
      </c>
      <c r="AC46" s="45">
        <v>2.1059999999999999</v>
      </c>
      <c r="AD46" s="627">
        <v>1.139</v>
      </c>
      <c r="AE46" s="628">
        <v>2.1480000000000001</v>
      </c>
      <c r="AF46" s="45">
        <v>1.105</v>
      </c>
      <c r="AG46" s="45">
        <v>2.1890000000000001</v>
      </c>
      <c r="AH46" s="627">
        <v>1.0720000000000001</v>
      </c>
      <c r="AI46" s="628">
        <v>2.2320000000000002</v>
      </c>
      <c r="AJ46" s="45">
        <v>1.038</v>
      </c>
      <c r="AK46" s="45">
        <v>2.2749999999999999</v>
      </c>
      <c r="AL46" s="627">
        <v>1.0049999999999999</v>
      </c>
      <c r="AM46" s="628">
        <v>2.3180000000000001</v>
      </c>
      <c r="AN46" s="45">
        <v>0.97099999999999997</v>
      </c>
      <c r="AO46" s="628">
        <v>2.3620000000000001</v>
      </c>
    </row>
    <row r="47" spans="1:41" x14ac:dyDescent="0.25">
      <c r="A47" s="582">
        <v>75</v>
      </c>
      <c r="B47" s="627">
        <v>1.5980000000000001</v>
      </c>
      <c r="C47" s="45">
        <v>1.6519999999999999</v>
      </c>
      <c r="D47" s="627">
        <v>1.571</v>
      </c>
      <c r="E47" s="628">
        <v>1.68</v>
      </c>
      <c r="F47" s="45">
        <v>1.5429999999999999</v>
      </c>
      <c r="G47" s="45">
        <v>1.7090000000000001</v>
      </c>
      <c r="H47" s="627">
        <v>1.5149999999999999</v>
      </c>
      <c r="I47" s="628">
        <v>1.7390000000000001</v>
      </c>
      <c r="J47" s="45">
        <v>1.4870000000000001</v>
      </c>
      <c r="K47" s="45">
        <v>1.77</v>
      </c>
      <c r="L47" s="627">
        <v>1.458</v>
      </c>
      <c r="M47" s="628">
        <v>1.8009999999999999</v>
      </c>
      <c r="N47" s="45">
        <v>1.4279999999999999</v>
      </c>
      <c r="O47" s="45">
        <v>1.8340000000000001</v>
      </c>
      <c r="P47" s="627">
        <v>1.399</v>
      </c>
      <c r="Q47" s="45">
        <v>1.867</v>
      </c>
      <c r="R47" s="627">
        <v>1.369</v>
      </c>
      <c r="S47" s="628">
        <v>1.901</v>
      </c>
      <c r="T47" s="45">
        <v>1.339</v>
      </c>
      <c r="U47" s="45">
        <v>1.9350000000000001</v>
      </c>
      <c r="V47" s="627">
        <v>1.3080000000000001</v>
      </c>
      <c r="W47" s="628">
        <v>1.97</v>
      </c>
      <c r="X47" s="45">
        <v>1.2769999999999999</v>
      </c>
      <c r="Y47" s="45">
        <v>2.0059999999999998</v>
      </c>
      <c r="Z47" s="627">
        <v>1.2470000000000001</v>
      </c>
      <c r="AA47" s="628">
        <v>2.0430000000000001</v>
      </c>
      <c r="AB47" s="45">
        <v>1.2150000000000001</v>
      </c>
      <c r="AC47" s="45">
        <v>2.08</v>
      </c>
      <c r="AD47" s="627">
        <v>1.1839999999999999</v>
      </c>
      <c r="AE47" s="628">
        <v>2.1179999999999999</v>
      </c>
      <c r="AF47" s="45">
        <v>1.153</v>
      </c>
      <c r="AG47" s="45">
        <v>2.1560000000000001</v>
      </c>
      <c r="AH47" s="627">
        <v>1.121</v>
      </c>
      <c r="AI47" s="628">
        <v>2.1949999999999998</v>
      </c>
      <c r="AJ47" s="45">
        <v>1.0900000000000001</v>
      </c>
      <c r="AK47" s="45">
        <v>2.2349999999999999</v>
      </c>
      <c r="AL47" s="627">
        <v>1.0580000000000001</v>
      </c>
      <c r="AM47" s="628">
        <v>2.2749999999999999</v>
      </c>
      <c r="AN47" s="45">
        <v>1.0269999999999999</v>
      </c>
      <c r="AO47" s="628">
        <v>2.3149999999999999</v>
      </c>
    </row>
    <row r="48" spans="1:41" x14ac:dyDescent="0.25">
      <c r="A48" s="582">
        <v>80</v>
      </c>
      <c r="B48" s="627">
        <v>1.611</v>
      </c>
      <c r="C48" s="45">
        <v>1.6619999999999999</v>
      </c>
      <c r="D48" s="627">
        <v>1.5860000000000001</v>
      </c>
      <c r="E48" s="628">
        <v>1.6879999999999999</v>
      </c>
      <c r="F48" s="45">
        <v>1.56</v>
      </c>
      <c r="G48" s="45">
        <v>1.7150000000000001</v>
      </c>
      <c r="H48" s="627">
        <v>1.534</v>
      </c>
      <c r="I48" s="628">
        <v>1.7430000000000001</v>
      </c>
      <c r="J48" s="45">
        <v>1.5069999999999999</v>
      </c>
      <c r="K48" s="45">
        <v>1.772</v>
      </c>
      <c r="L48" s="627">
        <v>1.48</v>
      </c>
      <c r="M48" s="628">
        <v>1.8009999999999999</v>
      </c>
      <c r="N48" s="45">
        <v>1.4530000000000001</v>
      </c>
      <c r="O48" s="45">
        <v>1.831</v>
      </c>
      <c r="P48" s="627">
        <v>1.425</v>
      </c>
      <c r="Q48" s="45">
        <v>1.861</v>
      </c>
      <c r="R48" s="627">
        <v>1.397</v>
      </c>
      <c r="S48" s="628">
        <v>1.893</v>
      </c>
      <c r="T48" s="45">
        <v>1.369</v>
      </c>
      <c r="U48" s="45">
        <v>1.925</v>
      </c>
      <c r="V48" s="627">
        <v>1.34</v>
      </c>
      <c r="W48" s="628">
        <v>1.9570000000000001</v>
      </c>
      <c r="X48" s="45">
        <v>1.3109999999999999</v>
      </c>
      <c r="Y48" s="45">
        <v>1.9910000000000001</v>
      </c>
      <c r="Z48" s="627">
        <v>1.2829999999999999</v>
      </c>
      <c r="AA48" s="628">
        <v>2.024</v>
      </c>
      <c r="AB48" s="45">
        <v>1.2529999999999999</v>
      </c>
      <c r="AC48" s="45">
        <v>2.0590000000000002</v>
      </c>
      <c r="AD48" s="627">
        <v>1.224</v>
      </c>
      <c r="AE48" s="628">
        <v>2.093</v>
      </c>
      <c r="AF48" s="45">
        <v>1.1950000000000001</v>
      </c>
      <c r="AG48" s="45">
        <v>2.129</v>
      </c>
      <c r="AH48" s="627">
        <v>1.165</v>
      </c>
      <c r="AI48" s="628">
        <v>2.165</v>
      </c>
      <c r="AJ48" s="45">
        <v>1.1359999999999999</v>
      </c>
      <c r="AK48" s="45">
        <v>2.2010000000000001</v>
      </c>
      <c r="AL48" s="627">
        <v>1.1060000000000001</v>
      </c>
      <c r="AM48" s="628">
        <v>2.238</v>
      </c>
      <c r="AN48" s="45">
        <v>1.0760000000000001</v>
      </c>
      <c r="AO48" s="628">
        <v>2.2749999999999999</v>
      </c>
    </row>
    <row r="49" spans="1:41" x14ac:dyDescent="0.25">
      <c r="A49" s="582">
        <v>85</v>
      </c>
      <c r="B49" s="627">
        <v>1.6240000000000001</v>
      </c>
      <c r="C49" s="45">
        <v>1.671</v>
      </c>
      <c r="D49" s="627">
        <v>1.6</v>
      </c>
      <c r="E49" s="628">
        <v>1.696</v>
      </c>
      <c r="F49" s="45">
        <v>1.575</v>
      </c>
      <c r="G49" s="45">
        <v>1.7210000000000001</v>
      </c>
      <c r="H49" s="627">
        <v>1.55</v>
      </c>
      <c r="I49" s="628">
        <v>1.7470000000000001</v>
      </c>
      <c r="J49" s="45">
        <v>1.5249999999999999</v>
      </c>
      <c r="K49" s="45">
        <v>1.774</v>
      </c>
      <c r="L49" s="627">
        <v>1.5</v>
      </c>
      <c r="M49" s="628">
        <v>1.8009999999999999</v>
      </c>
      <c r="N49" s="45">
        <v>1.474</v>
      </c>
      <c r="O49" s="45">
        <v>1.829</v>
      </c>
      <c r="P49" s="627">
        <v>1.448</v>
      </c>
      <c r="Q49" s="45">
        <v>1.857</v>
      </c>
      <c r="R49" s="627">
        <v>1.4219999999999999</v>
      </c>
      <c r="S49" s="628">
        <v>1.8859999999999999</v>
      </c>
      <c r="T49" s="45">
        <v>1.3959999999999999</v>
      </c>
      <c r="U49" s="45">
        <v>1.9159999999999999</v>
      </c>
      <c r="V49" s="627">
        <v>1.369</v>
      </c>
      <c r="W49" s="628">
        <v>1.946</v>
      </c>
      <c r="X49" s="45">
        <v>1.3420000000000001</v>
      </c>
      <c r="Y49" s="45">
        <v>1.9770000000000001</v>
      </c>
      <c r="Z49" s="627">
        <v>1.3149999999999999</v>
      </c>
      <c r="AA49" s="628">
        <v>2.0089999999999999</v>
      </c>
      <c r="AB49" s="45">
        <v>1.2869999999999999</v>
      </c>
      <c r="AC49" s="45">
        <v>2.04</v>
      </c>
      <c r="AD49" s="627">
        <v>1.26</v>
      </c>
      <c r="AE49" s="628">
        <v>2.073</v>
      </c>
      <c r="AF49" s="45">
        <v>1.232</v>
      </c>
      <c r="AG49" s="45">
        <v>2.105</v>
      </c>
      <c r="AH49" s="627">
        <v>1.2050000000000001</v>
      </c>
      <c r="AI49" s="628">
        <v>2.1389999999999998</v>
      </c>
      <c r="AJ49" s="45">
        <v>1.177</v>
      </c>
      <c r="AK49" s="45">
        <v>2.1720000000000002</v>
      </c>
      <c r="AL49" s="627">
        <v>1.149</v>
      </c>
      <c r="AM49" s="628">
        <v>2.206</v>
      </c>
      <c r="AN49" s="45">
        <v>1.121</v>
      </c>
      <c r="AO49" s="628">
        <v>2.2410000000000001</v>
      </c>
    </row>
    <row r="50" spans="1:41" x14ac:dyDescent="0.25">
      <c r="A50" s="582">
        <v>90</v>
      </c>
      <c r="B50" s="627">
        <v>1.635</v>
      </c>
      <c r="C50" s="45">
        <v>1.679</v>
      </c>
      <c r="D50" s="627">
        <v>1.6120000000000001</v>
      </c>
      <c r="E50" s="628">
        <v>1.7030000000000001</v>
      </c>
      <c r="F50" s="45">
        <v>1.589</v>
      </c>
      <c r="G50" s="45">
        <v>1.726</v>
      </c>
      <c r="H50" s="627">
        <v>1.5660000000000001</v>
      </c>
      <c r="I50" s="628">
        <v>1.7509999999999999</v>
      </c>
      <c r="J50" s="45">
        <v>1.542</v>
      </c>
      <c r="K50" s="45">
        <v>1.776</v>
      </c>
      <c r="L50" s="627">
        <v>1.518</v>
      </c>
      <c r="M50" s="628">
        <v>1.8009999999999999</v>
      </c>
      <c r="N50" s="45">
        <v>1.494</v>
      </c>
      <c r="O50" s="45">
        <v>1.827</v>
      </c>
      <c r="P50" s="627">
        <v>1.4690000000000001</v>
      </c>
      <c r="Q50" s="45">
        <v>1.8540000000000001</v>
      </c>
      <c r="R50" s="627">
        <v>1.4450000000000001</v>
      </c>
      <c r="S50" s="628">
        <v>1.881</v>
      </c>
      <c r="T50" s="45">
        <v>1.42</v>
      </c>
      <c r="U50" s="45">
        <v>1.909</v>
      </c>
      <c r="V50" s="627">
        <v>1.395</v>
      </c>
      <c r="W50" s="628">
        <v>1.9370000000000001</v>
      </c>
      <c r="X50" s="45">
        <v>1.369</v>
      </c>
      <c r="Y50" s="45">
        <v>1.966</v>
      </c>
      <c r="Z50" s="627">
        <v>1.3440000000000001</v>
      </c>
      <c r="AA50" s="628">
        <v>1.9950000000000001</v>
      </c>
      <c r="AB50" s="45">
        <v>1.3180000000000001</v>
      </c>
      <c r="AC50" s="45">
        <v>2.0249999999999999</v>
      </c>
      <c r="AD50" s="627">
        <v>1.292</v>
      </c>
      <c r="AE50" s="628">
        <v>2.0550000000000002</v>
      </c>
      <c r="AF50" s="45">
        <v>1.266</v>
      </c>
      <c r="AG50" s="45">
        <v>2.085</v>
      </c>
      <c r="AH50" s="627">
        <v>1.24</v>
      </c>
      <c r="AI50" s="628">
        <v>2.1160000000000001</v>
      </c>
      <c r="AJ50" s="45">
        <v>1.2130000000000001</v>
      </c>
      <c r="AK50" s="45">
        <v>2.1480000000000001</v>
      </c>
      <c r="AL50" s="627">
        <v>1.1870000000000001</v>
      </c>
      <c r="AM50" s="628">
        <v>2.1789999999999998</v>
      </c>
      <c r="AN50" s="45">
        <v>1.1599999999999999</v>
      </c>
      <c r="AO50" s="628">
        <v>2.2109999999999999</v>
      </c>
    </row>
    <row r="51" spans="1:41" x14ac:dyDescent="0.25">
      <c r="A51" s="582">
        <v>95</v>
      </c>
      <c r="B51" s="627">
        <v>1.645</v>
      </c>
      <c r="C51" s="45">
        <v>1.6870000000000001</v>
      </c>
      <c r="D51" s="627">
        <v>1.623</v>
      </c>
      <c r="E51" s="628">
        <v>1.7090000000000001</v>
      </c>
      <c r="F51" s="45">
        <v>1.6020000000000001</v>
      </c>
      <c r="G51" s="45">
        <v>1.732</v>
      </c>
      <c r="H51" s="627">
        <v>1.579</v>
      </c>
      <c r="I51" s="628">
        <v>1.7549999999999999</v>
      </c>
      <c r="J51" s="45">
        <v>1.5569999999999999</v>
      </c>
      <c r="K51" s="45">
        <v>1.778</v>
      </c>
      <c r="L51" s="627">
        <v>1.5349999999999999</v>
      </c>
      <c r="M51" s="628">
        <v>1.802</v>
      </c>
      <c r="N51" s="45">
        <v>1.512</v>
      </c>
      <c r="O51" s="45">
        <v>1.827</v>
      </c>
      <c r="P51" s="627">
        <v>1.4890000000000001</v>
      </c>
      <c r="Q51" s="45">
        <v>1.8520000000000001</v>
      </c>
      <c r="R51" s="627">
        <v>1.4650000000000001</v>
      </c>
      <c r="S51" s="628">
        <v>1.877</v>
      </c>
      <c r="T51" s="45">
        <v>1.4419999999999999</v>
      </c>
      <c r="U51" s="45">
        <v>1.903</v>
      </c>
      <c r="V51" s="627">
        <v>1.4179999999999999</v>
      </c>
      <c r="W51" s="628">
        <v>1.93</v>
      </c>
      <c r="X51" s="45">
        <v>1.3939999999999999</v>
      </c>
      <c r="Y51" s="45">
        <v>1.956</v>
      </c>
      <c r="Z51" s="627">
        <v>1.37</v>
      </c>
      <c r="AA51" s="628">
        <v>1.984</v>
      </c>
      <c r="AB51" s="45">
        <v>1.345</v>
      </c>
      <c r="AC51" s="45">
        <v>2.012</v>
      </c>
      <c r="AD51" s="627">
        <v>1.321</v>
      </c>
      <c r="AE51" s="628">
        <v>2.04</v>
      </c>
      <c r="AF51" s="45">
        <v>1.296</v>
      </c>
      <c r="AG51" s="45">
        <v>2.0680000000000001</v>
      </c>
      <c r="AH51" s="627">
        <v>1.2709999999999999</v>
      </c>
      <c r="AI51" s="628">
        <v>2.097</v>
      </c>
      <c r="AJ51" s="45">
        <v>1.2470000000000001</v>
      </c>
      <c r="AK51" s="45">
        <v>2.1259999999999999</v>
      </c>
      <c r="AL51" s="627">
        <v>1.222</v>
      </c>
      <c r="AM51" s="628">
        <v>2.1560000000000001</v>
      </c>
      <c r="AN51" s="45">
        <v>1.1970000000000001</v>
      </c>
      <c r="AO51" s="628">
        <v>2.1859999999999999</v>
      </c>
    </row>
    <row r="52" spans="1:41" x14ac:dyDescent="0.25">
      <c r="A52" s="582">
        <v>100</v>
      </c>
      <c r="B52" s="627">
        <v>1.6539999999999999</v>
      </c>
      <c r="C52" s="45">
        <v>1.694</v>
      </c>
      <c r="D52" s="627">
        <v>1.6339999999999999</v>
      </c>
      <c r="E52" s="628">
        <v>1.7150000000000001</v>
      </c>
      <c r="F52" s="45">
        <v>1.613</v>
      </c>
      <c r="G52" s="45">
        <v>1.736</v>
      </c>
      <c r="H52" s="627">
        <v>1.5920000000000001</v>
      </c>
      <c r="I52" s="628">
        <v>1.758</v>
      </c>
      <c r="J52" s="45">
        <v>1.571</v>
      </c>
      <c r="K52" s="45">
        <v>1.78</v>
      </c>
      <c r="L52" s="627">
        <v>1.55</v>
      </c>
      <c r="M52" s="628">
        <v>1.8029999999999999</v>
      </c>
      <c r="N52" s="45">
        <v>1.528</v>
      </c>
      <c r="O52" s="45">
        <v>1.8260000000000001</v>
      </c>
      <c r="P52" s="627">
        <v>1.506</v>
      </c>
      <c r="Q52" s="45">
        <v>1.85</v>
      </c>
      <c r="R52" s="627">
        <v>1.484</v>
      </c>
      <c r="S52" s="628">
        <v>1.8740000000000001</v>
      </c>
      <c r="T52" s="45">
        <v>1.462</v>
      </c>
      <c r="U52" s="45">
        <v>1.8979999999999999</v>
      </c>
      <c r="V52" s="627">
        <v>1.4390000000000001</v>
      </c>
      <c r="W52" s="628">
        <v>1.923</v>
      </c>
      <c r="X52" s="45">
        <v>1.4159999999999999</v>
      </c>
      <c r="Y52" s="45">
        <v>1.948</v>
      </c>
      <c r="Z52" s="627">
        <v>1.393</v>
      </c>
      <c r="AA52" s="628">
        <v>1.974</v>
      </c>
      <c r="AB52" s="45">
        <v>1.371</v>
      </c>
      <c r="AC52" s="45">
        <v>2</v>
      </c>
      <c r="AD52" s="627">
        <v>1.347</v>
      </c>
      <c r="AE52" s="628">
        <v>2.0259999999999998</v>
      </c>
      <c r="AF52" s="45">
        <v>1.3240000000000001</v>
      </c>
      <c r="AG52" s="45">
        <v>2.0529999999999999</v>
      </c>
      <c r="AH52" s="627">
        <v>1.3009999999999999</v>
      </c>
      <c r="AI52" s="628">
        <v>2.08</v>
      </c>
      <c r="AJ52" s="45">
        <v>1.2769999999999999</v>
      </c>
      <c r="AK52" s="45">
        <v>2.1080000000000001</v>
      </c>
      <c r="AL52" s="627">
        <v>1.2529999999999999</v>
      </c>
      <c r="AM52" s="628">
        <v>2.1349999999999998</v>
      </c>
      <c r="AN52" s="45">
        <v>1.2290000000000001</v>
      </c>
      <c r="AO52" s="628">
        <v>2.1640000000000001</v>
      </c>
    </row>
    <row r="53" spans="1:41" x14ac:dyDescent="0.25">
      <c r="A53" s="582">
        <v>150</v>
      </c>
      <c r="B53" s="627">
        <v>1.72</v>
      </c>
      <c r="C53" s="45">
        <v>1.7470000000000001</v>
      </c>
      <c r="D53" s="627">
        <v>1.706</v>
      </c>
      <c r="E53" s="628">
        <v>1.76</v>
      </c>
      <c r="F53" s="45">
        <v>1.6930000000000001</v>
      </c>
      <c r="G53" s="45">
        <v>1.774</v>
      </c>
      <c r="H53" s="627">
        <v>1.679</v>
      </c>
      <c r="I53" s="628">
        <v>1.788</v>
      </c>
      <c r="J53" s="45">
        <v>1.665</v>
      </c>
      <c r="K53" s="45">
        <v>1.802</v>
      </c>
      <c r="L53" s="627">
        <v>1.651</v>
      </c>
      <c r="M53" s="628">
        <v>1.8169999999999999</v>
      </c>
      <c r="N53" s="45">
        <v>1.637</v>
      </c>
      <c r="O53" s="45">
        <v>1.8320000000000001</v>
      </c>
      <c r="P53" s="627">
        <v>1.6220000000000001</v>
      </c>
      <c r="Q53" s="45">
        <v>1.8460000000000001</v>
      </c>
      <c r="R53" s="627">
        <v>1.6080000000000001</v>
      </c>
      <c r="S53" s="628">
        <v>1.8620000000000001</v>
      </c>
      <c r="T53" s="45">
        <v>1.593</v>
      </c>
      <c r="U53" s="45">
        <v>1.877</v>
      </c>
      <c r="V53" s="627">
        <v>1.579</v>
      </c>
      <c r="W53" s="628">
        <v>1.8919999999999999</v>
      </c>
      <c r="X53" s="45">
        <v>1.5640000000000001</v>
      </c>
      <c r="Y53" s="45">
        <v>1.9079999999999999</v>
      </c>
      <c r="Z53" s="627">
        <v>1.55</v>
      </c>
      <c r="AA53" s="628">
        <v>1.9239999999999999</v>
      </c>
      <c r="AB53" s="45">
        <v>1.5349999999999999</v>
      </c>
      <c r="AC53" s="45">
        <v>1.94</v>
      </c>
      <c r="AD53" s="627">
        <v>1.5189999999999999</v>
      </c>
      <c r="AE53" s="628">
        <v>1.956</v>
      </c>
      <c r="AF53" s="45">
        <v>1.504</v>
      </c>
      <c r="AG53" s="45">
        <v>1.972</v>
      </c>
      <c r="AH53" s="627">
        <v>1.4890000000000001</v>
      </c>
      <c r="AI53" s="628">
        <v>1.9890000000000001</v>
      </c>
      <c r="AJ53" s="45">
        <v>1.474</v>
      </c>
      <c r="AK53" s="45">
        <v>2.0059999999999998</v>
      </c>
      <c r="AL53" s="627">
        <v>1.458</v>
      </c>
      <c r="AM53" s="628">
        <v>2.0230000000000001</v>
      </c>
      <c r="AN53" s="45">
        <v>1.4430000000000001</v>
      </c>
      <c r="AO53" s="628">
        <v>2.04</v>
      </c>
    </row>
    <row r="54" spans="1:41" x14ac:dyDescent="0.25">
      <c r="A54" s="581">
        <v>200</v>
      </c>
      <c r="B54" s="629">
        <v>1.758</v>
      </c>
      <c r="C54" s="981">
        <v>1.7789999999999999</v>
      </c>
      <c r="D54" s="629">
        <v>1.748</v>
      </c>
      <c r="E54" s="630">
        <v>1.7889999999999999</v>
      </c>
      <c r="F54" s="981">
        <v>1.738</v>
      </c>
      <c r="G54" s="981">
        <v>1.7989999999999999</v>
      </c>
      <c r="H54" s="629">
        <v>1.728</v>
      </c>
      <c r="I54" s="630">
        <v>1.8089999999999999</v>
      </c>
      <c r="J54" s="981">
        <v>1.718</v>
      </c>
      <c r="K54" s="981">
        <v>1.82</v>
      </c>
      <c r="L54" s="629">
        <v>1.7070000000000001</v>
      </c>
      <c r="M54" s="630">
        <v>1.831</v>
      </c>
      <c r="N54" s="981">
        <v>1.6970000000000001</v>
      </c>
      <c r="O54" s="981">
        <v>1.841</v>
      </c>
      <c r="P54" s="629">
        <v>1.6859999999999999</v>
      </c>
      <c r="Q54" s="981">
        <v>1.8520000000000001</v>
      </c>
      <c r="R54" s="629">
        <v>1.675</v>
      </c>
      <c r="S54" s="630">
        <v>1.863</v>
      </c>
      <c r="T54" s="981">
        <v>1.665</v>
      </c>
      <c r="U54" s="981">
        <v>1.8740000000000001</v>
      </c>
      <c r="V54" s="629">
        <v>1.6539999999999999</v>
      </c>
      <c r="W54" s="630">
        <v>1.885</v>
      </c>
      <c r="X54" s="981">
        <v>1.643</v>
      </c>
      <c r="Y54" s="981">
        <v>1.8959999999999999</v>
      </c>
      <c r="Z54" s="629">
        <v>1.6319999999999999</v>
      </c>
      <c r="AA54" s="630">
        <v>1.9079999999999999</v>
      </c>
      <c r="AB54" s="981">
        <v>1.621</v>
      </c>
      <c r="AC54" s="981">
        <v>1.919</v>
      </c>
      <c r="AD54" s="629">
        <v>1.61</v>
      </c>
      <c r="AE54" s="630">
        <v>1.931</v>
      </c>
      <c r="AF54" s="981">
        <v>1.599</v>
      </c>
      <c r="AG54" s="981">
        <v>1.9430000000000001</v>
      </c>
      <c r="AH54" s="629">
        <v>1.5880000000000001</v>
      </c>
      <c r="AI54" s="630">
        <v>1.9550000000000001</v>
      </c>
      <c r="AJ54" s="981">
        <v>1.5760000000000001</v>
      </c>
      <c r="AK54" s="981">
        <v>1.9670000000000001</v>
      </c>
      <c r="AL54" s="629">
        <v>1.5649999999999999</v>
      </c>
      <c r="AM54" s="630">
        <v>1.9790000000000001</v>
      </c>
      <c r="AN54" s="981">
        <v>1.554</v>
      </c>
      <c r="AO54" s="630">
        <v>1.9910000000000001</v>
      </c>
    </row>
  </sheetData>
  <mergeCells count="20">
    <mergeCell ref="X5:Y5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AL5:AM5"/>
    <mergeCell ref="AN5:AO5"/>
    <mergeCell ref="Z5:AA5"/>
    <mergeCell ref="AB5:AC5"/>
    <mergeCell ref="AD5:AE5"/>
    <mergeCell ref="AF5:AG5"/>
    <mergeCell ref="AH5:AI5"/>
    <mergeCell ref="AJ5:AK5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W20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  <col min="9" max="9" width="17.5703125" customWidth="1"/>
    <col min="16" max="16" width="7.140625" customWidth="1"/>
    <col min="17" max="17" width="17.42578125" customWidth="1"/>
  </cols>
  <sheetData>
    <row r="1" spans="1:23" x14ac:dyDescent="0.25">
      <c r="A1" s="1" t="s">
        <v>1961</v>
      </c>
    </row>
    <row r="2" spans="1:23" x14ac:dyDescent="0.25">
      <c r="A2" s="1"/>
    </row>
    <row r="3" spans="1:23" x14ac:dyDescent="0.25">
      <c r="A3" s="17" t="s">
        <v>1965</v>
      </c>
      <c r="E3" t="s">
        <v>1966</v>
      </c>
      <c r="I3" t="s">
        <v>1973</v>
      </c>
      <c r="Q3" t="s">
        <v>1967</v>
      </c>
    </row>
    <row r="5" spans="1:23" ht="15.75" thickBot="1" x14ac:dyDescent="0.3">
      <c r="A5" s="13" t="s">
        <v>1962</v>
      </c>
      <c r="B5" s="872" t="s">
        <v>1963</v>
      </c>
      <c r="C5" s="872" t="s">
        <v>1964</v>
      </c>
      <c r="E5" s="13" t="s">
        <v>1962</v>
      </c>
      <c r="F5" s="872" t="s">
        <v>1963</v>
      </c>
      <c r="G5" s="872" t="s">
        <v>1964</v>
      </c>
      <c r="I5" s="743" t="s">
        <v>1598</v>
      </c>
      <c r="J5" s="743"/>
      <c r="Q5" s="743" t="s">
        <v>1598</v>
      </c>
      <c r="R5" s="743"/>
    </row>
    <row r="6" spans="1:23" ht="15.75" thickTop="1" x14ac:dyDescent="0.25">
      <c r="A6">
        <v>1</v>
      </c>
      <c r="B6" s="875">
        <v>14</v>
      </c>
      <c r="C6" s="876">
        <v>27</v>
      </c>
      <c r="E6" s="7">
        <v>1</v>
      </c>
      <c r="F6" s="875">
        <f>B6</f>
        <v>14</v>
      </c>
      <c r="G6" s="876">
        <f>C6</f>
        <v>27</v>
      </c>
      <c r="I6" t="s">
        <v>292</v>
      </c>
      <c r="J6">
        <f>SQRT(J7)</f>
        <v>0.84586408258493229</v>
      </c>
      <c r="Q6" t="s">
        <v>292</v>
      </c>
      <c r="R6">
        <f>SQRT(R7)</f>
        <v>0.76917084121957202</v>
      </c>
    </row>
    <row r="7" spans="1:23" x14ac:dyDescent="0.25">
      <c r="A7">
        <f>A6+1</f>
        <v>2</v>
      </c>
      <c r="B7" s="578">
        <v>13</v>
      </c>
      <c r="C7" s="602">
        <v>29</v>
      </c>
      <c r="E7" s="7">
        <f>E6+1</f>
        <v>2</v>
      </c>
      <c r="F7" s="578">
        <f t="shared" ref="F7:F17" si="0">B7</f>
        <v>13</v>
      </c>
      <c r="G7" s="602">
        <f t="shared" ref="G7:G12" si="1">C7</f>
        <v>29</v>
      </c>
      <c r="I7" t="s">
        <v>285</v>
      </c>
      <c r="J7">
        <f>K14/K16</f>
        <v>0.71548604620724909</v>
      </c>
      <c r="Q7" t="s">
        <v>285</v>
      </c>
      <c r="R7">
        <f>S14/S16</f>
        <v>0.59162378298242402</v>
      </c>
    </row>
    <row r="8" spans="1:23" x14ac:dyDescent="0.25">
      <c r="A8">
        <f t="shared" ref="A8:A17" si="2">A7+1</f>
        <v>3</v>
      </c>
      <c r="B8" s="578">
        <v>23</v>
      </c>
      <c r="C8" s="602">
        <v>49</v>
      </c>
      <c r="E8" s="7">
        <f t="shared" ref="E8:E17" si="3">E7+1</f>
        <v>3</v>
      </c>
      <c r="F8" s="578">
        <f t="shared" si="0"/>
        <v>23</v>
      </c>
      <c r="G8" s="602">
        <f t="shared" si="1"/>
        <v>49</v>
      </c>
      <c r="I8" t="s">
        <v>293</v>
      </c>
      <c r="J8">
        <f>1-(1-J7)*(J10-1)/(J10-J14-1)</f>
        <v>0.68703465082797399</v>
      </c>
      <c r="Q8" t="s">
        <v>293</v>
      </c>
      <c r="R8">
        <f>1-(1-R7)*(R10-1)/(R10-R14-1)</f>
        <v>0.50994853957890884</v>
      </c>
    </row>
    <row r="9" spans="1:23" x14ac:dyDescent="0.25">
      <c r="A9">
        <f t="shared" si="2"/>
        <v>4</v>
      </c>
      <c r="B9" s="578">
        <v>19</v>
      </c>
      <c r="C9" s="602">
        <v>37</v>
      </c>
      <c r="E9" s="7">
        <f t="shared" si="3"/>
        <v>4</v>
      </c>
      <c r="F9" s="578">
        <f t="shared" si="0"/>
        <v>19</v>
      </c>
      <c r="G9" s="602">
        <f t="shared" si="1"/>
        <v>37</v>
      </c>
      <c r="I9" t="s">
        <v>11</v>
      </c>
      <c r="J9">
        <f>SQRT(L15)</f>
        <v>4.0936379759809034</v>
      </c>
      <c r="Q9" t="s">
        <v>11</v>
      </c>
      <c r="R9">
        <f>SQRT(T15)</f>
        <v>5.2674706428574982</v>
      </c>
    </row>
    <row r="10" spans="1:23" x14ac:dyDescent="0.25">
      <c r="A10">
        <f t="shared" si="2"/>
        <v>5</v>
      </c>
      <c r="B10" s="578">
        <v>21</v>
      </c>
      <c r="C10" s="602">
        <v>31</v>
      </c>
      <c r="E10" s="7">
        <f t="shared" si="3"/>
        <v>5</v>
      </c>
      <c r="F10" s="578">
        <f t="shared" si="0"/>
        <v>21</v>
      </c>
      <c r="G10" s="602">
        <f t="shared" si="1"/>
        <v>31</v>
      </c>
      <c r="I10" s="762" t="s">
        <v>81</v>
      </c>
      <c r="J10" s="762">
        <f>COUNT(C6:C17)</f>
        <v>12</v>
      </c>
      <c r="Q10" s="762" t="s">
        <v>81</v>
      </c>
      <c r="R10" s="762">
        <f>COUNT(G6:G12)</f>
        <v>7</v>
      </c>
    </row>
    <row r="11" spans="1:23" x14ac:dyDescent="0.25">
      <c r="A11">
        <f t="shared" si="2"/>
        <v>6</v>
      </c>
      <c r="B11" s="578">
        <v>25</v>
      </c>
      <c r="C11" s="602">
        <v>40</v>
      </c>
      <c r="E11" s="7">
        <f t="shared" si="3"/>
        <v>6</v>
      </c>
      <c r="F11" s="578">
        <f t="shared" si="0"/>
        <v>25</v>
      </c>
      <c r="G11" s="602">
        <f t="shared" si="1"/>
        <v>40</v>
      </c>
    </row>
    <row r="12" spans="1:23" ht="15.75" thickBot="1" x14ac:dyDescent="0.3">
      <c r="A12">
        <f t="shared" si="2"/>
        <v>7</v>
      </c>
      <c r="B12" s="578">
        <v>18</v>
      </c>
      <c r="C12" s="602">
        <v>35</v>
      </c>
      <c r="E12" s="7">
        <f t="shared" si="3"/>
        <v>7</v>
      </c>
      <c r="F12" s="578">
        <f t="shared" si="0"/>
        <v>18</v>
      </c>
      <c r="G12" s="602">
        <f t="shared" si="1"/>
        <v>35</v>
      </c>
      <c r="I12" t="s">
        <v>294</v>
      </c>
      <c r="M12" s="872" t="s">
        <v>34</v>
      </c>
      <c r="N12" s="872">
        <v>0.05</v>
      </c>
      <c r="Q12" t="s">
        <v>294</v>
      </c>
      <c r="U12" s="872" t="s">
        <v>34</v>
      </c>
      <c r="V12" s="872">
        <v>0.05</v>
      </c>
    </row>
    <row r="13" spans="1:23" ht="15.75" thickTop="1" x14ac:dyDescent="0.25">
      <c r="A13">
        <f t="shared" si="2"/>
        <v>8</v>
      </c>
      <c r="B13" s="578">
        <v>22</v>
      </c>
      <c r="C13" s="602">
        <v>44</v>
      </c>
      <c r="E13" s="7">
        <f t="shared" si="3"/>
        <v>8</v>
      </c>
      <c r="F13" s="578">
        <f t="shared" si="0"/>
        <v>22</v>
      </c>
      <c r="G13" s="602" t="s">
        <v>4</v>
      </c>
      <c r="I13" s="826"/>
      <c r="J13" s="826" t="s">
        <v>60</v>
      </c>
      <c r="K13" s="826" t="s">
        <v>219</v>
      </c>
      <c r="L13" s="826" t="s">
        <v>240</v>
      </c>
      <c r="M13" s="826" t="s">
        <v>135</v>
      </c>
      <c r="N13" s="826" t="s">
        <v>67</v>
      </c>
      <c r="O13" s="826" t="s">
        <v>527</v>
      </c>
      <c r="Q13" s="826"/>
      <c r="R13" s="826" t="s">
        <v>60</v>
      </c>
      <c r="S13" s="826" t="s">
        <v>219</v>
      </c>
      <c r="T13" s="826" t="s">
        <v>240</v>
      </c>
      <c r="U13" s="826" t="s">
        <v>135</v>
      </c>
      <c r="V13" s="826" t="s">
        <v>67</v>
      </c>
      <c r="W13" s="826" t="s">
        <v>527</v>
      </c>
    </row>
    <row r="14" spans="1:23" x14ac:dyDescent="0.25">
      <c r="A14">
        <f t="shared" si="2"/>
        <v>9</v>
      </c>
      <c r="B14" s="578">
        <v>18</v>
      </c>
      <c r="C14" s="602">
        <v>32</v>
      </c>
      <c r="E14" s="7">
        <f t="shared" si="3"/>
        <v>9</v>
      </c>
      <c r="F14" s="578">
        <f t="shared" si="0"/>
        <v>18</v>
      </c>
      <c r="G14" s="602" t="s">
        <v>4</v>
      </c>
      <c r="I14" t="s">
        <v>222</v>
      </c>
      <c r="J14">
        <f>COUNT(B6)</f>
        <v>1</v>
      </c>
      <c r="K14">
        <f>DEVSQ(MMULT([1]!DESIGN(B6:B17),J19:J20))</f>
        <v>421.4212812160697</v>
      </c>
      <c r="L14">
        <f>K14/J14</f>
        <v>421.4212812160697</v>
      </c>
      <c r="M14">
        <f>L14/L15</f>
        <v>25.147661008163841</v>
      </c>
      <c r="N14">
        <f>FDIST(M14,J14,J15)</f>
        <v>5.257902256100551E-4</v>
      </c>
      <c r="O14" s="872" t="str">
        <f>IF(N14&lt;N12,"yes","no")</f>
        <v>yes</v>
      </c>
      <c r="Q14" t="s">
        <v>222</v>
      </c>
      <c r="R14">
        <f>COUNT(F6)</f>
        <v>1</v>
      </c>
      <c r="S14">
        <f>DEVSQ(MMULT([1]!DESIGN(F6:F12),R19:R20))</f>
        <v>200.98305084745778</v>
      </c>
      <c r="T14">
        <f>S14/R14</f>
        <v>200.98305084745778</v>
      </c>
      <c r="U14">
        <f>T14/T15</f>
        <v>7.2436121195196996</v>
      </c>
      <c r="V14">
        <f>FDIST(U14,R14,R15)</f>
        <v>4.3226434686889081E-2</v>
      </c>
      <c r="W14" s="872" t="str">
        <f>IF(V14&lt;V12,"yes","no")</f>
        <v>yes</v>
      </c>
    </row>
    <row r="15" spans="1:23" x14ac:dyDescent="0.25">
      <c r="A15">
        <f t="shared" si="2"/>
        <v>10</v>
      </c>
      <c r="B15" s="578">
        <v>28</v>
      </c>
      <c r="C15" s="602">
        <v>48</v>
      </c>
      <c r="E15" s="7">
        <f t="shared" si="3"/>
        <v>10</v>
      </c>
      <c r="F15" s="578">
        <f t="shared" si="0"/>
        <v>28</v>
      </c>
      <c r="G15" s="602" t="s">
        <v>4</v>
      </c>
      <c r="I15" t="s">
        <v>295</v>
      </c>
      <c r="J15">
        <f>J16-J14</f>
        <v>10</v>
      </c>
      <c r="K15">
        <f>K16-K14</f>
        <v>167.5787187839303</v>
      </c>
      <c r="L15">
        <f>K15/J15</f>
        <v>16.757871878393029</v>
      </c>
      <c r="Q15" t="s">
        <v>295</v>
      </c>
      <c r="R15">
        <f>R16-R14</f>
        <v>5</v>
      </c>
      <c r="S15">
        <f>S16-S14</f>
        <v>138.73123486682795</v>
      </c>
      <c r="T15">
        <f>S15/R15</f>
        <v>27.74624697336559</v>
      </c>
    </row>
    <row r="16" spans="1:23" x14ac:dyDescent="0.25">
      <c r="A16">
        <f t="shared" si="2"/>
        <v>11</v>
      </c>
      <c r="B16" s="578">
        <v>25</v>
      </c>
      <c r="C16" s="602">
        <v>43</v>
      </c>
      <c r="E16" s="7">
        <f t="shared" si="3"/>
        <v>11</v>
      </c>
      <c r="F16" s="578">
        <f t="shared" si="0"/>
        <v>25</v>
      </c>
      <c r="G16" s="602" t="s">
        <v>4</v>
      </c>
      <c r="I16" s="762" t="s">
        <v>1</v>
      </c>
      <c r="J16" s="762">
        <f>J10-1</f>
        <v>11</v>
      </c>
      <c r="K16" s="762">
        <f>DEVSQ(C6:C17)</f>
        <v>589</v>
      </c>
      <c r="L16" s="762"/>
      <c r="M16" s="762"/>
      <c r="N16" s="762"/>
      <c r="O16" s="762"/>
      <c r="Q16" s="762" t="s">
        <v>1</v>
      </c>
      <c r="R16" s="762">
        <f>R10-1</f>
        <v>6</v>
      </c>
      <c r="S16" s="762">
        <f>DEVSQ(G6:G12)</f>
        <v>339.71428571428572</v>
      </c>
      <c r="T16" s="762"/>
      <c r="U16" s="762"/>
      <c r="V16" s="762"/>
      <c r="W16" s="762"/>
    </row>
    <row r="17" spans="1:23" ht="15.75" thickBot="1" x14ac:dyDescent="0.3">
      <c r="A17">
        <f t="shared" si="2"/>
        <v>12</v>
      </c>
      <c r="B17" s="877">
        <v>17</v>
      </c>
      <c r="C17" s="878">
        <v>35</v>
      </c>
      <c r="E17" s="7">
        <f t="shared" si="3"/>
        <v>12</v>
      </c>
      <c r="F17" s="877">
        <f t="shared" si="0"/>
        <v>17</v>
      </c>
      <c r="G17" s="878" t="s">
        <v>4</v>
      </c>
    </row>
    <row r="18" spans="1:23" ht="15.75" thickTop="1" x14ac:dyDescent="0.25">
      <c r="A18" s="13" t="s">
        <v>7</v>
      </c>
      <c r="B18">
        <f>AVERAGE(B6:B17)</f>
        <v>20.25</v>
      </c>
      <c r="C18">
        <f>AVERAGE(C6:C17)</f>
        <v>37.5</v>
      </c>
      <c r="E18" s="13" t="s">
        <v>7</v>
      </c>
      <c r="F18">
        <f>AVERAGE(F6:F17)</f>
        <v>20.25</v>
      </c>
      <c r="G18">
        <f>AVERAGE(G6:G17)</f>
        <v>35.428571428571431</v>
      </c>
      <c r="I18" s="826"/>
      <c r="J18" s="826" t="s">
        <v>1592</v>
      </c>
      <c r="K18" s="826" t="s">
        <v>1000</v>
      </c>
      <c r="L18" s="826" t="s">
        <v>61</v>
      </c>
      <c r="M18" s="826" t="s">
        <v>67</v>
      </c>
      <c r="N18" s="826" t="s">
        <v>29</v>
      </c>
      <c r="O18" s="826" t="s">
        <v>30</v>
      </c>
      <c r="Q18" s="826"/>
      <c r="R18" s="826" t="s">
        <v>1592</v>
      </c>
      <c r="S18" s="826" t="s">
        <v>1000</v>
      </c>
      <c r="T18" s="826" t="s">
        <v>61</v>
      </c>
      <c r="U18" s="826" t="s">
        <v>67</v>
      </c>
      <c r="V18" s="826" t="s">
        <v>29</v>
      </c>
      <c r="W18" s="826" t="s">
        <v>30</v>
      </c>
    </row>
    <row r="19" spans="1:23" x14ac:dyDescent="0.25">
      <c r="A19" s="13" t="s">
        <v>9</v>
      </c>
      <c r="B19">
        <f>STDEV(B6:B17)</f>
        <v>4.575130400526108</v>
      </c>
      <c r="C19">
        <f>STDEV(C6:C17)</f>
        <v>7.3174759682184503</v>
      </c>
      <c r="E19" s="13" t="s">
        <v>9</v>
      </c>
      <c r="F19">
        <f>STDEV(F6:F17)</f>
        <v>4.575130400526108</v>
      </c>
      <c r="G19">
        <f>STDEV(G6:G17)</f>
        <v>7.5245629520290214</v>
      </c>
      <c r="I19" t="s">
        <v>296</v>
      </c>
      <c r="J19">
        <f t="array" ref="J19:J20">[1]!RegCoeff(B6:B17,C6:C17)</f>
        <v>10.104234527687289</v>
      </c>
      <c r="K19">
        <f t="array" ref="K19:K20">[1]!RegCoeffSE(B6:B17,C6:C17)</f>
        <v>5.5893945269846022</v>
      </c>
      <c r="L19">
        <f>J19/K19</f>
        <v>1.8077511757142644</v>
      </c>
      <c r="M19">
        <f>TDIST(ABS(L19),$J$15,2)</f>
        <v>0.10077118820490306</v>
      </c>
      <c r="N19">
        <f>J19-TINV(N$12,$J$15)*K19</f>
        <v>-2.3497125769665477</v>
      </c>
      <c r="O19">
        <f>J19+TINV(N$12,$J$15)*K19</f>
        <v>22.558181632341125</v>
      </c>
      <c r="Q19" t="s">
        <v>296</v>
      </c>
      <c r="R19">
        <f t="array" ref="R19:R20">[1]!RegCoeff(F6:F12,G6:G12)</f>
        <v>10.631961259079905</v>
      </c>
      <c r="S19">
        <f t="array" ref="S19:S20">[1]!RegCoeffSE(F6:F12,G6:G12)</f>
        <v>9.4259458035374486</v>
      </c>
      <c r="T19">
        <f>R19/S19</f>
        <v>1.1279463600448298</v>
      </c>
      <c r="U19">
        <f>TDIST(ABS(T19),$R$15,2)</f>
        <v>0.31053998813321815</v>
      </c>
      <c r="V19">
        <f>R19-TINV(V$12,$R$15)*S19</f>
        <v>-13.598203807185811</v>
      </c>
      <c r="W19">
        <f>R19+TINV(V$12,$R$15)*S19</f>
        <v>34.862126325345621</v>
      </c>
    </row>
    <row r="20" spans="1:23" x14ac:dyDescent="0.25">
      <c r="A20" s="13" t="s">
        <v>1972</v>
      </c>
      <c r="B20">
        <f>CORREL(B6:B17,C6:C17)</f>
        <v>0.84586408258493195</v>
      </c>
      <c r="E20" s="13" t="s">
        <v>1972</v>
      </c>
      <c r="F20">
        <f>CORREL(F6:F17,G6:G17)</f>
        <v>0.76917084121957169</v>
      </c>
      <c r="I20" s="762" t="str">
        <f t="array" ref="I20">TRANSPOSE(B5)</f>
        <v>math</v>
      </c>
      <c r="J20" s="762">
        <v>1.3528773072747018</v>
      </c>
      <c r="K20" s="762">
        <v>0.26977991495295189</v>
      </c>
      <c r="L20" s="762">
        <f>J20/K20</f>
        <v>5.0147443611976676</v>
      </c>
      <c r="M20" s="762">
        <f>TDIST(ABS(L20),$J$15,2)</f>
        <v>5.2579022561005759E-4</v>
      </c>
      <c r="N20" s="762">
        <f>J20-TINV(N$12,$J$15)*K20</f>
        <v>0.75177019728247685</v>
      </c>
      <c r="O20" s="762">
        <f>J20+TINV(N$12,$J$15)*K20</f>
        <v>1.9539844172669267</v>
      </c>
      <c r="Q20" s="762" t="str">
        <f t="array" ref="Q20">TRANSPOSE(F5)</f>
        <v>math</v>
      </c>
      <c r="R20" s="762">
        <v>1.3050847457627119</v>
      </c>
      <c r="S20" s="762">
        <v>0.484909977433918</v>
      </c>
      <c r="T20" s="762">
        <f>R20/S20</f>
        <v>2.6913959425397982</v>
      </c>
      <c r="U20" s="762">
        <f>TDIST(ABS(T20),$R$15,2)</f>
        <v>4.3226434686889192E-2</v>
      </c>
      <c r="V20" s="762">
        <f>R20-TINV(V$12,$R$15)*S20</f>
        <v>5.8583965852266884E-2</v>
      </c>
      <c r="W20" s="762">
        <f>R20+TINV(V$12,$R$15)*S20</f>
        <v>2.5515855256731568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K19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</cols>
  <sheetData>
    <row r="1" spans="1:11" x14ac:dyDescent="0.25">
      <c r="A1" s="1" t="s">
        <v>1968</v>
      </c>
    </row>
    <row r="2" spans="1:11" x14ac:dyDescent="0.25">
      <c r="A2" s="1"/>
    </row>
    <row r="3" spans="1:11" x14ac:dyDescent="0.25">
      <c r="A3" s="17" t="s">
        <v>1965</v>
      </c>
      <c r="E3" t="s">
        <v>1966</v>
      </c>
      <c r="I3" t="s">
        <v>1969</v>
      </c>
    </row>
    <row r="5" spans="1:11" x14ac:dyDescent="0.25">
      <c r="A5" s="13" t="s">
        <v>1962</v>
      </c>
      <c r="B5" s="872" t="s">
        <v>1963</v>
      </c>
      <c r="C5" s="872" t="s">
        <v>1964</v>
      </c>
      <c r="E5" s="13" t="s">
        <v>1962</v>
      </c>
      <c r="F5" s="872" t="s">
        <v>1963</v>
      </c>
      <c r="G5" s="872" t="s">
        <v>1964</v>
      </c>
      <c r="I5" s="13" t="s">
        <v>1962</v>
      </c>
      <c r="J5" s="872" t="s">
        <v>1963</v>
      </c>
      <c r="K5" s="872" t="s">
        <v>1964</v>
      </c>
    </row>
    <row r="6" spans="1:11" x14ac:dyDescent="0.25">
      <c r="A6">
        <v>1</v>
      </c>
      <c r="B6" s="875">
        <v>14</v>
      </c>
      <c r="C6" s="876">
        <v>27</v>
      </c>
      <c r="E6" s="7">
        <v>1</v>
      </c>
      <c r="F6" s="875">
        <f>B6</f>
        <v>14</v>
      </c>
      <c r="G6" s="876">
        <f>C6</f>
        <v>27</v>
      </c>
      <c r="I6" s="7">
        <v>1</v>
      </c>
      <c r="J6" s="875">
        <f>F6</f>
        <v>14</v>
      </c>
      <c r="K6" s="876">
        <f>G6</f>
        <v>27</v>
      </c>
    </row>
    <row r="7" spans="1:11" x14ac:dyDescent="0.25">
      <c r="A7">
        <f>A6+1</f>
        <v>2</v>
      </c>
      <c r="B7" s="578">
        <v>13</v>
      </c>
      <c r="C7" s="602">
        <v>29</v>
      </c>
      <c r="E7" s="7">
        <f>E6+1</f>
        <v>2</v>
      </c>
      <c r="F7" s="578">
        <f t="shared" ref="F7:G17" si="0">B7</f>
        <v>13</v>
      </c>
      <c r="G7" s="602">
        <f t="shared" si="0"/>
        <v>29</v>
      </c>
      <c r="I7" s="7">
        <f>I6+1</f>
        <v>2</v>
      </c>
      <c r="J7" s="578">
        <f t="shared" ref="J7:J17" si="1">F7</f>
        <v>13</v>
      </c>
      <c r="K7" s="602">
        <f t="shared" ref="K7:K12" si="2">G7</f>
        <v>29</v>
      </c>
    </row>
    <row r="8" spans="1:11" x14ac:dyDescent="0.25">
      <c r="A8">
        <f t="shared" ref="A8:A17" si="3">A7+1</f>
        <v>3</v>
      </c>
      <c r="B8" s="578">
        <v>23</v>
      </c>
      <c r="C8" s="602">
        <v>49</v>
      </c>
      <c r="E8" s="7">
        <f t="shared" ref="E8:E17" si="4">E7+1</f>
        <v>3</v>
      </c>
      <c r="F8" s="578">
        <f t="shared" si="0"/>
        <v>23</v>
      </c>
      <c r="G8" s="602">
        <f t="shared" si="0"/>
        <v>49</v>
      </c>
      <c r="I8" s="7">
        <f t="shared" ref="I8:I17" si="5">I7+1</f>
        <v>3</v>
      </c>
      <c r="J8" s="578">
        <f t="shared" si="1"/>
        <v>23</v>
      </c>
      <c r="K8" s="602">
        <f t="shared" si="2"/>
        <v>49</v>
      </c>
    </row>
    <row r="9" spans="1:11" x14ac:dyDescent="0.25">
      <c r="A9">
        <f t="shared" si="3"/>
        <v>4</v>
      </c>
      <c r="B9" s="578">
        <v>19</v>
      </c>
      <c r="C9" s="602">
        <v>37</v>
      </c>
      <c r="E9" s="7">
        <f t="shared" si="4"/>
        <v>4</v>
      </c>
      <c r="F9" s="578">
        <f t="shared" si="0"/>
        <v>19</v>
      </c>
      <c r="G9" s="602">
        <f t="shared" si="0"/>
        <v>37</v>
      </c>
      <c r="I9" s="7">
        <f t="shared" si="5"/>
        <v>4</v>
      </c>
      <c r="J9" s="578">
        <f t="shared" si="1"/>
        <v>19</v>
      </c>
      <c r="K9" s="602">
        <f t="shared" si="2"/>
        <v>37</v>
      </c>
    </row>
    <row r="10" spans="1:11" x14ac:dyDescent="0.25">
      <c r="A10">
        <f t="shared" si="3"/>
        <v>5</v>
      </c>
      <c r="B10" s="578">
        <v>21</v>
      </c>
      <c r="C10" s="602">
        <v>31</v>
      </c>
      <c r="E10" s="7">
        <f t="shared" si="4"/>
        <v>5</v>
      </c>
      <c r="F10" s="578">
        <f t="shared" si="0"/>
        <v>21</v>
      </c>
      <c r="G10" s="602">
        <f t="shared" si="0"/>
        <v>31</v>
      </c>
      <c r="I10" s="7">
        <f t="shared" si="5"/>
        <v>5</v>
      </c>
      <c r="J10" s="578">
        <f t="shared" si="1"/>
        <v>21</v>
      </c>
      <c r="K10" s="602">
        <f t="shared" si="2"/>
        <v>31</v>
      </c>
    </row>
    <row r="11" spans="1:11" x14ac:dyDescent="0.25">
      <c r="A11">
        <f t="shared" si="3"/>
        <v>6</v>
      </c>
      <c r="B11" s="578">
        <v>25</v>
      </c>
      <c r="C11" s="602">
        <v>40</v>
      </c>
      <c r="E11" s="7">
        <f t="shared" si="4"/>
        <v>6</v>
      </c>
      <c r="F11" s="578">
        <f t="shared" si="0"/>
        <v>25</v>
      </c>
      <c r="G11" s="602">
        <f t="shared" si="0"/>
        <v>40</v>
      </c>
      <c r="I11" s="7">
        <f t="shared" si="5"/>
        <v>6</v>
      </c>
      <c r="J11" s="578">
        <f t="shared" si="1"/>
        <v>25</v>
      </c>
      <c r="K11" s="602">
        <f t="shared" si="2"/>
        <v>40</v>
      </c>
    </row>
    <row r="12" spans="1:11" x14ac:dyDescent="0.25">
      <c r="A12">
        <f t="shared" si="3"/>
        <v>7</v>
      </c>
      <c r="B12" s="578">
        <v>18</v>
      </c>
      <c r="C12" s="602">
        <v>35</v>
      </c>
      <c r="E12" s="7">
        <f t="shared" si="4"/>
        <v>7</v>
      </c>
      <c r="F12" s="578">
        <f t="shared" si="0"/>
        <v>18</v>
      </c>
      <c r="G12" s="602">
        <f t="shared" si="0"/>
        <v>35</v>
      </c>
      <c r="I12" s="7">
        <f t="shared" si="5"/>
        <v>7</v>
      </c>
      <c r="J12" s="578">
        <f t="shared" si="1"/>
        <v>18</v>
      </c>
      <c r="K12" s="602">
        <f t="shared" si="2"/>
        <v>35</v>
      </c>
    </row>
    <row r="13" spans="1:11" x14ac:dyDescent="0.25">
      <c r="A13">
        <f t="shared" si="3"/>
        <v>8</v>
      </c>
      <c r="B13" s="578">
        <v>22</v>
      </c>
      <c r="C13" s="602">
        <v>44</v>
      </c>
      <c r="E13" s="7">
        <f t="shared" si="4"/>
        <v>8</v>
      </c>
      <c r="F13" s="578">
        <f t="shared" si="0"/>
        <v>22</v>
      </c>
      <c r="G13" s="602" t="s">
        <v>4</v>
      </c>
      <c r="I13" s="7">
        <f t="shared" si="5"/>
        <v>8</v>
      </c>
      <c r="J13" s="578">
        <f t="shared" si="1"/>
        <v>22</v>
      </c>
      <c r="K13" s="602">
        <f>G18</f>
        <v>35.428571428571431</v>
      </c>
    </row>
    <row r="14" spans="1:11" x14ac:dyDescent="0.25">
      <c r="A14">
        <f t="shared" si="3"/>
        <v>9</v>
      </c>
      <c r="B14" s="578">
        <v>18</v>
      </c>
      <c r="C14" s="602">
        <v>32</v>
      </c>
      <c r="E14" s="7">
        <f t="shared" si="4"/>
        <v>9</v>
      </c>
      <c r="F14" s="578">
        <f t="shared" si="0"/>
        <v>18</v>
      </c>
      <c r="G14" s="602" t="s">
        <v>4</v>
      </c>
      <c r="I14" s="7">
        <f t="shared" si="5"/>
        <v>9</v>
      </c>
      <c r="J14" s="578">
        <f t="shared" si="1"/>
        <v>18</v>
      </c>
      <c r="K14" s="602">
        <f>K13</f>
        <v>35.428571428571431</v>
      </c>
    </row>
    <row r="15" spans="1:11" x14ac:dyDescent="0.25">
      <c r="A15">
        <f t="shared" si="3"/>
        <v>10</v>
      </c>
      <c r="B15" s="578">
        <v>28</v>
      </c>
      <c r="C15" s="602">
        <v>48</v>
      </c>
      <c r="E15" s="7">
        <f t="shared" si="4"/>
        <v>10</v>
      </c>
      <c r="F15" s="578">
        <f t="shared" si="0"/>
        <v>28</v>
      </c>
      <c r="G15" s="602" t="s">
        <v>4</v>
      </c>
      <c r="I15" s="7">
        <f t="shared" si="5"/>
        <v>10</v>
      </c>
      <c r="J15" s="578">
        <f t="shared" si="1"/>
        <v>28</v>
      </c>
      <c r="K15" s="602">
        <f>K14</f>
        <v>35.428571428571431</v>
      </c>
    </row>
    <row r="16" spans="1:11" x14ac:dyDescent="0.25">
      <c r="A16">
        <f t="shared" si="3"/>
        <v>11</v>
      </c>
      <c r="B16" s="578">
        <v>25</v>
      </c>
      <c r="C16" s="602">
        <v>43</v>
      </c>
      <c r="E16" s="7">
        <f t="shared" si="4"/>
        <v>11</v>
      </c>
      <c r="F16" s="578">
        <f t="shared" si="0"/>
        <v>25</v>
      </c>
      <c r="G16" s="602" t="s">
        <v>4</v>
      </c>
      <c r="I16" s="7">
        <f t="shared" si="5"/>
        <v>11</v>
      </c>
      <c r="J16" s="578">
        <f t="shared" si="1"/>
        <v>25</v>
      </c>
      <c r="K16" s="602">
        <f>K15</f>
        <v>35.428571428571431</v>
      </c>
    </row>
    <row r="17" spans="1:11" x14ac:dyDescent="0.25">
      <c r="A17">
        <f t="shared" si="3"/>
        <v>12</v>
      </c>
      <c r="B17" s="877">
        <v>17</v>
      </c>
      <c r="C17" s="878">
        <v>35</v>
      </c>
      <c r="E17" s="7">
        <f t="shared" si="4"/>
        <v>12</v>
      </c>
      <c r="F17" s="877">
        <f t="shared" si="0"/>
        <v>17</v>
      </c>
      <c r="G17" s="878" t="s">
        <v>4</v>
      </c>
      <c r="I17" s="7">
        <f t="shared" si="5"/>
        <v>12</v>
      </c>
      <c r="J17" s="877">
        <f t="shared" si="1"/>
        <v>17</v>
      </c>
      <c r="K17" s="878">
        <f>K16</f>
        <v>35.428571428571431</v>
      </c>
    </row>
    <row r="18" spans="1:11" x14ac:dyDescent="0.25">
      <c r="A18" s="13" t="s">
        <v>7</v>
      </c>
      <c r="B18">
        <f>AVERAGE(B6:B17)</f>
        <v>20.25</v>
      </c>
      <c r="C18">
        <f>AVERAGE(C6:C17)</f>
        <v>37.5</v>
      </c>
      <c r="E18" s="13" t="s">
        <v>7</v>
      </c>
      <c r="F18">
        <f>AVERAGE(F6:F17)</f>
        <v>20.25</v>
      </c>
      <c r="G18">
        <f>AVERAGE(G6:G17)</f>
        <v>35.428571428571431</v>
      </c>
      <c r="I18" s="13" t="s">
        <v>7</v>
      </c>
      <c r="J18">
        <f>AVERAGE(J6:J17)</f>
        <v>20.25</v>
      </c>
      <c r="K18">
        <f>AVERAGE(K6:K17)</f>
        <v>35.428571428571438</v>
      </c>
    </row>
    <row r="19" spans="1:11" x14ac:dyDescent="0.25">
      <c r="A19" s="13" t="s">
        <v>9</v>
      </c>
      <c r="B19">
        <f>STDEV(B6:B17)</f>
        <v>4.575130400526108</v>
      </c>
      <c r="C19">
        <f>STDEV(C6:C17)</f>
        <v>7.3174759682184503</v>
      </c>
      <c r="E19" s="13" t="s">
        <v>9</v>
      </c>
      <c r="F19">
        <f>STDEV(F6:F17)</f>
        <v>4.575130400526108</v>
      </c>
      <c r="G19">
        <f>STDEV(G6:G17)</f>
        <v>7.5245629520290214</v>
      </c>
      <c r="I19" s="13" t="s">
        <v>9</v>
      </c>
      <c r="J19">
        <f>STDEV(J6:J17)</f>
        <v>4.575130400526108</v>
      </c>
      <c r="K19">
        <f>STDEV(K6:K17)</f>
        <v>5.5572580363985802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K20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</cols>
  <sheetData>
    <row r="1" spans="1:11" x14ac:dyDescent="0.25">
      <c r="A1" s="1" t="s">
        <v>1970</v>
      </c>
    </row>
    <row r="2" spans="1:11" x14ac:dyDescent="0.25">
      <c r="A2" s="1"/>
    </row>
    <row r="3" spans="1:11" x14ac:dyDescent="0.25">
      <c r="A3" s="17" t="s">
        <v>1965</v>
      </c>
      <c r="E3" t="s">
        <v>1966</v>
      </c>
      <c r="I3" t="s">
        <v>1971</v>
      </c>
    </row>
    <row r="5" spans="1:11" x14ac:dyDescent="0.25">
      <c r="A5" s="13" t="s">
        <v>1962</v>
      </c>
      <c r="B5" s="872" t="s">
        <v>1963</v>
      </c>
      <c r="C5" s="872" t="s">
        <v>1964</v>
      </c>
      <c r="E5" s="13" t="s">
        <v>1962</v>
      </c>
      <c r="F5" s="872" t="s">
        <v>1963</v>
      </c>
      <c r="G5" s="872" t="s">
        <v>1964</v>
      </c>
      <c r="I5" s="13" t="s">
        <v>1962</v>
      </c>
      <c r="J5" s="872" t="s">
        <v>1963</v>
      </c>
      <c r="K5" s="872" t="s">
        <v>1964</v>
      </c>
    </row>
    <row r="6" spans="1:11" x14ac:dyDescent="0.25">
      <c r="A6">
        <v>1</v>
      </c>
      <c r="B6" s="875">
        <v>14</v>
      </c>
      <c r="C6" s="876">
        <v>27</v>
      </c>
      <c r="E6" s="7">
        <v>1</v>
      </c>
      <c r="F6" s="875">
        <f>B6</f>
        <v>14</v>
      </c>
      <c r="G6" s="876">
        <f>C6</f>
        <v>27</v>
      </c>
      <c r="I6" s="7">
        <v>1</v>
      </c>
      <c r="J6" s="875">
        <f>F6</f>
        <v>14</v>
      </c>
      <c r="K6" s="876">
        <f>G6</f>
        <v>27</v>
      </c>
    </row>
    <row r="7" spans="1:11" x14ac:dyDescent="0.25">
      <c r="A7">
        <f>A6+1</f>
        <v>2</v>
      </c>
      <c r="B7" s="578">
        <v>13</v>
      </c>
      <c r="C7" s="602">
        <v>29</v>
      </c>
      <c r="E7" s="7">
        <f>E6+1</f>
        <v>2</v>
      </c>
      <c r="F7" s="578">
        <f t="shared" ref="F7:G17" si="0">B7</f>
        <v>13</v>
      </c>
      <c r="G7" s="602">
        <f t="shared" si="0"/>
        <v>29</v>
      </c>
      <c r="I7" s="7">
        <f>I6+1</f>
        <v>2</v>
      </c>
      <c r="J7" s="578">
        <f t="shared" ref="J7:K17" si="1">F7</f>
        <v>13</v>
      </c>
      <c r="K7" s="602">
        <f t="shared" si="1"/>
        <v>29</v>
      </c>
    </row>
    <row r="8" spans="1:11" x14ac:dyDescent="0.25">
      <c r="A8">
        <f t="shared" ref="A8:A17" si="2">A7+1</f>
        <v>3</v>
      </c>
      <c r="B8" s="578">
        <v>23</v>
      </c>
      <c r="C8" s="602">
        <v>49</v>
      </c>
      <c r="E8" s="7">
        <f t="shared" ref="E8:E17" si="3">E7+1</f>
        <v>3</v>
      </c>
      <c r="F8" s="578">
        <f t="shared" si="0"/>
        <v>23</v>
      </c>
      <c r="G8" s="602">
        <f t="shared" si="0"/>
        <v>49</v>
      </c>
      <c r="I8" s="7">
        <f t="shared" ref="I8:I17" si="4">I7+1</f>
        <v>3</v>
      </c>
      <c r="J8" s="578">
        <f t="shared" si="1"/>
        <v>23</v>
      </c>
      <c r="K8" s="602">
        <f t="shared" si="1"/>
        <v>49</v>
      </c>
    </row>
    <row r="9" spans="1:11" x14ac:dyDescent="0.25">
      <c r="A9">
        <f t="shared" si="2"/>
        <v>4</v>
      </c>
      <c r="B9" s="578">
        <v>19</v>
      </c>
      <c r="C9" s="602">
        <v>37</v>
      </c>
      <c r="E9" s="7">
        <f t="shared" si="3"/>
        <v>4</v>
      </c>
      <c r="F9" s="578">
        <f t="shared" si="0"/>
        <v>19</v>
      </c>
      <c r="G9" s="602">
        <f t="shared" si="0"/>
        <v>37</v>
      </c>
      <c r="I9" s="7">
        <f t="shared" si="4"/>
        <v>4</v>
      </c>
      <c r="J9" s="578">
        <f t="shared" si="1"/>
        <v>19</v>
      </c>
      <c r="K9" s="602">
        <f t="shared" si="1"/>
        <v>37</v>
      </c>
    </row>
    <row r="10" spans="1:11" x14ac:dyDescent="0.25">
      <c r="A10">
        <f t="shared" si="2"/>
        <v>5</v>
      </c>
      <c r="B10" s="578">
        <v>21</v>
      </c>
      <c r="C10" s="602">
        <v>31</v>
      </c>
      <c r="E10" s="7">
        <f t="shared" si="3"/>
        <v>5</v>
      </c>
      <c r="F10" s="578">
        <f t="shared" si="0"/>
        <v>21</v>
      </c>
      <c r="G10" s="602">
        <f t="shared" si="0"/>
        <v>31</v>
      </c>
      <c r="I10" s="7">
        <f t="shared" si="4"/>
        <v>5</v>
      </c>
      <c r="J10" s="578">
        <f t="shared" si="1"/>
        <v>21</v>
      </c>
      <c r="K10" s="602">
        <f t="shared" si="1"/>
        <v>31</v>
      </c>
    </row>
    <row r="11" spans="1:11" x14ac:dyDescent="0.25">
      <c r="A11">
        <f t="shared" si="2"/>
        <v>6</v>
      </c>
      <c r="B11" s="578">
        <v>25</v>
      </c>
      <c r="C11" s="602">
        <v>40</v>
      </c>
      <c r="E11" s="7">
        <f t="shared" si="3"/>
        <v>6</v>
      </c>
      <c r="F11" s="578">
        <f t="shared" si="0"/>
        <v>25</v>
      </c>
      <c r="G11" s="602">
        <f t="shared" si="0"/>
        <v>40</v>
      </c>
      <c r="I11" s="7">
        <f t="shared" si="4"/>
        <v>6</v>
      </c>
      <c r="J11" s="578">
        <f t="shared" si="1"/>
        <v>25</v>
      </c>
      <c r="K11" s="602">
        <f t="shared" si="1"/>
        <v>40</v>
      </c>
    </row>
    <row r="12" spans="1:11" x14ac:dyDescent="0.25">
      <c r="A12">
        <f t="shared" si="2"/>
        <v>7</v>
      </c>
      <c r="B12" s="578">
        <v>18</v>
      </c>
      <c r="C12" s="602">
        <v>35</v>
      </c>
      <c r="E12" s="7">
        <f t="shared" si="3"/>
        <v>7</v>
      </c>
      <c r="F12" s="578">
        <f t="shared" si="0"/>
        <v>18</v>
      </c>
      <c r="G12" s="602">
        <f t="shared" si="0"/>
        <v>35</v>
      </c>
      <c r="I12" s="7">
        <f t="shared" si="4"/>
        <v>7</v>
      </c>
      <c r="J12" s="578">
        <f t="shared" si="1"/>
        <v>18</v>
      </c>
      <c r="K12" s="602">
        <f t="shared" si="1"/>
        <v>35</v>
      </c>
    </row>
    <row r="13" spans="1:11" x14ac:dyDescent="0.25">
      <c r="A13">
        <f t="shared" si="2"/>
        <v>8</v>
      </c>
      <c r="B13" s="578">
        <v>22</v>
      </c>
      <c r="C13" s="602">
        <v>44</v>
      </c>
      <c r="E13" s="7">
        <f t="shared" si="3"/>
        <v>8</v>
      </c>
      <c r="F13" s="578">
        <f t="shared" si="0"/>
        <v>22</v>
      </c>
      <c r="G13" s="602" t="s">
        <v>4</v>
      </c>
      <c r="I13" s="7">
        <f t="shared" si="4"/>
        <v>8</v>
      </c>
      <c r="J13" s="578">
        <f t="shared" si="1"/>
        <v>22</v>
      </c>
      <c r="K13" s="602">
        <f t="array" ref="K13:K17">FORECAST(J13:J17,G6:G12,F6:F12)</f>
        <v>39.343825665859569</v>
      </c>
    </row>
    <row r="14" spans="1:11" x14ac:dyDescent="0.25">
      <c r="A14">
        <f t="shared" si="2"/>
        <v>9</v>
      </c>
      <c r="B14" s="578">
        <v>18</v>
      </c>
      <c r="C14" s="602">
        <v>32</v>
      </c>
      <c r="E14" s="7">
        <f t="shared" si="3"/>
        <v>9</v>
      </c>
      <c r="F14" s="578">
        <f t="shared" si="0"/>
        <v>18</v>
      </c>
      <c r="G14" s="602" t="s">
        <v>4</v>
      </c>
      <c r="I14" s="7">
        <f t="shared" si="4"/>
        <v>9</v>
      </c>
      <c r="J14" s="578">
        <f t="shared" si="1"/>
        <v>18</v>
      </c>
      <c r="K14" s="602">
        <v>34.123486682808718</v>
      </c>
    </row>
    <row r="15" spans="1:11" x14ac:dyDescent="0.25">
      <c r="A15">
        <f t="shared" si="2"/>
        <v>10</v>
      </c>
      <c r="B15" s="578">
        <v>28</v>
      </c>
      <c r="C15" s="602">
        <v>48</v>
      </c>
      <c r="E15" s="7">
        <f t="shared" si="3"/>
        <v>10</v>
      </c>
      <c r="F15" s="578">
        <f t="shared" si="0"/>
        <v>28</v>
      </c>
      <c r="G15" s="602" t="s">
        <v>4</v>
      </c>
      <c r="I15" s="7">
        <f t="shared" si="4"/>
        <v>10</v>
      </c>
      <c r="J15" s="578">
        <f t="shared" si="1"/>
        <v>28</v>
      </c>
      <c r="K15" s="602">
        <v>47.174334140435832</v>
      </c>
    </row>
    <row r="16" spans="1:11" x14ac:dyDescent="0.25">
      <c r="A16">
        <f t="shared" si="2"/>
        <v>11</v>
      </c>
      <c r="B16" s="578">
        <v>25</v>
      </c>
      <c r="C16" s="602">
        <v>43</v>
      </c>
      <c r="E16" s="7">
        <f t="shared" si="3"/>
        <v>11</v>
      </c>
      <c r="F16" s="578">
        <f t="shared" si="0"/>
        <v>25</v>
      </c>
      <c r="G16" s="602" t="s">
        <v>4</v>
      </c>
      <c r="I16" s="7">
        <f t="shared" si="4"/>
        <v>11</v>
      </c>
      <c r="J16" s="578">
        <f t="shared" si="1"/>
        <v>25</v>
      </c>
      <c r="K16" s="602">
        <v>43.259079903147708</v>
      </c>
    </row>
    <row r="17" spans="1:11" x14ac:dyDescent="0.25">
      <c r="A17">
        <f t="shared" si="2"/>
        <v>12</v>
      </c>
      <c r="B17" s="877">
        <v>17</v>
      </c>
      <c r="C17" s="878">
        <v>35</v>
      </c>
      <c r="E17" s="7">
        <f t="shared" si="3"/>
        <v>12</v>
      </c>
      <c r="F17" s="877">
        <f t="shared" si="0"/>
        <v>17</v>
      </c>
      <c r="G17" s="878" t="s">
        <v>4</v>
      </c>
      <c r="I17" s="7">
        <f t="shared" si="4"/>
        <v>12</v>
      </c>
      <c r="J17" s="877">
        <f t="shared" si="1"/>
        <v>17</v>
      </c>
      <c r="K17" s="878">
        <v>32.818401937046005</v>
      </c>
    </row>
    <row r="18" spans="1:11" x14ac:dyDescent="0.25">
      <c r="A18" s="13" t="s">
        <v>7</v>
      </c>
      <c r="B18">
        <f>AVERAGE(B6:B17)</f>
        <v>20.25</v>
      </c>
      <c r="C18">
        <f>AVERAGE(C6:C17)</f>
        <v>37.5</v>
      </c>
      <c r="E18" s="13" t="s">
        <v>7</v>
      </c>
      <c r="F18">
        <f>AVERAGE(F6:F17)</f>
        <v>20.25</v>
      </c>
      <c r="G18">
        <f>AVERAGE(G6:G17)</f>
        <v>35.428571428571431</v>
      </c>
      <c r="I18" s="13" t="s">
        <v>7</v>
      </c>
      <c r="J18">
        <f>AVERAGE(J6:J17)</f>
        <v>20.25</v>
      </c>
      <c r="K18">
        <f>AVERAGE(K6:K17)</f>
        <v>37.059927360774822</v>
      </c>
    </row>
    <row r="19" spans="1:11" x14ac:dyDescent="0.25">
      <c r="A19" s="13" t="s">
        <v>9</v>
      </c>
      <c r="B19">
        <f>STDEV(B6:B17)</f>
        <v>4.575130400526108</v>
      </c>
      <c r="C19">
        <f>STDEV(C6:C17)</f>
        <v>7.3174759682184503</v>
      </c>
      <c r="E19" s="13" t="s">
        <v>9</v>
      </c>
      <c r="F19">
        <f>STDEV(F6:F17)</f>
        <v>4.575130400526108</v>
      </c>
      <c r="G19">
        <f>STDEV(G6:G17)</f>
        <v>7.5245629520290214</v>
      </c>
      <c r="I19" s="13" t="s">
        <v>9</v>
      </c>
      <c r="J19">
        <f>STDEV(J6:J17)</f>
        <v>4.575130400526108</v>
      </c>
      <c r="K19">
        <f>STDEV(K6:K17)</f>
        <v>6.9472275107570365</v>
      </c>
    </row>
    <row r="20" spans="1:11" x14ac:dyDescent="0.25">
      <c r="A20" s="13" t="s">
        <v>1972</v>
      </c>
      <c r="B20">
        <f>CORREL(B6:B17,C6:C17)</f>
        <v>0.84586408258493195</v>
      </c>
      <c r="E20" s="13" t="s">
        <v>1972</v>
      </c>
      <c r="F20">
        <f>CORREL(F6:F17,G6:G17)</f>
        <v>0.76917084121957169</v>
      </c>
      <c r="I20" s="13" t="s">
        <v>1972</v>
      </c>
      <c r="J20">
        <f>CORREL(J6:J17,K6:K17)</f>
        <v>0.85946989448042677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O21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</cols>
  <sheetData>
    <row r="1" spans="1:13" x14ac:dyDescent="0.25">
      <c r="A1" s="1" t="s">
        <v>1974</v>
      </c>
    </row>
    <row r="2" spans="1:13" x14ac:dyDescent="0.25">
      <c r="A2" s="1"/>
    </row>
    <row r="3" spans="1:13" x14ac:dyDescent="0.25">
      <c r="A3" s="17" t="s">
        <v>1965</v>
      </c>
      <c r="E3" t="s">
        <v>1966</v>
      </c>
      <c r="I3" t="s">
        <v>1975</v>
      </c>
    </row>
    <row r="5" spans="1:13" x14ac:dyDescent="0.25">
      <c r="A5" s="13" t="s">
        <v>1962</v>
      </c>
      <c r="B5" s="872" t="s">
        <v>1963</v>
      </c>
      <c r="C5" s="872" t="s">
        <v>1964</v>
      </c>
      <c r="E5" s="13" t="s">
        <v>1962</v>
      </c>
      <c r="F5" s="872" t="s">
        <v>1963</v>
      </c>
      <c r="G5" s="872" t="s">
        <v>1964</v>
      </c>
      <c r="I5" s="13" t="s">
        <v>1962</v>
      </c>
      <c r="J5" s="872" t="s">
        <v>1963</v>
      </c>
      <c r="K5" s="872" t="s">
        <v>1977</v>
      </c>
      <c r="L5" s="872" t="s">
        <v>1976</v>
      </c>
      <c r="M5" s="872" t="s">
        <v>1964</v>
      </c>
    </row>
    <row r="6" spans="1:13" x14ac:dyDescent="0.25">
      <c r="A6">
        <v>1</v>
      </c>
      <c r="B6" s="875">
        <v>14</v>
      </c>
      <c r="C6" s="876">
        <v>27</v>
      </c>
      <c r="E6" s="7">
        <v>1</v>
      </c>
      <c r="F6" s="875">
        <f>B6</f>
        <v>14</v>
      </c>
      <c r="G6" s="876">
        <f>C6</f>
        <v>27</v>
      </c>
      <c r="I6" s="7">
        <v>1</v>
      </c>
      <c r="J6" s="875">
        <f>F6</f>
        <v>14</v>
      </c>
      <c r="K6" s="879">
        <f>G6</f>
        <v>27</v>
      </c>
      <c r="L6" s="867"/>
      <c r="M6" s="870">
        <f>K6+L6</f>
        <v>27</v>
      </c>
    </row>
    <row r="7" spans="1:13" x14ac:dyDescent="0.25">
      <c r="A7">
        <f>A6+1</f>
        <v>2</v>
      </c>
      <c r="B7" s="578">
        <v>13</v>
      </c>
      <c r="C7" s="602">
        <v>29</v>
      </c>
      <c r="E7" s="7">
        <f>E6+1</f>
        <v>2</v>
      </c>
      <c r="F7" s="578">
        <f t="shared" ref="F7:G17" si="0">B7</f>
        <v>13</v>
      </c>
      <c r="G7" s="602">
        <f t="shared" si="0"/>
        <v>29</v>
      </c>
      <c r="I7" s="7">
        <f>I6+1</f>
        <v>2</v>
      </c>
      <c r="J7" s="578">
        <f t="shared" ref="J7:K17" si="1">F7</f>
        <v>13</v>
      </c>
      <c r="K7" s="25">
        <f t="shared" si="1"/>
        <v>29</v>
      </c>
      <c r="L7" s="7"/>
      <c r="M7" s="533">
        <f t="shared" ref="M7:M17" si="2">K7+L7</f>
        <v>29</v>
      </c>
    </row>
    <row r="8" spans="1:13" x14ac:dyDescent="0.25">
      <c r="A8">
        <f t="shared" ref="A8:A17" si="3">A7+1</f>
        <v>3</v>
      </c>
      <c r="B8" s="578">
        <v>23</v>
      </c>
      <c r="C8" s="602">
        <v>49</v>
      </c>
      <c r="E8" s="7">
        <f t="shared" ref="E8:E17" si="4">E7+1</f>
        <v>3</v>
      </c>
      <c r="F8" s="578">
        <f t="shared" si="0"/>
        <v>23</v>
      </c>
      <c r="G8" s="602">
        <f t="shared" si="0"/>
        <v>49</v>
      </c>
      <c r="I8" s="7">
        <f t="shared" ref="I8:I17" si="5">I7+1</f>
        <v>3</v>
      </c>
      <c r="J8" s="578">
        <f t="shared" si="1"/>
        <v>23</v>
      </c>
      <c r="K8" s="25">
        <f t="shared" si="1"/>
        <v>49</v>
      </c>
      <c r="L8" s="7"/>
      <c r="M8" s="533">
        <f t="shared" si="2"/>
        <v>49</v>
      </c>
    </row>
    <row r="9" spans="1:13" x14ac:dyDescent="0.25">
      <c r="A9">
        <f t="shared" si="3"/>
        <v>4</v>
      </c>
      <c r="B9" s="578">
        <v>19</v>
      </c>
      <c r="C9" s="602">
        <v>37</v>
      </c>
      <c r="E9" s="7">
        <f t="shared" si="4"/>
        <v>4</v>
      </c>
      <c r="F9" s="578">
        <f t="shared" si="0"/>
        <v>19</v>
      </c>
      <c r="G9" s="602">
        <f t="shared" si="0"/>
        <v>37</v>
      </c>
      <c r="I9" s="7">
        <f t="shared" si="5"/>
        <v>4</v>
      </c>
      <c r="J9" s="578">
        <f t="shared" si="1"/>
        <v>19</v>
      </c>
      <c r="K9" s="25">
        <f t="shared" si="1"/>
        <v>37</v>
      </c>
      <c r="L9" s="7"/>
      <c r="M9" s="533">
        <f t="shared" si="2"/>
        <v>37</v>
      </c>
    </row>
    <row r="10" spans="1:13" x14ac:dyDescent="0.25">
      <c r="A10">
        <f t="shared" si="3"/>
        <v>5</v>
      </c>
      <c r="B10" s="578">
        <v>21</v>
      </c>
      <c r="C10" s="602">
        <v>31</v>
      </c>
      <c r="E10" s="7">
        <f t="shared" si="4"/>
        <v>5</v>
      </c>
      <c r="F10" s="578">
        <f t="shared" si="0"/>
        <v>21</v>
      </c>
      <c r="G10" s="602">
        <f t="shared" si="0"/>
        <v>31</v>
      </c>
      <c r="I10" s="7">
        <f t="shared" si="5"/>
        <v>5</v>
      </c>
      <c r="J10" s="578">
        <f t="shared" si="1"/>
        <v>21</v>
      </c>
      <c r="K10" s="25">
        <f t="shared" si="1"/>
        <v>31</v>
      </c>
      <c r="L10" s="7"/>
      <c r="M10" s="533">
        <f t="shared" si="2"/>
        <v>31</v>
      </c>
    </row>
    <row r="11" spans="1:13" x14ac:dyDescent="0.25">
      <c r="A11">
        <f t="shared" si="3"/>
        <v>6</v>
      </c>
      <c r="B11" s="578">
        <v>25</v>
      </c>
      <c r="C11" s="602">
        <v>40</v>
      </c>
      <c r="E11" s="7">
        <f t="shared" si="4"/>
        <v>6</v>
      </c>
      <c r="F11" s="578">
        <f t="shared" si="0"/>
        <v>25</v>
      </c>
      <c r="G11" s="602">
        <f t="shared" si="0"/>
        <v>40</v>
      </c>
      <c r="I11" s="7">
        <f t="shared" si="5"/>
        <v>6</v>
      </c>
      <c r="J11" s="578">
        <f t="shared" si="1"/>
        <v>25</v>
      </c>
      <c r="K11" s="25">
        <f t="shared" si="1"/>
        <v>40</v>
      </c>
      <c r="L11" s="7"/>
      <c r="M11" s="533">
        <f t="shared" si="2"/>
        <v>40</v>
      </c>
    </row>
    <row r="12" spans="1:13" x14ac:dyDescent="0.25">
      <c r="A12">
        <f t="shared" si="3"/>
        <v>7</v>
      </c>
      <c r="B12" s="578">
        <v>18</v>
      </c>
      <c r="C12" s="602">
        <v>35</v>
      </c>
      <c r="E12" s="7">
        <f t="shared" si="4"/>
        <v>7</v>
      </c>
      <c r="F12" s="578">
        <f t="shared" si="0"/>
        <v>18</v>
      </c>
      <c r="G12" s="602">
        <f t="shared" si="0"/>
        <v>35</v>
      </c>
      <c r="I12" s="7">
        <f t="shared" si="5"/>
        <v>7</v>
      </c>
      <c r="J12" s="578">
        <f t="shared" si="1"/>
        <v>18</v>
      </c>
      <c r="K12" s="25">
        <f t="shared" si="1"/>
        <v>35</v>
      </c>
      <c r="L12" s="7"/>
      <c r="M12" s="533">
        <f t="shared" si="2"/>
        <v>35</v>
      </c>
    </row>
    <row r="13" spans="1:13" x14ac:dyDescent="0.25">
      <c r="A13">
        <f t="shared" si="3"/>
        <v>8</v>
      </c>
      <c r="B13" s="578">
        <v>22</v>
      </c>
      <c r="C13" s="602">
        <v>44</v>
      </c>
      <c r="E13" s="7">
        <f t="shared" si="4"/>
        <v>8</v>
      </c>
      <c r="F13" s="578">
        <f t="shared" si="0"/>
        <v>22</v>
      </c>
      <c r="G13" s="602" t="s">
        <v>4</v>
      </c>
      <c r="I13" s="7">
        <f t="shared" si="5"/>
        <v>8</v>
      </c>
      <c r="J13" s="578">
        <f t="shared" si="1"/>
        <v>22</v>
      </c>
      <c r="K13" s="25">
        <f t="array" ref="K13:K17">FORECAST(J13:J17,G6:G12,F6:F12)</f>
        <v>39.343825665859569</v>
      </c>
      <c r="L13" s="7">
        <f ca="1">NORMINV(RAND(),0,$K$21)</f>
        <v>-1.1136747450924882</v>
      </c>
      <c r="M13" s="533">
        <f t="shared" ca="1" si="2"/>
        <v>38.23015092076708</v>
      </c>
    </row>
    <row r="14" spans="1:13" x14ac:dyDescent="0.25">
      <c r="A14">
        <f t="shared" si="3"/>
        <v>9</v>
      </c>
      <c r="B14" s="578">
        <v>18</v>
      </c>
      <c r="C14" s="602">
        <v>32</v>
      </c>
      <c r="E14" s="7">
        <f t="shared" si="4"/>
        <v>9</v>
      </c>
      <c r="F14" s="578">
        <f t="shared" si="0"/>
        <v>18</v>
      </c>
      <c r="G14" s="602" t="s">
        <v>4</v>
      </c>
      <c r="I14" s="7">
        <f t="shared" si="5"/>
        <v>9</v>
      </c>
      <c r="J14" s="578">
        <f t="shared" si="1"/>
        <v>18</v>
      </c>
      <c r="K14" s="25">
        <v>34.123486682808718</v>
      </c>
      <c r="L14" s="7">
        <f ca="1">NORMINV(RAND(),0,$K$21)</f>
        <v>4.9267010439942229</v>
      </c>
      <c r="M14" s="533">
        <f t="shared" ca="1" si="2"/>
        <v>39.050187726802939</v>
      </c>
    </row>
    <row r="15" spans="1:13" x14ac:dyDescent="0.25">
      <c r="A15">
        <f t="shared" si="3"/>
        <v>10</v>
      </c>
      <c r="B15" s="578">
        <v>28</v>
      </c>
      <c r="C15" s="602">
        <v>48</v>
      </c>
      <c r="E15" s="7">
        <f t="shared" si="4"/>
        <v>10</v>
      </c>
      <c r="F15" s="578">
        <f t="shared" si="0"/>
        <v>28</v>
      </c>
      <c r="G15" s="602" t="s">
        <v>4</v>
      </c>
      <c r="I15" s="7">
        <f t="shared" si="5"/>
        <v>10</v>
      </c>
      <c r="J15" s="578">
        <f t="shared" si="1"/>
        <v>28</v>
      </c>
      <c r="K15" s="25">
        <v>47.174334140435832</v>
      </c>
      <c r="L15" s="7">
        <f ca="1">NORMINV(RAND(),0,$K$21)</f>
        <v>-0.42986349245738598</v>
      </c>
      <c r="M15" s="533">
        <f t="shared" ca="1" si="2"/>
        <v>46.744470647978446</v>
      </c>
    </row>
    <row r="16" spans="1:13" x14ac:dyDescent="0.25">
      <c r="A16">
        <f t="shared" si="3"/>
        <v>11</v>
      </c>
      <c r="B16" s="578">
        <v>25</v>
      </c>
      <c r="C16" s="602">
        <v>43</v>
      </c>
      <c r="E16" s="7">
        <f t="shared" si="4"/>
        <v>11</v>
      </c>
      <c r="F16" s="578">
        <f t="shared" si="0"/>
        <v>25</v>
      </c>
      <c r="G16" s="602" t="s">
        <v>4</v>
      </c>
      <c r="I16" s="7">
        <f t="shared" si="5"/>
        <v>11</v>
      </c>
      <c r="J16" s="578">
        <f t="shared" si="1"/>
        <v>25</v>
      </c>
      <c r="K16" s="25">
        <v>43.259079903147708</v>
      </c>
      <c r="L16" s="7">
        <f ca="1">NORMINV(RAND(),0,$K$21)</f>
        <v>4.1776859077132391</v>
      </c>
      <c r="M16" s="533">
        <f t="shared" ca="1" si="2"/>
        <v>47.436765810860948</v>
      </c>
    </row>
    <row r="17" spans="1:15" x14ac:dyDescent="0.25">
      <c r="A17">
        <f t="shared" si="3"/>
        <v>12</v>
      </c>
      <c r="B17" s="877">
        <v>17</v>
      </c>
      <c r="C17" s="878">
        <v>35</v>
      </c>
      <c r="E17" s="7">
        <f t="shared" si="4"/>
        <v>12</v>
      </c>
      <c r="F17" s="877">
        <f t="shared" si="0"/>
        <v>17</v>
      </c>
      <c r="G17" s="878" t="s">
        <v>4</v>
      </c>
      <c r="I17" s="7">
        <f t="shared" si="5"/>
        <v>12</v>
      </c>
      <c r="J17" s="877">
        <f t="shared" si="1"/>
        <v>17</v>
      </c>
      <c r="K17" s="880">
        <v>32.818401937046005</v>
      </c>
      <c r="L17" s="762">
        <f ca="1">NORMINV(RAND(),0,$K$21)</f>
        <v>0.45138554486738219</v>
      </c>
      <c r="M17" s="417">
        <f t="shared" ca="1" si="2"/>
        <v>33.26978748191339</v>
      </c>
    </row>
    <row r="18" spans="1:15" x14ac:dyDescent="0.25">
      <c r="A18" s="13" t="s">
        <v>7</v>
      </c>
      <c r="B18">
        <f>AVERAGE(B6:B17)</f>
        <v>20.25</v>
      </c>
      <c r="C18">
        <f>AVERAGE(C6:C17)</f>
        <v>37.5</v>
      </c>
      <c r="E18" s="13" t="s">
        <v>7</v>
      </c>
      <c r="F18">
        <f>AVERAGE(F6:F17)</f>
        <v>20.25</v>
      </c>
      <c r="G18">
        <f>AVERAGE(G6:G17)</f>
        <v>35.428571428571431</v>
      </c>
      <c r="I18" s="13" t="s">
        <v>7</v>
      </c>
      <c r="J18">
        <f>AVERAGE(J6:J17)</f>
        <v>20.25</v>
      </c>
      <c r="K18">
        <f>AVERAGE(K6:K17)</f>
        <v>37.059927360774822</v>
      </c>
      <c r="M18">
        <f ca="1">AVERAGE(M6:M17)</f>
        <v>37.727613549026906</v>
      </c>
      <c r="O18" t="s">
        <v>66</v>
      </c>
    </row>
    <row r="19" spans="1:15" x14ac:dyDescent="0.25">
      <c r="A19" s="13" t="s">
        <v>9</v>
      </c>
      <c r="B19">
        <f>STDEV(B6:B17)</f>
        <v>4.575130400526108</v>
      </c>
      <c r="C19">
        <f>STDEV(C6:C17)</f>
        <v>7.3174759682184503</v>
      </c>
      <c r="E19" s="13" t="s">
        <v>9</v>
      </c>
      <c r="F19">
        <f>STDEV(F6:F17)</f>
        <v>4.575130400526108</v>
      </c>
      <c r="G19">
        <f>STDEV(G6:G17)</f>
        <v>7.5245629520290214</v>
      </c>
      <c r="I19" s="13" t="s">
        <v>9</v>
      </c>
      <c r="J19">
        <f>STDEV(J6:J17)</f>
        <v>4.575130400526108</v>
      </c>
      <c r="K19">
        <f>STDEV(K6:K17)</f>
        <v>6.9472275107570365</v>
      </c>
      <c r="M19">
        <f ca="1">STDEV(M6:M17)</f>
        <v>7.2246972727545744</v>
      </c>
    </row>
    <row r="20" spans="1:15" x14ac:dyDescent="0.25">
      <c r="A20" s="13" t="s">
        <v>1972</v>
      </c>
      <c r="B20">
        <f>CORREL(B6:B17,C6:C17)</f>
        <v>0.84586408258493195</v>
      </c>
      <c r="E20" s="13" t="s">
        <v>1972</v>
      </c>
      <c r="F20">
        <f>CORREL(F6:F17,G6:G17)</f>
        <v>0.76917084121957169</v>
      </c>
      <c r="I20" s="13" t="s">
        <v>1972</v>
      </c>
      <c r="K20">
        <f>CORREL(J6:J17,K6:K17)</f>
        <v>0.85946989448042677</v>
      </c>
      <c r="M20">
        <f ca="1">CORREL(J6:J17,M6:M17)</f>
        <v>0.83199375869967584</v>
      </c>
    </row>
    <row r="21" spans="1:15" x14ac:dyDescent="0.25">
      <c r="I21" s="26" t="s">
        <v>425</v>
      </c>
      <c r="K21">
        <f>'Miss 1'!R9</f>
        <v>5.2674706428574982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L25"/>
  <sheetViews>
    <sheetView workbookViewId="0"/>
  </sheetViews>
  <sheetFormatPr defaultRowHeight="15" x14ac:dyDescent="0.25"/>
  <sheetData>
    <row r="1" spans="1:12" x14ac:dyDescent="0.25">
      <c r="A1" s="1" t="s">
        <v>1979</v>
      </c>
    </row>
    <row r="3" spans="1:12" x14ac:dyDescent="0.25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  <c r="G3" t="s">
        <v>1986</v>
      </c>
    </row>
    <row r="4" spans="1:12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</row>
    <row r="5" spans="1:12" x14ac:dyDescent="0.25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s="873" t="str">
        <f t="array" ref="G5:L7">[1]!MissingFreq(B3:E23,TRUE)</f>
        <v>read</v>
      </c>
      <c r="H5" s="873" t="str">
        <v>science</v>
      </c>
      <c r="I5" s="873" t="str">
        <v>math</v>
      </c>
      <c r="J5" s="873" t="str">
        <v>medicine</v>
      </c>
      <c r="K5" s="873" t="str">
        <v>rows</v>
      </c>
      <c r="L5" s="873" t="str">
        <v>cells</v>
      </c>
    </row>
    <row r="6" spans="1:12" x14ac:dyDescent="0.25">
      <c r="A6" s="873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G6" s="869">
        <v>15</v>
      </c>
      <c r="H6" s="827">
        <v>17</v>
      </c>
      <c r="I6" s="827">
        <v>16</v>
      </c>
      <c r="J6" s="827">
        <v>18</v>
      </c>
      <c r="K6" s="827">
        <v>10</v>
      </c>
      <c r="L6" s="870">
        <v>66</v>
      </c>
    </row>
    <row r="7" spans="1:12" x14ac:dyDescent="0.25">
      <c r="A7" s="873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G7" s="858">
        <v>0.75</v>
      </c>
      <c r="H7" s="885">
        <v>0.85</v>
      </c>
      <c r="I7" s="885">
        <v>0.8</v>
      </c>
      <c r="J7" s="885">
        <v>0.9</v>
      </c>
      <c r="K7" s="885">
        <v>0.5</v>
      </c>
      <c r="L7" s="859">
        <v>0.82499999999999996</v>
      </c>
    </row>
    <row r="8" spans="1:12" x14ac:dyDescent="0.25">
      <c r="A8" s="873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</row>
    <row r="9" spans="1:12" x14ac:dyDescent="0.25">
      <c r="A9" s="873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  <c r="G9" t="s">
        <v>1987</v>
      </c>
    </row>
    <row r="10" spans="1:12" x14ac:dyDescent="0.25">
      <c r="A10" s="873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</row>
    <row r="11" spans="1:12" x14ac:dyDescent="0.25">
      <c r="A11" s="873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  <c r="G11" s="873" t="str">
        <f t="array" ref="G11:L19">[1]!MissingPatterns(B3:E23,TRUE)</f>
        <v>read</v>
      </c>
      <c r="H11" s="873" t="str">
        <v>science</v>
      </c>
      <c r="I11" s="873" t="str">
        <v>math</v>
      </c>
      <c r="J11" s="873" t="str">
        <v>medicine</v>
      </c>
      <c r="K11" s="873" t="str">
        <v>freq</v>
      </c>
      <c r="L11" s="873" t="str">
        <v>%</v>
      </c>
    </row>
    <row r="12" spans="1:12" x14ac:dyDescent="0.25">
      <c r="A12" s="873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G12" s="869" t="str">
        <v>.</v>
      </c>
      <c r="H12" s="827" t="str">
        <v>x</v>
      </c>
      <c r="I12" s="827" t="str">
        <v>.</v>
      </c>
      <c r="J12" s="827" t="str">
        <v>x</v>
      </c>
      <c r="K12" s="827">
        <v>1</v>
      </c>
      <c r="L12" s="886">
        <v>5.2631578947368418E-2</v>
      </c>
    </row>
    <row r="13" spans="1:12" x14ac:dyDescent="0.25">
      <c r="A13" s="873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G13" s="532" t="str">
        <v>.</v>
      </c>
      <c r="H13" s="7" t="str">
        <v>x</v>
      </c>
      <c r="I13" s="7" t="str">
        <v>x</v>
      </c>
      <c r="J13" s="7" t="str">
        <v>.</v>
      </c>
      <c r="K13" s="7">
        <v>1</v>
      </c>
      <c r="L13" s="857">
        <v>5.2631578947368418E-2</v>
      </c>
    </row>
    <row r="14" spans="1:12" x14ac:dyDescent="0.25">
      <c r="A14" s="873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G14" s="532" t="str">
        <v>.</v>
      </c>
      <c r="H14" s="7" t="str">
        <v>x</v>
      </c>
      <c r="I14" s="7" t="str">
        <v>x</v>
      </c>
      <c r="J14" s="7" t="str">
        <v>x</v>
      </c>
      <c r="K14" s="7">
        <v>3</v>
      </c>
      <c r="L14" s="857">
        <v>0.15789473684210525</v>
      </c>
    </row>
    <row r="15" spans="1:12" x14ac:dyDescent="0.25">
      <c r="A15" s="873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  <c r="G15" s="532" t="str">
        <v>x</v>
      </c>
      <c r="H15" s="7" t="str">
        <v>.</v>
      </c>
      <c r="I15" s="7" t="str">
        <v>.</v>
      </c>
      <c r="J15" s="7" t="str">
        <v>x</v>
      </c>
      <c r="K15" s="7">
        <v>2</v>
      </c>
      <c r="L15" s="857">
        <v>0.10526315789473684</v>
      </c>
    </row>
    <row r="16" spans="1:12" x14ac:dyDescent="0.25">
      <c r="A16" s="873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G16" s="532" t="str">
        <v>x</v>
      </c>
      <c r="H16" s="7" t="str">
        <v>.</v>
      </c>
      <c r="I16" s="7" t="str">
        <v>x</v>
      </c>
      <c r="J16" s="7" t="str">
        <v>x</v>
      </c>
      <c r="K16" s="7">
        <v>1</v>
      </c>
      <c r="L16" s="857">
        <v>5.2631578947368418E-2</v>
      </c>
    </row>
    <row r="17" spans="1:12" x14ac:dyDescent="0.25">
      <c r="A17" s="873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  <c r="G17" s="532" t="str">
        <v>x</v>
      </c>
      <c r="H17" s="7" t="str">
        <v>x</v>
      </c>
      <c r="I17" s="7" t="str">
        <v>.</v>
      </c>
      <c r="J17" s="7" t="str">
        <v>x</v>
      </c>
      <c r="K17" s="7">
        <v>1</v>
      </c>
      <c r="L17" s="857">
        <v>5.2631578947368418E-2</v>
      </c>
    </row>
    <row r="18" spans="1:12" x14ac:dyDescent="0.25">
      <c r="A18" s="873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G18" s="532" t="str">
        <v>x</v>
      </c>
      <c r="H18" s="7" t="str">
        <v>x</v>
      </c>
      <c r="I18" s="7" t="str">
        <v>x</v>
      </c>
      <c r="J18" s="7" t="str">
        <v>.</v>
      </c>
      <c r="K18" s="7">
        <v>1</v>
      </c>
      <c r="L18" s="857">
        <v>5.2631578947368418E-2</v>
      </c>
    </row>
    <row r="19" spans="1:12" x14ac:dyDescent="0.25">
      <c r="A19" s="873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  <c r="G19" s="409" t="str">
        <v>x</v>
      </c>
      <c r="H19" s="762" t="str">
        <v>x</v>
      </c>
      <c r="I19" s="762" t="str">
        <v>x</v>
      </c>
      <c r="J19" s="762" t="str">
        <v>x</v>
      </c>
      <c r="K19" s="762">
        <v>10</v>
      </c>
      <c r="L19" s="859">
        <v>0.52631578947368418</v>
      </c>
    </row>
    <row r="20" spans="1:12" x14ac:dyDescent="0.25">
      <c r="A20" s="873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K20">
        <f>SUM(K12:K19)</f>
        <v>20</v>
      </c>
    </row>
    <row r="21" spans="1:12" x14ac:dyDescent="0.25">
      <c r="A21" s="873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</row>
    <row r="22" spans="1:12" x14ac:dyDescent="0.25">
      <c r="A22" s="873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</row>
    <row r="23" spans="1:12" x14ac:dyDescent="0.25">
      <c r="A23" s="873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</row>
    <row r="24" spans="1:12" x14ac:dyDescent="0.25">
      <c r="A24" s="873" t="s">
        <v>7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</row>
    <row r="25" spans="1:12" x14ac:dyDescent="0.25">
      <c r="A25" s="873" t="s">
        <v>9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V25"/>
  <sheetViews>
    <sheetView workbookViewId="0"/>
  </sheetViews>
  <sheetFormatPr defaultRowHeight="15" x14ac:dyDescent="0.25"/>
  <sheetData>
    <row r="1" spans="1:22" x14ac:dyDescent="0.25">
      <c r="A1" s="1" t="s">
        <v>2078</v>
      </c>
      <c r="G1" t="s">
        <v>1988</v>
      </c>
      <c r="M1" t="s">
        <v>1992</v>
      </c>
    </row>
    <row r="2" spans="1:22" x14ac:dyDescent="0.25">
      <c r="T2" s="921" t="s">
        <v>1989</v>
      </c>
      <c r="U2" s="921" t="s">
        <v>1990</v>
      </c>
      <c r="V2" s="921" t="s">
        <v>1991</v>
      </c>
    </row>
    <row r="3" spans="1:22" x14ac:dyDescent="0.25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  <c r="G3" s="873" t="s">
        <v>1985</v>
      </c>
      <c r="H3" s="874" t="str">
        <f t="array" ref="H3:K23">[1]!ImputeSimple(B3:E23)</f>
        <v>read</v>
      </c>
      <c r="I3" s="874" t="str">
        <v>science</v>
      </c>
      <c r="J3" s="874" t="str">
        <v>math</v>
      </c>
      <c r="K3" s="874" t="str">
        <v>medicine</v>
      </c>
      <c r="M3" s="873" t="s">
        <v>1985</v>
      </c>
      <c r="N3" s="874" t="str">
        <f t="array" ref="N3:Q23">[1]!ImputeSimple(B3:E23,TRUE,S3:V4)</f>
        <v>read</v>
      </c>
      <c r="O3" s="874" t="str">
        <v>science</v>
      </c>
      <c r="P3" s="874" t="str">
        <v>math</v>
      </c>
      <c r="Q3" s="874" t="str">
        <v>medicine</v>
      </c>
      <c r="S3" t="s">
        <v>1964</v>
      </c>
      <c r="T3" s="869">
        <v>20</v>
      </c>
      <c r="U3" s="827">
        <v>50.4</v>
      </c>
      <c r="V3" s="870" t="b">
        <v>1</v>
      </c>
    </row>
    <row r="4" spans="1:22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  <c r="G4" s="873">
        <v>1</v>
      </c>
      <c r="H4" s="869">
        <v>12</v>
      </c>
      <c r="I4" s="827">
        <v>27</v>
      </c>
      <c r="J4" s="827">
        <v>19</v>
      </c>
      <c r="K4" s="870">
        <v>44</v>
      </c>
      <c r="M4" s="873">
        <v>1</v>
      </c>
      <c r="N4" s="869">
        <v>12</v>
      </c>
      <c r="O4" s="827">
        <v>27</v>
      </c>
      <c r="P4" s="827">
        <v>19</v>
      </c>
      <c r="Q4" s="870">
        <v>44</v>
      </c>
      <c r="S4" t="s">
        <v>1963</v>
      </c>
      <c r="T4" s="409"/>
      <c r="U4" s="762">
        <v>28.5</v>
      </c>
      <c r="V4" s="417"/>
    </row>
    <row r="5" spans="1:22" x14ac:dyDescent="0.25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s="873">
        <f>G4+1</f>
        <v>2</v>
      </c>
      <c r="H5" s="532">
        <v>11</v>
      </c>
      <c r="I5" s="7">
        <v>40.569689499343838</v>
      </c>
      <c r="J5" s="7">
        <v>13</v>
      </c>
      <c r="K5" s="533">
        <v>43</v>
      </c>
      <c r="M5" s="873">
        <f>M4+1</f>
        <v>2</v>
      </c>
      <c r="N5" s="532">
        <v>11</v>
      </c>
      <c r="O5" s="7">
        <v>20</v>
      </c>
      <c r="P5" s="7">
        <v>13</v>
      </c>
      <c r="Q5" s="533">
        <v>43</v>
      </c>
    </row>
    <row r="6" spans="1:22" x14ac:dyDescent="0.25">
      <c r="A6" s="873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G6" s="873">
        <f t="shared" ref="G6:G23" si="1">G5+1</f>
        <v>3</v>
      </c>
      <c r="H6" s="532">
        <v>13.954593023124401</v>
      </c>
      <c r="I6" s="7">
        <v>56</v>
      </c>
      <c r="J6" s="7">
        <v>23</v>
      </c>
      <c r="K6" s="533">
        <v>60</v>
      </c>
      <c r="M6" s="873">
        <f t="shared" ref="M6:M23" si="2">M5+1</f>
        <v>3</v>
      </c>
      <c r="N6" s="532">
        <v>15.493030565486432</v>
      </c>
      <c r="O6" s="7">
        <v>56</v>
      </c>
      <c r="P6" s="7">
        <v>23</v>
      </c>
      <c r="Q6" s="533">
        <v>60</v>
      </c>
    </row>
    <row r="7" spans="1:22" x14ac:dyDescent="0.25">
      <c r="A7" s="873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G7" s="873">
        <f t="shared" si="1"/>
        <v>4</v>
      </c>
      <c r="H7" s="532">
        <v>15</v>
      </c>
      <c r="I7" s="7">
        <v>37</v>
      </c>
      <c r="J7" s="7">
        <v>19</v>
      </c>
      <c r="K7" s="533">
        <v>52</v>
      </c>
      <c r="M7" s="873">
        <f t="shared" si="2"/>
        <v>4</v>
      </c>
      <c r="N7" s="532">
        <v>15</v>
      </c>
      <c r="O7" s="7">
        <v>37</v>
      </c>
      <c r="P7" s="7">
        <v>19</v>
      </c>
      <c r="Q7" s="533">
        <v>52</v>
      </c>
    </row>
    <row r="8" spans="1:22" x14ac:dyDescent="0.25">
      <c r="A8" s="873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  <c r="G8" s="873">
        <f t="shared" si="1"/>
        <v>5</v>
      </c>
      <c r="H8" s="532">
        <v>10</v>
      </c>
      <c r="I8" s="7">
        <v>31</v>
      </c>
      <c r="J8" s="7">
        <v>21</v>
      </c>
      <c r="K8" s="533">
        <v>52.479402230782497</v>
      </c>
      <c r="M8" s="873">
        <f t="shared" si="2"/>
        <v>5</v>
      </c>
      <c r="N8" s="532">
        <v>10</v>
      </c>
      <c r="O8" s="7">
        <v>31</v>
      </c>
      <c r="P8" s="7">
        <v>21</v>
      </c>
      <c r="Q8" s="533">
        <v>51.330527631604284</v>
      </c>
    </row>
    <row r="9" spans="1:22" x14ac:dyDescent="0.25">
      <c r="A9" s="873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  <c r="G9" s="873">
        <f t="shared" si="1"/>
        <v>6</v>
      </c>
      <c r="H9" s="532">
        <v>18</v>
      </c>
      <c r="I9" s="7">
        <v>40</v>
      </c>
      <c r="J9" s="7">
        <v>22</v>
      </c>
      <c r="K9" s="533">
        <v>43</v>
      </c>
      <c r="M9" s="873">
        <f t="shared" si="2"/>
        <v>6</v>
      </c>
      <c r="N9" s="532">
        <v>18</v>
      </c>
      <c r="O9" s="7">
        <v>40</v>
      </c>
      <c r="P9" s="7">
        <v>22</v>
      </c>
      <c r="Q9" s="533">
        <v>43</v>
      </c>
    </row>
    <row r="10" spans="1:22" x14ac:dyDescent="0.25">
      <c r="A10" s="873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  <c r="G10" s="873">
        <f t="shared" si="1"/>
        <v>7</v>
      </c>
      <c r="H10" s="532">
        <v>15</v>
      </c>
      <c r="I10" s="7">
        <v>50</v>
      </c>
      <c r="J10" s="7">
        <v>28</v>
      </c>
      <c r="K10" s="533">
        <v>56</v>
      </c>
      <c r="M10" s="873">
        <f t="shared" si="2"/>
        <v>7</v>
      </c>
      <c r="N10" s="532">
        <v>15</v>
      </c>
      <c r="O10" s="7">
        <v>50</v>
      </c>
      <c r="P10" s="7">
        <v>28</v>
      </c>
      <c r="Q10" s="533">
        <v>56</v>
      </c>
    </row>
    <row r="11" spans="1:22" x14ac:dyDescent="0.25">
      <c r="A11" s="873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  <c r="G11" s="873">
        <f t="shared" si="1"/>
        <v>8</v>
      </c>
      <c r="H11" s="532">
        <v>21</v>
      </c>
      <c r="I11" s="7">
        <v>24.223608798191638</v>
      </c>
      <c r="J11" s="7">
        <v>22.444297804586004</v>
      </c>
      <c r="K11" s="533">
        <v>46</v>
      </c>
      <c r="M11" s="873">
        <f t="shared" si="2"/>
        <v>8</v>
      </c>
      <c r="N11" s="532">
        <v>21</v>
      </c>
      <c r="O11" s="7">
        <v>26</v>
      </c>
      <c r="P11" s="7">
        <v>18.524176307420866</v>
      </c>
      <c r="Q11" s="533">
        <v>46</v>
      </c>
    </row>
    <row r="12" spans="1:22" x14ac:dyDescent="0.25">
      <c r="A12" s="873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G12" s="873">
        <f t="shared" si="1"/>
        <v>9</v>
      </c>
      <c r="H12" s="532">
        <v>20</v>
      </c>
      <c r="I12" s="7">
        <v>39</v>
      </c>
      <c r="J12" s="7">
        <v>25</v>
      </c>
      <c r="K12" s="533">
        <v>51</v>
      </c>
      <c r="M12" s="873">
        <f t="shared" si="2"/>
        <v>9</v>
      </c>
      <c r="N12" s="532">
        <v>20</v>
      </c>
      <c r="O12" s="7">
        <v>39</v>
      </c>
      <c r="P12" s="7">
        <v>25</v>
      </c>
      <c r="Q12" s="533">
        <v>51</v>
      </c>
    </row>
    <row r="13" spans="1:22" x14ac:dyDescent="0.25">
      <c r="A13" s="873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G13" s="873">
        <f t="shared" si="1"/>
        <v>10</v>
      </c>
      <c r="H13" s="532">
        <v>4.55541353178306</v>
      </c>
      <c r="I13" s="7">
        <v>36</v>
      </c>
      <c r="J13" s="7">
        <v>23</v>
      </c>
      <c r="K13" s="533">
        <v>56</v>
      </c>
      <c r="M13" s="873">
        <f t="shared" si="2"/>
        <v>10</v>
      </c>
      <c r="N13" s="532">
        <v>15.826140645751941</v>
      </c>
      <c r="O13" s="7">
        <v>36</v>
      </c>
      <c r="P13" s="7">
        <v>23</v>
      </c>
      <c r="Q13" s="533">
        <v>56</v>
      </c>
    </row>
    <row r="14" spans="1:22" x14ac:dyDescent="0.25">
      <c r="A14" s="873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G14" s="873">
        <f t="shared" si="1"/>
        <v>11</v>
      </c>
      <c r="H14" s="532">
        <v>15.116063483967034</v>
      </c>
      <c r="I14" s="7">
        <v>27</v>
      </c>
      <c r="J14" s="7">
        <v>21</v>
      </c>
      <c r="K14" s="533">
        <v>39</v>
      </c>
      <c r="M14" s="873">
        <f t="shared" si="2"/>
        <v>11</v>
      </c>
      <c r="N14" s="532">
        <v>17.825759946164961</v>
      </c>
      <c r="O14" s="7">
        <v>27</v>
      </c>
      <c r="P14" s="7">
        <v>21</v>
      </c>
      <c r="Q14" s="533">
        <v>39</v>
      </c>
    </row>
    <row r="15" spans="1:22" x14ac:dyDescent="0.25">
      <c r="A15" s="873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  <c r="G15" s="873">
        <f t="shared" si="1"/>
        <v>12</v>
      </c>
      <c r="H15" s="532">
        <v>14</v>
      </c>
      <c r="I15" s="7">
        <v>32</v>
      </c>
      <c r="J15" s="7">
        <v>20</v>
      </c>
      <c r="K15" s="533">
        <v>46</v>
      </c>
      <c r="M15" s="873">
        <f t="shared" si="2"/>
        <v>12</v>
      </c>
      <c r="N15" s="532">
        <v>14</v>
      </c>
      <c r="O15" s="7">
        <v>32</v>
      </c>
      <c r="P15" s="7">
        <v>20</v>
      </c>
      <c r="Q15" s="533">
        <v>46</v>
      </c>
    </row>
    <row r="16" spans="1:22" x14ac:dyDescent="0.25">
      <c r="A16" s="873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G16" s="873">
        <f t="shared" si="1"/>
        <v>13</v>
      </c>
      <c r="H16" s="532">
        <v>22</v>
      </c>
      <c r="I16" s="7">
        <v>40</v>
      </c>
      <c r="J16" s="7">
        <v>20.288412704912918</v>
      </c>
      <c r="K16" s="533">
        <v>49</v>
      </c>
      <c r="M16" s="873">
        <f t="shared" si="2"/>
        <v>13</v>
      </c>
      <c r="N16" s="532">
        <v>22</v>
      </c>
      <c r="O16" s="7">
        <v>40</v>
      </c>
      <c r="P16" s="887">
        <v>19.454191818347635</v>
      </c>
      <c r="Q16" s="533">
        <v>49</v>
      </c>
    </row>
    <row r="17" spans="1:17" x14ac:dyDescent="0.25">
      <c r="A17" s="873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  <c r="G17" s="873">
        <f t="shared" si="1"/>
        <v>14</v>
      </c>
      <c r="H17" s="532">
        <v>12.96798409691498</v>
      </c>
      <c r="I17" s="7">
        <v>31</v>
      </c>
      <c r="J17" s="7">
        <v>20.812160312462613</v>
      </c>
      <c r="K17" s="533">
        <v>44</v>
      </c>
      <c r="M17" s="873">
        <f t="shared" si="2"/>
        <v>14</v>
      </c>
      <c r="N17" s="532">
        <v>14.198967220307274</v>
      </c>
      <c r="O17" s="7">
        <v>31</v>
      </c>
      <c r="P17" s="7">
        <v>17.832130419888117</v>
      </c>
      <c r="Q17" s="533">
        <v>44</v>
      </c>
    </row>
    <row r="18" spans="1:17" x14ac:dyDescent="0.25">
      <c r="A18" s="873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G18" s="873">
        <f t="shared" si="1"/>
        <v>15</v>
      </c>
      <c r="H18" s="532">
        <v>12.762884514767334</v>
      </c>
      <c r="I18" s="7">
        <v>18</v>
      </c>
      <c r="J18" s="7">
        <v>21</v>
      </c>
      <c r="K18" s="533">
        <v>62.414927508406052</v>
      </c>
      <c r="M18" s="873">
        <f t="shared" si="2"/>
        <v>15</v>
      </c>
      <c r="N18" s="532">
        <v>20.647920883536397</v>
      </c>
      <c r="O18" s="7">
        <v>18</v>
      </c>
      <c r="P18" s="7">
        <v>21</v>
      </c>
      <c r="Q18" s="533">
        <v>65.867958196052896</v>
      </c>
    </row>
    <row r="19" spans="1:17" x14ac:dyDescent="0.25">
      <c r="A19" s="873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  <c r="G19" s="873">
        <f t="shared" si="1"/>
        <v>16</v>
      </c>
      <c r="H19" s="532">
        <v>16</v>
      </c>
      <c r="I19" s="7">
        <v>23</v>
      </c>
      <c r="J19" s="7">
        <v>21</v>
      </c>
      <c r="K19" s="533">
        <v>34</v>
      </c>
      <c r="M19" s="873">
        <f t="shared" si="2"/>
        <v>16</v>
      </c>
      <c r="N19" s="532">
        <v>16</v>
      </c>
      <c r="O19" s="7">
        <v>23</v>
      </c>
      <c r="P19" s="7">
        <v>21</v>
      </c>
      <c r="Q19" s="533">
        <v>34</v>
      </c>
    </row>
    <row r="20" spans="1:17" x14ac:dyDescent="0.25">
      <c r="A20" s="873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G20" s="873">
        <f t="shared" si="1"/>
        <v>17</v>
      </c>
      <c r="H20" s="532">
        <v>27</v>
      </c>
      <c r="I20" s="7">
        <v>26</v>
      </c>
      <c r="J20" s="7">
        <v>23</v>
      </c>
      <c r="K20" s="533">
        <v>59</v>
      </c>
      <c r="M20" s="873">
        <f t="shared" si="2"/>
        <v>17</v>
      </c>
      <c r="N20" s="532">
        <v>27</v>
      </c>
      <c r="O20" s="7">
        <v>26</v>
      </c>
      <c r="P20" s="7">
        <v>23</v>
      </c>
      <c r="Q20" s="533">
        <v>59</v>
      </c>
    </row>
    <row r="21" spans="1:17" x14ac:dyDescent="0.25">
      <c r="A21" s="873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  <c r="G21" s="873">
        <f t="shared" si="1"/>
        <v>18</v>
      </c>
      <c r="H21" s="532">
        <v>17</v>
      </c>
      <c r="I21" s="7">
        <v>36.854651175694976</v>
      </c>
      <c r="J21" s="7">
        <v>24.33249532019725</v>
      </c>
      <c r="K21" s="533">
        <v>35</v>
      </c>
      <c r="M21" s="873">
        <f t="shared" si="2"/>
        <v>18</v>
      </c>
      <c r="N21" s="532">
        <v>17</v>
      </c>
      <c r="O21" s="7">
        <v>29</v>
      </c>
      <c r="P21" s="7">
        <v>17.871719989748836</v>
      </c>
      <c r="Q21" s="533">
        <v>35</v>
      </c>
    </row>
    <row r="22" spans="1:17" x14ac:dyDescent="0.25">
      <c r="A22" s="873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  <c r="G22" s="873">
        <f t="shared" si="1"/>
        <v>19</v>
      </c>
      <c r="H22" s="532">
        <v>13</v>
      </c>
      <c r="I22" s="7">
        <v>21</v>
      </c>
      <c r="J22" s="7">
        <v>20</v>
      </c>
      <c r="K22" s="533">
        <v>48</v>
      </c>
      <c r="M22" s="873">
        <f t="shared" si="2"/>
        <v>19</v>
      </c>
      <c r="N22" s="532">
        <v>13</v>
      </c>
      <c r="O22" s="7">
        <v>21</v>
      </c>
      <c r="P22" s="7">
        <v>20</v>
      </c>
      <c r="Q22" s="533">
        <v>48</v>
      </c>
    </row>
    <row r="23" spans="1:17" x14ac:dyDescent="0.25">
      <c r="A23" s="873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  <c r="G23" s="873">
        <f t="shared" si="1"/>
        <v>20</v>
      </c>
      <c r="H23" s="409">
        <v>11</v>
      </c>
      <c r="I23" s="762">
        <v>51</v>
      </c>
      <c r="J23" s="762">
        <v>18</v>
      </c>
      <c r="K23" s="417">
        <v>54</v>
      </c>
      <c r="M23" s="873">
        <f t="shared" si="2"/>
        <v>20</v>
      </c>
      <c r="N23" s="409">
        <v>11</v>
      </c>
      <c r="O23" s="762">
        <v>51</v>
      </c>
      <c r="P23" s="762">
        <v>18</v>
      </c>
      <c r="Q23" s="417">
        <v>54</v>
      </c>
    </row>
    <row r="24" spans="1:17" x14ac:dyDescent="0.25">
      <c r="A24" s="873" t="s">
        <v>7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873" t="s">
        <v>7</v>
      </c>
      <c r="H24">
        <f>AVERAGE(H4:H23)</f>
        <v>15.067846932527839</v>
      </c>
      <c r="I24">
        <f>AVERAGE(I4:I23)</f>
        <v>34.332397473661523</v>
      </c>
      <c r="J24">
        <f>AVERAGE(J4:J23)</f>
        <v>21.243868307107938</v>
      </c>
      <c r="K24">
        <f>AVERAGE(K4:K23)</f>
        <v>48.694716486959429</v>
      </c>
      <c r="M24" s="873" t="s">
        <v>7</v>
      </c>
      <c r="N24">
        <f>AVERAGE(N4:N23)</f>
        <v>16.29959096306235</v>
      </c>
      <c r="O24">
        <f>AVERAGE(O4:O23)</f>
        <v>33</v>
      </c>
      <c r="P24">
        <f>AVERAGE(P4:P23)</f>
        <v>20.534110926770275</v>
      </c>
      <c r="Q24">
        <f>AVERAGE(Q4:Q23)</f>
        <v>48.809924291382863</v>
      </c>
    </row>
    <row r="25" spans="1:17" x14ac:dyDescent="0.25">
      <c r="A25" s="873" t="s">
        <v>9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873" t="s">
        <v>9</v>
      </c>
      <c r="H25">
        <f>STDEV(H4:H23)</f>
        <v>4.9109836251924621</v>
      </c>
      <c r="I25">
        <f>STDEV(I4:I23)</f>
        <v>10.294806858374738</v>
      </c>
      <c r="J25">
        <f>STDEV(J4:J23)</f>
        <v>3.0222310198539377</v>
      </c>
      <c r="K25">
        <f>STDEV(K4:K23)</f>
        <v>7.977608662515701</v>
      </c>
      <c r="M25" s="873" t="s">
        <v>9</v>
      </c>
      <c r="N25">
        <f>STDEV(N4:N23)</f>
        <v>4.2715240542443897</v>
      </c>
      <c r="O25">
        <f>STDEV(O4:O23)</f>
        <v>10.597914392638025</v>
      </c>
      <c r="P25">
        <f>STDEV(P4:P23)</f>
        <v>3.1203888659423167</v>
      </c>
      <c r="Q25">
        <f>STDEV(Q4:Q23)</f>
        <v>8.2978652842806238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AH25"/>
  <sheetViews>
    <sheetView workbookViewId="0"/>
  </sheetViews>
  <sheetFormatPr defaultRowHeight="15" x14ac:dyDescent="0.25"/>
  <cols>
    <col min="6" max="6" width="5.140625" customWidth="1"/>
    <col min="7" max="7" width="9.140625" style="873"/>
    <col min="12" max="12" width="4.85546875" customWidth="1"/>
    <col min="13" max="13" width="17.140625" customWidth="1"/>
    <col min="16" max="16" width="9.28515625" bestFit="1" customWidth="1"/>
    <col min="17" max="18" width="9.140625" customWidth="1"/>
    <col min="19" max="19" width="9.28515625" bestFit="1" customWidth="1"/>
    <col min="20" max="20" width="5.5703125" customWidth="1"/>
    <col min="25" max="25" width="5.7109375" customWidth="1"/>
    <col min="29" max="29" width="6.42578125" customWidth="1"/>
    <col min="30" max="30" width="9.140625" style="873"/>
  </cols>
  <sheetData>
    <row r="1" spans="1:34" x14ac:dyDescent="0.25">
      <c r="A1" s="1" t="s">
        <v>2022</v>
      </c>
      <c r="G1" s="53" t="s">
        <v>1988</v>
      </c>
      <c r="AD1" s="53" t="s">
        <v>2021</v>
      </c>
    </row>
    <row r="3" spans="1:34" x14ac:dyDescent="0.25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  <c r="G3" s="873" t="str">
        <f>'MI 3'!G3</f>
        <v>id</v>
      </c>
      <c r="H3" s="873" t="str">
        <f>'MI 3'!H3</f>
        <v>read</v>
      </c>
      <c r="I3" s="873" t="str">
        <f>'MI 3'!I3</f>
        <v>science</v>
      </c>
      <c r="J3" s="873" t="str">
        <f>'MI 3'!J3</f>
        <v>math</v>
      </c>
      <c r="K3" s="873" t="str">
        <f>'MI 3'!K3</f>
        <v>medicine</v>
      </c>
      <c r="M3" t="s">
        <v>1593</v>
      </c>
      <c r="U3" t="s">
        <v>2016</v>
      </c>
      <c r="AD3" s="873" t="str">
        <f>G3</f>
        <v>id</v>
      </c>
      <c r="AE3" s="873" t="str">
        <f>H3</f>
        <v>read</v>
      </c>
      <c r="AF3" s="873" t="str">
        <f>I3</f>
        <v>science</v>
      </c>
      <c r="AG3" s="873" t="str">
        <f>J3</f>
        <v>math</v>
      </c>
      <c r="AH3" s="873" t="str">
        <f>K3</f>
        <v>medicine</v>
      </c>
    </row>
    <row r="4" spans="1:34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  <c r="G4" s="873">
        <f>'MI 3'!G4</f>
        <v>1</v>
      </c>
      <c r="H4" s="869">
        <f>'MI 3'!H4</f>
        <v>12</v>
      </c>
      <c r="I4" s="867">
        <f>'MI 3'!I4</f>
        <v>27</v>
      </c>
      <c r="J4" s="867">
        <f>'MI 3'!J4</f>
        <v>19</v>
      </c>
      <c r="K4" s="870">
        <f>'MI 3'!K4</f>
        <v>44</v>
      </c>
      <c r="U4" s="869">
        <f t="array" ref="U4:X7">[1]!CORE(I4:K23)</f>
        <v>3.3297025918674179</v>
      </c>
      <c r="V4" s="867">
        <v>-8.0765819566931164E-3</v>
      </c>
      <c r="W4" s="867">
        <v>-7.5951556971752252E-2</v>
      </c>
      <c r="X4" s="870">
        <v>-2.9044010459058876E-2</v>
      </c>
      <c r="Z4" t="s">
        <v>1980</v>
      </c>
      <c r="AA4" s="868">
        <f>O15</f>
        <v>241.64970608643119</v>
      </c>
      <c r="AD4" s="873">
        <f t="shared" ref="AD4:AD18" si="0">G4</f>
        <v>1</v>
      </c>
      <c r="AE4" s="869">
        <f t="shared" ref="AE4:AE16" si="1">H4</f>
        <v>12</v>
      </c>
      <c r="AF4" s="867">
        <f t="shared" ref="AF4:AF18" si="2">I4</f>
        <v>27</v>
      </c>
      <c r="AG4" s="867">
        <f t="shared" ref="AG4:AG18" si="3">J4</f>
        <v>19</v>
      </c>
      <c r="AH4" s="870">
        <f t="shared" ref="AH4:AH18" si="4">K4</f>
        <v>44</v>
      </c>
    </row>
    <row r="5" spans="1:34" ht="15.75" thickBot="1" x14ac:dyDescent="0.3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s="873">
        <f>'MI 3'!G5</f>
        <v>2</v>
      </c>
      <c r="H5" s="532">
        <f>'MI 3'!H5</f>
        <v>11</v>
      </c>
      <c r="I5" s="7">
        <f>'MI 3'!I5</f>
        <v>43</v>
      </c>
      <c r="J5" s="7">
        <f>'MI 3'!J5</f>
        <v>13</v>
      </c>
      <c r="K5" s="533">
        <f>'MI 3'!K5</f>
        <v>43</v>
      </c>
      <c r="M5" s="743" t="s">
        <v>1598</v>
      </c>
      <c r="N5" s="743"/>
      <c r="U5" s="532">
        <v>-8.0765819566930939E-3</v>
      </c>
      <c r="V5" s="7">
        <v>4.9440531823154328E-4</v>
      </c>
      <c r="W5" s="7">
        <v>5.8233474483730114E-5</v>
      </c>
      <c r="X5" s="533">
        <v>-2.1059078621356534E-4</v>
      </c>
      <c r="Z5" t="s">
        <v>1564</v>
      </c>
      <c r="AA5" s="503">
        <f ca="1">CHIINV(RAND(),N15)</f>
        <v>24.512267027585789</v>
      </c>
      <c r="AD5" s="873">
        <f t="shared" si="0"/>
        <v>2</v>
      </c>
      <c r="AE5" s="532">
        <f>H5</f>
        <v>11</v>
      </c>
      <c r="AF5" s="7">
        <f t="shared" si="2"/>
        <v>43</v>
      </c>
      <c r="AG5" s="7">
        <f t="shared" si="3"/>
        <v>13</v>
      </c>
      <c r="AH5" s="533">
        <f t="shared" si="4"/>
        <v>43</v>
      </c>
    </row>
    <row r="6" spans="1:34" ht="15.75" thickTop="1" x14ac:dyDescent="0.25">
      <c r="A6" s="873">
        <f t="shared" ref="A6:A23" si="5">A5+1</f>
        <v>3</v>
      </c>
      <c r="B6" s="578" t="s">
        <v>4</v>
      </c>
      <c r="C6" s="25">
        <v>56</v>
      </c>
      <c r="D6" s="25">
        <v>23</v>
      </c>
      <c r="E6" s="602">
        <v>60</v>
      </c>
      <c r="G6" s="873">
        <f>'MI 3'!G6</f>
        <v>3</v>
      </c>
      <c r="H6" s="532">
        <f>'MI 3'!H6</f>
        <v>15.272160252176374</v>
      </c>
      <c r="I6" s="7">
        <f>'MI 3'!I6</f>
        <v>56</v>
      </c>
      <c r="J6" s="7">
        <f>'MI 3'!J6</f>
        <v>23</v>
      </c>
      <c r="K6" s="533">
        <f>'MI 3'!K6</f>
        <v>60</v>
      </c>
      <c r="M6" t="s">
        <v>292</v>
      </c>
      <c r="N6">
        <f>SQRT(N7)</f>
        <v>0.57907499077776847</v>
      </c>
      <c r="U6" s="532">
        <v>-7.5951556971752432E-2</v>
      </c>
      <c r="V6" s="7">
        <v>5.8233474483729911E-5</v>
      </c>
      <c r="W6" s="7">
        <v>5.7025082012776215E-3</v>
      </c>
      <c r="X6" s="533">
        <v>-9.4398720494814881E-4</v>
      </c>
      <c r="Z6" s="371" t="s">
        <v>2017</v>
      </c>
      <c r="AA6" s="503">
        <f ca="1">AA4/AA5</f>
        <v>9.8583172994354928</v>
      </c>
      <c r="AD6" s="873">
        <f t="shared" si="0"/>
        <v>3</v>
      </c>
      <c r="AE6" s="532">
        <f ca="1">AB$10+MMULT(AF6:AH6,AB$11:AB$13)+NORMSINV(RAND())</f>
        <v>15.163524042767696</v>
      </c>
      <c r="AF6" s="7">
        <f t="shared" si="2"/>
        <v>56</v>
      </c>
      <c r="AG6" s="7">
        <f t="shared" si="3"/>
        <v>23</v>
      </c>
      <c r="AH6" s="533">
        <f t="shared" si="4"/>
        <v>60</v>
      </c>
    </row>
    <row r="7" spans="1:34" x14ac:dyDescent="0.25">
      <c r="A7" s="873">
        <f t="shared" si="5"/>
        <v>4</v>
      </c>
      <c r="B7" s="578">
        <v>15</v>
      </c>
      <c r="C7" s="25">
        <v>37</v>
      </c>
      <c r="D7" s="25">
        <v>19</v>
      </c>
      <c r="E7" s="602">
        <v>52</v>
      </c>
      <c r="G7" s="873">
        <f>'MI 3'!G7</f>
        <v>4</v>
      </c>
      <c r="H7" s="532">
        <f>'MI 3'!H7</f>
        <v>15</v>
      </c>
      <c r="I7" s="7">
        <f>'MI 3'!I7</f>
        <v>37</v>
      </c>
      <c r="J7" s="7">
        <f>'MI 3'!J7</f>
        <v>19</v>
      </c>
      <c r="K7" s="533">
        <f>'MI 3'!K7</f>
        <v>52</v>
      </c>
      <c r="M7" t="s">
        <v>285</v>
      </c>
      <c r="N7">
        <f>O14/O16</f>
        <v>0.33532784494427265</v>
      </c>
      <c r="U7" s="409">
        <v>-2.9044010459058807E-2</v>
      </c>
      <c r="V7" s="762">
        <v>-2.1059078621356485E-4</v>
      </c>
      <c r="W7" s="762">
        <v>-9.4398720494815282E-4</v>
      </c>
      <c r="X7" s="417">
        <v>1.1583847582774555E-3</v>
      </c>
      <c r="Z7" t="s">
        <v>2020</v>
      </c>
      <c r="AA7" s="420">
        <f ca="1">SQRT(AA6)</f>
        <v>3.1397957416742086</v>
      </c>
      <c r="AD7" s="873">
        <f t="shared" si="0"/>
        <v>4</v>
      </c>
      <c r="AE7" s="532">
        <f t="shared" si="1"/>
        <v>15</v>
      </c>
      <c r="AF7" s="7">
        <f t="shared" si="2"/>
        <v>37</v>
      </c>
      <c r="AG7" s="7">
        <f t="shared" si="3"/>
        <v>19</v>
      </c>
      <c r="AH7" s="533">
        <f t="shared" si="4"/>
        <v>52</v>
      </c>
    </row>
    <row r="8" spans="1:34" x14ac:dyDescent="0.25">
      <c r="A8" s="873">
        <f t="shared" si="5"/>
        <v>5</v>
      </c>
      <c r="B8" s="578">
        <v>10</v>
      </c>
      <c r="C8" s="25">
        <v>31</v>
      </c>
      <c r="D8" s="25">
        <v>21</v>
      </c>
      <c r="E8" s="602" t="s">
        <v>4</v>
      </c>
      <c r="G8" s="873">
        <f>'MI 3'!G8</f>
        <v>5</v>
      </c>
      <c r="H8" s="532">
        <f>'MI 3'!H8</f>
        <v>10</v>
      </c>
      <c r="I8" s="7">
        <f>'MI 3'!I8</f>
        <v>31</v>
      </c>
      <c r="J8" s="7">
        <f>'MI 3'!J8</f>
        <v>21</v>
      </c>
      <c r="K8" s="533">
        <f>'MI 3'!K8</f>
        <v>56.055107634636713</v>
      </c>
      <c r="M8" t="s">
        <v>293</v>
      </c>
      <c r="N8">
        <f>1-(1-N7)*(N10-1)/(N10-N14-1)</f>
        <v>0.21070181587132386</v>
      </c>
      <c r="AD8" s="873">
        <f t="shared" si="0"/>
        <v>5</v>
      </c>
      <c r="AE8" s="532">
        <f t="shared" si="1"/>
        <v>10</v>
      </c>
      <c r="AF8" s="7">
        <f t="shared" si="2"/>
        <v>31</v>
      </c>
      <c r="AG8" s="7">
        <f t="shared" si="3"/>
        <v>21</v>
      </c>
      <c r="AH8" s="533">
        <f t="shared" si="4"/>
        <v>56.055107634636713</v>
      </c>
    </row>
    <row r="9" spans="1:34" x14ac:dyDescent="0.25">
      <c r="A9" s="873">
        <f t="shared" si="5"/>
        <v>6</v>
      </c>
      <c r="B9" s="578">
        <v>18</v>
      </c>
      <c r="C9" s="25">
        <v>40</v>
      </c>
      <c r="D9" s="25">
        <v>22</v>
      </c>
      <c r="E9" s="602">
        <v>43</v>
      </c>
      <c r="G9" s="873">
        <f>'MI 3'!G9</f>
        <v>6</v>
      </c>
      <c r="H9" s="532">
        <f>'MI 3'!H9</f>
        <v>18</v>
      </c>
      <c r="I9" s="7">
        <f>'MI 3'!I9</f>
        <v>40</v>
      </c>
      <c r="J9" s="7">
        <f>'MI 3'!J9</f>
        <v>22</v>
      </c>
      <c r="K9" s="533">
        <f>'MI 3'!K9</f>
        <v>43</v>
      </c>
      <c r="M9" t="s">
        <v>11</v>
      </c>
      <c r="N9">
        <f>SQRT(P15)</f>
        <v>3.8862715590141086</v>
      </c>
      <c r="U9" t="s">
        <v>2018</v>
      </c>
      <c r="Z9" s="873" t="s">
        <v>2019</v>
      </c>
      <c r="AA9" s="873" t="s">
        <v>1047</v>
      </c>
      <c r="AB9" s="873" t="s">
        <v>1981</v>
      </c>
      <c r="AD9" s="873">
        <f t="shared" si="0"/>
        <v>6</v>
      </c>
      <c r="AE9" s="532">
        <f t="shared" si="1"/>
        <v>18</v>
      </c>
      <c r="AF9" s="7">
        <f t="shared" si="2"/>
        <v>40</v>
      </c>
      <c r="AG9" s="7">
        <f t="shared" si="3"/>
        <v>22</v>
      </c>
      <c r="AH9" s="533">
        <f t="shared" si="4"/>
        <v>43</v>
      </c>
    </row>
    <row r="10" spans="1:34" x14ac:dyDescent="0.25">
      <c r="A10" s="873">
        <f t="shared" si="5"/>
        <v>7</v>
      </c>
      <c r="B10" s="578">
        <v>15</v>
      </c>
      <c r="C10" s="25">
        <v>50</v>
      </c>
      <c r="D10" s="25">
        <v>28</v>
      </c>
      <c r="E10" s="602">
        <v>56</v>
      </c>
      <c r="G10" s="873">
        <f>'MI 3'!G10</f>
        <v>7</v>
      </c>
      <c r="H10" s="532">
        <f>'MI 3'!H10</f>
        <v>15</v>
      </c>
      <c r="I10" s="7">
        <f>'MI 3'!I10</f>
        <v>50</v>
      </c>
      <c r="J10" s="7">
        <f>'MI 3'!J10</f>
        <v>28</v>
      </c>
      <c r="K10" s="533">
        <f>'MI 3'!K10</f>
        <v>56</v>
      </c>
      <c r="M10" s="762" t="s">
        <v>81</v>
      </c>
      <c r="N10" s="762">
        <f>COUNT(H4:H23)</f>
        <v>20</v>
      </c>
      <c r="U10" s="869">
        <f t="array" ref="U10:X13">[1]!CHOL(U4:X7)</f>
        <v>1.8247472679435413</v>
      </c>
      <c r="V10" s="867">
        <v>0</v>
      </c>
      <c r="W10" s="867">
        <v>0</v>
      </c>
      <c r="X10" s="870">
        <v>0</v>
      </c>
      <c r="Z10" s="869">
        <f>N19</f>
        <v>5.1501063813970713</v>
      </c>
      <c r="AA10" s="867">
        <f ca="1">NORMSINV(RAND())</f>
        <v>-0.10229150163572624</v>
      </c>
      <c r="AB10" s="870">
        <f t="array" aca="1" ref="AB10:AB13" ca="1">Z10:Z13+AA7*MMULT(U10:X13,AA10:AA13)</f>
        <v>4.5640442336963369</v>
      </c>
      <c r="AD10" s="873">
        <f t="shared" si="0"/>
        <v>7</v>
      </c>
      <c r="AE10" s="532">
        <f t="shared" si="1"/>
        <v>15</v>
      </c>
      <c r="AF10" s="7">
        <f t="shared" si="2"/>
        <v>50</v>
      </c>
      <c r="AG10" s="7">
        <f t="shared" si="3"/>
        <v>28</v>
      </c>
      <c r="AH10" s="533">
        <f t="shared" si="4"/>
        <v>56</v>
      </c>
    </row>
    <row r="11" spans="1:34" x14ac:dyDescent="0.25">
      <c r="A11" s="873">
        <f t="shared" si="5"/>
        <v>8</v>
      </c>
      <c r="B11" s="578">
        <v>21</v>
      </c>
      <c r="C11" s="25" t="s">
        <v>4</v>
      </c>
      <c r="D11" s="25" t="s">
        <v>4</v>
      </c>
      <c r="E11" s="602">
        <v>46</v>
      </c>
      <c r="G11" s="873">
        <f>'MI 3'!G11</f>
        <v>8</v>
      </c>
      <c r="H11" s="532">
        <f>'MI 3'!H11</f>
        <v>21</v>
      </c>
      <c r="I11" s="7">
        <f>'MI 3'!I11</f>
        <v>20</v>
      </c>
      <c r="J11" s="7">
        <f>'MI 3'!J11</f>
        <v>23.992682255872598</v>
      </c>
      <c r="K11" s="533">
        <f>'MI 3'!K11</f>
        <v>46</v>
      </c>
      <c r="U11" s="532">
        <v>-4.4261373060145819E-3</v>
      </c>
      <c r="V11" s="7">
        <v>2.1790241549369049E-2</v>
      </c>
      <c r="W11" s="7">
        <v>0</v>
      </c>
      <c r="X11" s="533">
        <v>0</v>
      </c>
      <c r="Z11" s="532">
        <f>N20</f>
        <v>-0.13861638600447049</v>
      </c>
      <c r="AA11" s="7">
        <f t="array" aca="1" ref="AA11" ca="1">NORMSINV(RAND())</f>
        <v>-0.59178178612119947</v>
      </c>
      <c r="AB11" s="533">
        <f ca="1"/>
        <v>-0.1776827037131129</v>
      </c>
      <c r="AD11" s="873">
        <f t="shared" si="0"/>
        <v>8</v>
      </c>
      <c r="AE11" s="532">
        <f t="shared" si="1"/>
        <v>21</v>
      </c>
      <c r="AF11" s="7">
        <f t="shared" si="2"/>
        <v>20</v>
      </c>
      <c r="AG11" s="7">
        <f t="shared" si="3"/>
        <v>23.992682255872598</v>
      </c>
      <c r="AH11" s="533">
        <f t="shared" si="4"/>
        <v>46</v>
      </c>
    </row>
    <row r="12" spans="1:34" ht="15.75" thickBot="1" x14ac:dyDescent="0.3">
      <c r="A12" s="873">
        <f t="shared" si="5"/>
        <v>9</v>
      </c>
      <c r="B12" s="578">
        <v>20</v>
      </c>
      <c r="C12" s="25">
        <v>39</v>
      </c>
      <c r="D12" s="25">
        <v>25</v>
      </c>
      <c r="E12" s="602">
        <v>51</v>
      </c>
      <c r="G12" s="873">
        <f>'MI 3'!G12</f>
        <v>9</v>
      </c>
      <c r="H12" s="532">
        <f>'MI 3'!H12</f>
        <v>20</v>
      </c>
      <c r="I12" s="7">
        <f>'MI 3'!I12</f>
        <v>39</v>
      </c>
      <c r="J12" s="7">
        <f>'MI 3'!J12</f>
        <v>25</v>
      </c>
      <c r="K12" s="533">
        <f>'MI 3'!K12</f>
        <v>51</v>
      </c>
      <c r="M12" t="s">
        <v>294</v>
      </c>
      <c r="Q12" s="873" t="s">
        <v>34</v>
      </c>
      <c r="R12" s="873">
        <v>0.05</v>
      </c>
      <c r="U12" s="532">
        <v>-4.1623055590239919E-2</v>
      </c>
      <c r="V12" s="7">
        <v>-5.7822160607576235E-3</v>
      </c>
      <c r="W12" s="7">
        <v>6.2742293726290685E-2</v>
      </c>
      <c r="X12" s="533">
        <v>0</v>
      </c>
      <c r="Z12" s="532">
        <f>N21</f>
        <v>0.61959791052095592</v>
      </c>
      <c r="AA12" s="7">
        <f t="array" aca="1" ref="AA12" ca="1">NORMSINV(RAND())</f>
        <v>-6.6305827200413822E-2</v>
      </c>
      <c r="AB12" s="533">
        <f ca="1"/>
        <v>0.63064784178004885</v>
      </c>
      <c r="AD12" s="873">
        <f t="shared" si="0"/>
        <v>9</v>
      </c>
      <c r="AE12" s="532">
        <f t="shared" si="1"/>
        <v>20</v>
      </c>
      <c r="AF12" s="7">
        <f t="shared" si="2"/>
        <v>39</v>
      </c>
      <c r="AG12" s="7">
        <f t="shared" si="3"/>
        <v>25</v>
      </c>
      <c r="AH12" s="533">
        <f t="shared" si="4"/>
        <v>51</v>
      </c>
    </row>
    <row r="13" spans="1:34" ht="15.75" thickTop="1" x14ac:dyDescent="0.25">
      <c r="A13" s="873">
        <f t="shared" si="5"/>
        <v>10</v>
      </c>
      <c r="B13" s="578" t="s">
        <v>4</v>
      </c>
      <c r="C13" s="25">
        <v>36</v>
      </c>
      <c r="D13" s="25">
        <v>23</v>
      </c>
      <c r="E13" s="602">
        <v>56</v>
      </c>
      <c r="G13" s="873">
        <f>'MI 3'!G13</f>
        <v>10</v>
      </c>
      <c r="H13" s="532">
        <f>'MI 3'!H13</f>
        <v>17.471378166939335</v>
      </c>
      <c r="I13" s="7">
        <f>'MI 3'!I13</f>
        <v>36</v>
      </c>
      <c r="J13" s="7">
        <f>'MI 3'!J13</f>
        <v>23</v>
      </c>
      <c r="K13" s="533">
        <f>'MI 3'!K13</f>
        <v>56</v>
      </c>
      <c r="M13" s="826"/>
      <c r="N13" s="826" t="s">
        <v>60</v>
      </c>
      <c r="O13" s="826" t="s">
        <v>219</v>
      </c>
      <c r="P13" s="826" t="s">
        <v>240</v>
      </c>
      <c r="Q13" s="826" t="s">
        <v>135</v>
      </c>
      <c r="R13" s="826" t="s">
        <v>67</v>
      </c>
      <c r="S13" s="826" t="s">
        <v>527</v>
      </c>
      <c r="U13" s="409">
        <v>-1.5916730480594669E-2</v>
      </c>
      <c r="V13" s="762">
        <v>-1.2897535814220566E-2</v>
      </c>
      <c r="W13" s="762">
        <v>-2.679319485225613E-2</v>
      </c>
      <c r="X13" s="417">
        <v>4.562973659303496E-3</v>
      </c>
      <c r="Z13" s="409">
        <f>N22</f>
        <v>6.1712484441209026E-2</v>
      </c>
      <c r="AA13" s="762">
        <f t="array" aca="1" ref="AA13" ca="1">NORMSINV(RAND())</f>
        <v>-0.13296514366592302</v>
      </c>
      <c r="AB13" s="417">
        <f ca="1"/>
        <v>9.4462128768066284E-2</v>
      </c>
      <c r="AD13" s="873">
        <f t="shared" si="0"/>
        <v>10</v>
      </c>
      <c r="AE13" s="532">
        <f ca="1">AB$10+MMULT(AF13:AH13,AB$11:AB$13)+NORMSINV(RAND())</f>
        <v>16.854004878310906</v>
      </c>
      <c r="AF13" s="7">
        <f t="shared" si="2"/>
        <v>36</v>
      </c>
      <c r="AG13" s="7">
        <f t="shared" si="3"/>
        <v>23</v>
      </c>
      <c r="AH13" s="533">
        <f t="shared" si="4"/>
        <v>56</v>
      </c>
    </row>
    <row r="14" spans="1:34" x14ac:dyDescent="0.25">
      <c r="A14" s="873">
        <f t="shared" si="5"/>
        <v>11</v>
      </c>
      <c r="B14" s="578" t="s">
        <v>4</v>
      </c>
      <c r="C14" s="25">
        <v>27</v>
      </c>
      <c r="D14" s="25">
        <v>21</v>
      </c>
      <c r="E14" s="602">
        <v>39</v>
      </c>
      <c r="G14" s="873">
        <f>'MI 3'!G14</f>
        <v>11</v>
      </c>
      <c r="H14" s="532">
        <f>'MI 3'!H14</f>
        <v>14.1491714314521</v>
      </c>
      <c r="I14" s="7">
        <f>'MI 3'!I14</f>
        <v>27</v>
      </c>
      <c r="J14" s="7">
        <f>'MI 3'!J14</f>
        <v>21</v>
      </c>
      <c r="K14" s="533">
        <f>'MI 3'!K14</f>
        <v>39</v>
      </c>
      <c r="M14" t="s">
        <v>222</v>
      </c>
      <c r="N14">
        <f>COUNT(I4:K4)</f>
        <v>3</v>
      </c>
      <c r="O14">
        <f>DEVSQ(MMULT([1]!DESIGN(I4:K23),N19:N22))</f>
        <v>121.91254674507314</v>
      </c>
      <c r="P14">
        <f>O14/N14</f>
        <v>40.637515581691048</v>
      </c>
      <c r="Q14">
        <f>P14/P15</f>
        <v>2.6906726262456067</v>
      </c>
      <c r="R14">
        <f>FDIST(Q14,N14,N15)</f>
        <v>8.1108239333643639E-2</v>
      </c>
      <c r="S14" s="873" t="str">
        <f>IF(R14&lt;R12,"yes","no")</f>
        <v>no</v>
      </c>
      <c r="AD14" s="873">
        <f t="shared" si="0"/>
        <v>11</v>
      </c>
      <c r="AE14" s="532">
        <f ca="1">AB$10+MMULT(AF14:AH14,AB$11:AB$13)+NORMSINV(RAND())</f>
        <v>15.157418584781308</v>
      </c>
      <c r="AF14" s="7">
        <f t="shared" si="2"/>
        <v>27</v>
      </c>
      <c r="AG14" s="7">
        <f t="shared" si="3"/>
        <v>21</v>
      </c>
      <c r="AH14" s="533">
        <f t="shared" si="4"/>
        <v>39</v>
      </c>
    </row>
    <row r="15" spans="1:34" x14ac:dyDescent="0.25">
      <c r="A15" s="873">
        <f t="shared" si="5"/>
        <v>12</v>
      </c>
      <c r="B15" s="578">
        <v>14</v>
      </c>
      <c r="C15" s="25">
        <v>32</v>
      </c>
      <c r="D15" s="25">
        <v>20</v>
      </c>
      <c r="E15" s="602">
        <v>46</v>
      </c>
      <c r="G15" s="873">
        <f>'MI 3'!G15</f>
        <v>12</v>
      </c>
      <c r="H15" s="532">
        <f>'MI 3'!H15</f>
        <v>14</v>
      </c>
      <c r="I15" s="7">
        <f>'MI 3'!I15</f>
        <v>32</v>
      </c>
      <c r="J15" s="7">
        <f>'MI 3'!J15</f>
        <v>20</v>
      </c>
      <c r="K15" s="533">
        <f>'MI 3'!K15</f>
        <v>46</v>
      </c>
      <c r="M15" t="s">
        <v>295</v>
      </c>
      <c r="N15">
        <f>N16-N14</f>
        <v>16</v>
      </c>
      <c r="O15">
        <f>O16-O14</f>
        <v>241.64970608643119</v>
      </c>
      <c r="P15">
        <f>O15/N15</f>
        <v>15.10310663040195</v>
      </c>
      <c r="AD15" s="873">
        <f t="shared" si="0"/>
        <v>12</v>
      </c>
      <c r="AE15" s="532">
        <f t="shared" si="1"/>
        <v>14</v>
      </c>
      <c r="AF15" s="7">
        <f t="shared" si="2"/>
        <v>32</v>
      </c>
      <c r="AG15" s="7">
        <f t="shared" si="3"/>
        <v>20</v>
      </c>
      <c r="AH15" s="533">
        <f t="shared" si="4"/>
        <v>46</v>
      </c>
    </row>
    <row r="16" spans="1:34" x14ac:dyDescent="0.25">
      <c r="A16" s="873">
        <f t="shared" si="5"/>
        <v>13</v>
      </c>
      <c r="B16" s="578">
        <v>22</v>
      </c>
      <c r="C16" s="25">
        <v>40</v>
      </c>
      <c r="D16" s="25" t="s">
        <v>4</v>
      </c>
      <c r="E16" s="602">
        <v>49</v>
      </c>
      <c r="G16" s="873">
        <f>'MI 3'!G16</f>
        <v>13</v>
      </c>
      <c r="H16" s="532">
        <f>'MI 3'!H16</f>
        <v>22</v>
      </c>
      <c r="I16" s="7">
        <f>'MI 3'!I16</f>
        <v>40</v>
      </c>
      <c r="J16" s="7">
        <f>'MI 3'!J16</f>
        <v>22.865934865971205</v>
      </c>
      <c r="K16" s="533">
        <f>'MI 3'!K16</f>
        <v>49</v>
      </c>
      <c r="M16" s="762" t="s">
        <v>1</v>
      </c>
      <c r="N16" s="762">
        <f>N10-1</f>
        <v>19</v>
      </c>
      <c r="O16" s="762">
        <f>DEVSQ(H4:H23)</f>
        <v>363.56225283150434</v>
      </c>
      <c r="P16" s="762"/>
      <c r="Q16" s="762"/>
      <c r="R16" s="762"/>
      <c r="S16" s="762"/>
      <c r="AD16" s="873">
        <f t="shared" si="0"/>
        <v>13</v>
      </c>
      <c r="AE16" s="532">
        <f t="shared" si="1"/>
        <v>22</v>
      </c>
      <c r="AF16" s="7">
        <f t="shared" si="2"/>
        <v>40</v>
      </c>
      <c r="AG16" s="7">
        <f t="shared" si="3"/>
        <v>22.865934865971205</v>
      </c>
      <c r="AH16" s="533">
        <f t="shared" si="4"/>
        <v>49</v>
      </c>
    </row>
    <row r="17" spans="1:34" ht="15.75" thickBot="1" x14ac:dyDescent="0.3">
      <c r="A17" s="873">
        <f t="shared" si="5"/>
        <v>14</v>
      </c>
      <c r="B17" s="578" t="s">
        <v>4</v>
      </c>
      <c r="C17" s="25">
        <v>31</v>
      </c>
      <c r="D17" s="25" t="s">
        <v>4</v>
      </c>
      <c r="E17" s="602">
        <v>44</v>
      </c>
      <c r="G17" s="873">
        <f>'MI 3'!G17</f>
        <v>14</v>
      </c>
      <c r="H17" s="532">
        <f>'MI 3'!H17</f>
        <v>15.996231825275899</v>
      </c>
      <c r="I17" s="7">
        <f>'MI 3'!I17</f>
        <v>31</v>
      </c>
      <c r="J17" s="7">
        <f>'MI 3'!J17</f>
        <v>15.521307782236867</v>
      </c>
      <c r="K17" s="533">
        <f>'MI 3'!K17</f>
        <v>44</v>
      </c>
      <c r="AD17" s="873">
        <f t="shared" si="0"/>
        <v>14</v>
      </c>
      <c r="AE17" s="532">
        <f ca="1">AB$10+MMULT(AF17:AH17,AB$11:AB$13)+NORMSINV(RAND())</f>
        <v>13.347003688593279</v>
      </c>
      <c r="AF17" s="7">
        <f t="shared" si="2"/>
        <v>31</v>
      </c>
      <c r="AG17" s="7">
        <f t="shared" si="3"/>
        <v>15.521307782236867</v>
      </c>
      <c r="AH17" s="533">
        <f t="shared" si="4"/>
        <v>44</v>
      </c>
    </row>
    <row r="18" spans="1:34" ht="15.75" thickTop="1" x14ac:dyDescent="0.25">
      <c r="A18" s="873">
        <f t="shared" si="5"/>
        <v>15</v>
      </c>
      <c r="B18" s="578" t="s">
        <v>4</v>
      </c>
      <c r="C18" s="25">
        <v>18</v>
      </c>
      <c r="D18" s="25">
        <v>21</v>
      </c>
      <c r="E18" s="602" t="s">
        <v>4</v>
      </c>
      <c r="G18" s="873">
        <f>'MI 3'!G18</f>
        <v>15</v>
      </c>
      <c r="H18" s="532">
        <f>'MI 3'!H18</f>
        <v>22.328217536424805</v>
      </c>
      <c r="I18" s="7">
        <f>'MI 3'!I18</f>
        <v>18</v>
      </c>
      <c r="J18" s="7">
        <f>'MI 3'!J18</f>
        <v>21</v>
      </c>
      <c r="K18" s="533">
        <f>'MI 3'!K18</f>
        <v>53.887695806493305</v>
      </c>
      <c r="M18" s="826"/>
      <c r="N18" s="826" t="s">
        <v>1592</v>
      </c>
      <c r="O18" s="826" t="s">
        <v>1000</v>
      </c>
      <c r="P18" s="826" t="s">
        <v>61</v>
      </c>
      <c r="Q18" s="826" t="s">
        <v>67</v>
      </c>
      <c r="R18" s="826" t="s">
        <v>29</v>
      </c>
      <c r="S18" s="826" t="s">
        <v>30</v>
      </c>
      <c r="AD18" s="873">
        <f t="shared" si="0"/>
        <v>15</v>
      </c>
      <c r="AE18" s="532">
        <f ca="1">AB$10+MMULT(AF18:AH18,AB$11:AB$13)+NORMSINV(RAND())</f>
        <v>19.934183449263646</v>
      </c>
      <c r="AF18" s="7">
        <f t="shared" si="2"/>
        <v>18</v>
      </c>
      <c r="AG18" s="7">
        <f t="shared" si="3"/>
        <v>21</v>
      </c>
      <c r="AH18" s="533">
        <f t="shared" si="4"/>
        <v>53.887695806493305</v>
      </c>
    </row>
    <row r="19" spans="1:34" x14ac:dyDescent="0.25">
      <c r="A19" s="873">
        <f t="shared" si="5"/>
        <v>16</v>
      </c>
      <c r="B19" s="578">
        <v>16</v>
      </c>
      <c r="C19" s="25">
        <v>23</v>
      </c>
      <c r="D19" s="25">
        <v>21</v>
      </c>
      <c r="E19" s="602">
        <v>34</v>
      </c>
      <c r="G19" s="873">
        <f>'MI 3'!G19</f>
        <v>16</v>
      </c>
      <c r="H19" s="532">
        <f>'MI 3'!H19</f>
        <v>16</v>
      </c>
      <c r="I19" s="7">
        <f>'MI 3'!I19</f>
        <v>23</v>
      </c>
      <c r="J19" s="7">
        <f>'MI 3'!J19</f>
        <v>21</v>
      </c>
      <c r="K19" s="533">
        <f>'MI 3'!K19</f>
        <v>34</v>
      </c>
      <c r="M19" t="s">
        <v>296</v>
      </c>
      <c r="N19">
        <f t="array" ref="N19:N22">[1]!RegCoeff(I4:K23,H4:H23)</f>
        <v>5.1501063813970713</v>
      </c>
      <c r="O19">
        <f t="array" ref="O19:O22">[1]!RegCoeffSE(I4:K23,H4:H23)</f>
        <v>7.0914634097976377</v>
      </c>
      <c r="P19">
        <f>N19/O19</f>
        <v>0.72624028127701146</v>
      </c>
      <c r="Q19">
        <f>TDIST(ABS(P19),$N$15,2)</f>
        <v>0.47818191468780769</v>
      </c>
      <c r="R19">
        <f>N19-TINV(R$12,$N$15)*O19</f>
        <v>-9.8831244802665719</v>
      </c>
      <c r="S19">
        <f>N19+TINV(R$12,$N$15)*O19</f>
        <v>20.183337243060713</v>
      </c>
      <c r="AD19" s="873">
        <f t="shared" ref="AD19:AH23" si="6">G19</f>
        <v>16</v>
      </c>
      <c r="AE19" s="532">
        <f t="shared" si="6"/>
        <v>16</v>
      </c>
      <c r="AF19" s="7">
        <f t="shared" si="6"/>
        <v>23</v>
      </c>
      <c r="AG19" s="7">
        <f t="shared" si="6"/>
        <v>21</v>
      </c>
      <c r="AH19" s="533">
        <f t="shared" si="6"/>
        <v>34</v>
      </c>
    </row>
    <row r="20" spans="1:34" x14ac:dyDescent="0.25">
      <c r="A20" s="873">
        <f t="shared" si="5"/>
        <v>17</v>
      </c>
      <c r="B20" s="578">
        <v>27</v>
      </c>
      <c r="C20" s="25">
        <v>26</v>
      </c>
      <c r="D20" s="25">
        <v>23</v>
      </c>
      <c r="E20" s="602">
        <v>59</v>
      </c>
      <c r="G20" s="873">
        <f>'MI 3'!G20</f>
        <v>17</v>
      </c>
      <c r="H20" s="532">
        <f>'MI 3'!H20</f>
        <v>27</v>
      </c>
      <c r="I20" s="7">
        <f>'MI 3'!I20</f>
        <v>26</v>
      </c>
      <c r="J20" s="7">
        <f>'MI 3'!J20</f>
        <v>23</v>
      </c>
      <c r="K20" s="533">
        <f>'MI 3'!K20</f>
        <v>59</v>
      </c>
      <c r="M20" t="str">
        <f t="array" ref="M20:M22">TRANSPOSE(I3:K3)</f>
        <v>science</v>
      </c>
      <c r="N20">
        <v>-0.13861638600447049</v>
      </c>
      <c r="O20">
        <v>8.641213016636505E-2</v>
      </c>
      <c r="P20">
        <f>N20/O20</f>
        <v>-1.6041311067971491</v>
      </c>
      <c r="Q20">
        <f>TDIST(ABS(P20),$N$15,2)</f>
        <v>0.12823973933192095</v>
      </c>
      <c r="R20">
        <f>N20-TINV(R$12,$N$15)*O20</f>
        <v>-0.3218019186611446</v>
      </c>
      <c r="S20">
        <f>N20+TINV(R$12,$N$15)*O20</f>
        <v>4.4569146652203656E-2</v>
      </c>
      <c r="AD20" s="873">
        <f t="shared" si="6"/>
        <v>17</v>
      </c>
      <c r="AE20" s="532">
        <f t="shared" si="6"/>
        <v>27</v>
      </c>
      <c r="AF20" s="7">
        <f t="shared" si="6"/>
        <v>26</v>
      </c>
      <c r="AG20" s="7">
        <f t="shared" si="6"/>
        <v>23</v>
      </c>
      <c r="AH20" s="533">
        <f t="shared" si="6"/>
        <v>59</v>
      </c>
    </row>
    <row r="21" spans="1:34" x14ac:dyDescent="0.25">
      <c r="A21" s="873">
        <f t="shared" si="5"/>
        <v>18</v>
      </c>
      <c r="B21" s="578">
        <v>17</v>
      </c>
      <c r="C21" s="25" t="s">
        <v>4</v>
      </c>
      <c r="D21" s="25" t="s">
        <v>4</v>
      </c>
      <c r="E21" s="602">
        <v>35</v>
      </c>
      <c r="G21" s="873">
        <f>'MI 3'!G21</f>
        <v>18</v>
      </c>
      <c r="H21" s="532">
        <f>'MI 3'!H21</f>
        <v>17</v>
      </c>
      <c r="I21" s="7">
        <f>'MI 3'!I21</f>
        <v>42</v>
      </c>
      <c r="J21" s="7">
        <f>'MI 3'!J21</f>
        <v>20.351106833854086</v>
      </c>
      <c r="K21" s="533">
        <f>'MI 3'!K21</f>
        <v>35</v>
      </c>
      <c r="M21" t="str">
        <v>math</v>
      </c>
      <c r="N21">
        <v>0.61959791052095592</v>
      </c>
      <c r="O21">
        <v>0.29347161604597521</v>
      </c>
      <c r="P21">
        <f>N21/O21</f>
        <v>2.1112703125057579</v>
      </c>
      <c r="Q21">
        <f>TDIST(ABS(P21),$N$15,2)</f>
        <v>5.0833512473576127E-2</v>
      </c>
      <c r="R21">
        <f>N21-TINV(R$12,$N$15)*O21</f>
        <v>-2.5341235059324063E-3</v>
      </c>
      <c r="S21">
        <f>N21+TINV(R$12,$N$15)*O21</f>
        <v>1.2417299445478442</v>
      </c>
      <c r="AD21" s="873">
        <f t="shared" si="6"/>
        <v>18</v>
      </c>
      <c r="AE21" s="532">
        <f t="shared" si="6"/>
        <v>17</v>
      </c>
      <c r="AF21" s="7">
        <f t="shared" si="6"/>
        <v>42</v>
      </c>
      <c r="AG21" s="7">
        <f t="shared" si="6"/>
        <v>20.351106833854086</v>
      </c>
      <c r="AH21" s="533">
        <f t="shared" si="6"/>
        <v>35</v>
      </c>
    </row>
    <row r="22" spans="1:34" x14ac:dyDescent="0.25">
      <c r="A22" s="873">
        <f t="shared" si="5"/>
        <v>19</v>
      </c>
      <c r="B22" s="578">
        <v>13</v>
      </c>
      <c r="C22" s="25">
        <v>21</v>
      </c>
      <c r="D22" s="25">
        <v>20</v>
      </c>
      <c r="E22" s="602">
        <v>48</v>
      </c>
      <c r="G22" s="873">
        <f>'MI 3'!G22</f>
        <v>19</v>
      </c>
      <c r="H22" s="532">
        <f>'MI 3'!H22</f>
        <v>13</v>
      </c>
      <c r="I22" s="7">
        <f>'MI 3'!I22</f>
        <v>21</v>
      </c>
      <c r="J22" s="7">
        <f>'MI 3'!J22</f>
        <v>20</v>
      </c>
      <c r="K22" s="533">
        <f>'MI 3'!K22</f>
        <v>48</v>
      </c>
      <c r="M22" s="762" t="str">
        <v>medicine</v>
      </c>
      <c r="N22" s="762">
        <v>6.1712484441209026E-2</v>
      </c>
      <c r="O22" s="762">
        <v>0.13226945423376088</v>
      </c>
      <c r="P22" s="762">
        <f>N22/O22</f>
        <v>0.46656641020189021</v>
      </c>
      <c r="Q22" s="762">
        <f>TDIST(ABS(P22),$N$15,2)</f>
        <v>0.64709974871872533</v>
      </c>
      <c r="R22" s="762">
        <f>N22-TINV(R$12,$N$15)*O22</f>
        <v>-0.21868623251404395</v>
      </c>
      <c r="S22" s="762">
        <f>N22+TINV(R$12,$N$15)*O22</f>
        <v>0.34211120139646201</v>
      </c>
      <c r="AD22" s="873">
        <f t="shared" si="6"/>
        <v>19</v>
      </c>
      <c r="AE22" s="532">
        <f t="shared" si="6"/>
        <v>13</v>
      </c>
      <c r="AF22" s="7">
        <f t="shared" si="6"/>
        <v>21</v>
      </c>
      <c r="AG22" s="7">
        <f t="shared" si="6"/>
        <v>20</v>
      </c>
      <c r="AH22" s="533">
        <f t="shared" si="6"/>
        <v>48</v>
      </c>
    </row>
    <row r="23" spans="1:34" x14ac:dyDescent="0.25">
      <c r="A23" s="873">
        <f t="shared" si="5"/>
        <v>20</v>
      </c>
      <c r="B23" s="877">
        <v>11</v>
      </c>
      <c r="C23" s="880">
        <v>51</v>
      </c>
      <c r="D23" s="880">
        <v>18</v>
      </c>
      <c r="E23" s="878">
        <v>54</v>
      </c>
      <c r="G23" s="873">
        <f>'MI 3'!G23</f>
        <v>20</v>
      </c>
      <c r="H23" s="409">
        <f>'MI 3'!H23</f>
        <v>11</v>
      </c>
      <c r="I23" s="762">
        <f>'MI 3'!I23</f>
        <v>51</v>
      </c>
      <c r="J23" s="762">
        <f>'MI 3'!J23</f>
        <v>18</v>
      </c>
      <c r="K23" s="417">
        <f>'MI 3'!K23</f>
        <v>54</v>
      </c>
      <c r="AD23" s="873">
        <f t="shared" si="6"/>
        <v>20</v>
      </c>
      <c r="AE23" s="409">
        <f t="shared" si="6"/>
        <v>11</v>
      </c>
      <c r="AF23" s="762">
        <f t="shared" si="6"/>
        <v>51</v>
      </c>
      <c r="AG23" s="762">
        <f t="shared" si="6"/>
        <v>18</v>
      </c>
      <c r="AH23" s="417">
        <f t="shared" si="6"/>
        <v>54</v>
      </c>
    </row>
    <row r="24" spans="1:34" x14ac:dyDescent="0.25">
      <c r="A24" s="873" t="s">
        <v>7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873" t="s">
        <v>7</v>
      </c>
      <c r="H24">
        <f>AVERAGE(H4:H23)</f>
        <v>16.360857960613423</v>
      </c>
      <c r="I24">
        <f>AVERAGE(I4:I23)</f>
        <v>34.5</v>
      </c>
      <c r="J24">
        <f>AVERAGE(J4:J23)</f>
        <v>20.986551586896741</v>
      </c>
      <c r="K24">
        <f>AVERAGE(K4:K23)</f>
        <v>48.4471401720565</v>
      </c>
      <c r="AD24" s="873" t="s">
        <v>7</v>
      </c>
      <c r="AE24">
        <f ca="1">AVERAGE(AE4:AE23)</f>
        <v>16.122806732185843</v>
      </c>
      <c r="AF24">
        <f>AVERAGE(AF4:AF23)</f>
        <v>34.5</v>
      </c>
      <c r="AG24">
        <f>AVERAGE(AG4:AG23)</f>
        <v>20.986551586896741</v>
      </c>
      <c r="AH24">
        <f>AVERAGE(AH4:AH23)</f>
        <v>48.4471401720565</v>
      </c>
    </row>
    <row r="25" spans="1:34" x14ac:dyDescent="0.25">
      <c r="A25" s="873" t="s">
        <v>9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873" t="s">
        <v>9</v>
      </c>
      <c r="H25">
        <f>STDEV(H4:H23)</f>
        <v>4.3743405688382886</v>
      </c>
      <c r="I25">
        <f>STDEV(I4:I23)</f>
        <v>10.772772696894117</v>
      </c>
      <c r="J25">
        <f>STDEV(J4:J23)</f>
        <v>3.2756789056895297</v>
      </c>
      <c r="K25">
        <f>STDEV(K4:K23)</f>
        <v>7.5622018314288626</v>
      </c>
      <c r="AD25" s="873" t="s">
        <v>9</v>
      </c>
      <c r="AE25">
        <f ca="1">STDEV(AE4:AE23)</f>
        <v>4.2572138082372462</v>
      </c>
      <c r="AF25">
        <f>STDEV(AF4:AF23)</f>
        <v>10.772772696894117</v>
      </c>
      <c r="AG25">
        <f>STDEV(AG4:AG23)</f>
        <v>3.2756789056895297</v>
      </c>
      <c r="AH25">
        <f>STDEV(AH4:AH23)</f>
        <v>7.5622018314288626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U25"/>
  <sheetViews>
    <sheetView workbookViewId="0"/>
  </sheetViews>
  <sheetFormatPr defaultRowHeight="15" x14ac:dyDescent="0.25"/>
  <cols>
    <col min="6" max="6" width="5.7109375" customWidth="1"/>
    <col min="12" max="12" width="5.5703125" customWidth="1"/>
    <col min="18" max="18" width="5.42578125" customWidth="1"/>
  </cols>
  <sheetData>
    <row r="1" spans="1:21" x14ac:dyDescent="0.25">
      <c r="A1" s="1" t="s">
        <v>2079</v>
      </c>
      <c r="G1" t="s">
        <v>1993</v>
      </c>
      <c r="M1" t="s">
        <v>1994</v>
      </c>
    </row>
    <row r="2" spans="1:21" x14ac:dyDescent="0.25">
      <c r="S2" s="873" t="s">
        <v>1989</v>
      </c>
      <c r="T2" s="873" t="s">
        <v>1990</v>
      </c>
      <c r="U2" s="873" t="s">
        <v>1991</v>
      </c>
    </row>
    <row r="3" spans="1:21" x14ac:dyDescent="0.25">
      <c r="A3" s="873" t="s">
        <v>1985</v>
      </c>
      <c r="B3" s="874" t="s">
        <v>1983</v>
      </c>
      <c r="C3" s="874" t="s">
        <v>1964</v>
      </c>
      <c r="D3" s="874" t="s">
        <v>1963</v>
      </c>
      <c r="E3" s="874" t="s">
        <v>1984</v>
      </c>
      <c r="G3" s="873" t="s">
        <v>1985</v>
      </c>
      <c r="H3" s="874" t="s">
        <v>1983</v>
      </c>
      <c r="I3" s="874" t="s">
        <v>1964</v>
      </c>
      <c r="J3" s="874" t="s">
        <v>1963</v>
      </c>
      <c r="K3" s="874" t="s">
        <v>1984</v>
      </c>
      <c r="M3" s="873" t="s">
        <v>1985</v>
      </c>
      <c r="N3" s="874" t="str">
        <f t="array" ref="N3:Q23">[1]!ImputeReg(B3:E23,1,TRUE,S3:U3)</f>
        <v>read</v>
      </c>
      <c r="O3" s="874" t="str">
        <v>science</v>
      </c>
      <c r="P3" s="874" t="str">
        <v>math</v>
      </c>
      <c r="Q3" s="874" t="str">
        <v>medicine</v>
      </c>
      <c r="S3" s="609">
        <v>10</v>
      </c>
      <c r="T3" s="590">
        <v>30</v>
      </c>
      <c r="U3" s="610" t="b">
        <v>1</v>
      </c>
    </row>
    <row r="4" spans="1:21" x14ac:dyDescent="0.25">
      <c r="A4" s="873">
        <v>1</v>
      </c>
      <c r="B4" s="875">
        <v>12</v>
      </c>
      <c r="C4" s="827">
        <v>27</v>
      </c>
      <c r="D4" s="827">
        <v>19</v>
      </c>
      <c r="E4" s="870">
        <v>44</v>
      </c>
      <c r="G4" s="873">
        <v>1</v>
      </c>
      <c r="H4" s="869">
        <f t="array" ref="H4:K23">[1]!ImputeReg(B4:E23,1,FALSE)</f>
        <v>12</v>
      </c>
      <c r="I4" s="827">
        <v>27</v>
      </c>
      <c r="J4" s="827">
        <v>19</v>
      </c>
      <c r="K4" s="870">
        <v>44</v>
      </c>
      <c r="M4" s="873">
        <v>1</v>
      </c>
      <c r="N4" s="869">
        <v>12</v>
      </c>
      <c r="O4" s="827">
        <v>27</v>
      </c>
      <c r="P4" s="827">
        <v>19</v>
      </c>
      <c r="Q4" s="870">
        <v>44</v>
      </c>
    </row>
    <row r="5" spans="1:21" x14ac:dyDescent="0.25">
      <c r="A5" s="873">
        <v>2</v>
      </c>
      <c r="B5" s="578">
        <v>11</v>
      </c>
      <c r="C5" s="7">
        <v>43</v>
      </c>
      <c r="D5" s="7">
        <v>13</v>
      </c>
      <c r="E5" s="533">
        <v>43</v>
      </c>
      <c r="G5" s="873">
        <v>2</v>
      </c>
      <c r="H5" s="532">
        <v>11</v>
      </c>
      <c r="I5" s="7">
        <v>43</v>
      </c>
      <c r="J5" s="7">
        <v>13</v>
      </c>
      <c r="K5" s="533">
        <v>43</v>
      </c>
      <c r="M5" s="873">
        <v>2</v>
      </c>
      <c r="N5" s="532">
        <v>11</v>
      </c>
      <c r="O5" s="7">
        <v>43</v>
      </c>
      <c r="P5" s="7">
        <v>13</v>
      </c>
      <c r="Q5" s="533">
        <v>43</v>
      </c>
    </row>
    <row r="6" spans="1:21" x14ac:dyDescent="0.25">
      <c r="A6" s="873">
        <v>3</v>
      </c>
      <c r="B6" s="578" t="s">
        <v>4</v>
      </c>
      <c r="C6" s="7">
        <v>56</v>
      </c>
      <c r="D6" s="7">
        <v>23</v>
      </c>
      <c r="E6" s="533">
        <v>60</v>
      </c>
      <c r="G6" s="873">
        <v>3</v>
      </c>
      <c r="H6" s="532">
        <v>15.272160252176374</v>
      </c>
      <c r="I6" s="7">
        <v>56</v>
      </c>
      <c r="J6" s="7">
        <v>23</v>
      </c>
      <c r="K6" s="533">
        <v>60</v>
      </c>
      <c r="M6" s="873">
        <v>3</v>
      </c>
      <c r="N6" s="532">
        <v>11</v>
      </c>
      <c r="O6" s="7">
        <v>56</v>
      </c>
      <c r="P6" s="7">
        <v>23</v>
      </c>
      <c r="Q6" s="533">
        <v>60</v>
      </c>
    </row>
    <row r="7" spans="1:21" x14ac:dyDescent="0.25">
      <c r="A7" s="873">
        <v>4</v>
      </c>
      <c r="B7" s="578">
        <v>15</v>
      </c>
      <c r="C7" s="7">
        <v>37</v>
      </c>
      <c r="D7" s="7">
        <v>19</v>
      </c>
      <c r="E7" s="533">
        <v>52</v>
      </c>
      <c r="G7" s="873">
        <v>4</v>
      </c>
      <c r="H7" s="532">
        <v>15</v>
      </c>
      <c r="I7" s="7">
        <v>37</v>
      </c>
      <c r="J7" s="7">
        <v>19</v>
      </c>
      <c r="K7" s="533">
        <v>52</v>
      </c>
      <c r="M7" s="873">
        <v>4</v>
      </c>
      <c r="N7" s="532">
        <v>15</v>
      </c>
      <c r="O7" s="7">
        <v>37</v>
      </c>
      <c r="P7" s="7">
        <v>19</v>
      </c>
      <c r="Q7" s="533">
        <v>52</v>
      </c>
    </row>
    <row r="8" spans="1:21" x14ac:dyDescent="0.25">
      <c r="A8" s="873">
        <v>5</v>
      </c>
      <c r="B8" s="578">
        <v>10</v>
      </c>
      <c r="C8" s="7">
        <v>31</v>
      </c>
      <c r="D8" s="7">
        <v>21</v>
      </c>
      <c r="E8" s="533">
        <v>56.055107634636713</v>
      </c>
      <c r="G8" s="873">
        <v>5</v>
      </c>
      <c r="H8" s="532">
        <v>10</v>
      </c>
      <c r="I8" s="7">
        <v>31</v>
      </c>
      <c r="J8" s="7">
        <v>21</v>
      </c>
      <c r="K8" s="533">
        <v>56.055107634636713</v>
      </c>
      <c r="M8" s="873">
        <v>5</v>
      </c>
      <c r="N8" s="532">
        <v>10</v>
      </c>
      <c r="O8" s="7">
        <v>31</v>
      </c>
      <c r="P8" s="7">
        <v>21</v>
      </c>
      <c r="Q8" s="533">
        <v>56.055107634636713</v>
      </c>
    </row>
    <row r="9" spans="1:21" x14ac:dyDescent="0.25">
      <c r="A9" s="873">
        <v>6</v>
      </c>
      <c r="B9" s="578">
        <v>18</v>
      </c>
      <c r="C9" s="7">
        <v>40</v>
      </c>
      <c r="D9" s="7">
        <v>22</v>
      </c>
      <c r="E9" s="533">
        <v>43</v>
      </c>
      <c r="G9" s="873">
        <v>6</v>
      </c>
      <c r="H9" s="532">
        <v>18</v>
      </c>
      <c r="I9" s="7">
        <v>40</v>
      </c>
      <c r="J9" s="7">
        <v>22</v>
      </c>
      <c r="K9" s="533">
        <v>43</v>
      </c>
      <c r="M9" s="873">
        <v>6</v>
      </c>
      <c r="N9" s="532">
        <v>18</v>
      </c>
      <c r="O9" s="7">
        <v>40</v>
      </c>
      <c r="P9" s="7">
        <v>22</v>
      </c>
      <c r="Q9" s="533">
        <v>43</v>
      </c>
    </row>
    <row r="10" spans="1:21" x14ac:dyDescent="0.25">
      <c r="A10" s="873">
        <v>7</v>
      </c>
      <c r="B10" s="578">
        <v>15</v>
      </c>
      <c r="C10" s="7">
        <v>50</v>
      </c>
      <c r="D10" s="7">
        <v>28</v>
      </c>
      <c r="E10" s="533">
        <v>56</v>
      </c>
      <c r="G10" s="873">
        <v>7</v>
      </c>
      <c r="H10" s="532">
        <v>15</v>
      </c>
      <c r="I10" s="7">
        <v>50</v>
      </c>
      <c r="J10" s="7">
        <v>28</v>
      </c>
      <c r="K10" s="533">
        <v>56</v>
      </c>
      <c r="M10" s="873">
        <v>7</v>
      </c>
      <c r="N10" s="532">
        <v>15</v>
      </c>
      <c r="O10" s="7">
        <v>50</v>
      </c>
      <c r="P10" s="7">
        <v>28</v>
      </c>
      <c r="Q10" s="533">
        <v>56</v>
      </c>
    </row>
    <row r="11" spans="1:21" x14ac:dyDescent="0.25">
      <c r="A11" s="873">
        <v>8</v>
      </c>
      <c r="B11" s="578">
        <v>21</v>
      </c>
      <c r="C11" s="7">
        <v>20</v>
      </c>
      <c r="D11" s="7">
        <v>23.992682255872598</v>
      </c>
      <c r="E11" s="533">
        <v>46</v>
      </c>
      <c r="G11" s="873">
        <v>8</v>
      </c>
      <c r="H11" s="532">
        <v>21</v>
      </c>
      <c r="I11" s="7">
        <v>20</v>
      </c>
      <c r="J11" s="7">
        <v>23.992682255872598</v>
      </c>
      <c r="K11" s="533">
        <v>46</v>
      </c>
      <c r="M11" s="873">
        <v>8</v>
      </c>
      <c r="N11" s="532">
        <v>21</v>
      </c>
      <c r="O11" s="7">
        <v>20</v>
      </c>
      <c r="P11" s="7">
        <v>23.992682255872598</v>
      </c>
      <c r="Q11" s="533">
        <v>46</v>
      </c>
    </row>
    <row r="12" spans="1:21" x14ac:dyDescent="0.25">
      <c r="A12" s="873">
        <v>9</v>
      </c>
      <c r="B12" s="578">
        <v>20</v>
      </c>
      <c r="C12" s="7">
        <v>39</v>
      </c>
      <c r="D12" s="7">
        <v>25</v>
      </c>
      <c r="E12" s="533">
        <v>51</v>
      </c>
      <c r="G12" s="873">
        <v>9</v>
      </c>
      <c r="H12" s="532">
        <v>20</v>
      </c>
      <c r="I12" s="7">
        <v>39</v>
      </c>
      <c r="J12" s="7">
        <v>25</v>
      </c>
      <c r="K12" s="533">
        <v>51</v>
      </c>
      <c r="M12" s="873">
        <v>9</v>
      </c>
      <c r="N12" s="532">
        <v>20</v>
      </c>
      <c r="O12" s="7">
        <v>39</v>
      </c>
      <c r="P12" s="7">
        <v>25</v>
      </c>
      <c r="Q12" s="533">
        <v>51</v>
      </c>
    </row>
    <row r="13" spans="1:21" x14ac:dyDescent="0.25">
      <c r="A13" s="873">
        <v>10</v>
      </c>
      <c r="B13" s="578" t="s">
        <v>4</v>
      </c>
      <c r="C13" s="7">
        <v>36</v>
      </c>
      <c r="D13" s="7">
        <v>23</v>
      </c>
      <c r="E13" s="533">
        <v>56</v>
      </c>
      <c r="G13" s="873">
        <v>10</v>
      </c>
      <c r="H13" s="532">
        <v>17.471378166939335</v>
      </c>
      <c r="I13" s="7">
        <v>36</v>
      </c>
      <c r="J13" s="7">
        <v>23</v>
      </c>
      <c r="K13" s="533">
        <v>56</v>
      </c>
      <c r="M13" s="873">
        <v>10</v>
      </c>
      <c r="N13" s="532">
        <v>17</v>
      </c>
      <c r="O13" s="7">
        <v>36</v>
      </c>
      <c r="P13" s="7">
        <v>23</v>
      </c>
      <c r="Q13" s="533">
        <v>56</v>
      </c>
    </row>
    <row r="14" spans="1:21" x14ac:dyDescent="0.25">
      <c r="A14" s="873">
        <v>11</v>
      </c>
      <c r="B14" s="578" t="s">
        <v>4</v>
      </c>
      <c r="C14" s="7">
        <v>27</v>
      </c>
      <c r="D14" s="7">
        <v>21</v>
      </c>
      <c r="E14" s="533">
        <v>39</v>
      </c>
      <c r="G14" s="873">
        <v>11</v>
      </c>
      <c r="H14" s="532">
        <v>14.1491714314521</v>
      </c>
      <c r="I14" s="7">
        <v>27</v>
      </c>
      <c r="J14" s="7">
        <v>21</v>
      </c>
      <c r="K14" s="533">
        <v>39</v>
      </c>
      <c r="M14" s="873">
        <v>11</v>
      </c>
      <c r="N14" s="532">
        <v>18</v>
      </c>
      <c r="O14" s="7">
        <v>27</v>
      </c>
      <c r="P14" s="7">
        <v>21</v>
      </c>
      <c r="Q14" s="533">
        <v>39</v>
      </c>
    </row>
    <row r="15" spans="1:21" x14ac:dyDescent="0.25">
      <c r="A15" s="873">
        <v>12</v>
      </c>
      <c r="B15" s="578">
        <v>14</v>
      </c>
      <c r="C15" s="7">
        <v>32</v>
      </c>
      <c r="D15" s="7">
        <v>20</v>
      </c>
      <c r="E15" s="533">
        <v>46</v>
      </c>
      <c r="G15" s="873">
        <v>12</v>
      </c>
      <c r="H15" s="532">
        <v>14</v>
      </c>
      <c r="I15" s="7">
        <v>32</v>
      </c>
      <c r="J15" s="7">
        <v>20</v>
      </c>
      <c r="K15" s="533">
        <v>46</v>
      </c>
      <c r="M15" s="873">
        <v>12</v>
      </c>
      <c r="N15" s="532">
        <v>14</v>
      </c>
      <c r="O15" s="7">
        <v>32</v>
      </c>
      <c r="P15" s="7">
        <v>20</v>
      </c>
      <c r="Q15" s="533">
        <v>46</v>
      </c>
    </row>
    <row r="16" spans="1:21" x14ac:dyDescent="0.25">
      <c r="A16" s="873">
        <v>13</v>
      </c>
      <c r="B16" s="578">
        <v>22</v>
      </c>
      <c r="C16" s="7">
        <v>40</v>
      </c>
      <c r="D16" s="887">
        <v>22.865934865971205</v>
      </c>
      <c r="E16" s="533">
        <v>49</v>
      </c>
      <c r="G16" s="873">
        <v>13</v>
      </c>
      <c r="H16" s="532">
        <v>22</v>
      </c>
      <c r="I16" s="7">
        <v>40</v>
      </c>
      <c r="J16" s="7">
        <v>22.865934865971205</v>
      </c>
      <c r="K16" s="533">
        <v>49</v>
      </c>
      <c r="M16" s="873">
        <v>13</v>
      </c>
      <c r="N16" s="532">
        <v>22</v>
      </c>
      <c r="O16" s="7">
        <v>40</v>
      </c>
      <c r="P16" s="7">
        <v>22.865934865971205</v>
      </c>
      <c r="Q16" s="533">
        <v>49</v>
      </c>
    </row>
    <row r="17" spans="1:17" x14ac:dyDescent="0.25">
      <c r="A17" s="873">
        <v>14</v>
      </c>
      <c r="B17" s="578" t="s">
        <v>4</v>
      </c>
      <c r="C17" s="7">
        <v>31</v>
      </c>
      <c r="D17" s="7">
        <v>15.521307782236867</v>
      </c>
      <c r="E17" s="533">
        <v>44</v>
      </c>
      <c r="G17" s="873">
        <v>14</v>
      </c>
      <c r="H17" s="532">
        <v>15.996231825275899</v>
      </c>
      <c r="I17" s="7">
        <v>31</v>
      </c>
      <c r="J17" s="7">
        <v>15.521307782236867</v>
      </c>
      <c r="K17" s="533">
        <v>44</v>
      </c>
      <c r="M17" s="873">
        <v>14</v>
      </c>
      <c r="N17" s="532">
        <v>17</v>
      </c>
      <c r="O17" s="7">
        <v>31</v>
      </c>
      <c r="P17" s="7">
        <v>15.521307782236867</v>
      </c>
      <c r="Q17" s="533">
        <v>44</v>
      </c>
    </row>
    <row r="18" spans="1:17" x14ac:dyDescent="0.25">
      <c r="A18" s="873">
        <v>15</v>
      </c>
      <c r="B18" s="578" t="s">
        <v>4</v>
      </c>
      <c r="C18" s="7">
        <v>18</v>
      </c>
      <c r="D18" s="7">
        <v>21</v>
      </c>
      <c r="E18" s="533">
        <v>53.887695806493305</v>
      </c>
      <c r="G18" s="873">
        <v>15</v>
      </c>
      <c r="H18" s="532">
        <v>22.328217536424805</v>
      </c>
      <c r="I18" s="7">
        <v>18</v>
      </c>
      <c r="J18" s="7">
        <v>21</v>
      </c>
      <c r="K18" s="533">
        <v>53.887695806493305</v>
      </c>
      <c r="M18" s="873">
        <v>15</v>
      </c>
      <c r="N18" s="532">
        <v>21</v>
      </c>
      <c r="O18" s="7">
        <v>18</v>
      </c>
      <c r="P18" s="7">
        <v>21</v>
      </c>
      <c r="Q18" s="533">
        <v>53.887695806493305</v>
      </c>
    </row>
    <row r="19" spans="1:17" x14ac:dyDescent="0.25">
      <c r="A19" s="873">
        <v>16</v>
      </c>
      <c r="B19" s="578">
        <v>16</v>
      </c>
      <c r="C19" s="7">
        <v>23</v>
      </c>
      <c r="D19" s="7">
        <v>21</v>
      </c>
      <c r="E19" s="533">
        <v>34</v>
      </c>
      <c r="G19" s="873">
        <v>16</v>
      </c>
      <c r="H19" s="532">
        <v>16</v>
      </c>
      <c r="I19" s="7">
        <v>23</v>
      </c>
      <c r="J19" s="7">
        <v>21</v>
      </c>
      <c r="K19" s="533">
        <v>34</v>
      </c>
      <c r="M19" s="873">
        <v>16</v>
      </c>
      <c r="N19" s="532">
        <v>16</v>
      </c>
      <c r="O19" s="7">
        <v>23</v>
      </c>
      <c r="P19" s="7">
        <v>21</v>
      </c>
      <c r="Q19" s="533">
        <v>34</v>
      </c>
    </row>
    <row r="20" spans="1:17" x14ac:dyDescent="0.25">
      <c r="A20" s="873">
        <v>17</v>
      </c>
      <c r="B20" s="578">
        <v>27</v>
      </c>
      <c r="C20" s="7">
        <v>26</v>
      </c>
      <c r="D20" s="7">
        <v>23</v>
      </c>
      <c r="E20" s="533">
        <v>59</v>
      </c>
      <c r="G20" s="873">
        <v>17</v>
      </c>
      <c r="H20" s="532">
        <v>27</v>
      </c>
      <c r="I20" s="7">
        <v>26</v>
      </c>
      <c r="J20" s="7">
        <v>23</v>
      </c>
      <c r="K20" s="533">
        <v>59</v>
      </c>
      <c r="M20" s="873">
        <v>17</v>
      </c>
      <c r="N20" s="532">
        <v>27</v>
      </c>
      <c r="O20" s="7">
        <v>26</v>
      </c>
      <c r="P20" s="7">
        <v>23</v>
      </c>
      <c r="Q20" s="533">
        <v>59</v>
      </c>
    </row>
    <row r="21" spans="1:17" x14ac:dyDescent="0.25">
      <c r="A21" s="873">
        <v>18</v>
      </c>
      <c r="B21" s="578">
        <v>17</v>
      </c>
      <c r="C21" s="7">
        <v>42</v>
      </c>
      <c r="D21" s="7">
        <v>20.351106833854086</v>
      </c>
      <c r="E21" s="533">
        <v>35</v>
      </c>
      <c r="G21" s="873">
        <v>18</v>
      </c>
      <c r="H21" s="532">
        <v>17</v>
      </c>
      <c r="I21" s="7">
        <v>42</v>
      </c>
      <c r="J21" s="7">
        <v>20.351106833854086</v>
      </c>
      <c r="K21" s="533">
        <v>35</v>
      </c>
      <c r="M21" s="873">
        <v>18</v>
      </c>
      <c r="N21" s="532">
        <v>17</v>
      </c>
      <c r="O21" s="7">
        <v>42</v>
      </c>
      <c r="P21" s="7">
        <v>20.351106833854086</v>
      </c>
      <c r="Q21" s="533">
        <v>35</v>
      </c>
    </row>
    <row r="22" spans="1:17" x14ac:dyDescent="0.25">
      <c r="A22" s="873">
        <v>19</v>
      </c>
      <c r="B22" s="578">
        <v>13</v>
      </c>
      <c r="C22" s="7">
        <v>21</v>
      </c>
      <c r="D22" s="7">
        <v>20</v>
      </c>
      <c r="E22" s="533">
        <v>48</v>
      </c>
      <c r="G22" s="873">
        <v>19</v>
      </c>
      <c r="H22" s="532">
        <v>13</v>
      </c>
      <c r="I22" s="7">
        <v>21</v>
      </c>
      <c r="J22" s="7">
        <v>20</v>
      </c>
      <c r="K22" s="533">
        <v>48</v>
      </c>
      <c r="M22" s="873">
        <v>19</v>
      </c>
      <c r="N22" s="532">
        <v>13</v>
      </c>
      <c r="O22" s="7">
        <v>21</v>
      </c>
      <c r="P22" s="7">
        <v>20</v>
      </c>
      <c r="Q22" s="533">
        <v>48</v>
      </c>
    </row>
    <row r="23" spans="1:17" x14ac:dyDescent="0.25">
      <c r="A23" s="873">
        <v>20</v>
      </c>
      <c r="B23" s="877">
        <v>11</v>
      </c>
      <c r="C23" s="762">
        <v>51</v>
      </c>
      <c r="D23" s="762">
        <v>18</v>
      </c>
      <c r="E23" s="417">
        <v>54</v>
      </c>
      <c r="G23" s="873">
        <v>20</v>
      </c>
      <c r="H23" s="409">
        <v>11</v>
      </c>
      <c r="I23" s="762">
        <v>51</v>
      </c>
      <c r="J23" s="762">
        <v>18</v>
      </c>
      <c r="K23" s="417">
        <v>54</v>
      </c>
      <c r="M23" s="873">
        <v>20</v>
      </c>
      <c r="N23" s="409">
        <v>11</v>
      </c>
      <c r="O23" s="762">
        <v>51</v>
      </c>
      <c r="P23" s="762">
        <v>18</v>
      </c>
      <c r="Q23" s="417">
        <v>54</v>
      </c>
    </row>
    <row r="24" spans="1:17" x14ac:dyDescent="0.25">
      <c r="A24" s="873" t="s">
        <v>7</v>
      </c>
      <c r="B24">
        <f>AVERAGE(B4:B23)</f>
        <v>16.133333333333333</v>
      </c>
      <c r="C24">
        <f>AVERAGE(C4:C23)</f>
        <v>34.5</v>
      </c>
      <c r="D24">
        <f>AVERAGE(D4:D23)</f>
        <v>20.986551586896741</v>
      </c>
      <c r="E24">
        <f>AVERAGE(E4:E23)</f>
        <v>48.4471401720565</v>
      </c>
      <c r="G24" s="873" t="s">
        <v>7</v>
      </c>
      <c r="H24">
        <f>AVERAGE(H4:H23)</f>
        <v>16.360857960613423</v>
      </c>
      <c r="I24">
        <f>AVERAGE(I4:I23)</f>
        <v>34.5</v>
      </c>
      <c r="J24">
        <f>AVERAGE(J4:J23)</f>
        <v>20.986551586896741</v>
      </c>
      <c r="K24">
        <f>AVERAGE(K4:K23)</f>
        <v>48.4471401720565</v>
      </c>
      <c r="M24" s="873" t="s">
        <v>7</v>
      </c>
      <c r="N24">
        <f>AVERAGE(N4:N23)</f>
        <v>16.3</v>
      </c>
      <c r="O24">
        <f>AVERAGE(O4:O23)</f>
        <v>34.5</v>
      </c>
      <c r="P24">
        <f>AVERAGE(P4:P23)</f>
        <v>20.986551586896741</v>
      </c>
      <c r="Q24">
        <f>AVERAGE(Q4:Q23)</f>
        <v>48.4471401720565</v>
      </c>
    </row>
    <row r="25" spans="1:17" x14ac:dyDescent="0.25">
      <c r="A25" s="873" t="s">
        <v>9</v>
      </c>
      <c r="B25">
        <f>STDEV(B4:B23)</f>
        <v>4.7789219744724045</v>
      </c>
      <c r="C25">
        <f>STDEV(C4:C23)</f>
        <v>10.772772696894117</v>
      </c>
      <c r="D25">
        <f>STDEV(D4:D23)</f>
        <v>3.2756789056895297</v>
      </c>
      <c r="E25">
        <f>STDEV(E4:E23)</f>
        <v>7.5622018314288626</v>
      </c>
      <c r="G25" s="873" t="s">
        <v>9</v>
      </c>
      <c r="H25">
        <f>STDEV(H4:H23)</f>
        <v>4.3743405688382886</v>
      </c>
      <c r="I25">
        <f>STDEV(I4:I23)</f>
        <v>10.772772696894117</v>
      </c>
      <c r="J25">
        <f>STDEV(J4:J23)</f>
        <v>3.2756789056895297</v>
      </c>
      <c r="K25">
        <f>STDEV(K4:K23)</f>
        <v>7.5622018314288626</v>
      </c>
      <c r="M25" s="873" t="s">
        <v>9</v>
      </c>
      <c r="N25">
        <f>STDEV(N4:N23)</f>
        <v>4.4378752621164619</v>
      </c>
      <c r="O25">
        <f>STDEV(O4:O23)</f>
        <v>10.772772696894117</v>
      </c>
      <c r="P25">
        <f>STDEV(P4:P23)</f>
        <v>3.2756789056895297</v>
      </c>
      <c r="Q25">
        <f>STDEV(Q4:Q23)</f>
        <v>7.5622018314288626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V25"/>
  <sheetViews>
    <sheetView workbookViewId="0"/>
  </sheetViews>
  <sheetFormatPr defaultRowHeight="15" x14ac:dyDescent="0.25"/>
  <sheetData>
    <row r="1" spans="1:22" x14ac:dyDescent="0.25">
      <c r="A1" s="1" t="s">
        <v>1997</v>
      </c>
      <c r="G1" t="s">
        <v>1995</v>
      </c>
      <c r="M1" t="s">
        <v>1996</v>
      </c>
    </row>
    <row r="2" spans="1:22" x14ac:dyDescent="0.25">
      <c r="T2" t="s">
        <v>1989</v>
      </c>
      <c r="U2" t="s">
        <v>1990</v>
      </c>
      <c r="V2" t="s">
        <v>1991</v>
      </c>
    </row>
    <row r="3" spans="1:22" x14ac:dyDescent="0.25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  <c r="G3" s="873" t="s">
        <v>1985</v>
      </c>
      <c r="H3" s="873" t="s">
        <v>1983</v>
      </c>
      <c r="I3" s="873" t="s">
        <v>1964</v>
      </c>
      <c r="J3" s="873" t="s">
        <v>1963</v>
      </c>
      <c r="K3" s="873" t="s">
        <v>1984</v>
      </c>
      <c r="M3" s="873" t="s">
        <v>1985</v>
      </c>
      <c r="N3" s="873" t="str">
        <f t="array" ref="N3:Q23">[1]!ImputeFCS(B3:E23,TRUE,,S3:V4)</f>
        <v>read</v>
      </c>
      <c r="O3" s="873" t="str">
        <v>science</v>
      </c>
      <c r="P3" s="873" t="str">
        <v>math</v>
      </c>
      <c r="Q3" s="873" t="str">
        <v>medicine</v>
      </c>
      <c r="S3" t="s">
        <v>1964</v>
      </c>
      <c r="T3" s="869">
        <v>20</v>
      </c>
      <c r="U3" s="827">
        <v>50.4</v>
      </c>
      <c r="V3" s="870" t="b">
        <v>1</v>
      </c>
    </row>
    <row r="4" spans="1:22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  <c r="G4" s="873">
        <v>1</v>
      </c>
      <c r="H4" s="869">
        <f t="array" ref="H4:K23">[1]!ImputeFCS(B4:E23,FALSE)</f>
        <v>12</v>
      </c>
      <c r="I4" s="827">
        <v>27</v>
      </c>
      <c r="J4" s="827">
        <v>19</v>
      </c>
      <c r="K4" s="870">
        <v>44</v>
      </c>
      <c r="M4" s="873">
        <v>1</v>
      </c>
      <c r="N4" s="869">
        <v>12</v>
      </c>
      <c r="O4" s="827">
        <v>27</v>
      </c>
      <c r="P4" s="827">
        <v>19</v>
      </c>
      <c r="Q4" s="870">
        <v>44</v>
      </c>
      <c r="S4" t="s">
        <v>1963</v>
      </c>
      <c r="T4" s="409"/>
      <c r="U4" s="762">
        <v>28.5</v>
      </c>
      <c r="V4" s="417"/>
    </row>
    <row r="5" spans="1:22" x14ac:dyDescent="0.25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s="873">
        <f>G4+1</f>
        <v>2</v>
      </c>
      <c r="H5" s="532">
        <v>11</v>
      </c>
      <c r="I5" s="7">
        <v>14.628148115606205</v>
      </c>
      <c r="J5" s="7">
        <v>13</v>
      </c>
      <c r="K5" s="533">
        <v>43</v>
      </c>
      <c r="M5" s="873">
        <f>M4+1</f>
        <v>2</v>
      </c>
      <c r="N5" s="532">
        <v>11</v>
      </c>
      <c r="O5" s="7">
        <v>20</v>
      </c>
      <c r="P5" s="7">
        <v>13</v>
      </c>
      <c r="Q5" s="533">
        <v>43</v>
      </c>
    </row>
    <row r="6" spans="1:22" x14ac:dyDescent="0.25">
      <c r="A6" s="873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G6" s="873">
        <f t="shared" ref="G6:G23" si="1">G5+1</f>
        <v>3</v>
      </c>
      <c r="H6" s="532">
        <v>12.613147035186245</v>
      </c>
      <c r="I6" s="7">
        <v>56</v>
      </c>
      <c r="J6" s="7">
        <v>23</v>
      </c>
      <c r="K6" s="533">
        <v>60</v>
      </c>
      <c r="M6" s="873">
        <f t="shared" ref="M6:M23" si="2">M5+1</f>
        <v>3</v>
      </c>
      <c r="N6" s="532">
        <v>19.995326715512871</v>
      </c>
      <c r="O6" s="7">
        <v>56</v>
      </c>
      <c r="P6" s="7">
        <v>23</v>
      </c>
      <c r="Q6" s="533">
        <v>60</v>
      </c>
    </row>
    <row r="7" spans="1:22" x14ac:dyDescent="0.25">
      <c r="A7" s="873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G7" s="873">
        <f t="shared" si="1"/>
        <v>4</v>
      </c>
      <c r="H7" s="532">
        <v>15</v>
      </c>
      <c r="I7" s="7">
        <v>37</v>
      </c>
      <c r="J7" s="7">
        <v>19</v>
      </c>
      <c r="K7" s="533">
        <v>52</v>
      </c>
      <c r="M7" s="873">
        <f t="shared" si="2"/>
        <v>4</v>
      </c>
      <c r="N7" s="532">
        <v>15</v>
      </c>
      <c r="O7" s="7">
        <v>37</v>
      </c>
      <c r="P7" s="7">
        <v>19</v>
      </c>
      <c r="Q7" s="533">
        <v>52</v>
      </c>
    </row>
    <row r="8" spans="1:22" x14ac:dyDescent="0.25">
      <c r="A8" s="873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  <c r="G8" s="873">
        <f t="shared" si="1"/>
        <v>5</v>
      </c>
      <c r="H8" s="532">
        <v>10</v>
      </c>
      <c r="I8" s="7">
        <v>31</v>
      </c>
      <c r="J8" s="7">
        <v>21</v>
      </c>
      <c r="K8" s="533">
        <v>44.21324679970558</v>
      </c>
      <c r="M8" s="873">
        <f t="shared" si="2"/>
        <v>5</v>
      </c>
      <c r="N8" s="532">
        <v>10</v>
      </c>
      <c r="O8" s="7">
        <v>31</v>
      </c>
      <c r="P8" s="7">
        <v>21</v>
      </c>
      <c r="Q8" s="533">
        <v>37.433164418455711</v>
      </c>
    </row>
    <row r="9" spans="1:22" x14ac:dyDescent="0.25">
      <c r="A9" s="873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  <c r="G9" s="873">
        <f t="shared" si="1"/>
        <v>6</v>
      </c>
      <c r="H9" s="532">
        <v>18</v>
      </c>
      <c r="I9" s="7">
        <v>40</v>
      </c>
      <c r="J9" s="7">
        <v>22</v>
      </c>
      <c r="K9" s="533">
        <v>43</v>
      </c>
      <c r="M9" s="873">
        <f t="shared" si="2"/>
        <v>6</v>
      </c>
      <c r="N9" s="532">
        <v>18</v>
      </c>
      <c r="O9" s="7">
        <v>40</v>
      </c>
      <c r="P9" s="7">
        <v>22</v>
      </c>
      <c r="Q9" s="533">
        <v>43</v>
      </c>
    </row>
    <row r="10" spans="1:22" x14ac:dyDescent="0.25">
      <c r="A10" s="873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  <c r="G10" s="873">
        <f t="shared" si="1"/>
        <v>7</v>
      </c>
      <c r="H10" s="532">
        <v>15</v>
      </c>
      <c r="I10" s="7">
        <v>50</v>
      </c>
      <c r="J10" s="7">
        <v>28</v>
      </c>
      <c r="K10" s="533">
        <v>56</v>
      </c>
      <c r="M10" s="873">
        <f t="shared" si="2"/>
        <v>7</v>
      </c>
      <c r="N10" s="532">
        <v>15</v>
      </c>
      <c r="O10" s="7">
        <v>50</v>
      </c>
      <c r="P10" s="7">
        <v>28</v>
      </c>
      <c r="Q10" s="533">
        <v>56</v>
      </c>
    </row>
    <row r="11" spans="1:22" x14ac:dyDescent="0.25">
      <c r="A11" s="873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  <c r="G11" s="873">
        <f t="shared" si="1"/>
        <v>8</v>
      </c>
      <c r="H11" s="532">
        <v>21</v>
      </c>
      <c r="I11" s="7">
        <v>27.040098120153143</v>
      </c>
      <c r="J11" s="7">
        <v>23.010982304414192</v>
      </c>
      <c r="K11" s="533">
        <v>46</v>
      </c>
      <c r="M11" s="873">
        <f t="shared" si="2"/>
        <v>8</v>
      </c>
      <c r="N11" s="532">
        <v>21</v>
      </c>
      <c r="O11" s="7">
        <v>29</v>
      </c>
      <c r="P11" s="7">
        <v>24.730896979602957</v>
      </c>
      <c r="Q11" s="533">
        <v>46</v>
      </c>
    </row>
    <row r="12" spans="1:22" x14ac:dyDescent="0.25">
      <c r="A12" s="873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G12" s="873">
        <f t="shared" si="1"/>
        <v>9</v>
      </c>
      <c r="H12" s="532">
        <v>20</v>
      </c>
      <c r="I12" s="7">
        <v>39</v>
      </c>
      <c r="J12" s="7">
        <v>25</v>
      </c>
      <c r="K12" s="533">
        <v>51</v>
      </c>
      <c r="M12" s="873">
        <f t="shared" si="2"/>
        <v>9</v>
      </c>
      <c r="N12" s="532">
        <v>20</v>
      </c>
      <c r="O12" s="7">
        <v>39</v>
      </c>
      <c r="P12" s="7">
        <v>25</v>
      </c>
      <c r="Q12" s="533">
        <v>51</v>
      </c>
    </row>
    <row r="13" spans="1:22" x14ac:dyDescent="0.25">
      <c r="A13" s="873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G13" s="873">
        <f t="shared" si="1"/>
        <v>10</v>
      </c>
      <c r="H13" s="532">
        <v>18.512090835578601</v>
      </c>
      <c r="I13" s="7">
        <v>36</v>
      </c>
      <c r="J13" s="7">
        <v>23</v>
      </c>
      <c r="K13" s="533">
        <v>56</v>
      </c>
      <c r="M13" s="873">
        <f t="shared" si="2"/>
        <v>10</v>
      </c>
      <c r="N13" s="532">
        <v>20.735985393903299</v>
      </c>
      <c r="O13" s="7">
        <v>36</v>
      </c>
      <c r="P13" s="7">
        <v>23</v>
      </c>
      <c r="Q13" s="533">
        <v>56</v>
      </c>
    </row>
    <row r="14" spans="1:22" x14ac:dyDescent="0.25">
      <c r="A14" s="873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G14" s="873">
        <f t="shared" si="1"/>
        <v>11</v>
      </c>
      <c r="H14" s="532">
        <v>14.219590987977892</v>
      </c>
      <c r="I14" s="7">
        <v>27</v>
      </c>
      <c r="J14" s="7">
        <v>21</v>
      </c>
      <c r="K14" s="533">
        <v>39</v>
      </c>
      <c r="M14" s="873">
        <f t="shared" si="2"/>
        <v>11</v>
      </c>
      <c r="N14" s="532">
        <v>13.909714651786503</v>
      </c>
      <c r="O14" s="7">
        <v>27</v>
      </c>
      <c r="P14" s="7">
        <v>21</v>
      </c>
      <c r="Q14" s="533">
        <v>39</v>
      </c>
    </row>
    <row r="15" spans="1:22" x14ac:dyDescent="0.25">
      <c r="A15" s="873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  <c r="G15" s="873">
        <f t="shared" si="1"/>
        <v>12</v>
      </c>
      <c r="H15" s="532">
        <v>14</v>
      </c>
      <c r="I15" s="7">
        <v>32</v>
      </c>
      <c r="J15" s="7">
        <v>20</v>
      </c>
      <c r="K15" s="533">
        <v>46</v>
      </c>
      <c r="M15" s="873">
        <f t="shared" si="2"/>
        <v>12</v>
      </c>
      <c r="N15" s="532">
        <v>14</v>
      </c>
      <c r="O15" s="7">
        <v>32</v>
      </c>
      <c r="P15" s="7">
        <v>20</v>
      </c>
      <c r="Q15" s="533">
        <v>46</v>
      </c>
    </row>
    <row r="16" spans="1:22" x14ac:dyDescent="0.25">
      <c r="A16" s="873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G16" s="873">
        <f t="shared" si="1"/>
        <v>13</v>
      </c>
      <c r="H16" s="532">
        <v>22</v>
      </c>
      <c r="I16" s="7">
        <v>40</v>
      </c>
      <c r="J16" s="7">
        <v>27.06127129632138</v>
      </c>
      <c r="K16" s="533">
        <v>49</v>
      </c>
      <c r="M16" s="873">
        <f t="shared" si="2"/>
        <v>13</v>
      </c>
      <c r="N16" s="532">
        <v>22</v>
      </c>
      <c r="O16" s="7">
        <v>40</v>
      </c>
      <c r="P16" s="7">
        <v>26.969327032723179</v>
      </c>
      <c r="Q16" s="533">
        <v>49</v>
      </c>
    </row>
    <row r="17" spans="1:17" x14ac:dyDescent="0.25">
      <c r="A17" s="873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  <c r="G17" s="873">
        <f t="shared" si="1"/>
        <v>14</v>
      </c>
      <c r="H17" s="532">
        <v>17.590169913341771</v>
      </c>
      <c r="I17" s="7">
        <v>31</v>
      </c>
      <c r="J17" s="7">
        <v>25.349342647358398</v>
      </c>
      <c r="K17" s="533">
        <v>44</v>
      </c>
      <c r="M17" s="873">
        <f t="shared" si="2"/>
        <v>14</v>
      </c>
      <c r="N17" s="532">
        <v>14.046490441179444</v>
      </c>
      <c r="O17" s="7">
        <v>31</v>
      </c>
      <c r="P17" s="7">
        <v>20.199443811948026</v>
      </c>
      <c r="Q17" s="533">
        <v>44</v>
      </c>
    </row>
    <row r="18" spans="1:17" x14ac:dyDescent="0.25">
      <c r="A18" s="873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G18" s="873">
        <f t="shared" si="1"/>
        <v>15</v>
      </c>
      <c r="H18" s="532">
        <v>15.924743765043884</v>
      </c>
      <c r="I18" s="7">
        <v>18</v>
      </c>
      <c r="J18" s="7">
        <v>21</v>
      </c>
      <c r="K18" s="533">
        <v>40.184071923165874</v>
      </c>
      <c r="M18" s="873">
        <f t="shared" si="2"/>
        <v>15</v>
      </c>
      <c r="N18" s="532">
        <v>12.172881937817444</v>
      </c>
      <c r="O18" s="7">
        <v>18</v>
      </c>
      <c r="P18" s="7">
        <v>21</v>
      </c>
      <c r="Q18" s="533">
        <v>34.582345595038383</v>
      </c>
    </row>
    <row r="19" spans="1:17" x14ac:dyDescent="0.25">
      <c r="A19" s="873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  <c r="G19" s="873">
        <f t="shared" si="1"/>
        <v>16</v>
      </c>
      <c r="H19" s="532">
        <v>16</v>
      </c>
      <c r="I19" s="7">
        <v>23</v>
      </c>
      <c r="J19" s="7">
        <v>21</v>
      </c>
      <c r="K19" s="533">
        <v>34</v>
      </c>
      <c r="M19" s="873">
        <f t="shared" si="2"/>
        <v>16</v>
      </c>
      <c r="N19" s="532">
        <v>16</v>
      </c>
      <c r="O19" s="7">
        <v>23</v>
      </c>
      <c r="P19" s="7">
        <v>21</v>
      </c>
      <c r="Q19" s="533">
        <v>34</v>
      </c>
    </row>
    <row r="20" spans="1:17" x14ac:dyDescent="0.25">
      <c r="A20" s="873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G20" s="873">
        <f t="shared" si="1"/>
        <v>17</v>
      </c>
      <c r="H20" s="532">
        <v>27</v>
      </c>
      <c r="I20" s="7">
        <v>26</v>
      </c>
      <c r="J20" s="7">
        <v>23</v>
      </c>
      <c r="K20" s="533">
        <v>59</v>
      </c>
      <c r="M20" s="873">
        <f t="shared" si="2"/>
        <v>17</v>
      </c>
      <c r="N20" s="532">
        <v>27</v>
      </c>
      <c r="O20" s="7">
        <v>26</v>
      </c>
      <c r="P20" s="7">
        <v>23</v>
      </c>
      <c r="Q20" s="533">
        <v>59</v>
      </c>
    </row>
    <row r="21" spans="1:17" x14ac:dyDescent="0.25">
      <c r="A21" s="873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  <c r="G21" s="873">
        <f t="shared" si="1"/>
        <v>18</v>
      </c>
      <c r="H21" s="532">
        <v>17</v>
      </c>
      <c r="I21" s="7">
        <v>20.561323863550356</v>
      </c>
      <c r="J21" s="7">
        <v>21.227524304575756</v>
      </c>
      <c r="K21" s="533">
        <v>35</v>
      </c>
      <c r="M21" s="873">
        <f t="shared" si="2"/>
        <v>18</v>
      </c>
      <c r="N21" s="532">
        <v>17</v>
      </c>
      <c r="O21" s="7">
        <v>20</v>
      </c>
      <c r="P21" s="7">
        <v>21.99891974813201</v>
      </c>
      <c r="Q21" s="533">
        <v>35</v>
      </c>
    </row>
    <row r="22" spans="1:17" x14ac:dyDescent="0.25">
      <c r="A22" s="873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  <c r="G22" s="873">
        <f t="shared" si="1"/>
        <v>19</v>
      </c>
      <c r="H22" s="532">
        <v>13</v>
      </c>
      <c r="I22" s="7">
        <v>21</v>
      </c>
      <c r="J22" s="7">
        <v>20</v>
      </c>
      <c r="K22" s="533">
        <v>48</v>
      </c>
      <c r="M22" s="873">
        <f t="shared" si="2"/>
        <v>19</v>
      </c>
      <c r="N22" s="532">
        <v>13</v>
      </c>
      <c r="O22" s="7">
        <v>21</v>
      </c>
      <c r="P22" s="7">
        <v>20</v>
      </c>
      <c r="Q22" s="533">
        <v>48</v>
      </c>
    </row>
    <row r="23" spans="1:17" x14ac:dyDescent="0.25">
      <c r="A23" s="873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  <c r="G23" s="873">
        <f t="shared" si="1"/>
        <v>20</v>
      </c>
      <c r="H23" s="409">
        <v>11</v>
      </c>
      <c r="I23" s="762">
        <v>51</v>
      </c>
      <c r="J23" s="762">
        <v>18</v>
      </c>
      <c r="K23" s="417">
        <v>54</v>
      </c>
      <c r="M23" s="873">
        <f t="shared" si="2"/>
        <v>20</v>
      </c>
      <c r="N23" s="409">
        <v>11</v>
      </c>
      <c r="O23" s="762">
        <v>51</v>
      </c>
      <c r="P23" s="762">
        <v>18</v>
      </c>
      <c r="Q23" s="417">
        <v>54</v>
      </c>
    </row>
    <row r="24" spans="1:17" x14ac:dyDescent="0.25">
      <c r="A24" s="873" t="s">
        <v>7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873" t="s">
        <v>7</v>
      </c>
      <c r="H24">
        <f>AVERAGE(H4:H23)</f>
        <v>16.042987126856417</v>
      </c>
      <c r="I24">
        <f>AVERAGE(I4:I23)</f>
        <v>32.36147850496549</v>
      </c>
      <c r="J24">
        <f>AVERAGE(J4:J23)</f>
        <v>21.682456027633485</v>
      </c>
      <c r="K24">
        <f>AVERAGE(K4:K23)</f>
        <v>47.169865936143573</v>
      </c>
      <c r="M24" s="873" t="s">
        <v>7</v>
      </c>
      <c r="N24">
        <f>AVERAGE(N4:N23)</f>
        <v>16.143019957009976</v>
      </c>
      <c r="O24">
        <f>AVERAGE(O4:O23)</f>
        <v>32.700000000000003</v>
      </c>
      <c r="P24">
        <f>AVERAGE(P4:P23)</f>
        <v>21.54492937862031</v>
      </c>
      <c r="Q24">
        <f>AVERAGE(Q4:Q23)</f>
        <v>46.550775500674703</v>
      </c>
    </row>
    <row r="25" spans="1:17" x14ac:dyDescent="0.25">
      <c r="A25" s="873" t="s">
        <v>9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873" t="s">
        <v>9</v>
      </c>
      <c r="H25">
        <f>STDEV(H4:H23)</f>
        <v>4.2516162599419127</v>
      </c>
      <c r="I25">
        <f>STDEV(I4:I23)</f>
        <v>11.284856742123061</v>
      </c>
      <c r="J25">
        <f>STDEV(J4:J23)</f>
        <v>3.3359026533231027</v>
      </c>
      <c r="K25">
        <f>STDEV(K4:K23)</f>
        <v>7.4432794845689463</v>
      </c>
      <c r="M25" s="873" t="s">
        <v>9</v>
      </c>
      <c r="N25">
        <f>STDEV(N4:N23)</f>
        <v>4.4769316568860322</v>
      </c>
      <c r="O25">
        <f>STDEV(O4:O23)</f>
        <v>10.887462610969701</v>
      </c>
      <c r="P25">
        <f>STDEV(P4:P23)</f>
        <v>3.2947504323327017</v>
      </c>
      <c r="Q25">
        <f>STDEV(Q4:Q23)</f>
        <v>8.0807973517126737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V35"/>
  <sheetViews>
    <sheetView zoomScale="95" zoomScaleNormal="95" workbookViewId="0"/>
  </sheetViews>
  <sheetFormatPr defaultRowHeight="15" x14ac:dyDescent="0.25"/>
  <sheetData>
    <row r="1" spans="1:22" x14ac:dyDescent="0.25">
      <c r="A1" s="1" t="s">
        <v>2003</v>
      </c>
      <c r="G1" t="s">
        <v>2005</v>
      </c>
      <c r="M1" t="s">
        <v>2012</v>
      </c>
      <c r="S1" t="s">
        <v>2004</v>
      </c>
    </row>
    <row r="3" spans="1:22" x14ac:dyDescent="0.25">
      <c r="A3" s="873" t="str">
        <f>'MI 4'!A3</f>
        <v>id</v>
      </c>
      <c r="B3" s="873" t="str">
        <f>'MI 4'!B3</f>
        <v>read</v>
      </c>
      <c r="C3" s="873" t="str">
        <f>'MI 4'!C3</f>
        <v>science</v>
      </c>
      <c r="D3" s="873" t="str">
        <f>'MI 4'!D3</f>
        <v>math</v>
      </c>
      <c r="E3" s="873" t="str">
        <f>'MI 4'!E3</f>
        <v>medicine</v>
      </c>
      <c r="G3" s="873" t="s">
        <v>1985</v>
      </c>
      <c r="H3" s="873" t="s">
        <v>1983</v>
      </c>
      <c r="I3" s="873" t="s">
        <v>1964</v>
      </c>
      <c r="J3" s="873" t="s">
        <v>1963</v>
      </c>
      <c r="K3" s="873" t="s">
        <v>1984</v>
      </c>
      <c r="N3" s="873" t="str">
        <f t="array" ref="N3:Q8">[1]!MISummary(H3:K23,TRUE)</f>
        <v>read</v>
      </c>
      <c r="O3" s="873" t="str">
        <v>science</v>
      </c>
      <c r="P3" s="873" t="str">
        <v>math</v>
      </c>
      <c r="Q3" s="873" t="str">
        <v>medicine</v>
      </c>
      <c r="S3" s="873" t="str">
        <f t="array" ref="S3:V23">[1]!ImputedData(B3:E23,H3:K23,TRUE)</f>
        <v>read</v>
      </c>
      <c r="T3" s="873" t="str">
        <v>science</v>
      </c>
      <c r="U3" s="873" t="str">
        <v>math</v>
      </c>
      <c r="V3" s="873" t="str">
        <v>medicine</v>
      </c>
    </row>
    <row r="4" spans="1:22" x14ac:dyDescent="0.25">
      <c r="A4" s="873">
        <f>'MI 4'!A4</f>
        <v>1</v>
      </c>
      <c r="B4" s="875">
        <f>'MI 4'!B4</f>
        <v>12</v>
      </c>
      <c r="C4" s="881">
        <f>'MI 4'!C4</f>
        <v>27</v>
      </c>
      <c r="D4" s="881">
        <f>'MI 4'!D4</f>
        <v>19</v>
      </c>
      <c r="E4" s="876">
        <f>'MI 4'!E4</f>
        <v>44</v>
      </c>
      <c r="G4" s="873">
        <v>1</v>
      </c>
      <c r="H4" s="869">
        <f t="array" ref="H4:K23">'MI 4'!H4:K23</f>
        <v>12</v>
      </c>
      <c r="I4" s="827">
        <v>27</v>
      </c>
      <c r="J4" s="827">
        <v>19</v>
      </c>
      <c r="K4" s="870">
        <v>44</v>
      </c>
      <c r="M4" t="s">
        <v>1592</v>
      </c>
      <c r="N4" s="869">
        <v>16.042987126856417</v>
      </c>
      <c r="O4" s="867">
        <v>32.36147850496549</v>
      </c>
      <c r="P4" s="867">
        <v>21.682456027633485</v>
      </c>
      <c r="Q4" s="870">
        <v>47.169865936143573</v>
      </c>
      <c r="S4" s="869" t="str">
        <v/>
      </c>
      <c r="T4" s="827" t="str">
        <v/>
      </c>
      <c r="U4" s="827" t="str">
        <v/>
      </c>
      <c r="V4" s="870" t="str">
        <v/>
      </c>
    </row>
    <row r="5" spans="1:22" x14ac:dyDescent="0.25">
      <c r="A5" s="873">
        <f>'MI 4'!A5</f>
        <v>2</v>
      </c>
      <c r="B5" s="578">
        <f>'MI 4'!B5</f>
        <v>11</v>
      </c>
      <c r="C5" s="25" t="str">
        <f>'MI 4'!C5</f>
        <v>x</v>
      </c>
      <c r="D5" s="25">
        <f>'MI 4'!D5</f>
        <v>13</v>
      </c>
      <c r="E5" s="602">
        <f>'MI 4'!E5</f>
        <v>43</v>
      </c>
      <c r="G5" s="873">
        <f>G4+1</f>
        <v>2</v>
      </c>
      <c r="H5" s="532">
        <v>11</v>
      </c>
      <c r="I5" s="7">
        <v>14.628148115606205</v>
      </c>
      <c r="J5" s="7">
        <v>13</v>
      </c>
      <c r="K5" s="533">
        <v>43</v>
      </c>
      <c r="M5" t="s">
        <v>1932</v>
      </c>
      <c r="N5" s="532">
        <v>4.2516162599419127</v>
      </c>
      <c r="O5" s="7">
        <v>11.284856742123061</v>
      </c>
      <c r="P5" s="7">
        <v>3.3359026533231027</v>
      </c>
      <c r="Q5" s="533">
        <v>7.4432794845689463</v>
      </c>
      <c r="S5" s="532" t="str">
        <v/>
      </c>
      <c r="T5" s="7">
        <v>14.628148115606205</v>
      </c>
      <c r="U5" s="7" t="str">
        <v/>
      </c>
      <c r="V5" s="533" t="str">
        <v/>
      </c>
    </row>
    <row r="6" spans="1:22" x14ac:dyDescent="0.25">
      <c r="A6" s="873">
        <f>'MI 4'!A6</f>
        <v>3</v>
      </c>
      <c r="B6" s="578" t="str">
        <f>'MI 4'!B6</f>
        <v>x</v>
      </c>
      <c r="C6" s="25">
        <f>'MI 4'!C6</f>
        <v>56</v>
      </c>
      <c r="D6" s="25">
        <f>'MI 4'!D6</f>
        <v>23</v>
      </c>
      <c r="E6" s="602">
        <f>'MI 4'!E6</f>
        <v>60</v>
      </c>
      <c r="G6" s="873">
        <f t="shared" ref="G6:G23" si="0">G5+1</f>
        <v>3</v>
      </c>
      <c r="H6" s="532">
        <v>12.613147035186245</v>
      </c>
      <c r="I6" s="7">
        <v>56</v>
      </c>
      <c r="J6" s="7">
        <v>23</v>
      </c>
      <c r="K6" s="533">
        <v>60</v>
      </c>
      <c r="M6" t="s">
        <v>7</v>
      </c>
      <c r="N6" s="532">
        <v>0.77047482553215008</v>
      </c>
      <c r="O6" s="7">
        <v>0.56307874109495937</v>
      </c>
      <c r="P6" s="7">
        <v>-0.75746942064835199</v>
      </c>
      <c r="Q6" s="533">
        <v>33.010885057501696</v>
      </c>
      <c r="S6" s="532">
        <v>12.613147035186245</v>
      </c>
      <c r="T6" s="7" t="str">
        <v/>
      </c>
      <c r="U6" s="7" t="str">
        <v/>
      </c>
      <c r="V6" s="533" t="str">
        <v/>
      </c>
    </row>
    <row r="7" spans="1:22" x14ac:dyDescent="0.25">
      <c r="A7" s="873">
        <f>'MI 4'!A7</f>
        <v>4</v>
      </c>
      <c r="B7" s="578">
        <f>'MI 4'!B7</f>
        <v>15</v>
      </c>
      <c r="C7" s="25">
        <f>'MI 4'!C7</f>
        <v>37</v>
      </c>
      <c r="D7" s="25">
        <f>'MI 4'!D7</f>
        <v>19</v>
      </c>
      <c r="E7" s="602">
        <f>'MI 4'!E7</f>
        <v>52</v>
      </c>
      <c r="G7" s="873">
        <f t="shared" si="0"/>
        <v>4</v>
      </c>
      <c r="H7" s="532">
        <v>15</v>
      </c>
      <c r="I7" s="7">
        <v>37</v>
      </c>
      <c r="J7" s="7">
        <v>19</v>
      </c>
      <c r="K7" s="533">
        <v>52</v>
      </c>
      <c r="M7" t="s">
        <v>9</v>
      </c>
      <c r="N7" s="532">
        <v>0.38882121238003781</v>
      </c>
      <c r="O7" s="7">
        <v>0.13491504699260098</v>
      </c>
      <c r="P7" s="7">
        <v>0.55587146959429934</v>
      </c>
      <c r="Q7" s="533">
        <v>8.064624307350293</v>
      </c>
      <c r="S7" s="532" t="str">
        <v/>
      </c>
      <c r="T7" s="7" t="str">
        <v/>
      </c>
      <c r="U7" s="7" t="str">
        <v/>
      </c>
      <c r="V7" s="533" t="str">
        <v/>
      </c>
    </row>
    <row r="8" spans="1:22" x14ac:dyDescent="0.25">
      <c r="A8" s="873">
        <f>'MI 4'!A8</f>
        <v>5</v>
      </c>
      <c r="B8" s="578">
        <f>'MI 4'!B8</f>
        <v>10</v>
      </c>
      <c r="C8" s="25">
        <f>'MI 4'!C8</f>
        <v>31</v>
      </c>
      <c r="D8" s="25">
        <f>'MI 4'!D8</f>
        <v>21</v>
      </c>
      <c r="E8" s="602" t="str">
        <f>'MI 4'!E8</f>
        <v>x</v>
      </c>
      <c r="G8" s="873">
        <f t="shared" si="0"/>
        <v>5</v>
      </c>
      <c r="H8" s="532">
        <v>10</v>
      </c>
      <c r="I8" s="7">
        <v>31</v>
      </c>
      <c r="J8" s="7">
        <v>21</v>
      </c>
      <c r="K8" s="533">
        <v>44.21324679970558</v>
      </c>
      <c r="M8" t="s">
        <v>2002</v>
      </c>
      <c r="N8" s="409">
        <v>0.56528914723122881</v>
      </c>
      <c r="O8" s="762">
        <v>20</v>
      </c>
      <c r="P8" s="762" t="str">
        <v/>
      </c>
      <c r="Q8" s="417" t="str">
        <v/>
      </c>
      <c r="S8" s="532" t="str">
        <v/>
      </c>
      <c r="T8" s="7" t="str">
        <v/>
      </c>
      <c r="U8" s="7" t="str">
        <v/>
      </c>
      <c r="V8" s="533">
        <v>44.21324679970558</v>
      </c>
    </row>
    <row r="9" spans="1:22" x14ac:dyDescent="0.25">
      <c r="A9" s="873">
        <f>'MI 4'!A9</f>
        <v>6</v>
      </c>
      <c r="B9" s="578">
        <f>'MI 4'!B9</f>
        <v>18</v>
      </c>
      <c r="C9" s="25">
        <f>'MI 4'!C9</f>
        <v>40</v>
      </c>
      <c r="D9" s="25">
        <f>'MI 4'!D9</f>
        <v>22</v>
      </c>
      <c r="E9" s="602">
        <f>'MI 4'!E9</f>
        <v>43</v>
      </c>
      <c r="G9" s="873">
        <f t="shared" si="0"/>
        <v>6</v>
      </c>
      <c r="H9" s="532">
        <v>18</v>
      </c>
      <c r="I9" s="7">
        <v>40</v>
      </c>
      <c r="J9" s="7">
        <v>22</v>
      </c>
      <c r="K9" s="533">
        <v>43</v>
      </c>
      <c r="S9" s="532" t="str">
        <v/>
      </c>
      <c r="T9" s="7" t="str">
        <v/>
      </c>
      <c r="U9" s="7" t="str">
        <v/>
      </c>
      <c r="V9" s="533" t="str">
        <v/>
      </c>
    </row>
    <row r="10" spans="1:22" x14ac:dyDescent="0.25">
      <c r="A10" s="873">
        <f>'MI 4'!A10</f>
        <v>7</v>
      </c>
      <c r="B10" s="578">
        <f>'MI 4'!B10</f>
        <v>15</v>
      </c>
      <c r="C10" s="25">
        <f>'MI 4'!C10</f>
        <v>50</v>
      </c>
      <c r="D10" s="25">
        <f>'MI 4'!D10</f>
        <v>28</v>
      </c>
      <c r="E10" s="602">
        <f>'MI 4'!E10</f>
        <v>56</v>
      </c>
      <c r="G10" s="873">
        <f t="shared" si="0"/>
        <v>7</v>
      </c>
      <c r="H10" s="532">
        <v>15</v>
      </c>
      <c r="I10" s="7">
        <v>50</v>
      </c>
      <c r="J10" s="7">
        <v>28</v>
      </c>
      <c r="K10" s="533">
        <v>56</v>
      </c>
      <c r="M10" t="s">
        <v>2007</v>
      </c>
      <c r="S10" s="532" t="str">
        <v/>
      </c>
      <c r="T10" s="7" t="str">
        <v/>
      </c>
      <c r="U10" s="7" t="str">
        <v/>
      </c>
      <c r="V10" s="533" t="str">
        <v/>
      </c>
    </row>
    <row r="11" spans="1:22" x14ac:dyDescent="0.25">
      <c r="A11" s="873">
        <f>'MI 4'!A11</f>
        <v>8</v>
      </c>
      <c r="B11" s="578">
        <f>'MI 4'!B11</f>
        <v>21</v>
      </c>
      <c r="C11" s="25" t="str">
        <f>'MI 4'!C11</f>
        <v>x</v>
      </c>
      <c r="D11" s="25" t="str">
        <f>'MI 4'!D11</f>
        <v>x</v>
      </c>
      <c r="E11" s="602">
        <f>'MI 4'!E11</f>
        <v>46</v>
      </c>
      <c r="G11" s="873">
        <f t="shared" si="0"/>
        <v>8</v>
      </c>
      <c r="H11" s="532">
        <v>21</v>
      </c>
      <c r="I11" s="7">
        <v>27.040098120153143</v>
      </c>
      <c r="J11" s="7">
        <v>23.010982304414192</v>
      </c>
      <c r="K11" s="533">
        <v>46</v>
      </c>
      <c r="S11" s="532" t="str">
        <v/>
      </c>
      <c r="T11" s="7">
        <v>27.040098120153143</v>
      </c>
      <c r="U11" s="7">
        <v>23.010982304414192</v>
      </c>
      <c r="V11" s="533" t="str">
        <v/>
      </c>
    </row>
    <row r="12" spans="1:22" x14ac:dyDescent="0.25">
      <c r="A12" s="873">
        <f>'MI 4'!A12</f>
        <v>9</v>
      </c>
      <c r="B12" s="578">
        <f>'MI 4'!B12</f>
        <v>20</v>
      </c>
      <c r="C12" s="25">
        <f>'MI 4'!C12</f>
        <v>39</v>
      </c>
      <c r="D12" s="25">
        <f>'MI 4'!D12</f>
        <v>25</v>
      </c>
      <c r="E12" s="602">
        <f>'MI 4'!E12</f>
        <v>51</v>
      </c>
      <c r="G12" s="873">
        <f t="shared" si="0"/>
        <v>9</v>
      </c>
      <c r="H12" s="532">
        <v>20</v>
      </c>
      <c r="I12" s="7">
        <v>39</v>
      </c>
      <c r="J12" s="7">
        <v>25</v>
      </c>
      <c r="K12" s="533">
        <v>51</v>
      </c>
      <c r="M12" t="str">
        <f t="array" ref="M12:Q17">[1]!DescStats(H3:K23,TRUE,TRUE)</f>
        <v/>
      </c>
      <c r="N12" t="str">
        <v>read</v>
      </c>
      <c r="O12" t="str">
        <v>science</v>
      </c>
      <c r="P12" t="str">
        <v>math</v>
      </c>
      <c r="Q12" t="str">
        <v>medicine</v>
      </c>
      <c r="S12" s="532" t="str">
        <v/>
      </c>
      <c r="T12" s="7" t="str">
        <v/>
      </c>
      <c r="U12" s="7" t="str">
        <v/>
      </c>
      <c r="V12" s="533" t="str">
        <v/>
      </c>
    </row>
    <row r="13" spans="1:22" x14ac:dyDescent="0.25">
      <c r="A13" s="873">
        <f>'MI 4'!A13</f>
        <v>10</v>
      </c>
      <c r="B13" s="578" t="str">
        <f>'MI 4'!B13</f>
        <v>x</v>
      </c>
      <c r="C13" s="25">
        <f>'MI 4'!C13</f>
        <v>36</v>
      </c>
      <c r="D13" s="25">
        <f>'MI 4'!D13</f>
        <v>23</v>
      </c>
      <c r="E13" s="602">
        <f>'MI 4'!E13</f>
        <v>56</v>
      </c>
      <c r="G13" s="873">
        <f t="shared" si="0"/>
        <v>10</v>
      </c>
      <c r="H13" s="532">
        <v>18.512090835578601</v>
      </c>
      <c r="I13" s="7">
        <v>36</v>
      </c>
      <c r="J13" s="7">
        <v>23</v>
      </c>
      <c r="K13" s="533">
        <v>56</v>
      </c>
      <c r="M13" t="str">
        <v>count</v>
      </c>
      <c r="N13" s="869">
        <v>20</v>
      </c>
      <c r="O13" s="827">
        <v>20</v>
      </c>
      <c r="P13" s="827">
        <v>20</v>
      </c>
      <c r="Q13" s="870">
        <v>20</v>
      </c>
      <c r="S13" s="532">
        <v>18.512090835578601</v>
      </c>
      <c r="T13" s="7" t="str">
        <v/>
      </c>
      <c r="U13" s="7" t="str">
        <v/>
      </c>
      <c r="V13" s="533" t="str">
        <v/>
      </c>
    </row>
    <row r="14" spans="1:22" x14ac:dyDescent="0.25">
      <c r="A14" s="873">
        <f>'MI 4'!A14</f>
        <v>11</v>
      </c>
      <c r="B14" s="578" t="str">
        <f>'MI 4'!B14</f>
        <v>x</v>
      </c>
      <c r="C14" s="25">
        <f>'MI 4'!C14</f>
        <v>27</v>
      </c>
      <c r="D14" s="25">
        <f>'MI 4'!D14</f>
        <v>21</v>
      </c>
      <c r="E14" s="602">
        <f>'MI 4'!E14</f>
        <v>39</v>
      </c>
      <c r="G14" s="873">
        <f t="shared" si="0"/>
        <v>11</v>
      </c>
      <c r="H14" s="532">
        <v>14.219590987977892</v>
      </c>
      <c r="I14" s="7">
        <v>27</v>
      </c>
      <c r="J14" s="7">
        <v>21</v>
      </c>
      <c r="K14" s="533">
        <v>39</v>
      </c>
      <c r="M14" t="str">
        <v>mean</v>
      </c>
      <c r="N14" s="532">
        <v>16.042987126856417</v>
      </c>
      <c r="O14" s="7">
        <v>32.36147850496549</v>
      </c>
      <c r="P14" s="7">
        <v>21.682456027633485</v>
      </c>
      <c r="Q14" s="533">
        <v>47.169865936143573</v>
      </c>
      <c r="S14" s="532">
        <v>14.219590987977892</v>
      </c>
      <c r="T14" s="7" t="str">
        <v/>
      </c>
      <c r="U14" s="7" t="str">
        <v/>
      </c>
      <c r="V14" s="533" t="str">
        <v/>
      </c>
    </row>
    <row r="15" spans="1:22" x14ac:dyDescent="0.25">
      <c r="A15" s="873">
        <f>'MI 4'!A15</f>
        <v>12</v>
      </c>
      <c r="B15" s="578">
        <f>'MI 4'!B15</f>
        <v>14</v>
      </c>
      <c r="C15" s="25">
        <f>'MI 4'!C15</f>
        <v>32</v>
      </c>
      <c r="D15" s="25">
        <f>'MI 4'!D15</f>
        <v>20</v>
      </c>
      <c r="E15" s="602">
        <f>'MI 4'!E15</f>
        <v>46</v>
      </c>
      <c r="G15" s="873">
        <f t="shared" si="0"/>
        <v>12</v>
      </c>
      <c r="H15" s="532">
        <v>14</v>
      </c>
      <c r="I15" s="7">
        <v>32</v>
      </c>
      <c r="J15" s="7">
        <v>20</v>
      </c>
      <c r="K15" s="533">
        <v>46</v>
      </c>
      <c r="M15" t="str">
        <v>stdev</v>
      </c>
      <c r="N15" s="532">
        <v>4.2516162599419127</v>
      </c>
      <c r="O15" s="7">
        <v>11.284856742123061</v>
      </c>
      <c r="P15" s="7">
        <v>3.3359026533231027</v>
      </c>
      <c r="Q15" s="533">
        <v>7.4432794845689463</v>
      </c>
      <c r="S15" s="532" t="str">
        <v/>
      </c>
      <c r="T15" s="7" t="str">
        <v/>
      </c>
      <c r="U15" s="7" t="str">
        <v/>
      </c>
      <c r="V15" s="533" t="str">
        <v/>
      </c>
    </row>
    <row r="16" spans="1:22" x14ac:dyDescent="0.25">
      <c r="A16" s="873">
        <f>'MI 4'!A16</f>
        <v>13</v>
      </c>
      <c r="B16" s="578">
        <f>'MI 4'!B16</f>
        <v>22</v>
      </c>
      <c r="C16" s="25">
        <f>'MI 4'!C16</f>
        <v>40</v>
      </c>
      <c r="D16" s="25" t="str">
        <f>'MI 4'!D16</f>
        <v>x</v>
      </c>
      <c r="E16" s="602">
        <f>'MI 4'!E16</f>
        <v>49</v>
      </c>
      <c r="G16" s="873">
        <f t="shared" si="0"/>
        <v>13</v>
      </c>
      <c r="H16" s="532">
        <v>22</v>
      </c>
      <c r="I16" s="7">
        <v>40</v>
      </c>
      <c r="J16" s="7">
        <v>27.06127129632138</v>
      </c>
      <c r="K16" s="533">
        <v>49</v>
      </c>
      <c r="M16" t="str">
        <v>min</v>
      </c>
      <c r="N16" s="532">
        <v>10</v>
      </c>
      <c r="O16" s="7">
        <v>14.628148115606205</v>
      </c>
      <c r="P16" s="7">
        <v>13</v>
      </c>
      <c r="Q16" s="533">
        <v>34</v>
      </c>
      <c r="S16" s="532" t="str">
        <v/>
      </c>
      <c r="T16" s="7" t="str">
        <v/>
      </c>
      <c r="U16" s="7">
        <v>27.06127129632138</v>
      </c>
      <c r="V16" s="533" t="str">
        <v/>
      </c>
    </row>
    <row r="17" spans="1:22" x14ac:dyDescent="0.25">
      <c r="A17" s="873">
        <f>'MI 4'!A17</f>
        <v>14</v>
      </c>
      <c r="B17" s="578" t="str">
        <f>'MI 4'!B17</f>
        <v>x</v>
      </c>
      <c r="C17" s="25">
        <f>'MI 4'!C17</f>
        <v>31</v>
      </c>
      <c r="D17" s="25" t="str">
        <f>'MI 4'!D17</f>
        <v>x</v>
      </c>
      <c r="E17" s="602">
        <f>'MI 4'!E17</f>
        <v>44</v>
      </c>
      <c r="G17" s="873">
        <f t="shared" si="0"/>
        <v>14</v>
      </c>
      <c r="H17" s="532">
        <v>17.590169913341771</v>
      </c>
      <c r="I17" s="7">
        <v>31</v>
      </c>
      <c r="J17" s="7">
        <v>25.349342647358398</v>
      </c>
      <c r="K17" s="533">
        <v>44</v>
      </c>
      <c r="M17" t="str">
        <v>max</v>
      </c>
      <c r="N17" s="409">
        <v>27</v>
      </c>
      <c r="O17" s="762">
        <v>56</v>
      </c>
      <c r="P17" s="762">
        <v>28</v>
      </c>
      <c r="Q17" s="417">
        <v>60</v>
      </c>
      <c r="S17" s="532">
        <v>17.590169913341771</v>
      </c>
      <c r="T17" s="7" t="str">
        <v/>
      </c>
      <c r="U17" s="7">
        <v>25.349342647358398</v>
      </c>
      <c r="V17" s="533" t="str">
        <v/>
      </c>
    </row>
    <row r="18" spans="1:22" x14ac:dyDescent="0.25">
      <c r="A18" s="873">
        <f>'MI 4'!A18</f>
        <v>15</v>
      </c>
      <c r="B18" s="578" t="str">
        <f>'MI 4'!B18</f>
        <v>x</v>
      </c>
      <c r="C18" s="25">
        <f>'MI 4'!C18</f>
        <v>18</v>
      </c>
      <c r="D18" s="25">
        <f>'MI 4'!D18</f>
        <v>21</v>
      </c>
      <c r="E18" s="602" t="str">
        <f>'MI 4'!E18</f>
        <v>x</v>
      </c>
      <c r="G18" s="873">
        <f t="shared" si="0"/>
        <v>15</v>
      </c>
      <c r="H18" s="532">
        <v>15.924743765043884</v>
      </c>
      <c r="I18" s="7">
        <v>18</v>
      </c>
      <c r="J18" s="7">
        <v>21</v>
      </c>
      <c r="K18" s="533">
        <v>40.184071923165874</v>
      </c>
      <c r="S18" s="532">
        <v>15.924743765043884</v>
      </c>
      <c r="T18" s="7" t="str">
        <v/>
      </c>
      <c r="U18" s="7" t="str">
        <v/>
      </c>
      <c r="V18" s="533">
        <v>40.184071923165874</v>
      </c>
    </row>
    <row r="19" spans="1:22" x14ac:dyDescent="0.25">
      <c r="A19" s="873">
        <f>'MI 4'!A19</f>
        <v>16</v>
      </c>
      <c r="B19" s="578">
        <f>'MI 4'!B19</f>
        <v>16</v>
      </c>
      <c r="C19" s="25">
        <f>'MI 4'!C19</f>
        <v>23</v>
      </c>
      <c r="D19" s="25">
        <f>'MI 4'!D19</f>
        <v>21</v>
      </c>
      <c r="E19" s="602">
        <f>'MI 4'!E19</f>
        <v>34</v>
      </c>
      <c r="G19" s="873">
        <f t="shared" si="0"/>
        <v>16</v>
      </c>
      <c r="H19" s="532">
        <v>16</v>
      </c>
      <c r="I19" s="7">
        <v>23</v>
      </c>
      <c r="J19" s="7">
        <v>21</v>
      </c>
      <c r="K19" s="533">
        <v>34</v>
      </c>
      <c r="M19" t="s">
        <v>2008</v>
      </c>
      <c r="S19" s="532" t="str">
        <v/>
      </c>
      <c r="T19" s="7" t="str">
        <v/>
      </c>
      <c r="U19" s="7" t="str">
        <v/>
      </c>
      <c r="V19" s="533" t="str">
        <v/>
      </c>
    </row>
    <row r="20" spans="1:22" x14ac:dyDescent="0.25">
      <c r="A20" s="873">
        <f>'MI 4'!A20</f>
        <v>17</v>
      </c>
      <c r="B20" s="578">
        <f>'MI 4'!B20</f>
        <v>27</v>
      </c>
      <c r="C20" s="25">
        <f>'MI 4'!C20</f>
        <v>26</v>
      </c>
      <c r="D20" s="25">
        <f>'MI 4'!D20</f>
        <v>23</v>
      </c>
      <c r="E20" s="602">
        <f>'MI 4'!E20</f>
        <v>59</v>
      </c>
      <c r="G20" s="873">
        <f t="shared" si="0"/>
        <v>17</v>
      </c>
      <c r="H20" s="532">
        <v>27</v>
      </c>
      <c r="I20" s="7">
        <v>26</v>
      </c>
      <c r="J20" s="7">
        <v>23</v>
      </c>
      <c r="K20" s="533">
        <v>59</v>
      </c>
      <c r="S20" s="532" t="str">
        <v/>
      </c>
      <c r="T20" s="7" t="str">
        <v/>
      </c>
      <c r="U20" s="7" t="str">
        <v/>
      </c>
      <c r="V20" s="533" t="str">
        <v/>
      </c>
    </row>
    <row r="21" spans="1:22" x14ac:dyDescent="0.25">
      <c r="A21" s="873">
        <f>'MI 4'!A21</f>
        <v>18</v>
      </c>
      <c r="B21" s="578">
        <f>'MI 4'!B21</f>
        <v>17</v>
      </c>
      <c r="C21" s="25" t="str">
        <f>'MI 4'!C21</f>
        <v>x</v>
      </c>
      <c r="D21" s="25" t="str">
        <f>'MI 4'!D21</f>
        <v>x</v>
      </c>
      <c r="E21" s="602">
        <f>'MI 4'!E21</f>
        <v>35</v>
      </c>
      <c r="G21" s="873">
        <f t="shared" si="0"/>
        <v>18</v>
      </c>
      <c r="H21" s="532">
        <v>17</v>
      </c>
      <c r="I21" s="7">
        <v>20.561323863550356</v>
      </c>
      <c r="J21" s="7">
        <v>21.227524304575756</v>
      </c>
      <c r="K21" s="533">
        <v>35</v>
      </c>
      <c r="M21" t="str">
        <f t="array" ref="M21:Q26">[1]!DescStats(H3:K23,TRUE,TRUE,B3:E23)</f>
        <v/>
      </c>
      <c r="N21" t="str">
        <v>read</v>
      </c>
      <c r="O21" t="str">
        <v>science</v>
      </c>
      <c r="P21" t="str">
        <v>math</v>
      </c>
      <c r="Q21" t="str">
        <v>medicine</v>
      </c>
      <c r="S21" s="532" t="str">
        <v/>
      </c>
      <c r="T21" s="7">
        <v>20.561323863550356</v>
      </c>
      <c r="U21" s="7">
        <v>21.227524304575756</v>
      </c>
      <c r="V21" s="533" t="str">
        <v/>
      </c>
    </row>
    <row r="22" spans="1:22" x14ac:dyDescent="0.25">
      <c r="A22" s="873">
        <f>'MI 4'!A22</f>
        <v>19</v>
      </c>
      <c r="B22" s="578">
        <f>'MI 4'!B22</f>
        <v>13</v>
      </c>
      <c r="C22" s="25">
        <f>'MI 4'!C22</f>
        <v>21</v>
      </c>
      <c r="D22" s="25">
        <f>'MI 4'!D22</f>
        <v>20</v>
      </c>
      <c r="E22" s="602">
        <f>'MI 4'!E22</f>
        <v>48</v>
      </c>
      <c r="G22" s="873">
        <f t="shared" si="0"/>
        <v>19</v>
      </c>
      <c r="H22" s="532">
        <v>13</v>
      </c>
      <c r="I22" s="7">
        <v>21</v>
      </c>
      <c r="J22" s="7">
        <v>20</v>
      </c>
      <c r="K22" s="533">
        <v>48</v>
      </c>
      <c r="M22" t="str">
        <v>count</v>
      </c>
      <c r="N22" s="869">
        <v>5</v>
      </c>
      <c r="O22" s="867">
        <v>3</v>
      </c>
      <c r="P22" s="867">
        <v>4</v>
      </c>
      <c r="Q22" s="870">
        <v>2</v>
      </c>
      <c r="S22" s="532" t="str">
        <v/>
      </c>
      <c r="T22" s="7" t="str">
        <v/>
      </c>
      <c r="U22" s="7" t="str">
        <v/>
      </c>
      <c r="V22" s="533" t="str">
        <v/>
      </c>
    </row>
    <row r="23" spans="1:22" x14ac:dyDescent="0.25">
      <c r="A23" s="873">
        <f>'MI 4'!A23</f>
        <v>20</v>
      </c>
      <c r="B23" s="877">
        <f>'MI 4'!B23</f>
        <v>11</v>
      </c>
      <c r="C23" s="880">
        <f>'MI 4'!C23</f>
        <v>51</v>
      </c>
      <c r="D23" s="880">
        <f>'MI 4'!D23</f>
        <v>18</v>
      </c>
      <c r="E23" s="878">
        <f>'MI 4'!E23</f>
        <v>54</v>
      </c>
      <c r="G23" s="873">
        <f t="shared" si="0"/>
        <v>20</v>
      </c>
      <c r="H23" s="409">
        <v>11</v>
      </c>
      <c r="I23" s="762">
        <v>51</v>
      </c>
      <c r="J23" s="762">
        <v>18</v>
      </c>
      <c r="K23" s="417">
        <v>54</v>
      </c>
      <c r="M23" t="str">
        <v>mean</v>
      </c>
      <c r="N23" s="532">
        <v>15.77194850742568</v>
      </c>
      <c r="O23" s="7">
        <v>20.743190033103236</v>
      </c>
      <c r="P23" s="7">
        <v>24.162280138167432</v>
      </c>
      <c r="Q23" s="533">
        <v>42.19865936143573</v>
      </c>
      <c r="S23" s="409" t="str">
        <v/>
      </c>
      <c r="T23" s="762" t="str">
        <v/>
      </c>
      <c r="U23" s="762" t="str">
        <v/>
      </c>
      <c r="V23" s="417" t="str">
        <v/>
      </c>
    </row>
    <row r="24" spans="1:22" x14ac:dyDescent="0.25">
      <c r="A24" s="873" t="s">
        <v>7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873" t="s">
        <v>7</v>
      </c>
      <c r="H24">
        <f>AVERAGE(H4:H23)</f>
        <v>16.042987126856417</v>
      </c>
      <c r="I24">
        <f>AVERAGE(I4:I23)</f>
        <v>32.36147850496549</v>
      </c>
      <c r="J24">
        <f>AVERAGE(J4:J23)</f>
        <v>21.682456027633485</v>
      </c>
      <c r="K24">
        <f>AVERAGE(K4:K23)</f>
        <v>47.169865936143573</v>
      </c>
      <c r="M24" t="str">
        <v>stdev</v>
      </c>
      <c r="N24" s="532">
        <v>2.409641885188829</v>
      </c>
      <c r="O24" s="7">
        <v>6.2079732768886933</v>
      </c>
      <c r="P24" s="7">
        <v>2.5659011179042475</v>
      </c>
      <c r="Q24" s="533">
        <v>2.8490568777876963</v>
      </c>
    </row>
    <row r="25" spans="1:22" x14ac:dyDescent="0.25">
      <c r="A25" s="873" t="s">
        <v>9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873" t="s">
        <v>9</v>
      </c>
      <c r="H25">
        <f>STDEV(H4:H23)</f>
        <v>4.2516162599419127</v>
      </c>
      <c r="I25">
        <f>STDEV(I4:I23)</f>
        <v>11.284856742123061</v>
      </c>
      <c r="J25">
        <f>STDEV(J4:J23)</f>
        <v>3.3359026533231027</v>
      </c>
      <c r="K25">
        <f>STDEV(K4:K23)</f>
        <v>7.4432794845689463</v>
      </c>
      <c r="M25" t="str">
        <v>min</v>
      </c>
      <c r="N25" s="532">
        <v>12.613147035186245</v>
      </c>
      <c r="O25" s="7">
        <v>14.628148115606205</v>
      </c>
      <c r="P25" s="7">
        <v>21.227524304575756</v>
      </c>
      <c r="Q25" s="533">
        <v>40.184071923165874</v>
      </c>
    </row>
    <row r="26" spans="1:22" x14ac:dyDescent="0.25">
      <c r="M26" t="str">
        <v>max</v>
      </c>
      <c r="N26" s="409">
        <v>18.512090835578601</v>
      </c>
      <c r="O26" s="762">
        <v>27.040098120153143</v>
      </c>
      <c r="P26" s="762">
        <v>27.06127129632138</v>
      </c>
      <c r="Q26" s="417">
        <v>44.21324679970558</v>
      </c>
    </row>
    <row r="28" spans="1:22" x14ac:dyDescent="0.25">
      <c r="M28" t="s">
        <v>2008</v>
      </c>
    </row>
    <row r="30" spans="1:22" x14ac:dyDescent="0.25">
      <c r="M30" t="str">
        <f t="array" ref="M30:Q35">[1]!DescStats(S3:V23,TRUE,TRUE)</f>
        <v/>
      </c>
      <c r="N30" t="str">
        <v>read</v>
      </c>
      <c r="O30" t="str">
        <v>science</v>
      </c>
      <c r="P30" t="str">
        <v>math</v>
      </c>
      <c r="Q30" t="str">
        <v>medicine</v>
      </c>
    </row>
    <row r="31" spans="1:22" x14ac:dyDescent="0.25">
      <c r="M31" t="str">
        <v>count</v>
      </c>
      <c r="N31" s="869">
        <v>5</v>
      </c>
      <c r="O31" s="867">
        <v>3</v>
      </c>
      <c r="P31" s="867">
        <v>4</v>
      </c>
      <c r="Q31" s="870">
        <v>2</v>
      </c>
    </row>
    <row r="32" spans="1:22" x14ac:dyDescent="0.25">
      <c r="M32" t="str">
        <v>mean</v>
      </c>
      <c r="N32" s="532">
        <v>15.77194850742568</v>
      </c>
      <c r="O32" s="7">
        <v>20.743190033103236</v>
      </c>
      <c r="P32" s="7">
        <v>24.162280138167432</v>
      </c>
      <c r="Q32" s="533">
        <v>42.19865936143573</v>
      </c>
    </row>
    <row r="33" spans="13:17" x14ac:dyDescent="0.25">
      <c r="M33" t="str">
        <v>stdev</v>
      </c>
      <c r="N33" s="532">
        <v>2.409641885188829</v>
      </c>
      <c r="O33" s="7">
        <v>6.2079732768886933</v>
      </c>
      <c r="P33" s="7">
        <v>2.5659011179042475</v>
      </c>
      <c r="Q33" s="533">
        <v>2.8490568777876963</v>
      </c>
    </row>
    <row r="34" spans="13:17" x14ac:dyDescent="0.25">
      <c r="M34" t="str">
        <v>min</v>
      </c>
      <c r="N34" s="532">
        <v>12.613147035186245</v>
      </c>
      <c r="O34" s="7">
        <v>14.628148115606205</v>
      </c>
      <c r="P34" s="7">
        <v>21.227524304575756</v>
      </c>
      <c r="Q34" s="533">
        <v>40.184071923165874</v>
      </c>
    </row>
    <row r="35" spans="13:17" x14ac:dyDescent="0.25">
      <c r="M35" t="str">
        <v>max</v>
      </c>
      <c r="N35" s="409">
        <v>18.512090835578601</v>
      </c>
      <c r="O35" s="762">
        <v>27.040098120153143</v>
      </c>
      <c r="P35" s="762">
        <v>27.06127129632138</v>
      </c>
      <c r="Q35" s="417">
        <v>44.21324679970558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O29"/>
  <sheetViews>
    <sheetView zoomScaleNormal="100" workbookViewId="0"/>
  </sheetViews>
  <sheetFormatPr defaultRowHeight="15" x14ac:dyDescent="0.25"/>
  <cols>
    <col min="6" max="6" width="6.7109375" customWidth="1"/>
    <col min="12" max="12" width="6.7109375" customWidth="1"/>
    <col min="18" max="18" width="6.7109375" customWidth="1"/>
    <col min="24" max="24" width="6.7109375" customWidth="1"/>
  </cols>
  <sheetData>
    <row r="1" spans="1:41" x14ac:dyDescent="0.25">
      <c r="A1" s="1" t="s">
        <v>1997</v>
      </c>
      <c r="G1" t="s">
        <v>1998</v>
      </c>
      <c r="M1" t="s">
        <v>1999</v>
      </c>
      <c r="S1" t="s">
        <v>2000</v>
      </c>
      <c r="Y1" t="s">
        <v>2001</v>
      </c>
      <c r="AE1" t="s">
        <v>2080</v>
      </c>
    </row>
    <row r="3" spans="1:41" x14ac:dyDescent="0.25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  <c r="G3" s="873" t="s">
        <v>1985</v>
      </c>
      <c r="H3" s="873" t="s">
        <v>1983</v>
      </c>
      <c r="I3" s="873" t="s">
        <v>1964</v>
      </c>
      <c r="J3" s="873" t="s">
        <v>1963</v>
      </c>
      <c r="K3" s="873" t="s">
        <v>1984</v>
      </c>
      <c r="M3" s="873" t="s">
        <v>1985</v>
      </c>
      <c r="N3" s="873" t="s">
        <v>1983</v>
      </c>
      <c r="O3" s="873" t="s">
        <v>1964</v>
      </c>
      <c r="P3" s="873" t="s">
        <v>1963</v>
      </c>
      <c r="Q3" s="873" t="s">
        <v>1984</v>
      </c>
      <c r="S3" s="873" t="s">
        <v>1985</v>
      </c>
      <c r="T3" s="873" t="s">
        <v>1983</v>
      </c>
      <c r="U3" s="873" t="s">
        <v>1964</v>
      </c>
      <c r="V3" s="873" t="s">
        <v>1963</v>
      </c>
      <c r="W3" s="873" t="s">
        <v>1984</v>
      </c>
      <c r="Y3" s="873" t="s">
        <v>1985</v>
      </c>
      <c r="Z3" s="873" t="s">
        <v>1983</v>
      </c>
      <c r="AA3" s="873" t="s">
        <v>1964</v>
      </c>
      <c r="AB3" s="873" t="s">
        <v>1963</v>
      </c>
      <c r="AC3" s="873" t="s">
        <v>1984</v>
      </c>
      <c r="AF3" s="873">
        <v>1</v>
      </c>
      <c r="AG3" s="873">
        <v>2</v>
      </c>
      <c r="AH3" s="873">
        <v>3</v>
      </c>
      <c r="AI3" s="873">
        <v>4</v>
      </c>
    </row>
    <row r="4" spans="1:41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  <c r="G4" s="873">
        <v>1</v>
      </c>
      <c r="H4" s="869">
        <f t="array" ref="H4:K23">[1]!ImputeFCS($B$4:$E$23,FALSE)</f>
        <v>12</v>
      </c>
      <c r="I4" s="827">
        <v>27</v>
      </c>
      <c r="J4" s="827">
        <v>19</v>
      </c>
      <c r="K4" s="870">
        <v>44</v>
      </c>
      <c r="M4" s="873">
        <v>1</v>
      </c>
      <c r="N4" s="869">
        <f t="array" ref="N4:Q23">[1]!ImputeFCS($B$4:$E$23,FALSE)</f>
        <v>12</v>
      </c>
      <c r="O4" s="827">
        <v>27</v>
      </c>
      <c r="P4" s="827">
        <v>19</v>
      </c>
      <c r="Q4" s="870">
        <v>44</v>
      </c>
      <c r="S4" s="873">
        <v>1</v>
      </c>
      <c r="T4" s="869">
        <f t="array" ref="T4:W23">[1]!ImputeFCS($B$4:$E$23,FALSE)</f>
        <v>12</v>
      </c>
      <c r="U4" s="827">
        <v>27</v>
      </c>
      <c r="V4" s="827">
        <v>19</v>
      </c>
      <c r="W4" s="870">
        <v>44</v>
      </c>
      <c r="Y4" s="873">
        <v>1</v>
      </c>
      <c r="Z4" s="869">
        <f t="array" ref="Z4:AC23">[1]!ImputeFCS($B$4:$E$23,FALSE)</f>
        <v>12</v>
      </c>
      <c r="AA4" s="827">
        <v>27</v>
      </c>
      <c r="AB4" s="827">
        <v>19</v>
      </c>
      <c r="AC4" s="870">
        <v>44</v>
      </c>
      <c r="AE4" t="s">
        <v>1983</v>
      </c>
      <c r="AF4" s="869">
        <v>16.133333333333333</v>
      </c>
      <c r="AG4" s="827">
        <v>15.997640649054858</v>
      </c>
      <c r="AH4" s="827">
        <v>16.320781196305198</v>
      </c>
      <c r="AI4" s="870">
        <v>16.688484761863826</v>
      </c>
    </row>
    <row r="5" spans="1:41" x14ac:dyDescent="0.25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s="873">
        <f>G4+1</f>
        <v>2</v>
      </c>
      <c r="H5" s="532">
        <v>11</v>
      </c>
      <c r="I5" s="7">
        <v>-0.8812069638048543</v>
      </c>
      <c r="J5" s="7">
        <v>13</v>
      </c>
      <c r="K5" s="533">
        <v>43</v>
      </c>
      <c r="M5" s="873">
        <f>M4+1</f>
        <v>2</v>
      </c>
      <c r="N5" s="532">
        <v>11</v>
      </c>
      <c r="O5" s="7">
        <v>19.37098679114813</v>
      </c>
      <c r="P5" s="7">
        <v>13</v>
      </c>
      <c r="Q5" s="533">
        <v>43</v>
      </c>
      <c r="S5" s="873">
        <f>S4+1</f>
        <v>2</v>
      </c>
      <c r="T5" s="532">
        <v>11</v>
      </c>
      <c r="U5" s="7">
        <v>19.139847646428759</v>
      </c>
      <c r="V5" s="7">
        <v>13</v>
      </c>
      <c r="W5" s="533">
        <v>43</v>
      </c>
      <c r="Y5" s="873">
        <f>Y4+1</f>
        <v>2</v>
      </c>
      <c r="Z5" s="532">
        <v>11</v>
      </c>
      <c r="AA5" s="7">
        <v>17.823234259859003</v>
      </c>
      <c r="AB5" s="7">
        <v>13</v>
      </c>
      <c r="AC5" s="533">
        <v>43</v>
      </c>
      <c r="AE5" t="s">
        <v>1964</v>
      </c>
      <c r="AF5" s="532">
        <v>34.411764705882355</v>
      </c>
      <c r="AG5" s="7">
        <v>32.976957834614097</v>
      </c>
      <c r="AH5" s="7">
        <v>32.321278230945552</v>
      </c>
      <c r="AI5" s="533">
        <v>32.868927770244753</v>
      </c>
    </row>
    <row r="6" spans="1:41" x14ac:dyDescent="0.25">
      <c r="A6" s="873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G6" s="873">
        <f t="shared" ref="G6:G23" si="1">G5+1</f>
        <v>3</v>
      </c>
      <c r="H6" s="532">
        <v>22.561643946099437</v>
      </c>
      <c r="I6" s="7">
        <v>56</v>
      </c>
      <c r="J6" s="7">
        <v>23</v>
      </c>
      <c r="K6" s="533">
        <v>60</v>
      </c>
      <c r="M6" s="873">
        <f t="shared" ref="M6:M23" si="2">M5+1</f>
        <v>3</v>
      </c>
      <c r="N6" s="532">
        <v>16.809035825638013</v>
      </c>
      <c r="O6" s="7">
        <v>56</v>
      </c>
      <c r="P6" s="7">
        <v>23</v>
      </c>
      <c r="Q6" s="533">
        <v>60</v>
      </c>
      <c r="S6" s="873">
        <f t="shared" ref="S6:S23" si="3">S5+1</f>
        <v>3</v>
      </c>
      <c r="T6" s="532">
        <v>12.605910603692024</v>
      </c>
      <c r="U6" s="7">
        <v>56</v>
      </c>
      <c r="V6" s="7">
        <v>23</v>
      </c>
      <c r="W6" s="533">
        <v>60</v>
      </c>
      <c r="Y6" s="873">
        <f t="shared" ref="Y6:Y23" si="4">Y5+1</f>
        <v>3</v>
      </c>
      <c r="Z6" s="532">
        <v>16.842907487106228</v>
      </c>
      <c r="AA6" s="7">
        <v>56</v>
      </c>
      <c r="AB6" s="7">
        <v>23</v>
      </c>
      <c r="AC6" s="533">
        <v>60</v>
      </c>
      <c r="AE6" t="s">
        <v>1963</v>
      </c>
      <c r="AF6" s="532">
        <v>21.0625</v>
      </c>
      <c r="AG6" s="7">
        <v>21.454243790287023</v>
      </c>
      <c r="AH6" s="7">
        <v>21.133421896796548</v>
      </c>
      <c r="AI6" s="533">
        <v>21.215629585079949</v>
      </c>
    </row>
    <row r="7" spans="1:41" x14ac:dyDescent="0.25">
      <c r="A7" s="873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G7" s="873">
        <f t="shared" si="1"/>
        <v>4</v>
      </c>
      <c r="H7" s="532">
        <v>15</v>
      </c>
      <c r="I7" s="7">
        <v>37</v>
      </c>
      <c r="J7" s="7">
        <v>19</v>
      </c>
      <c r="K7" s="533">
        <v>52</v>
      </c>
      <c r="M7" s="873">
        <f t="shared" si="2"/>
        <v>4</v>
      </c>
      <c r="N7" s="532">
        <v>15</v>
      </c>
      <c r="O7" s="7">
        <v>37</v>
      </c>
      <c r="P7" s="7">
        <v>19</v>
      </c>
      <c r="Q7" s="533">
        <v>52</v>
      </c>
      <c r="S7" s="873">
        <f t="shared" si="3"/>
        <v>4</v>
      </c>
      <c r="T7" s="532">
        <v>15</v>
      </c>
      <c r="U7" s="7">
        <v>37</v>
      </c>
      <c r="V7" s="7">
        <v>19</v>
      </c>
      <c r="W7" s="533">
        <v>52</v>
      </c>
      <c r="Y7" s="873">
        <f t="shared" si="4"/>
        <v>4</v>
      </c>
      <c r="Z7" s="532">
        <v>15</v>
      </c>
      <c r="AA7" s="7">
        <v>37</v>
      </c>
      <c r="AB7" s="7">
        <v>19</v>
      </c>
      <c r="AC7" s="533">
        <v>52</v>
      </c>
      <c r="AE7" t="s">
        <v>1984</v>
      </c>
      <c r="AF7" s="532">
        <v>47.722222222222221</v>
      </c>
      <c r="AG7" s="7">
        <v>46.847376285936392</v>
      </c>
      <c r="AH7" s="7">
        <v>47.28341653710811</v>
      </c>
      <c r="AI7" s="533">
        <v>47.127129371373812</v>
      </c>
    </row>
    <row r="8" spans="1:41" x14ac:dyDescent="0.25">
      <c r="A8" s="873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  <c r="G8" s="873">
        <f t="shared" si="1"/>
        <v>5</v>
      </c>
      <c r="H8" s="532">
        <v>10</v>
      </c>
      <c r="I8" s="7">
        <v>31</v>
      </c>
      <c r="J8" s="7">
        <v>21</v>
      </c>
      <c r="K8" s="533">
        <v>39.602593929508707</v>
      </c>
      <c r="M8" s="873">
        <f t="shared" si="2"/>
        <v>5</v>
      </c>
      <c r="N8" s="532">
        <v>10</v>
      </c>
      <c r="O8" s="7">
        <v>31</v>
      </c>
      <c r="P8" s="7">
        <v>21</v>
      </c>
      <c r="Q8" s="533">
        <v>40.610074177781406</v>
      </c>
      <c r="S8" s="873">
        <f t="shared" si="3"/>
        <v>5</v>
      </c>
      <c r="T8" s="532">
        <v>10</v>
      </c>
      <c r="U8" s="7">
        <v>31</v>
      </c>
      <c r="V8" s="7">
        <v>21</v>
      </c>
      <c r="W8" s="533">
        <v>43.740833886000587</v>
      </c>
      <c r="Y8" s="873">
        <f t="shared" si="4"/>
        <v>5</v>
      </c>
      <c r="Z8" s="532">
        <v>10</v>
      </c>
      <c r="AA8" s="7">
        <v>31</v>
      </c>
      <c r="AB8" s="7">
        <v>21</v>
      </c>
      <c r="AC8" s="533">
        <v>38.062983272094598</v>
      </c>
      <c r="AE8" t="s">
        <v>1983</v>
      </c>
      <c r="AF8" s="869">
        <v>4.7789219744724045</v>
      </c>
      <c r="AG8" s="827">
        <v>4.3472416851914204</v>
      </c>
      <c r="AH8" s="827">
        <v>4.3056843931223581</v>
      </c>
      <c r="AI8" s="870">
        <v>4.2375486357951972</v>
      </c>
    </row>
    <row r="9" spans="1:41" x14ac:dyDescent="0.25">
      <c r="A9" s="873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  <c r="G9" s="873">
        <f t="shared" si="1"/>
        <v>6</v>
      </c>
      <c r="H9" s="532">
        <v>18</v>
      </c>
      <c r="I9" s="7">
        <v>40</v>
      </c>
      <c r="J9" s="7">
        <v>22</v>
      </c>
      <c r="K9" s="533">
        <v>43</v>
      </c>
      <c r="M9" s="873">
        <f t="shared" si="2"/>
        <v>6</v>
      </c>
      <c r="N9" s="532">
        <v>18</v>
      </c>
      <c r="O9" s="7">
        <v>40</v>
      </c>
      <c r="P9" s="7">
        <v>22</v>
      </c>
      <c r="Q9" s="533">
        <v>43</v>
      </c>
      <c r="S9" s="873">
        <f t="shared" si="3"/>
        <v>6</v>
      </c>
      <c r="T9" s="532">
        <v>18</v>
      </c>
      <c r="U9" s="7">
        <v>40</v>
      </c>
      <c r="V9" s="7">
        <v>22</v>
      </c>
      <c r="W9" s="533">
        <v>43</v>
      </c>
      <c r="Y9" s="873">
        <f t="shared" si="4"/>
        <v>6</v>
      </c>
      <c r="Z9" s="532">
        <v>18</v>
      </c>
      <c r="AA9" s="7">
        <v>40</v>
      </c>
      <c r="AB9" s="7">
        <v>22</v>
      </c>
      <c r="AC9" s="533">
        <v>43</v>
      </c>
      <c r="AE9" t="s">
        <v>1964</v>
      </c>
      <c r="AF9" s="532">
        <v>10.79964596369606</v>
      </c>
      <c r="AG9" s="7">
        <v>10.903674618067848</v>
      </c>
      <c r="AH9" s="7">
        <v>11.568321126873629</v>
      </c>
      <c r="AI9" s="533">
        <v>10.712799484477767</v>
      </c>
    </row>
    <row r="10" spans="1:41" x14ac:dyDescent="0.25">
      <c r="A10" s="873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  <c r="G10" s="873">
        <f t="shared" si="1"/>
        <v>7</v>
      </c>
      <c r="H10" s="532">
        <v>15</v>
      </c>
      <c r="I10" s="7">
        <v>50</v>
      </c>
      <c r="J10" s="7">
        <v>28</v>
      </c>
      <c r="K10" s="533">
        <v>56</v>
      </c>
      <c r="M10" s="873">
        <f t="shared" si="2"/>
        <v>7</v>
      </c>
      <c r="N10" s="532">
        <v>15</v>
      </c>
      <c r="O10" s="7">
        <v>50</v>
      </c>
      <c r="P10" s="7">
        <v>28</v>
      </c>
      <c r="Q10" s="533">
        <v>56</v>
      </c>
      <c r="S10" s="873">
        <f t="shared" si="3"/>
        <v>7</v>
      </c>
      <c r="T10" s="532">
        <v>15</v>
      </c>
      <c r="U10" s="7">
        <v>50</v>
      </c>
      <c r="V10" s="7">
        <v>28</v>
      </c>
      <c r="W10" s="533">
        <v>56</v>
      </c>
      <c r="Y10" s="873">
        <f t="shared" si="4"/>
        <v>7</v>
      </c>
      <c r="Z10" s="532">
        <v>15</v>
      </c>
      <c r="AA10" s="7">
        <v>50</v>
      </c>
      <c r="AB10" s="7">
        <v>28</v>
      </c>
      <c r="AC10" s="533">
        <v>56</v>
      </c>
      <c r="AE10" t="s">
        <v>1963</v>
      </c>
      <c r="AF10" s="532">
        <v>3.2755406678389241</v>
      </c>
      <c r="AG10" s="7">
        <v>3.1058808736308059</v>
      </c>
      <c r="AH10" s="7">
        <v>3.5806999172823515</v>
      </c>
      <c r="AI10" s="533">
        <v>3.0563814299547247</v>
      </c>
    </row>
    <row r="11" spans="1:41" x14ac:dyDescent="0.25">
      <c r="A11" s="873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  <c r="G11" s="873">
        <f t="shared" si="1"/>
        <v>8</v>
      </c>
      <c r="H11" s="532">
        <v>21</v>
      </c>
      <c r="I11" s="7">
        <v>37.75094737582581</v>
      </c>
      <c r="J11" s="7">
        <v>24.674499801070311</v>
      </c>
      <c r="K11" s="533">
        <v>46</v>
      </c>
      <c r="M11" s="873">
        <f t="shared" si="2"/>
        <v>8</v>
      </c>
      <c r="N11" s="532">
        <v>21</v>
      </c>
      <c r="O11" s="7">
        <v>25.942632862797527</v>
      </c>
      <c r="P11" s="7">
        <v>20.920627472241517</v>
      </c>
      <c r="Q11" s="533">
        <v>46</v>
      </c>
      <c r="S11" s="873">
        <f t="shared" si="3"/>
        <v>8</v>
      </c>
      <c r="T11" s="532">
        <v>21</v>
      </c>
      <c r="U11" s="7">
        <v>24.083714874082013</v>
      </c>
      <c r="V11" s="7">
        <v>21.605294099747098</v>
      </c>
      <c r="W11" s="533">
        <v>46</v>
      </c>
      <c r="Y11" s="873">
        <f t="shared" si="4"/>
        <v>8</v>
      </c>
      <c r="Z11" s="532">
        <v>21</v>
      </c>
      <c r="AA11" s="7">
        <v>19.895798516264268</v>
      </c>
      <c r="AB11" s="7">
        <v>21.180644976473822</v>
      </c>
      <c r="AC11" s="533">
        <v>46</v>
      </c>
      <c r="AE11" t="s">
        <v>1984</v>
      </c>
      <c r="AF11" s="409">
        <v>7.6297063050063398</v>
      </c>
      <c r="AG11" s="762">
        <v>7.7030074550478851</v>
      </c>
      <c r="AH11" s="762">
        <v>7.3622212897393089</v>
      </c>
      <c r="AI11" s="417">
        <v>7.4761378115790551</v>
      </c>
    </row>
    <row r="12" spans="1:41" x14ac:dyDescent="0.25">
      <c r="A12" s="873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G12" s="873">
        <f t="shared" si="1"/>
        <v>9</v>
      </c>
      <c r="H12" s="532">
        <v>20</v>
      </c>
      <c r="I12" s="7">
        <v>39</v>
      </c>
      <c r="J12" s="7">
        <v>25</v>
      </c>
      <c r="K12" s="533">
        <v>51</v>
      </c>
      <c r="M12" s="873">
        <f t="shared" si="2"/>
        <v>9</v>
      </c>
      <c r="N12" s="532">
        <v>20</v>
      </c>
      <c r="O12" s="7">
        <v>39</v>
      </c>
      <c r="P12" s="7">
        <v>25</v>
      </c>
      <c r="Q12" s="533">
        <v>51</v>
      </c>
      <c r="S12" s="873">
        <f t="shared" si="3"/>
        <v>9</v>
      </c>
      <c r="T12" s="532">
        <v>20</v>
      </c>
      <c r="U12" s="7">
        <v>39</v>
      </c>
      <c r="V12" s="7">
        <v>25</v>
      </c>
      <c r="W12" s="533">
        <v>51</v>
      </c>
      <c r="Y12" s="873">
        <f t="shared" si="4"/>
        <v>9</v>
      </c>
      <c r="Z12" s="532">
        <v>20</v>
      </c>
      <c r="AA12" s="7">
        <v>39</v>
      </c>
      <c r="AB12" s="7">
        <v>25</v>
      </c>
      <c r="AC12" s="533">
        <v>51</v>
      </c>
    </row>
    <row r="13" spans="1:41" x14ac:dyDescent="0.25">
      <c r="A13" s="873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G13" s="873">
        <f t="shared" si="1"/>
        <v>10</v>
      </c>
      <c r="H13" s="532">
        <v>22.514471102236264</v>
      </c>
      <c r="I13" s="7">
        <v>36</v>
      </c>
      <c r="J13" s="7">
        <v>23</v>
      </c>
      <c r="K13" s="533">
        <v>56</v>
      </c>
      <c r="M13" s="873">
        <f t="shared" si="2"/>
        <v>10</v>
      </c>
      <c r="N13" s="532">
        <v>19.621448601229911</v>
      </c>
      <c r="O13" s="7">
        <v>36</v>
      </c>
      <c r="P13" s="7">
        <v>23</v>
      </c>
      <c r="Q13" s="533">
        <v>56</v>
      </c>
      <c r="S13" s="873">
        <f t="shared" si="3"/>
        <v>10</v>
      </c>
      <c r="T13" s="532">
        <v>19.252374071000027</v>
      </c>
      <c r="U13" s="7">
        <v>36</v>
      </c>
      <c r="V13" s="7">
        <v>23</v>
      </c>
      <c r="W13" s="533">
        <v>56</v>
      </c>
      <c r="Y13" s="873">
        <f t="shared" si="4"/>
        <v>10</v>
      </c>
      <c r="Z13" s="532">
        <v>20.015422624903351</v>
      </c>
      <c r="AA13" s="7">
        <v>36</v>
      </c>
      <c r="AB13" s="7">
        <v>23</v>
      </c>
      <c r="AC13" s="533">
        <v>56</v>
      </c>
      <c r="AE13" t="s">
        <v>2010</v>
      </c>
    </row>
    <row r="14" spans="1:41" x14ac:dyDescent="0.25">
      <c r="A14" s="873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G14" s="873">
        <f t="shared" si="1"/>
        <v>11</v>
      </c>
      <c r="H14" s="532">
        <v>12.272467024751595</v>
      </c>
      <c r="I14" s="7">
        <v>27</v>
      </c>
      <c r="J14" s="7">
        <v>21</v>
      </c>
      <c r="K14" s="533">
        <v>39</v>
      </c>
      <c r="M14" s="873">
        <f t="shared" si="2"/>
        <v>11</v>
      </c>
      <c r="N14" s="532">
        <v>16.654672063302769</v>
      </c>
      <c r="O14" s="7">
        <v>27</v>
      </c>
      <c r="P14" s="7">
        <v>21</v>
      </c>
      <c r="Q14" s="533">
        <v>39</v>
      </c>
      <c r="S14" s="873">
        <f t="shared" si="3"/>
        <v>11</v>
      </c>
      <c r="T14" s="532">
        <v>17.304470905801576</v>
      </c>
      <c r="U14" s="7">
        <v>27</v>
      </c>
      <c r="V14" s="7">
        <v>21</v>
      </c>
      <c r="W14" s="533">
        <v>39</v>
      </c>
      <c r="Y14" s="873">
        <f t="shared" si="4"/>
        <v>11</v>
      </c>
      <c r="Z14" s="532">
        <v>14.488905923219223</v>
      </c>
      <c r="AA14" s="7">
        <v>27</v>
      </c>
      <c r="AB14" s="7">
        <v>21</v>
      </c>
      <c r="AC14" s="533">
        <v>39</v>
      </c>
    </row>
    <row r="15" spans="1:41" x14ac:dyDescent="0.25">
      <c r="A15" s="873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  <c r="G15" s="873">
        <f t="shared" si="1"/>
        <v>12</v>
      </c>
      <c r="H15" s="532">
        <v>14</v>
      </c>
      <c r="I15" s="7">
        <v>32</v>
      </c>
      <c r="J15" s="7">
        <v>20</v>
      </c>
      <c r="K15" s="533">
        <v>46</v>
      </c>
      <c r="M15" s="873">
        <f t="shared" si="2"/>
        <v>12</v>
      </c>
      <c r="N15" s="532">
        <v>14</v>
      </c>
      <c r="O15" s="7">
        <v>32</v>
      </c>
      <c r="P15" s="7">
        <v>20</v>
      </c>
      <c r="Q15" s="533">
        <v>46</v>
      </c>
      <c r="S15" s="873">
        <f t="shared" si="3"/>
        <v>12</v>
      </c>
      <c r="T15" s="532">
        <v>14</v>
      </c>
      <c r="U15" s="7">
        <v>32</v>
      </c>
      <c r="V15" s="7">
        <v>20</v>
      </c>
      <c r="W15" s="533">
        <v>46</v>
      </c>
      <c r="Y15" s="873">
        <f t="shared" si="4"/>
        <v>12</v>
      </c>
      <c r="Z15" s="532">
        <v>14</v>
      </c>
      <c r="AA15" s="7">
        <v>32</v>
      </c>
      <c r="AB15" s="7">
        <v>20</v>
      </c>
      <c r="AC15" s="533">
        <v>46</v>
      </c>
      <c r="AE15" t="str">
        <f t="array" ref="AE15:AO19">[1]!ImputeVar(AE4:AI11,20,TRUE)</f>
        <v/>
      </c>
      <c r="AF15" s="873" t="str">
        <v>estimate</v>
      </c>
      <c r="AG15" s="873" t="str">
        <v>tot var</v>
      </c>
      <c r="AH15" s="873" t="str">
        <v>df</v>
      </c>
      <c r="AI15" s="873" t="str">
        <v>within</v>
      </c>
      <c r="AJ15" s="873" t="str">
        <v>between</v>
      </c>
      <c r="AK15" s="873" t="str">
        <v>incr var</v>
      </c>
      <c r="AL15" s="873" t="str">
        <v>% miss</v>
      </c>
      <c r="AM15" s="873" t="str">
        <v>rel eff</v>
      </c>
      <c r="AN15" s="873" t="str">
        <v>min</v>
      </c>
      <c r="AO15" s="873" t="str">
        <v>max</v>
      </c>
    </row>
    <row r="16" spans="1:41" x14ac:dyDescent="0.25">
      <c r="A16" s="873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G16" s="873">
        <f t="shared" si="1"/>
        <v>13</v>
      </c>
      <c r="H16" s="532">
        <v>22</v>
      </c>
      <c r="I16" s="7">
        <v>40</v>
      </c>
      <c r="J16" s="7">
        <v>25.284520718324941</v>
      </c>
      <c r="K16" s="533">
        <v>49</v>
      </c>
      <c r="M16" s="873">
        <f t="shared" si="2"/>
        <v>13</v>
      </c>
      <c r="N16" s="532">
        <v>22</v>
      </c>
      <c r="O16" s="7">
        <v>40</v>
      </c>
      <c r="P16" s="7">
        <v>26.118108818928974</v>
      </c>
      <c r="Q16" s="533">
        <v>49</v>
      </c>
      <c r="S16" s="873">
        <f t="shared" si="3"/>
        <v>13</v>
      </c>
      <c r="T16" s="532">
        <v>22</v>
      </c>
      <c r="U16" s="7">
        <v>40</v>
      </c>
      <c r="V16" s="7">
        <v>25.310040909794882</v>
      </c>
      <c r="W16" s="533">
        <v>49</v>
      </c>
      <c r="Y16" s="873">
        <f t="shared" si="4"/>
        <v>13</v>
      </c>
      <c r="Z16" s="532">
        <v>22</v>
      </c>
      <c r="AA16" s="7">
        <v>40</v>
      </c>
      <c r="AB16" s="7">
        <v>25.469861855894106</v>
      </c>
      <c r="AC16" s="533">
        <v>49</v>
      </c>
      <c r="AE16" t="str">
        <v>read</v>
      </c>
      <c r="AF16" s="869">
        <v>16.285059985139306</v>
      </c>
      <c r="AG16" s="827">
        <v>4.5297068417394541</v>
      </c>
      <c r="AH16" s="827">
        <v>19.257277178845015</v>
      </c>
      <c r="AI16" s="827">
        <v>4.4173491721453448</v>
      </c>
      <c r="AJ16" s="827">
        <v>8.9886135675287623E-2</v>
      </c>
      <c r="AK16" s="827">
        <v>6.8994323445317291E-3</v>
      </c>
      <c r="AL16" s="827">
        <v>9.6094684600318822E-2</v>
      </c>
      <c r="AM16" s="827">
        <v>0.976539925953959</v>
      </c>
      <c r="AN16" s="827">
        <v>15.997640649054858</v>
      </c>
      <c r="AO16" s="870">
        <v>16.688484761863826</v>
      </c>
    </row>
    <row r="17" spans="1:41" x14ac:dyDescent="0.25">
      <c r="A17" s="873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  <c r="G17" s="873">
        <f t="shared" si="1"/>
        <v>14</v>
      </c>
      <c r="H17" s="532">
        <v>13.009945047388978</v>
      </c>
      <c r="I17" s="7">
        <v>31</v>
      </c>
      <c r="J17" s="7">
        <v>21.244049662797426</v>
      </c>
      <c r="K17" s="533">
        <v>44</v>
      </c>
      <c r="M17" s="873">
        <f t="shared" si="2"/>
        <v>14</v>
      </c>
      <c r="N17" s="532">
        <v>13.509220842814456</v>
      </c>
      <c r="O17" s="7">
        <v>31</v>
      </c>
      <c r="P17" s="7">
        <v>17.983679000222168</v>
      </c>
      <c r="Q17" s="533">
        <v>44</v>
      </c>
      <c r="S17" s="873">
        <f t="shared" si="3"/>
        <v>14</v>
      </c>
      <c r="T17" s="532">
        <v>18.008324673593123</v>
      </c>
      <c r="U17" s="7">
        <v>31</v>
      </c>
      <c r="V17" s="7">
        <v>21.459362110663744</v>
      </c>
      <c r="W17" s="533">
        <v>44</v>
      </c>
      <c r="Y17" s="873">
        <f t="shared" si="4"/>
        <v>14</v>
      </c>
      <c r="Z17" s="532">
        <v>13.863518204508571</v>
      </c>
      <c r="AA17" s="7">
        <v>31</v>
      </c>
      <c r="AB17" s="7">
        <v>17.830619254985194</v>
      </c>
      <c r="AC17" s="533">
        <v>44</v>
      </c>
      <c r="AE17" t="str">
        <v>science</v>
      </c>
      <c r="AF17" s="532">
        <v>33.144732135421691</v>
      </c>
      <c r="AG17" s="7">
        <v>11.990970352973529</v>
      </c>
      <c r="AH17" s="7">
        <v>20.043345652745725</v>
      </c>
      <c r="AI17" s="7">
        <v>10.996110298278825</v>
      </c>
      <c r="AJ17" s="7">
        <v>0.79588804375576228</v>
      </c>
      <c r="AK17" s="7">
        <v>3.0015631160630152E-2</v>
      </c>
      <c r="AL17" s="7">
        <v>0.11340467069021143</v>
      </c>
      <c r="AM17" s="7">
        <v>0.97243046095166152</v>
      </c>
      <c r="AN17" s="7">
        <v>32.321278230945552</v>
      </c>
      <c r="AO17" s="533">
        <v>34.411764705882355</v>
      </c>
    </row>
    <row r="18" spans="1:41" x14ac:dyDescent="0.25">
      <c r="A18" s="873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G18" s="873">
        <f t="shared" si="1"/>
        <v>15</v>
      </c>
      <c r="H18" s="532">
        <v>13.417492259032281</v>
      </c>
      <c r="I18" s="7">
        <v>18</v>
      </c>
      <c r="J18" s="7">
        <v>21</v>
      </c>
      <c r="K18" s="533">
        <v>37.8091536784966</v>
      </c>
      <c r="M18" s="873">
        <f t="shared" si="2"/>
        <v>15</v>
      </c>
      <c r="N18" s="532">
        <v>15.661939542758992</v>
      </c>
      <c r="O18" s="7">
        <v>18</v>
      </c>
      <c r="P18" s="7">
        <v>21</v>
      </c>
      <c r="Q18" s="533">
        <v>40.743322248314122</v>
      </c>
      <c r="S18" s="873">
        <f t="shared" si="3"/>
        <v>15</v>
      </c>
      <c r="T18" s="532">
        <v>22.663120007339213</v>
      </c>
      <c r="U18" s="7">
        <v>18</v>
      </c>
      <c r="V18" s="7">
        <v>21</v>
      </c>
      <c r="W18" s="533">
        <v>41.738728772261886</v>
      </c>
      <c r="Y18" s="873">
        <f t="shared" si="4"/>
        <v>15</v>
      </c>
      <c r="Z18" s="532">
        <v>17.626934674337427</v>
      </c>
      <c r="AA18" s="7">
        <v>18</v>
      </c>
      <c r="AB18" s="7">
        <v>21</v>
      </c>
      <c r="AC18" s="533">
        <v>35.9322653247592</v>
      </c>
      <c r="AE18" t="str">
        <v>math</v>
      </c>
      <c r="AF18" s="532">
        <v>21.216448818040881</v>
      </c>
      <c r="AG18" s="7">
        <v>3.2909344005915702</v>
      </c>
      <c r="AH18" s="7">
        <v>19.06473316048082</v>
      </c>
      <c r="AI18" s="7">
        <v>3.2546257221767014</v>
      </c>
      <c r="AJ18" s="7">
        <v>2.9046942731894926E-2</v>
      </c>
      <c r="AK18" s="7">
        <v>1.7113456981544656E-3</v>
      </c>
      <c r="AL18" s="7">
        <v>9.2195949831344895E-2</v>
      </c>
      <c r="AM18" s="7">
        <v>0.97747029933032792</v>
      </c>
      <c r="AN18" s="7">
        <v>21.0625</v>
      </c>
      <c r="AO18" s="533">
        <v>21.454243790287023</v>
      </c>
    </row>
    <row r="19" spans="1:41" x14ac:dyDescent="0.25">
      <c r="A19" s="873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  <c r="G19" s="873">
        <f t="shared" si="1"/>
        <v>16</v>
      </c>
      <c r="H19" s="532">
        <v>16</v>
      </c>
      <c r="I19" s="7">
        <v>23</v>
      </c>
      <c r="J19" s="7">
        <v>21</v>
      </c>
      <c r="K19" s="533">
        <v>34</v>
      </c>
      <c r="M19" s="873">
        <f t="shared" si="2"/>
        <v>16</v>
      </c>
      <c r="N19" s="532">
        <v>16</v>
      </c>
      <c r="O19" s="7">
        <v>23</v>
      </c>
      <c r="P19" s="7">
        <v>21</v>
      </c>
      <c r="Q19" s="533">
        <v>34</v>
      </c>
      <c r="S19" s="873">
        <f t="shared" si="3"/>
        <v>16</v>
      </c>
      <c r="T19" s="532">
        <v>16</v>
      </c>
      <c r="U19" s="7">
        <v>23</v>
      </c>
      <c r="V19" s="7">
        <v>21</v>
      </c>
      <c r="W19" s="533">
        <v>34</v>
      </c>
      <c r="Y19" s="873">
        <f t="shared" si="4"/>
        <v>16</v>
      </c>
      <c r="Z19" s="532">
        <v>16</v>
      </c>
      <c r="AA19" s="7">
        <v>23</v>
      </c>
      <c r="AB19" s="7">
        <v>21</v>
      </c>
      <c r="AC19" s="533">
        <v>34</v>
      </c>
      <c r="AE19" t="str">
        <v>medicine</v>
      </c>
      <c r="AF19" s="409">
        <v>47.245036104160135</v>
      </c>
      <c r="AG19" s="762">
        <v>7.7099411226641994</v>
      </c>
      <c r="AH19" s="762">
        <v>19.13318076374825</v>
      </c>
      <c r="AI19" s="762">
        <v>7.5427682153431475</v>
      </c>
      <c r="AJ19" s="762">
        <v>0.1337383258568412</v>
      </c>
      <c r="AK19" s="762">
        <v>3.5384226811148774E-3</v>
      </c>
      <c r="AL19" s="762">
        <v>9.3569403249716535E-2</v>
      </c>
      <c r="AM19" s="762">
        <v>0.97714234350700491</v>
      </c>
      <c r="AN19" s="762">
        <v>46.847376285936392</v>
      </c>
      <c r="AO19" s="417">
        <v>47.722222222222221</v>
      </c>
    </row>
    <row r="20" spans="1:41" x14ac:dyDescent="0.25">
      <c r="A20" s="873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G20" s="873">
        <f t="shared" si="1"/>
        <v>17</v>
      </c>
      <c r="H20" s="532">
        <v>27</v>
      </c>
      <c r="I20" s="7">
        <v>26</v>
      </c>
      <c r="J20" s="7">
        <v>23</v>
      </c>
      <c r="K20" s="533">
        <v>59</v>
      </c>
      <c r="M20" s="873">
        <f t="shared" si="2"/>
        <v>17</v>
      </c>
      <c r="N20" s="532">
        <v>27</v>
      </c>
      <c r="O20" s="7">
        <v>26</v>
      </c>
      <c r="P20" s="7">
        <v>23</v>
      </c>
      <c r="Q20" s="533">
        <v>59</v>
      </c>
      <c r="S20" s="873">
        <f t="shared" si="3"/>
        <v>17</v>
      </c>
      <c r="T20" s="532">
        <v>27</v>
      </c>
      <c r="U20" s="7">
        <v>26</v>
      </c>
      <c r="V20" s="7">
        <v>23</v>
      </c>
      <c r="W20" s="533">
        <v>59</v>
      </c>
      <c r="Y20" s="873">
        <f t="shared" si="4"/>
        <v>17</v>
      </c>
      <c r="Z20" s="532">
        <v>27</v>
      </c>
      <c r="AA20" s="7">
        <v>26</v>
      </c>
      <c r="AB20" s="7">
        <v>23</v>
      </c>
      <c r="AC20" s="533">
        <v>59</v>
      </c>
    </row>
    <row r="21" spans="1:41" x14ac:dyDescent="0.25">
      <c r="A21" s="873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  <c r="G21" s="873">
        <f t="shared" si="1"/>
        <v>18</v>
      </c>
      <c r="H21" s="532">
        <v>17</v>
      </c>
      <c r="I21" s="7">
        <v>18.599016445877663</v>
      </c>
      <c r="J21" s="7">
        <v>21.409738887673626</v>
      </c>
      <c r="K21" s="533">
        <v>35</v>
      </c>
      <c r="M21" s="873">
        <f t="shared" si="2"/>
        <v>18</v>
      </c>
      <c r="N21" s="532">
        <v>17</v>
      </c>
      <c r="O21" s="7">
        <v>16.337394764624001</v>
      </c>
      <c r="P21" s="7">
        <v>18.761656643758439</v>
      </c>
      <c r="Q21" s="533">
        <v>35</v>
      </c>
      <c r="S21" s="873">
        <f t="shared" si="3"/>
        <v>18</v>
      </c>
      <c r="T21" s="532">
        <v>17</v>
      </c>
      <c r="U21" s="7">
        <v>23.040216699121096</v>
      </c>
      <c r="V21" s="7">
        <v>19.683056532161114</v>
      </c>
      <c r="W21" s="533">
        <v>35</v>
      </c>
      <c r="Y21" s="873">
        <f t="shared" si="4"/>
        <v>18</v>
      </c>
      <c r="Z21" s="532">
        <v>17</v>
      </c>
      <c r="AA21" s="7">
        <v>14.818158107035147</v>
      </c>
      <c r="AB21" s="7">
        <v>19.887917457968385</v>
      </c>
      <c r="AC21" s="533">
        <v>35</v>
      </c>
      <c r="AE21" t="s">
        <v>2011</v>
      </c>
    </row>
    <row r="22" spans="1:41" x14ac:dyDescent="0.25">
      <c r="A22" s="873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  <c r="G22" s="873">
        <f t="shared" si="1"/>
        <v>19</v>
      </c>
      <c r="H22" s="532">
        <v>13</v>
      </c>
      <c r="I22" s="7">
        <v>21</v>
      </c>
      <c r="J22" s="7">
        <v>20</v>
      </c>
      <c r="K22" s="533">
        <v>48</v>
      </c>
      <c r="M22" s="873">
        <f t="shared" si="2"/>
        <v>19</v>
      </c>
      <c r="N22" s="532">
        <v>13</v>
      </c>
      <c r="O22" s="7">
        <v>21</v>
      </c>
      <c r="P22" s="7">
        <v>20</v>
      </c>
      <c r="Q22" s="533">
        <v>48</v>
      </c>
      <c r="S22" s="873">
        <f t="shared" si="3"/>
        <v>19</v>
      </c>
      <c r="T22" s="532">
        <v>13</v>
      </c>
      <c r="U22" s="7">
        <v>21</v>
      </c>
      <c r="V22" s="7">
        <v>20</v>
      </c>
      <c r="W22" s="533">
        <v>48</v>
      </c>
      <c r="Y22" s="873">
        <f t="shared" si="4"/>
        <v>19</v>
      </c>
      <c r="Z22" s="532">
        <v>13</v>
      </c>
      <c r="AA22" s="7">
        <v>21</v>
      </c>
      <c r="AB22" s="7">
        <v>20</v>
      </c>
      <c r="AC22" s="533">
        <v>48</v>
      </c>
    </row>
    <row r="23" spans="1:41" x14ac:dyDescent="0.25">
      <c r="A23" s="873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  <c r="G23" s="873">
        <f t="shared" si="1"/>
        <v>20</v>
      </c>
      <c r="H23" s="409">
        <v>11</v>
      </c>
      <c r="I23" s="762">
        <v>51</v>
      </c>
      <c r="J23" s="762">
        <v>18</v>
      </c>
      <c r="K23" s="417">
        <v>54</v>
      </c>
      <c r="M23" s="873">
        <f t="shared" si="2"/>
        <v>20</v>
      </c>
      <c r="N23" s="409">
        <v>11</v>
      </c>
      <c r="O23" s="762">
        <v>51</v>
      </c>
      <c r="P23" s="762">
        <v>18</v>
      </c>
      <c r="Q23" s="417">
        <v>54</v>
      </c>
      <c r="S23" s="873">
        <f t="shared" si="3"/>
        <v>20</v>
      </c>
      <c r="T23" s="409">
        <v>11</v>
      </c>
      <c r="U23" s="762">
        <v>51</v>
      </c>
      <c r="V23" s="762">
        <v>18</v>
      </c>
      <c r="W23" s="417">
        <v>54</v>
      </c>
      <c r="Y23" s="873">
        <f t="shared" si="4"/>
        <v>20</v>
      </c>
      <c r="Z23" s="409">
        <v>11</v>
      </c>
      <c r="AA23" s="762">
        <v>51</v>
      </c>
      <c r="AB23" s="762">
        <v>18</v>
      </c>
      <c r="AC23" s="417">
        <v>54</v>
      </c>
      <c r="AE23" t="str">
        <f t="array" ref="AE23:AL27">[1]!ImputeParam(AE4:AI11,20,TRUE)</f>
        <v/>
      </c>
      <c r="AF23" s="921" t="str">
        <v>coeff</v>
      </c>
      <c r="AG23" s="921" t="str">
        <v>std err</v>
      </c>
      <c r="AH23" s="921" t="str">
        <v>df</v>
      </c>
      <c r="AI23" s="921" t="str">
        <v>t stat</v>
      </c>
      <c r="AJ23" s="921" t="str">
        <v>p-value</v>
      </c>
      <c r="AK23" s="921" t="str">
        <v>lower</v>
      </c>
      <c r="AL23" s="921" t="str">
        <v>upper</v>
      </c>
    </row>
    <row r="24" spans="1:41" x14ac:dyDescent="0.25">
      <c r="AE24" t="str">
        <v>read</v>
      </c>
      <c r="AF24" s="869">
        <v>16.285059985139306</v>
      </c>
      <c r="AG24" s="827">
        <v>2.1283107953819749</v>
      </c>
      <c r="AH24" s="827">
        <v>19.257277178845015</v>
      </c>
      <c r="AI24" s="827">
        <v>7.651636227413193</v>
      </c>
      <c r="AJ24" s="827">
        <v>3.2259061157683084E-7</v>
      </c>
      <c r="AK24" s="827">
        <v>11.105942913353363</v>
      </c>
      <c r="AL24" s="870">
        <v>21.464177056925248</v>
      </c>
    </row>
    <row r="25" spans="1:41" x14ac:dyDescent="0.25">
      <c r="A25" s="873" t="s">
        <v>7</v>
      </c>
      <c r="B25">
        <f>AVERAGE(B4:B23)</f>
        <v>16.133333333333333</v>
      </c>
      <c r="C25">
        <f>AVERAGE(C4:C23)</f>
        <v>34.411764705882355</v>
      </c>
      <c r="D25">
        <f>AVERAGE(D4:D23)</f>
        <v>21.0625</v>
      </c>
      <c r="E25">
        <f>AVERAGE(E4:E23)</f>
        <v>47.722222222222221</v>
      </c>
      <c r="G25" t="s">
        <v>7</v>
      </c>
      <c r="H25" s="869">
        <f t="array" ref="H25:K29">[1]!MISummary(H4:K23,FALSE)</f>
        <v>16.288800968975426</v>
      </c>
      <c r="I25" s="867">
        <v>32.023437842894928</v>
      </c>
      <c r="J25" s="867">
        <v>21.480640453493312</v>
      </c>
      <c r="K25" s="870">
        <v>46.820587380400262</v>
      </c>
      <c r="M25" t="s">
        <v>7</v>
      </c>
      <c r="N25" s="869">
        <f t="array" ref="N25:Q29">[1]!MISummary(N4:Q23,FALSE)</f>
        <v>16.212815843787205</v>
      </c>
      <c r="O25" s="867">
        <v>32.332550720928488</v>
      </c>
      <c r="P25" s="867">
        <v>21.039203596757556</v>
      </c>
      <c r="Q25" s="870">
        <v>47.017669821304779</v>
      </c>
      <c r="S25" t="s">
        <v>7</v>
      </c>
      <c r="T25" s="869">
        <f t="array" ref="T25:W29">[1]!MISummary(T4:W23,FALSE)</f>
        <v>16.5917100130713</v>
      </c>
      <c r="U25" s="867">
        <v>32.563188960981591</v>
      </c>
      <c r="V25" s="867">
        <v>21.252887682618343</v>
      </c>
      <c r="W25" s="870">
        <v>47.223978132913125</v>
      </c>
      <c r="Y25" t="s">
        <v>7</v>
      </c>
      <c r="Z25" s="869">
        <f t="array" ref="Z25:AC29">[1]!MISummary(Z4:AC23,FALSE)</f>
        <v>16.241884445703739</v>
      </c>
      <c r="AA25" s="867">
        <v>31.876859544157924</v>
      </c>
      <c r="AB25" s="867">
        <v>21.068452177266074</v>
      </c>
      <c r="AC25" s="870">
        <v>46.649762429842689</v>
      </c>
      <c r="AE25" t="str">
        <v>science</v>
      </c>
      <c r="AF25" s="532">
        <v>33.144732135421691</v>
      </c>
      <c r="AG25" s="7">
        <v>3.4627980525831314</v>
      </c>
      <c r="AH25" s="7">
        <v>20.043345652745725</v>
      </c>
      <c r="AI25" s="7">
        <v>9.5716618850171837</v>
      </c>
      <c r="AJ25" s="7">
        <v>6.571533687212013E-9</v>
      </c>
      <c r="AK25" s="7">
        <v>24.753968899966079</v>
      </c>
      <c r="AL25" s="533">
        <v>41.5354953708773</v>
      </c>
    </row>
    <row r="26" spans="1:41" x14ac:dyDescent="0.25">
      <c r="A26" s="873" t="s">
        <v>9</v>
      </c>
      <c r="B26">
        <f>STDEV(B4:B23)</f>
        <v>4.7789219744724045</v>
      </c>
      <c r="C26">
        <f>STDEV(C4:C23)</f>
        <v>10.79964596369606</v>
      </c>
      <c r="D26">
        <f>STDEV(D4:D23)</f>
        <v>3.2755406678389241</v>
      </c>
      <c r="E26">
        <f>STDEV(E4:E23)</f>
        <v>7.6297063050063398</v>
      </c>
      <c r="G26" t="s">
        <v>9</v>
      </c>
      <c r="H26" s="532">
        <v>4.7756490986593425</v>
      </c>
      <c r="I26" s="7">
        <v>13.096448977699733</v>
      </c>
      <c r="J26" s="7">
        <v>3.1494879103980304</v>
      </c>
      <c r="K26" s="533">
        <v>7.7376369809005707</v>
      </c>
      <c r="M26" t="s">
        <v>9</v>
      </c>
      <c r="N26" s="532">
        <v>4.2277932433653449</v>
      </c>
      <c r="O26" s="7">
        <v>11.249067971646259</v>
      </c>
      <c r="P26" s="7">
        <v>3.2547857298277623</v>
      </c>
      <c r="Q26" s="533">
        <v>7.5357775558374236</v>
      </c>
      <c r="S26" t="s">
        <v>9</v>
      </c>
      <c r="T26" s="532">
        <v>4.5027917989393593</v>
      </c>
      <c r="U26" s="7">
        <v>10.923140982228553</v>
      </c>
      <c r="V26" s="7">
        <v>3.0831387257066614</v>
      </c>
      <c r="W26" s="533">
        <v>7.3852620471984247</v>
      </c>
      <c r="Y26" t="s">
        <v>9</v>
      </c>
      <c r="Z26" s="532">
        <v>4.2621888767012788</v>
      </c>
      <c r="AA26" s="7">
        <v>11.714599078449181</v>
      </c>
      <c r="AB26" s="7">
        <v>3.1805352536459934</v>
      </c>
      <c r="AC26" s="533">
        <v>7.9435895761279118</v>
      </c>
      <c r="AE26" t="str">
        <v>math</v>
      </c>
      <c r="AF26" s="532">
        <v>21.216448818040881</v>
      </c>
      <c r="AG26" s="7">
        <v>1.8140932722965404</v>
      </c>
      <c r="AH26" s="7">
        <v>19.06473316048082</v>
      </c>
      <c r="AI26" s="7">
        <v>11.69534617764281</v>
      </c>
      <c r="AJ26" s="7">
        <v>3.9951482014986689E-10</v>
      </c>
      <c r="AK26" s="7">
        <v>16.801961302049676</v>
      </c>
      <c r="AL26" s="533">
        <v>25.630936334032086</v>
      </c>
    </row>
    <row r="27" spans="1:41" x14ac:dyDescent="0.25">
      <c r="G27" t="s">
        <v>1592</v>
      </c>
      <c r="H27" s="532">
        <v>0.88802626552381947</v>
      </c>
      <c r="I27" s="7">
        <v>0.41004023944418677</v>
      </c>
      <c r="J27" s="7">
        <v>-1.0286073350249973</v>
      </c>
      <c r="K27" s="533">
        <v>41.319950496631485</v>
      </c>
      <c r="M27" t="s">
        <v>1592</v>
      </c>
      <c r="N27" s="532">
        <v>0.76903531621418753</v>
      </c>
      <c r="O27" s="7">
        <v>0.52174659451706396</v>
      </c>
      <c r="P27" s="7">
        <v>-0.46993822796583368</v>
      </c>
      <c r="Q27" s="533">
        <v>27.567169687533458</v>
      </c>
      <c r="S27" t="s">
        <v>1592</v>
      </c>
      <c r="T27" s="532">
        <v>0.57057529311267496</v>
      </c>
      <c r="U27" s="7">
        <v>0.54411996754565117</v>
      </c>
      <c r="V27" s="7">
        <v>-0.36356623597453458</v>
      </c>
      <c r="W27" s="533">
        <v>27.765709386691356</v>
      </c>
      <c r="Y27" t="s">
        <v>1592</v>
      </c>
      <c r="Z27" s="532">
        <v>0.99330307454469502</v>
      </c>
      <c r="AA27" s="7">
        <v>0.56883525502639387</v>
      </c>
      <c r="AB27" s="7">
        <v>-0.78091360467780524</v>
      </c>
      <c r="AC27" s="533">
        <v>28.836608080014702</v>
      </c>
      <c r="AE27" t="str">
        <v>medicine</v>
      </c>
      <c r="AF27" s="409">
        <v>47.245036104160135</v>
      </c>
      <c r="AG27" s="762">
        <v>2.7766780732854501</v>
      </c>
      <c r="AH27" s="762">
        <v>19.13318076374825</v>
      </c>
      <c r="AI27" s="762">
        <v>17.014949107246835</v>
      </c>
      <c r="AJ27" s="762">
        <v>5.8806869433556521E-13</v>
      </c>
      <c r="AK27" s="762">
        <v>40.48815602658415</v>
      </c>
      <c r="AL27" s="417">
        <v>54.001916181736121</v>
      </c>
    </row>
    <row r="28" spans="1:41" x14ac:dyDescent="0.25">
      <c r="G28" t="s">
        <v>1932</v>
      </c>
      <c r="H28" s="532">
        <v>0.32631522513281869</v>
      </c>
      <c r="I28" s="7">
        <v>0.11983575558146996</v>
      </c>
      <c r="J28" s="7">
        <v>0.58621837785649833</v>
      </c>
      <c r="K28" s="533">
        <v>9.0754044107129968</v>
      </c>
      <c r="M28" t="s">
        <v>1932</v>
      </c>
      <c r="N28" s="532">
        <v>0.3660548168697596</v>
      </c>
      <c r="O28" s="7">
        <v>0.13032567889987381</v>
      </c>
      <c r="P28" s="7">
        <v>0.54501130014866617</v>
      </c>
      <c r="Q28" s="533">
        <v>7.8396110658590921</v>
      </c>
      <c r="S28" t="s">
        <v>1932</v>
      </c>
      <c r="T28" s="532">
        <v>0.39876393240975661</v>
      </c>
      <c r="U28" s="7">
        <v>0.16279908613001903</v>
      </c>
      <c r="V28" s="7">
        <v>0.64558998710410331</v>
      </c>
      <c r="W28" s="533">
        <v>9.0202227011786142</v>
      </c>
      <c r="Y28" t="s">
        <v>1932</v>
      </c>
      <c r="Z28" s="532">
        <v>0.36842816223971447</v>
      </c>
      <c r="AA28" s="7">
        <v>0.1248576347199138</v>
      </c>
      <c r="AB28" s="7">
        <v>0.55772391774175245</v>
      </c>
      <c r="AC28" s="533">
        <v>8.0190846858159492</v>
      </c>
    </row>
    <row r="29" spans="1:41" x14ac:dyDescent="0.25">
      <c r="G29" t="s">
        <v>2002</v>
      </c>
      <c r="H29" s="409">
        <v>0.58210704136275504</v>
      </c>
      <c r="I29" s="762">
        <v>20</v>
      </c>
      <c r="J29" s="762" t="str">
        <v/>
      </c>
      <c r="K29" s="417" t="str">
        <v/>
      </c>
      <c r="M29" t="s">
        <v>2002</v>
      </c>
      <c r="N29" s="409">
        <v>0.5959735939842119</v>
      </c>
      <c r="O29" s="762">
        <v>20</v>
      </c>
      <c r="P29" s="762" t="str">
        <v/>
      </c>
      <c r="Q29" s="417" t="str">
        <v/>
      </c>
      <c r="S29" t="s">
        <v>2002</v>
      </c>
      <c r="T29" s="409">
        <v>0.5091114320559903</v>
      </c>
      <c r="U29" s="762">
        <v>20</v>
      </c>
      <c r="V29" s="762" t="str">
        <v/>
      </c>
      <c r="W29" s="417" t="str">
        <v/>
      </c>
      <c r="Y29" t="s">
        <v>2002</v>
      </c>
      <c r="Z29" s="409">
        <v>0.63769000502819551</v>
      </c>
      <c r="AA29" s="762">
        <v>20</v>
      </c>
      <c r="AB29" s="762" t="str">
        <v/>
      </c>
      <c r="AC29" s="417" t="str">
        <v/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AQ41"/>
  <sheetViews>
    <sheetView zoomScaleNormal="100" workbookViewId="0"/>
  </sheetViews>
  <sheetFormatPr defaultRowHeight="15" x14ac:dyDescent="0.25"/>
  <cols>
    <col min="6" max="6" width="6.7109375" customWidth="1"/>
    <col min="12" max="12" width="6.7109375" customWidth="1"/>
    <col min="18" max="18" width="6.7109375" customWidth="1"/>
    <col min="24" max="24" width="6.7109375" customWidth="1"/>
    <col min="37" max="37" width="17" customWidth="1"/>
  </cols>
  <sheetData>
    <row r="1" spans="1:35" x14ac:dyDescent="0.25">
      <c r="A1" s="1" t="s">
        <v>1997</v>
      </c>
      <c r="G1" t="s">
        <v>1998</v>
      </c>
      <c r="M1" t="s">
        <v>1999</v>
      </c>
      <c r="S1" t="s">
        <v>2000</v>
      </c>
      <c r="Y1" t="s">
        <v>2001</v>
      </c>
    </row>
    <row r="3" spans="1:35" x14ac:dyDescent="0.25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  <c r="G3" s="873" t="s">
        <v>1985</v>
      </c>
      <c r="H3" s="873" t="s">
        <v>1983</v>
      </c>
      <c r="I3" s="873" t="s">
        <v>1964</v>
      </c>
      <c r="J3" s="873" t="s">
        <v>1963</v>
      </c>
      <c r="K3" s="873" t="s">
        <v>1984</v>
      </c>
      <c r="M3" s="873" t="s">
        <v>1985</v>
      </c>
      <c r="N3" s="873" t="s">
        <v>1983</v>
      </c>
      <c r="O3" s="873" t="s">
        <v>1964</v>
      </c>
      <c r="P3" s="873" t="s">
        <v>1963</v>
      </c>
      <c r="Q3" s="873" t="s">
        <v>1984</v>
      </c>
      <c r="S3" s="873" t="s">
        <v>1985</v>
      </c>
      <c r="T3" s="873" t="s">
        <v>1983</v>
      </c>
      <c r="U3" s="873" t="s">
        <v>1964</v>
      </c>
      <c r="V3" s="873" t="s">
        <v>1963</v>
      </c>
      <c r="W3" s="873" t="s">
        <v>1984</v>
      </c>
      <c r="Y3" s="873" t="s">
        <v>1985</v>
      </c>
      <c r="Z3" s="873" t="s">
        <v>1983</v>
      </c>
      <c r="AA3" s="873" t="s">
        <v>1964</v>
      </c>
      <c r="AB3" s="873" t="s">
        <v>1963</v>
      </c>
      <c r="AC3" s="873" t="s">
        <v>1984</v>
      </c>
    </row>
    <row r="4" spans="1:35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  <c r="G4" s="873">
        <v>1</v>
      </c>
      <c r="H4" s="869">
        <f>'MI 6'!H4</f>
        <v>12</v>
      </c>
      <c r="I4" s="827">
        <f>'MI 6'!I4</f>
        <v>27</v>
      </c>
      <c r="J4" s="827">
        <f>'MI 6'!J4</f>
        <v>19</v>
      </c>
      <c r="K4" s="870">
        <f>'MI 6'!K4</f>
        <v>44</v>
      </c>
      <c r="M4" s="873">
        <v>1</v>
      </c>
      <c r="N4" s="869">
        <f>'MI 6'!N4</f>
        <v>12</v>
      </c>
      <c r="O4" s="827">
        <f>'MI 6'!O4</f>
        <v>27</v>
      </c>
      <c r="P4" s="827">
        <f>'MI 6'!P4</f>
        <v>19</v>
      </c>
      <c r="Q4" s="870">
        <f>'MI 6'!Q4</f>
        <v>44</v>
      </c>
      <c r="S4" s="873">
        <v>1</v>
      </c>
      <c r="T4" s="869">
        <f>'MI 6'!T4</f>
        <v>12</v>
      </c>
      <c r="U4" s="827">
        <f>'MI 6'!U4</f>
        <v>27</v>
      </c>
      <c r="V4" s="827">
        <f>'MI 6'!V4</f>
        <v>19</v>
      </c>
      <c r="W4" s="870">
        <f>'MI 6'!W4</f>
        <v>44</v>
      </c>
      <c r="Y4" s="873">
        <v>1</v>
      </c>
      <c r="Z4" s="869">
        <f>'MI 6'!Z4</f>
        <v>12</v>
      </c>
      <c r="AA4" s="827">
        <f>'MI 6'!AA4</f>
        <v>27</v>
      </c>
      <c r="AB4" s="827">
        <f>'MI 6'!AB4</f>
        <v>19</v>
      </c>
      <c r="AC4" s="870">
        <f>'MI 6'!AC4</f>
        <v>44</v>
      </c>
    </row>
    <row r="5" spans="1:35" x14ac:dyDescent="0.25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s="873">
        <f>G4+1</f>
        <v>2</v>
      </c>
      <c r="H5" s="532">
        <f>'MI 6'!H5</f>
        <v>11</v>
      </c>
      <c r="I5" s="7">
        <f>'MI 6'!I5</f>
        <v>-0.8812069638048543</v>
      </c>
      <c r="J5" s="7">
        <f>'MI 6'!J5</f>
        <v>13</v>
      </c>
      <c r="K5" s="533">
        <f>'MI 6'!K5</f>
        <v>43</v>
      </c>
      <c r="M5" s="873">
        <f>M4+1</f>
        <v>2</v>
      </c>
      <c r="N5" s="532">
        <f>'MI 6'!N5</f>
        <v>11</v>
      </c>
      <c r="O5" s="7">
        <f>'MI 6'!O5</f>
        <v>19.37098679114813</v>
      </c>
      <c r="P5" s="7">
        <f>'MI 6'!P5</f>
        <v>13</v>
      </c>
      <c r="Q5" s="533">
        <f>'MI 6'!Q5</f>
        <v>43</v>
      </c>
      <c r="S5" s="873">
        <f>S4+1</f>
        <v>2</v>
      </c>
      <c r="T5" s="532">
        <f>'MI 6'!T5</f>
        <v>11</v>
      </c>
      <c r="U5" s="7">
        <f>'MI 6'!U5</f>
        <v>19.139847646428759</v>
      </c>
      <c r="V5" s="7">
        <f>'MI 6'!V5</f>
        <v>13</v>
      </c>
      <c r="W5" s="533">
        <f>'MI 6'!W5</f>
        <v>43</v>
      </c>
      <c r="Y5" s="873">
        <f>Y4+1</f>
        <v>2</v>
      </c>
      <c r="Z5" s="532">
        <f>'MI 6'!Z5</f>
        <v>11</v>
      </c>
      <c r="AA5" s="7">
        <f>'MI 6'!AA5</f>
        <v>17.823234259859003</v>
      </c>
      <c r="AB5" s="7">
        <f>'MI 6'!AB5</f>
        <v>13</v>
      </c>
      <c r="AC5" s="533">
        <f>'MI 6'!AC5</f>
        <v>43</v>
      </c>
    </row>
    <row r="6" spans="1:35" x14ac:dyDescent="0.25">
      <c r="A6" s="873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G6" s="873">
        <f t="shared" ref="G6:G23" si="1">G5+1</f>
        <v>3</v>
      </c>
      <c r="H6" s="532">
        <f>'MI 6'!H6</f>
        <v>22.561643946099437</v>
      </c>
      <c r="I6" s="7">
        <f>'MI 6'!I6</f>
        <v>56</v>
      </c>
      <c r="J6" s="7">
        <f>'MI 6'!J6</f>
        <v>23</v>
      </c>
      <c r="K6" s="533">
        <f>'MI 6'!K6</f>
        <v>60</v>
      </c>
      <c r="M6" s="873">
        <f t="shared" ref="M6:M23" si="2">M5+1</f>
        <v>3</v>
      </c>
      <c r="N6" s="532">
        <f>'MI 6'!N6</f>
        <v>16.809035825638013</v>
      </c>
      <c r="O6" s="7">
        <f>'MI 6'!O6</f>
        <v>56</v>
      </c>
      <c r="P6" s="7">
        <f>'MI 6'!P6</f>
        <v>23</v>
      </c>
      <c r="Q6" s="533">
        <f>'MI 6'!Q6</f>
        <v>60</v>
      </c>
      <c r="S6" s="873">
        <f t="shared" ref="S6:S23" si="3">S5+1</f>
        <v>3</v>
      </c>
      <c r="T6" s="532">
        <f>'MI 6'!T6</f>
        <v>12.605910603692024</v>
      </c>
      <c r="U6" s="7">
        <f>'MI 6'!U6</f>
        <v>56</v>
      </c>
      <c r="V6" s="7">
        <f>'MI 6'!V6</f>
        <v>23</v>
      </c>
      <c r="W6" s="533">
        <f>'MI 6'!W6</f>
        <v>60</v>
      </c>
      <c r="Y6" s="873">
        <f t="shared" ref="Y6:Y23" si="4">Y5+1</f>
        <v>3</v>
      </c>
      <c r="Z6" s="532">
        <f>'MI 6'!Z6</f>
        <v>16.842907487106228</v>
      </c>
      <c r="AA6" s="7">
        <f>'MI 6'!AA6</f>
        <v>56</v>
      </c>
      <c r="AB6" s="7">
        <f>'MI 6'!AB6</f>
        <v>23</v>
      </c>
      <c r="AC6" s="533">
        <f>'MI 6'!AC6</f>
        <v>60</v>
      </c>
    </row>
    <row r="7" spans="1:35" x14ac:dyDescent="0.25">
      <c r="A7" s="873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G7" s="873">
        <f t="shared" si="1"/>
        <v>4</v>
      </c>
      <c r="H7" s="532">
        <f>'MI 6'!H7</f>
        <v>15</v>
      </c>
      <c r="I7" s="7">
        <f>'MI 6'!I7</f>
        <v>37</v>
      </c>
      <c r="J7" s="7">
        <f>'MI 6'!J7</f>
        <v>19</v>
      </c>
      <c r="K7" s="533">
        <f>'MI 6'!K7</f>
        <v>52</v>
      </c>
      <c r="M7" s="873">
        <f t="shared" si="2"/>
        <v>4</v>
      </c>
      <c r="N7" s="532">
        <f>'MI 6'!N7</f>
        <v>15</v>
      </c>
      <c r="O7" s="7">
        <f>'MI 6'!O7</f>
        <v>37</v>
      </c>
      <c r="P7" s="7">
        <f>'MI 6'!P7</f>
        <v>19</v>
      </c>
      <c r="Q7" s="533">
        <f>'MI 6'!Q7</f>
        <v>52</v>
      </c>
      <c r="S7" s="873">
        <f t="shared" si="3"/>
        <v>4</v>
      </c>
      <c r="T7" s="532">
        <f>'MI 6'!T7</f>
        <v>15</v>
      </c>
      <c r="U7" s="7">
        <f>'MI 6'!U7</f>
        <v>37</v>
      </c>
      <c r="V7" s="7">
        <f>'MI 6'!V7</f>
        <v>19</v>
      </c>
      <c r="W7" s="533">
        <f>'MI 6'!W7</f>
        <v>52</v>
      </c>
      <c r="Y7" s="873">
        <f t="shared" si="4"/>
        <v>4</v>
      </c>
      <c r="Z7" s="532">
        <f>'MI 6'!Z7</f>
        <v>15</v>
      </c>
      <c r="AA7" s="7">
        <f>'MI 6'!AA7</f>
        <v>37</v>
      </c>
      <c r="AB7" s="7">
        <f>'MI 6'!AB7</f>
        <v>19</v>
      </c>
      <c r="AC7" s="533">
        <f>'MI 6'!AC7</f>
        <v>52</v>
      </c>
    </row>
    <row r="8" spans="1:35" x14ac:dyDescent="0.25">
      <c r="A8" s="873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  <c r="G8" s="873">
        <f t="shared" si="1"/>
        <v>5</v>
      </c>
      <c r="H8" s="532">
        <f>'MI 6'!H8</f>
        <v>10</v>
      </c>
      <c r="I8" s="7">
        <f>'MI 6'!I8</f>
        <v>31</v>
      </c>
      <c r="J8" s="7">
        <f>'MI 6'!J8</f>
        <v>21</v>
      </c>
      <c r="K8" s="533">
        <f>'MI 6'!K8</f>
        <v>39.602593929508707</v>
      </c>
      <c r="M8" s="873">
        <f t="shared" si="2"/>
        <v>5</v>
      </c>
      <c r="N8" s="532">
        <f>'MI 6'!N8</f>
        <v>10</v>
      </c>
      <c r="O8" s="7">
        <f>'MI 6'!O8</f>
        <v>31</v>
      </c>
      <c r="P8" s="7">
        <f>'MI 6'!P8</f>
        <v>21</v>
      </c>
      <c r="Q8" s="533">
        <f>'MI 6'!Q8</f>
        <v>40.610074177781406</v>
      </c>
      <c r="S8" s="873">
        <f t="shared" si="3"/>
        <v>5</v>
      </c>
      <c r="T8" s="532">
        <f>'MI 6'!T8</f>
        <v>10</v>
      </c>
      <c r="U8" s="7">
        <f>'MI 6'!U8</f>
        <v>31</v>
      </c>
      <c r="V8" s="7">
        <f>'MI 6'!V8</f>
        <v>21</v>
      </c>
      <c r="W8" s="533">
        <f>'MI 6'!W8</f>
        <v>43.740833886000587</v>
      </c>
      <c r="Y8" s="873">
        <f t="shared" si="4"/>
        <v>5</v>
      </c>
      <c r="Z8" s="532">
        <f>'MI 6'!Z8</f>
        <v>10</v>
      </c>
      <c r="AA8" s="7">
        <f>'MI 6'!AA8</f>
        <v>31</v>
      </c>
      <c r="AB8" s="7">
        <f>'MI 6'!AB8</f>
        <v>21</v>
      </c>
      <c r="AC8" s="533">
        <f>'MI 6'!AC8</f>
        <v>38.062983272094598</v>
      </c>
    </row>
    <row r="9" spans="1:35" x14ac:dyDescent="0.25">
      <c r="A9" s="873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  <c r="G9" s="873">
        <f t="shared" si="1"/>
        <v>6</v>
      </c>
      <c r="H9" s="532">
        <f>'MI 6'!H9</f>
        <v>18</v>
      </c>
      <c r="I9" s="7">
        <f>'MI 6'!I9</f>
        <v>40</v>
      </c>
      <c r="J9" s="7">
        <f>'MI 6'!J9</f>
        <v>22</v>
      </c>
      <c r="K9" s="533">
        <f>'MI 6'!K9</f>
        <v>43</v>
      </c>
      <c r="M9" s="873">
        <f t="shared" si="2"/>
        <v>6</v>
      </c>
      <c r="N9" s="532">
        <f>'MI 6'!N9</f>
        <v>18</v>
      </c>
      <c r="O9" s="7">
        <f>'MI 6'!O9</f>
        <v>40</v>
      </c>
      <c r="P9" s="7">
        <f>'MI 6'!P9</f>
        <v>22</v>
      </c>
      <c r="Q9" s="533">
        <f>'MI 6'!Q9</f>
        <v>43</v>
      </c>
      <c r="S9" s="873">
        <f t="shared" si="3"/>
        <v>6</v>
      </c>
      <c r="T9" s="532">
        <f>'MI 6'!T9</f>
        <v>18</v>
      </c>
      <c r="U9" s="7">
        <f>'MI 6'!U9</f>
        <v>40</v>
      </c>
      <c r="V9" s="7">
        <f>'MI 6'!V9</f>
        <v>22</v>
      </c>
      <c r="W9" s="533">
        <f>'MI 6'!W9</f>
        <v>43</v>
      </c>
      <c r="Y9" s="873">
        <f t="shared" si="4"/>
        <v>6</v>
      </c>
      <c r="Z9" s="532">
        <f>'MI 6'!Z9</f>
        <v>18</v>
      </c>
      <c r="AA9" s="7">
        <f>'MI 6'!AA9</f>
        <v>40</v>
      </c>
      <c r="AB9" s="7">
        <f>'MI 6'!AB9</f>
        <v>22</v>
      </c>
      <c r="AC9" s="533">
        <f>'MI 6'!AC9</f>
        <v>43</v>
      </c>
    </row>
    <row r="10" spans="1:35" x14ac:dyDescent="0.25">
      <c r="A10" s="873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  <c r="G10" s="873">
        <f t="shared" si="1"/>
        <v>7</v>
      </c>
      <c r="H10" s="532">
        <f>'MI 6'!H10</f>
        <v>15</v>
      </c>
      <c r="I10" s="7">
        <f>'MI 6'!I10</f>
        <v>50</v>
      </c>
      <c r="J10" s="7">
        <f>'MI 6'!J10</f>
        <v>28</v>
      </c>
      <c r="K10" s="533">
        <f>'MI 6'!K10</f>
        <v>56</v>
      </c>
      <c r="M10" s="873">
        <f t="shared" si="2"/>
        <v>7</v>
      </c>
      <c r="N10" s="532">
        <f>'MI 6'!N10</f>
        <v>15</v>
      </c>
      <c r="O10" s="7">
        <f>'MI 6'!O10</f>
        <v>50</v>
      </c>
      <c r="P10" s="7">
        <f>'MI 6'!P10</f>
        <v>28</v>
      </c>
      <c r="Q10" s="533">
        <f>'MI 6'!Q10</f>
        <v>56</v>
      </c>
      <c r="S10" s="873">
        <f t="shared" si="3"/>
        <v>7</v>
      </c>
      <c r="T10" s="532">
        <f>'MI 6'!T10</f>
        <v>15</v>
      </c>
      <c r="U10" s="7">
        <f>'MI 6'!U10</f>
        <v>50</v>
      </c>
      <c r="V10" s="7">
        <f>'MI 6'!V10</f>
        <v>28</v>
      </c>
      <c r="W10" s="533">
        <f>'MI 6'!W10</f>
        <v>56</v>
      </c>
      <c r="Y10" s="873">
        <f t="shared" si="4"/>
        <v>7</v>
      </c>
      <c r="Z10" s="532">
        <f>'MI 6'!Z10</f>
        <v>15</v>
      </c>
      <c r="AA10" s="7">
        <f>'MI 6'!AA10</f>
        <v>50</v>
      </c>
      <c r="AB10" s="7">
        <f>'MI 6'!AB10</f>
        <v>28</v>
      </c>
      <c r="AC10" s="533">
        <f>'MI 6'!AC10</f>
        <v>56</v>
      </c>
    </row>
    <row r="11" spans="1:35" x14ac:dyDescent="0.25">
      <c r="A11" s="873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  <c r="G11" s="873">
        <f t="shared" si="1"/>
        <v>8</v>
      </c>
      <c r="H11" s="532">
        <f>'MI 6'!H11</f>
        <v>21</v>
      </c>
      <c r="I11" s="7">
        <f>'MI 6'!I11</f>
        <v>37.75094737582581</v>
      </c>
      <c r="J11" s="7">
        <f>'MI 6'!J11</f>
        <v>24.674499801070311</v>
      </c>
      <c r="K11" s="533">
        <f>'MI 6'!K11</f>
        <v>46</v>
      </c>
      <c r="M11" s="873">
        <f t="shared" si="2"/>
        <v>8</v>
      </c>
      <c r="N11" s="532">
        <f>'MI 6'!N11</f>
        <v>21</v>
      </c>
      <c r="O11" s="7">
        <f>'MI 6'!O11</f>
        <v>25.942632862797527</v>
      </c>
      <c r="P11" s="7">
        <f>'MI 6'!P11</f>
        <v>20.920627472241517</v>
      </c>
      <c r="Q11" s="533">
        <f>'MI 6'!Q11</f>
        <v>46</v>
      </c>
      <c r="S11" s="873">
        <f t="shared" si="3"/>
        <v>8</v>
      </c>
      <c r="T11" s="532">
        <f>'MI 6'!T11</f>
        <v>21</v>
      </c>
      <c r="U11" s="7">
        <f>'MI 6'!U11</f>
        <v>24.083714874082013</v>
      </c>
      <c r="V11" s="7">
        <f>'MI 6'!V11</f>
        <v>21.605294099747098</v>
      </c>
      <c r="W11" s="533">
        <f>'MI 6'!W11</f>
        <v>46</v>
      </c>
      <c r="Y11" s="873">
        <f t="shared" si="4"/>
        <v>8</v>
      </c>
      <c r="Z11" s="532">
        <f>'MI 6'!Z11</f>
        <v>21</v>
      </c>
      <c r="AA11" s="7">
        <f>'MI 6'!AA11</f>
        <v>19.895798516264268</v>
      </c>
      <c r="AB11" s="7">
        <f>'MI 6'!AB11</f>
        <v>21.180644976473822</v>
      </c>
      <c r="AC11" s="533">
        <f>'MI 6'!AC11</f>
        <v>46</v>
      </c>
    </row>
    <row r="12" spans="1:35" x14ac:dyDescent="0.25">
      <c r="A12" s="873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G12" s="873">
        <f t="shared" si="1"/>
        <v>9</v>
      </c>
      <c r="H12" s="532">
        <f>'MI 6'!H12</f>
        <v>20</v>
      </c>
      <c r="I12" s="7">
        <f>'MI 6'!I12</f>
        <v>39</v>
      </c>
      <c r="J12" s="7">
        <f>'MI 6'!J12</f>
        <v>25</v>
      </c>
      <c r="K12" s="533">
        <f>'MI 6'!K12</f>
        <v>51</v>
      </c>
      <c r="M12" s="873">
        <f t="shared" si="2"/>
        <v>9</v>
      </c>
      <c r="N12" s="532">
        <f>'MI 6'!N12</f>
        <v>20</v>
      </c>
      <c r="O12" s="7">
        <f>'MI 6'!O12</f>
        <v>39</v>
      </c>
      <c r="P12" s="7">
        <f>'MI 6'!P12</f>
        <v>25</v>
      </c>
      <c r="Q12" s="533">
        <f>'MI 6'!Q12</f>
        <v>51</v>
      </c>
      <c r="S12" s="873">
        <f t="shared" si="3"/>
        <v>9</v>
      </c>
      <c r="T12" s="532">
        <f>'MI 6'!T12</f>
        <v>20</v>
      </c>
      <c r="U12" s="7">
        <f>'MI 6'!U12</f>
        <v>39</v>
      </c>
      <c r="V12" s="7">
        <f>'MI 6'!V12</f>
        <v>25</v>
      </c>
      <c r="W12" s="533">
        <f>'MI 6'!W12</f>
        <v>51</v>
      </c>
      <c r="Y12" s="873">
        <f t="shared" si="4"/>
        <v>9</v>
      </c>
      <c r="Z12" s="532">
        <f>'MI 6'!Z12</f>
        <v>20</v>
      </c>
      <c r="AA12" s="7">
        <f>'MI 6'!AA12</f>
        <v>39</v>
      </c>
      <c r="AB12" s="7">
        <f>'MI 6'!AB12</f>
        <v>25</v>
      </c>
      <c r="AC12" s="533">
        <f>'MI 6'!AC12</f>
        <v>51</v>
      </c>
    </row>
    <row r="13" spans="1:35" x14ac:dyDescent="0.25">
      <c r="A13" s="873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G13" s="873">
        <f t="shared" si="1"/>
        <v>10</v>
      </c>
      <c r="H13" s="532">
        <f>'MI 6'!H13</f>
        <v>22.514471102236264</v>
      </c>
      <c r="I13" s="7">
        <f>'MI 6'!I13</f>
        <v>36</v>
      </c>
      <c r="J13" s="7">
        <f>'MI 6'!J13</f>
        <v>23</v>
      </c>
      <c r="K13" s="533">
        <f>'MI 6'!K13</f>
        <v>56</v>
      </c>
      <c r="M13" s="873">
        <f t="shared" si="2"/>
        <v>10</v>
      </c>
      <c r="N13" s="532">
        <f>'MI 6'!N13</f>
        <v>19.621448601229911</v>
      </c>
      <c r="O13" s="7">
        <f>'MI 6'!O13</f>
        <v>36</v>
      </c>
      <c r="P13" s="7">
        <f>'MI 6'!P13</f>
        <v>23</v>
      </c>
      <c r="Q13" s="533">
        <f>'MI 6'!Q13</f>
        <v>56</v>
      </c>
      <c r="S13" s="873">
        <f t="shared" si="3"/>
        <v>10</v>
      </c>
      <c r="T13" s="532">
        <f>'MI 6'!T13</f>
        <v>19.252374071000027</v>
      </c>
      <c r="U13" s="7">
        <f>'MI 6'!U13</f>
        <v>36</v>
      </c>
      <c r="V13" s="7">
        <f>'MI 6'!V13</f>
        <v>23</v>
      </c>
      <c r="W13" s="533">
        <f>'MI 6'!W13</f>
        <v>56</v>
      </c>
      <c r="Y13" s="873">
        <f t="shared" si="4"/>
        <v>10</v>
      </c>
      <c r="Z13" s="532">
        <f>'MI 6'!Z13</f>
        <v>20.015422624903351</v>
      </c>
      <c r="AA13" s="7">
        <f>'MI 6'!AA13</f>
        <v>36</v>
      </c>
      <c r="AB13" s="7">
        <f>'MI 6'!AB13</f>
        <v>23</v>
      </c>
      <c r="AC13" s="533">
        <f>'MI 6'!AC13</f>
        <v>56</v>
      </c>
      <c r="AE13" t="s">
        <v>2009</v>
      </c>
    </row>
    <row r="14" spans="1:35" x14ac:dyDescent="0.25">
      <c r="A14" s="873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G14" s="873">
        <f t="shared" si="1"/>
        <v>11</v>
      </c>
      <c r="H14" s="532">
        <f>'MI 6'!H14</f>
        <v>12.272467024751595</v>
      </c>
      <c r="I14" s="7">
        <f>'MI 6'!I14</f>
        <v>27</v>
      </c>
      <c r="J14" s="7">
        <f>'MI 6'!J14</f>
        <v>21</v>
      </c>
      <c r="K14" s="533">
        <f>'MI 6'!K14</f>
        <v>39</v>
      </c>
      <c r="M14" s="873">
        <f t="shared" si="2"/>
        <v>11</v>
      </c>
      <c r="N14" s="532">
        <f>'MI 6'!N14</f>
        <v>16.654672063302769</v>
      </c>
      <c r="O14" s="7">
        <f>'MI 6'!O14</f>
        <v>27</v>
      </c>
      <c r="P14" s="7">
        <f>'MI 6'!P14</f>
        <v>21</v>
      </c>
      <c r="Q14" s="533">
        <f>'MI 6'!Q14</f>
        <v>39</v>
      </c>
      <c r="S14" s="873">
        <f t="shared" si="3"/>
        <v>11</v>
      </c>
      <c r="T14" s="532">
        <f>'MI 6'!T14</f>
        <v>17.304470905801576</v>
      </c>
      <c r="U14" s="7">
        <f>'MI 6'!U14</f>
        <v>27</v>
      </c>
      <c r="V14" s="7">
        <f>'MI 6'!V14</f>
        <v>21</v>
      </c>
      <c r="W14" s="533">
        <f>'MI 6'!W14</f>
        <v>39</v>
      </c>
      <c r="Y14" s="873">
        <f t="shared" si="4"/>
        <v>11</v>
      </c>
      <c r="Z14" s="532">
        <f>'MI 6'!Z14</f>
        <v>14.488905923219223</v>
      </c>
      <c r="AA14" s="7">
        <f>'MI 6'!AA14</f>
        <v>27</v>
      </c>
      <c r="AB14" s="7">
        <f>'MI 6'!AB14</f>
        <v>21</v>
      </c>
      <c r="AC14" s="533">
        <f>'MI 6'!AC14</f>
        <v>39</v>
      </c>
    </row>
    <row r="15" spans="1:35" x14ac:dyDescent="0.25">
      <c r="A15" s="873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  <c r="G15" s="873">
        <f t="shared" si="1"/>
        <v>12</v>
      </c>
      <c r="H15" s="532">
        <f>'MI 6'!H15</f>
        <v>14</v>
      </c>
      <c r="I15" s="7">
        <f>'MI 6'!I15</f>
        <v>32</v>
      </c>
      <c r="J15" s="7">
        <f>'MI 6'!J15</f>
        <v>20</v>
      </c>
      <c r="K15" s="533">
        <f>'MI 6'!K15</f>
        <v>46</v>
      </c>
      <c r="M15" s="873">
        <f t="shared" si="2"/>
        <v>12</v>
      </c>
      <c r="N15" s="532">
        <f>'MI 6'!N15</f>
        <v>14</v>
      </c>
      <c r="O15" s="7">
        <f>'MI 6'!O15</f>
        <v>32</v>
      </c>
      <c r="P15" s="7">
        <f>'MI 6'!P15</f>
        <v>20</v>
      </c>
      <c r="Q15" s="533">
        <f>'MI 6'!Q15</f>
        <v>46</v>
      </c>
      <c r="S15" s="873">
        <f t="shared" si="3"/>
        <v>12</v>
      </c>
      <c r="T15" s="532">
        <f>'MI 6'!T15</f>
        <v>14</v>
      </c>
      <c r="U15" s="7">
        <f>'MI 6'!U15</f>
        <v>32</v>
      </c>
      <c r="V15" s="7">
        <f>'MI 6'!V15</f>
        <v>20</v>
      </c>
      <c r="W15" s="533">
        <f>'MI 6'!W15</f>
        <v>46</v>
      </c>
      <c r="Y15" s="873">
        <f t="shared" si="4"/>
        <v>12</v>
      </c>
      <c r="Z15" s="532">
        <f>'MI 6'!Z15</f>
        <v>14</v>
      </c>
      <c r="AA15" s="7">
        <f>'MI 6'!AA15</f>
        <v>32</v>
      </c>
      <c r="AB15" s="7">
        <f>'MI 6'!AB15</f>
        <v>20</v>
      </c>
      <c r="AC15" s="533">
        <f>'MI 6'!AC15</f>
        <v>46</v>
      </c>
      <c r="AF15" s="874" t="str">
        <f t="array" ref="AF15:AI20">[1]!MICombine(H3:K23,4,2,TRUE,TRUE)</f>
        <v>read</v>
      </c>
      <c r="AG15" s="874" t="str">
        <v>science</v>
      </c>
      <c r="AH15" s="874" t="str">
        <v>math</v>
      </c>
      <c r="AI15" s="874" t="str">
        <v>medicine</v>
      </c>
    </row>
    <row r="16" spans="1:35" x14ac:dyDescent="0.25">
      <c r="A16" s="873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G16" s="873">
        <f t="shared" si="1"/>
        <v>13</v>
      </c>
      <c r="H16" s="532">
        <f>'MI 6'!H16</f>
        <v>22</v>
      </c>
      <c r="I16" s="7">
        <f>'MI 6'!I16</f>
        <v>40</v>
      </c>
      <c r="J16" s="7">
        <f>'MI 6'!J16</f>
        <v>25.284520718324941</v>
      </c>
      <c r="K16" s="533">
        <f>'MI 6'!K16</f>
        <v>49</v>
      </c>
      <c r="M16" s="873">
        <f t="shared" si="2"/>
        <v>13</v>
      </c>
      <c r="N16" s="532">
        <f>'MI 6'!N16</f>
        <v>22</v>
      </c>
      <c r="O16" s="7">
        <f>'MI 6'!O16</f>
        <v>40</v>
      </c>
      <c r="P16" s="7">
        <f>'MI 6'!P16</f>
        <v>26.118108818928974</v>
      </c>
      <c r="Q16" s="533">
        <f>'MI 6'!Q16</f>
        <v>49</v>
      </c>
      <c r="S16" s="873">
        <f t="shared" si="3"/>
        <v>13</v>
      </c>
      <c r="T16" s="532">
        <f>'MI 6'!T16</f>
        <v>22</v>
      </c>
      <c r="U16" s="7">
        <f>'MI 6'!U16</f>
        <v>40</v>
      </c>
      <c r="V16" s="7">
        <f>'MI 6'!V16</f>
        <v>25.310040909794882</v>
      </c>
      <c r="W16" s="533">
        <f>'MI 6'!W16</f>
        <v>49</v>
      </c>
      <c r="Y16" s="873">
        <f t="shared" si="4"/>
        <v>13</v>
      </c>
      <c r="Z16" s="532">
        <f>'MI 6'!Z16</f>
        <v>22</v>
      </c>
      <c r="AA16" s="7">
        <f>'MI 6'!AA16</f>
        <v>40</v>
      </c>
      <c r="AB16" s="7">
        <f>'MI 6'!AB16</f>
        <v>25.469861855894106</v>
      </c>
      <c r="AC16" s="533">
        <f>'MI 6'!AC16</f>
        <v>49</v>
      </c>
      <c r="AE16" t="s">
        <v>7</v>
      </c>
      <c r="AF16" s="869">
        <v>16.333802817884418</v>
      </c>
      <c r="AG16" s="867">
        <v>32.199009267240733</v>
      </c>
      <c r="AH16" s="867">
        <v>21.210295977533821</v>
      </c>
      <c r="AI16" s="870">
        <v>46.927999441115212</v>
      </c>
    </row>
    <row r="17" spans="1:43" x14ac:dyDescent="0.25">
      <c r="A17" s="873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  <c r="G17" s="873">
        <f t="shared" si="1"/>
        <v>14</v>
      </c>
      <c r="H17" s="532">
        <f>'MI 6'!H17</f>
        <v>13.009945047388978</v>
      </c>
      <c r="I17" s="7">
        <f>'MI 6'!I17</f>
        <v>31</v>
      </c>
      <c r="J17" s="7">
        <f>'MI 6'!J17</f>
        <v>21.244049662797426</v>
      </c>
      <c r="K17" s="533">
        <f>'MI 6'!K17</f>
        <v>44</v>
      </c>
      <c r="M17" s="873">
        <f t="shared" si="2"/>
        <v>14</v>
      </c>
      <c r="N17" s="532">
        <f>'MI 6'!N17</f>
        <v>13.509220842814456</v>
      </c>
      <c r="O17" s="7">
        <f>'MI 6'!O17</f>
        <v>31</v>
      </c>
      <c r="P17" s="7">
        <f>'MI 6'!P17</f>
        <v>17.983679000222168</v>
      </c>
      <c r="Q17" s="533">
        <f>'MI 6'!Q17</f>
        <v>44</v>
      </c>
      <c r="S17" s="873">
        <f t="shared" si="3"/>
        <v>14</v>
      </c>
      <c r="T17" s="532">
        <f>'MI 6'!T17</f>
        <v>18.008324673593123</v>
      </c>
      <c r="U17" s="7">
        <f>'MI 6'!U17</f>
        <v>31</v>
      </c>
      <c r="V17" s="7">
        <f>'MI 6'!V17</f>
        <v>21.459362110663744</v>
      </c>
      <c r="W17" s="533">
        <f>'MI 6'!W17</f>
        <v>44</v>
      </c>
      <c r="Y17" s="873">
        <f t="shared" si="4"/>
        <v>14</v>
      </c>
      <c r="Z17" s="532">
        <f>'MI 6'!Z17</f>
        <v>13.863518204508571</v>
      </c>
      <c r="AA17" s="7">
        <f>'MI 6'!AA17</f>
        <v>31</v>
      </c>
      <c r="AB17" s="7">
        <f>'MI 6'!AB17</f>
        <v>17.830619254985194</v>
      </c>
      <c r="AC17" s="533">
        <f>'MI 6'!AC17</f>
        <v>44</v>
      </c>
      <c r="AE17" t="s">
        <v>9</v>
      </c>
      <c r="AF17" s="532">
        <v>4.451143881052797</v>
      </c>
      <c r="AG17" s="7">
        <v>11.779266094034625</v>
      </c>
      <c r="AH17" s="7">
        <v>3.1744472977241229</v>
      </c>
      <c r="AI17" s="533">
        <v>7.6576777904051223</v>
      </c>
    </row>
    <row r="18" spans="1:43" x14ac:dyDescent="0.25">
      <c r="A18" s="873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G18" s="873">
        <f t="shared" si="1"/>
        <v>15</v>
      </c>
      <c r="H18" s="532">
        <f>'MI 6'!H18</f>
        <v>13.417492259032281</v>
      </c>
      <c r="I18" s="7">
        <f>'MI 6'!I18</f>
        <v>18</v>
      </c>
      <c r="J18" s="7">
        <f>'MI 6'!J18</f>
        <v>21</v>
      </c>
      <c r="K18" s="533">
        <f>'MI 6'!K18</f>
        <v>37.8091536784966</v>
      </c>
      <c r="M18" s="873">
        <f t="shared" si="2"/>
        <v>15</v>
      </c>
      <c r="N18" s="532">
        <f>'MI 6'!N18</f>
        <v>15.661939542758992</v>
      </c>
      <c r="O18" s="7">
        <f>'MI 6'!O18</f>
        <v>18</v>
      </c>
      <c r="P18" s="7">
        <f>'MI 6'!P18</f>
        <v>21</v>
      </c>
      <c r="Q18" s="533">
        <f>'MI 6'!Q18</f>
        <v>40.743322248314122</v>
      </c>
      <c r="S18" s="873">
        <f t="shared" si="3"/>
        <v>15</v>
      </c>
      <c r="T18" s="532">
        <f>'MI 6'!T18</f>
        <v>22.663120007339213</v>
      </c>
      <c r="U18" s="7">
        <f>'MI 6'!U18</f>
        <v>18</v>
      </c>
      <c r="V18" s="7">
        <f>'MI 6'!V18</f>
        <v>21</v>
      </c>
      <c r="W18" s="533">
        <f>'MI 6'!W18</f>
        <v>41.738728772261886</v>
      </c>
      <c r="Y18" s="873">
        <f t="shared" si="4"/>
        <v>15</v>
      </c>
      <c r="Z18" s="532">
        <f>'MI 6'!Z18</f>
        <v>17.626934674337427</v>
      </c>
      <c r="AA18" s="7">
        <f>'MI 6'!AA18</f>
        <v>18</v>
      </c>
      <c r="AB18" s="7">
        <f>'MI 6'!AB18</f>
        <v>21</v>
      </c>
      <c r="AC18" s="533">
        <f>'MI 6'!AC18</f>
        <v>35.9322653247592</v>
      </c>
      <c r="AE18" t="s">
        <v>1592</v>
      </c>
      <c r="AF18" s="532">
        <v>0.80523498734884424</v>
      </c>
      <c r="AG18" s="7">
        <v>0.51118551413332391</v>
      </c>
      <c r="AH18" s="7">
        <v>-0.66075635091079277</v>
      </c>
      <c r="AI18" s="533">
        <v>31.372359412717749</v>
      </c>
    </row>
    <row r="19" spans="1:43" x14ac:dyDescent="0.25">
      <c r="A19" s="873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  <c r="G19" s="873">
        <f t="shared" si="1"/>
        <v>16</v>
      </c>
      <c r="H19" s="532">
        <f>'MI 6'!H19</f>
        <v>16</v>
      </c>
      <c r="I19" s="7">
        <f>'MI 6'!I19</f>
        <v>23</v>
      </c>
      <c r="J19" s="7">
        <f>'MI 6'!J19</f>
        <v>21</v>
      </c>
      <c r="K19" s="533">
        <f>'MI 6'!K19</f>
        <v>34</v>
      </c>
      <c r="M19" s="873">
        <f t="shared" si="2"/>
        <v>16</v>
      </c>
      <c r="N19" s="532">
        <f>'MI 6'!N19</f>
        <v>16</v>
      </c>
      <c r="O19" s="7">
        <f>'MI 6'!O19</f>
        <v>23</v>
      </c>
      <c r="P19" s="7">
        <f>'MI 6'!P19</f>
        <v>21</v>
      </c>
      <c r="Q19" s="533">
        <f>'MI 6'!Q19</f>
        <v>34</v>
      </c>
      <c r="S19" s="873">
        <f t="shared" si="3"/>
        <v>16</v>
      </c>
      <c r="T19" s="532">
        <f>'MI 6'!T19</f>
        <v>16</v>
      </c>
      <c r="U19" s="7">
        <f>'MI 6'!U19</f>
        <v>23</v>
      </c>
      <c r="V19" s="7">
        <f>'MI 6'!V19</f>
        <v>21</v>
      </c>
      <c r="W19" s="533">
        <f>'MI 6'!W19</f>
        <v>34</v>
      </c>
      <c r="Y19" s="873">
        <f t="shared" si="4"/>
        <v>16</v>
      </c>
      <c r="Z19" s="532">
        <f>'MI 6'!Z19</f>
        <v>16</v>
      </c>
      <c r="AA19" s="7">
        <f>'MI 6'!AA19</f>
        <v>23</v>
      </c>
      <c r="AB19" s="7">
        <f>'MI 6'!AB19</f>
        <v>21</v>
      </c>
      <c r="AC19" s="533">
        <f>'MI 6'!AC19</f>
        <v>34</v>
      </c>
      <c r="AE19" t="s">
        <v>1932</v>
      </c>
      <c r="AF19" s="532">
        <v>0.41026490370946078</v>
      </c>
      <c r="AG19" s="7">
        <v>0.15336921601930337</v>
      </c>
      <c r="AH19" s="7">
        <v>0.66196895496429531</v>
      </c>
      <c r="AI19" s="533">
        <v>10.903134855256139</v>
      </c>
    </row>
    <row r="20" spans="1:43" x14ac:dyDescent="0.25">
      <c r="A20" s="873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G20" s="873">
        <f t="shared" si="1"/>
        <v>17</v>
      </c>
      <c r="H20" s="532">
        <f>'MI 6'!H20</f>
        <v>27</v>
      </c>
      <c r="I20" s="7">
        <f>'MI 6'!I20</f>
        <v>26</v>
      </c>
      <c r="J20" s="7">
        <f>'MI 6'!J20</f>
        <v>23</v>
      </c>
      <c r="K20" s="533">
        <f>'MI 6'!K20</f>
        <v>59</v>
      </c>
      <c r="M20" s="873">
        <f t="shared" si="2"/>
        <v>17</v>
      </c>
      <c r="N20" s="532">
        <f>'MI 6'!N20</f>
        <v>27</v>
      </c>
      <c r="O20" s="7">
        <f>'MI 6'!O20</f>
        <v>26</v>
      </c>
      <c r="P20" s="7">
        <f>'MI 6'!P20</f>
        <v>23</v>
      </c>
      <c r="Q20" s="533">
        <f>'MI 6'!Q20</f>
        <v>59</v>
      </c>
      <c r="S20" s="873">
        <f t="shared" si="3"/>
        <v>17</v>
      </c>
      <c r="T20" s="532">
        <f>'MI 6'!T20</f>
        <v>27</v>
      </c>
      <c r="U20" s="7">
        <f>'MI 6'!U20</f>
        <v>26</v>
      </c>
      <c r="V20" s="7">
        <f>'MI 6'!V20</f>
        <v>23</v>
      </c>
      <c r="W20" s="533">
        <f>'MI 6'!W20</f>
        <v>59</v>
      </c>
      <c r="Y20" s="873">
        <f t="shared" si="4"/>
        <v>17</v>
      </c>
      <c r="Z20" s="532">
        <f>'MI 6'!Z20</f>
        <v>27</v>
      </c>
      <c r="AA20" s="7">
        <f>'MI 6'!AA20</f>
        <v>26</v>
      </c>
      <c r="AB20" s="7">
        <f>'MI 6'!AB20</f>
        <v>23</v>
      </c>
      <c r="AC20" s="533">
        <f>'MI 6'!AC20</f>
        <v>59</v>
      </c>
      <c r="AE20" t="s">
        <v>2002</v>
      </c>
      <c r="AF20" s="409">
        <v>0.58280748950928174</v>
      </c>
      <c r="AG20" s="762">
        <v>20</v>
      </c>
      <c r="AH20" s="762" t="str">
        <v/>
      </c>
      <c r="AI20" s="417" t="str">
        <v/>
      </c>
    </row>
    <row r="21" spans="1:43" x14ac:dyDescent="0.25">
      <c r="A21" s="873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  <c r="G21" s="873">
        <f t="shared" si="1"/>
        <v>18</v>
      </c>
      <c r="H21" s="532">
        <f>'MI 6'!H21</f>
        <v>17</v>
      </c>
      <c r="I21" s="7">
        <f>'MI 6'!I21</f>
        <v>18.599016445877663</v>
      </c>
      <c r="J21" s="7">
        <f>'MI 6'!J21</f>
        <v>21.409738887673626</v>
      </c>
      <c r="K21" s="533">
        <f>'MI 6'!K21</f>
        <v>35</v>
      </c>
      <c r="M21" s="873">
        <f t="shared" si="2"/>
        <v>18</v>
      </c>
      <c r="N21" s="532">
        <f>'MI 6'!N21</f>
        <v>17</v>
      </c>
      <c r="O21" s="7">
        <f>'MI 6'!O21</f>
        <v>16.337394764624001</v>
      </c>
      <c r="P21" s="7">
        <f>'MI 6'!P21</f>
        <v>18.761656643758439</v>
      </c>
      <c r="Q21" s="533">
        <f>'MI 6'!Q21</f>
        <v>35</v>
      </c>
      <c r="S21" s="873">
        <f t="shared" si="3"/>
        <v>18</v>
      </c>
      <c r="T21" s="532">
        <f>'MI 6'!T21</f>
        <v>17</v>
      </c>
      <c r="U21" s="7">
        <f>'MI 6'!U21</f>
        <v>23.040216699121096</v>
      </c>
      <c r="V21" s="7">
        <f>'MI 6'!V21</f>
        <v>19.683056532161114</v>
      </c>
      <c r="W21" s="533">
        <f>'MI 6'!W21</f>
        <v>35</v>
      </c>
      <c r="Y21" s="873">
        <f t="shared" si="4"/>
        <v>18</v>
      </c>
      <c r="Z21" s="532">
        <f>'MI 6'!Z21</f>
        <v>17</v>
      </c>
      <c r="AA21" s="7">
        <f>'MI 6'!AA21</f>
        <v>14.818158107035147</v>
      </c>
      <c r="AB21" s="7">
        <f>'MI 6'!AB21</f>
        <v>19.887917457968385</v>
      </c>
      <c r="AC21" s="533">
        <f>'MI 6'!AC21</f>
        <v>35</v>
      </c>
    </row>
    <row r="22" spans="1:43" x14ac:dyDescent="0.25">
      <c r="A22" s="873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  <c r="G22" s="873">
        <f t="shared" si="1"/>
        <v>19</v>
      </c>
      <c r="H22" s="532">
        <f>'MI 6'!H22</f>
        <v>13</v>
      </c>
      <c r="I22" s="7">
        <f>'MI 6'!I22</f>
        <v>21</v>
      </c>
      <c r="J22" s="7">
        <f>'MI 6'!J22</f>
        <v>20</v>
      </c>
      <c r="K22" s="533">
        <f>'MI 6'!K22</f>
        <v>48</v>
      </c>
      <c r="M22" s="873">
        <f t="shared" si="2"/>
        <v>19</v>
      </c>
      <c r="N22" s="532">
        <f>'MI 6'!N22</f>
        <v>13</v>
      </c>
      <c r="O22" s="7">
        <f>'MI 6'!O22</f>
        <v>21</v>
      </c>
      <c r="P22" s="7">
        <f>'MI 6'!P22</f>
        <v>20</v>
      </c>
      <c r="Q22" s="533">
        <f>'MI 6'!Q22</f>
        <v>48</v>
      </c>
      <c r="S22" s="873">
        <f t="shared" si="3"/>
        <v>19</v>
      </c>
      <c r="T22" s="532">
        <f>'MI 6'!T22</f>
        <v>13</v>
      </c>
      <c r="U22" s="7">
        <f>'MI 6'!U22</f>
        <v>21</v>
      </c>
      <c r="V22" s="7">
        <f>'MI 6'!V22</f>
        <v>20</v>
      </c>
      <c r="W22" s="533">
        <f>'MI 6'!W22</f>
        <v>48</v>
      </c>
      <c r="Y22" s="873">
        <f t="shared" si="4"/>
        <v>19</v>
      </c>
      <c r="Z22" s="532">
        <f>'MI 6'!Z22</f>
        <v>13</v>
      </c>
      <c r="AA22" s="7">
        <f>'MI 6'!AA22</f>
        <v>21</v>
      </c>
      <c r="AB22" s="7">
        <f>'MI 6'!AB22</f>
        <v>20</v>
      </c>
      <c r="AC22" s="533">
        <f>'MI 6'!AC22</f>
        <v>48</v>
      </c>
      <c r="AE22" t="s">
        <v>2009</v>
      </c>
      <c r="AK22" t="s">
        <v>1593</v>
      </c>
    </row>
    <row r="23" spans="1:43" x14ac:dyDescent="0.25">
      <c r="A23" s="873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  <c r="G23" s="873">
        <f t="shared" si="1"/>
        <v>20</v>
      </c>
      <c r="H23" s="409">
        <f>'MI 6'!H23</f>
        <v>11</v>
      </c>
      <c r="I23" s="762">
        <f>'MI 6'!I23</f>
        <v>51</v>
      </c>
      <c r="J23" s="762">
        <f>'MI 6'!J23</f>
        <v>18</v>
      </c>
      <c r="K23" s="417">
        <f>'MI 6'!K23</f>
        <v>54</v>
      </c>
      <c r="M23" s="873">
        <f t="shared" si="2"/>
        <v>20</v>
      </c>
      <c r="N23" s="409">
        <f>'MI 6'!N23</f>
        <v>11</v>
      </c>
      <c r="O23" s="762">
        <f>'MI 6'!O23</f>
        <v>51</v>
      </c>
      <c r="P23" s="762">
        <f>'MI 6'!P23</f>
        <v>18</v>
      </c>
      <c r="Q23" s="417">
        <f>'MI 6'!Q23</f>
        <v>54</v>
      </c>
      <c r="S23" s="873">
        <f t="shared" si="3"/>
        <v>20</v>
      </c>
      <c r="T23" s="409">
        <f>'MI 6'!T23</f>
        <v>11</v>
      </c>
      <c r="U23" s="762">
        <f>'MI 6'!U23</f>
        <v>51</v>
      </c>
      <c r="V23" s="762">
        <f>'MI 6'!V23</f>
        <v>18</v>
      </c>
      <c r="W23" s="417">
        <f>'MI 6'!W23</f>
        <v>54</v>
      </c>
      <c r="Y23" s="873">
        <f t="shared" si="4"/>
        <v>20</v>
      </c>
      <c r="Z23" s="409">
        <f>'MI 6'!Z23</f>
        <v>11</v>
      </c>
      <c r="AA23" s="762">
        <f>'MI 6'!AA23</f>
        <v>51</v>
      </c>
      <c r="AB23" s="762">
        <f>'MI 6'!AB23</f>
        <v>18</v>
      </c>
      <c r="AC23" s="417">
        <f>'MI 6'!AC23</f>
        <v>54</v>
      </c>
    </row>
    <row r="24" spans="1:43" ht="15.75" thickBot="1" x14ac:dyDescent="0.3">
      <c r="AF24" s="873" t="s">
        <v>1983</v>
      </c>
      <c r="AG24" s="873" t="s">
        <v>1964</v>
      </c>
      <c r="AH24" s="873" t="s">
        <v>1963</v>
      </c>
      <c r="AI24" s="873" t="s">
        <v>1984</v>
      </c>
      <c r="AK24" s="743" t="s">
        <v>1598</v>
      </c>
      <c r="AL24" s="743"/>
    </row>
    <row r="25" spans="1:43" ht="15.75" thickTop="1" x14ac:dyDescent="0.25">
      <c r="A25" s="873" t="s">
        <v>7</v>
      </c>
      <c r="B25">
        <f>AVERAGE(B4:B23)</f>
        <v>16.133333333333333</v>
      </c>
      <c r="C25">
        <f>AVERAGE(C4:C23)</f>
        <v>34.411764705882355</v>
      </c>
      <c r="D25">
        <f>AVERAGE(D4:D23)</f>
        <v>21.0625</v>
      </c>
      <c r="E25">
        <f>AVERAGE(E4:E23)</f>
        <v>47.722222222222221</v>
      </c>
      <c r="G25" t="s">
        <v>7</v>
      </c>
      <c r="H25" s="869">
        <f t="array" ref="H25:K29">[1]!MISummary(H4:K23,FALSE)</f>
        <v>16.288800968975426</v>
      </c>
      <c r="I25" s="867">
        <v>32.023437842894928</v>
      </c>
      <c r="J25" s="867">
        <v>21.480640453493312</v>
      </c>
      <c r="K25" s="870">
        <v>46.820587380400262</v>
      </c>
      <c r="M25" t="s">
        <v>7</v>
      </c>
      <c r="N25" s="869">
        <f t="array" ref="N25:Q29">[1]!MISummary(N4:Q23,FALSE)</f>
        <v>16.212815843787205</v>
      </c>
      <c r="O25" s="867">
        <v>32.332550720928488</v>
      </c>
      <c r="P25" s="867">
        <v>21.039203596757556</v>
      </c>
      <c r="Q25" s="870">
        <v>47.017669821304779</v>
      </c>
      <c r="S25" t="s">
        <v>7</v>
      </c>
      <c r="T25" s="869">
        <f t="array" ref="T25:W29">[1]!MISummary(T4:W23,FALSE)</f>
        <v>16.5917100130713</v>
      </c>
      <c r="U25" s="867">
        <v>32.563188960981591</v>
      </c>
      <c r="V25" s="867">
        <v>21.252887682618343</v>
      </c>
      <c r="W25" s="870">
        <v>47.223978132913125</v>
      </c>
      <c r="Y25" t="s">
        <v>7</v>
      </c>
      <c r="Z25" s="869">
        <f t="array" ref="Z25:AC29">[1]!MISummary(Z4:AC23,FALSE)</f>
        <v>16.241884445703739</v>
      </c>
      <c r="AA25" s="867">
        <v>31.876859544157924</v>
      </c>
      <c r="AB25" s="867">
        <v>21.068452177266074</v>
      </c>
      <c r="AC25" s="870">
        <v>46.649762429842689</v>
      </c>
      <c r="AE25" t="s">
        <v>7</v>
      </c>
      <c r="AF25" s="869">
        <f t="array" ref="AF25:AI29">[1]!MICombine(H25:K27,4,2,FALSE,FALSE)</f>
        <v>16.333802817884418</v>
      </c>
      <c r="AG25" s="867">
        <v>32.199009267240733</v>
      </c>
      <c r="AH25" s="867">
        <v>21.210295977533821</v>
      </c>
      <c r="AI25" s="870">
        <v>46.927999441115212</v>
      </c>
      <c r="AK25" t="s">
        <v>292</v>
      </c>
      <c r="AL25">
        <f>SQRT(AL26)</f>
        <v>0.76341829262160188</v>
      </c>
    </row>
    <row r="26" spans="1:43" x14ac:dyDescent="0.25">
      <c r="A26" s="873" t="s">
        <v>9</v>
      </c>
      <c r="B26">
        <f>STDEV(B4:B23)</f>
        <v>4.7789219744724045</v>
      </c>
      <c r="C26">
        <f>STDEV(C4:C23)</f>
        <v>10.79964596369606</v>
      </c>
      <c r="D26">
        <f>STDEV(D4:D23)</f>
        <v>3.2755406678389241</v>
      </c>
      <c r="E26">
        <f>STDEV(E4:E23)</f>
        <v>7.6297063050063398</v>
      </c>
      <c r="G26" t="s">
        <v>9</v>
      </c>
      <c r="H26" s="532">
        <v>4.7756490986593425</v>
      </c>
      <c r="I26" s="7">
        <v>13.096448977699733</v>
      </c>
      <c r="J26" s="7">
        <v>3.1494879103980304</v>
      </c>
      <c r="K26" s="533">
        <v>7.7376369809005707</v>
      </c>
      <c r="M26" t="s">
        <v>9</v>
      </c>
      <c r="N26" s="532">
        <v>4.2277932433653449</v>
      </c>
      <c r="O26" s="7">
        <v>11.249067971646259</v>
      </c>
      <c r="P26" s="7">
        <v>3.2547857298277623</v>
      </c>
      <c r="Q26" s="533">
        <v>7.5357775558374236</v>
      </c>
      <c r="S26" t="s">
        <v>9</v>
      </c>
      <c r="T26" s="532">
        <v>4.5027917989393593</v>
      </c>
      <c r="U26" s="7">
        <v>10.923140982228553</v>
      </c>
      <c r="V26" s="7">
        <v>3.0831387257066614</v>
      </c>
      <c r="W26" s="533">
        <v>7.3852620471984247</v>
      </c>
      <c r="Y26" t="s">
        <v>9</v>
      </c>
      <c r="Z26" s="532">
        <v>4.2621888767012788</v>
      </c>
      <c r="AA26" s="7">
        <v>11.714599078449181</v>
      </c>
      <c r="AB26" s="7">
        <v>3.1805352536459934</v>
      </c>
      <c r="AC26" s="533">
        <v>7.9435895761279118</v>
      </c>
      <c r="AE26" t="s">
        <v>9</v>
      </c>
      <c r="AF26" s="532">
        <v>4.4521158584413767</v>
      </c>
      <c r="AG26" s="7">
        <v>11.780408847244987</v>
      </c>
      <c r="AH26" s="7">
        <v>3.1762957006444381</v>
      </c>
      <c r="AI26" s="533">
        <v>7.6588160531292955</v>
      </c>
      <c r="AK26" t="s">
        <v>285</v>
      </c>
      <c r="AL26">
        <f>AF29</f>
        <v>0.58280748950928174</v>
      </c>
    </row>
    <row r="27" spans="1:43" x14ac:dyDescent="0.25">
      <c r="G27" t="s">
        <v>1592</v>
      </c>
      <c r="H27" s="532">
        <v>0.88802626552381947</v>
      </c>
      <c r="I27" s="7">
        <v>0.41004023944418677</v>
      </c>
      <c r="J27" s="7">
        <v>-1.0286073350249973</v>
      </c>
      <c r="K27" s="533">
        <v>41.319950496631485</v>
      </c>
      <c r="M27" t="s">
        <v>1592</v>
      </c>
      <c r="N27" s="532">
        <v>0.76903531621418753</v>
      </c>
      <c r="O27" s="7">
        <v>0.52174659451706396</v>
      </c>
      <c r="P27" s="7">
        <v>-0.46993822796583368</v>
      </c>
      <c r="Q27" s="533">
        <v>27.567169687533458</v>
      </c>
      <c r="S27" t="s">
        <v>1592</v>
      </c>
      <c r="T27" s="532">
        <v>0.57057529311267496</v>
      </c>
      <c r="U27" s="7">
        <v>0.54411996754565117</v>
      </c>
      <c r="V27" s="7">
        <v>-0.36356623597453458</v>
      </c>
      <c r="W27" s="533">
        <v>27.765709386691356</v>
      </c>
      <c r="Y27" t="s">
        <v>1592</v>
      </c>
      <c r="Z27" s="532">
        <v>0.99330307454469502</v>
      </c>
      <c r="AA27" s="7">
        <v>0.56883525502639387</v>
      </c>
      <c r="AB27" s="7">
        <v>-0.78091360467780524</v>
      </c>
      <c r="AC27" s="533">
        <v>28.836608080014702</v>
      </c>
      <c r="AE27" t="s">
        <v>1592</v>
      </c>
      <c r="AF27" s="532">
        <v>0.80523498734884424</v>
      </c>
      <c r="AG27" s="7">
        <v>0.51118551413332391</v>
      </c>
      <c r="AH27" s="7">
        <v>-0.66075635091079277</v>
      </c>
      <c r="AI27" s="533">
        <v>31.372359412717749</v>
      </c>
      <c r="AK27" t="s">
        <v>293</v>
      </c>
      <c r="AL27">
        <f>1-(1-AL26)*(AL29-1)/(AL29-AL33-1)</f>
        <v>0.50458389379227209</v>
      </c>
    </row>
    <row r="28" spans="1:43" x14ac:dyDescent="0.25">
      <c r="G28" t="s">
        <v>1932</v>
      </c>
      <c r="H28" s="532">
        <v>0.32631522513281869</v>
      </c>
      <c r="I28" s="7">
        <v>0.11983575558146996</v>
      </c>
      <c r="J28" s="7">
        <v>0.58621837785649833</v>
      </c>
      <c r="K28" s="533">
        <v>9.0754044107129968</v>
      </c>
      <c r="M28" t="s">
        <v>1932</v>
      </c>
      <c r="N28" s="532">
        <v>0.3660548168697596</v>
      </c>
      <c r="O28" s="7">
        <v>0.13032567889987381</v>
      </c>
      <c r="P28" s="7">
        <v>0.54501130014866617</v>
      </c>
      <c r="Q28" s="533">
        <v>7.8396110658590921</v>
      </c>
      <c r="S28" t="s">
        <v>1932</v>
      </c>
      <c r="T28" s="532">
        <v>0.39876393240975661</v>
      </c>
      <c r="U28" s="7">
        <v>0.16279908613001903</v>
      </c>
      <c r="V28" s="7">
        <v>0.64558998710410331</v>
      </c>
      <c r="W28" s="533">
        <v>9.0202227011786142</v>
      </c>
      <c r="Y28" t="s">
        <v>1932</v>
      </c>
      <c r="Z28" s="532">
        <v>0.36842816223971447</v>
      </c>
      <c r="AA28" s="7">
        <v>0.1248576347199138</v>
      </c>
      <c r="AB28" s="7">
        <v>0.55772391774175245</v>
      </c>
      <c r="AC28" s="533">
        <v>8.0190846858159492</v>
      </c>
      <c r="AE28" t="s">
        <v>1932</v>
      </c>
      <c r="AF28" s="532">
        <v>0.42146111880461318</v>
      </c>
      <c r="AG28" s="7">
        <v>0.15784542740717661</v>
      </c>
      <c r="AH28" s="7">
        <v>0.68126833216878735</v>
      </c>
      <c r="AI28" s="533">
        <v>11.464177753277667</v>
      </c>
      <c r="AK28" t="s">
        <v>11</v>
      </c>
      <c r="AL28">
        <f>SQRT(AN34)</f>
        <v>5.3907190694545282</v>
      </c>
    </row>
    <row r="29" spans="1:43" x14ac:dyDescent="0.25">
      <c r="G29" t="s">
        <v>2002</v>
      </c>
      <c r="H29" s="409">
        <v>0.58210704136275504</v>
      </c>
      <c r="I29" s="762">
        <v>20</v>
      </c>
      <c r="J29" s="762" t="str">
        <v/>
      </c>
      <c r="K29" s="417" t="str">
        <v/>
      </c>
      <c r="M29" t="s">
        <v>2002</v>
      </c>
      <c r="N29" s="409">
        <v>0.5959735939842119</v>
      </c>
      <c r="O29" s="762">
        <v>20</v>
      </c>
      <c r="P29" s="762" t="str">
        <v/>
      </c>
      <c r="Q29" s="417" t="str">
        <v/>
      </c>
      <c r="S29" t="s">
        <v>2002</v>
      </c>
      <c r="T29" s="409">
        <v>0.5091114320559903</v>
      </c>
      <c r="U29" s="762">
        <v>20</v>
      </c>
      <c r="V29" s="762" t="str">
        <v/>
      </c>
      <c r="W29" s="417" t="str">
        <v/>
      </c>
      <c r="Y29" t="s">
        <v>2002</v>
      </c>
      <c r="Z29" s="409">
        <v>0.63769000502819551</v>
      </c>
      <c r="AA29" s="762">
        <v>20</v>
      </c>
      <c r="AB29" s="762" t="str">
        <v/>
      </c>
      <c r="AC29" s="417" t="str">
        <v/>
      </c>
      <c r="AE29" t="s">
        <v>2002</v>
      </c>
      <c r="AF29" s="409">
        <v>0.58280748950928174</v>
      </c>
      <c r="AG29" s="762">
        <v>20</v>
      </c>
      <c r="AH29" s="762" t="str">
        <v/>
      </c>
      <c r="AI29" s="417" t="str">
        <v/>
      </c>
      <c r="AK29" s="762" t="s">
        <v>81</v>
      </c>
      <c r="AL29" s="762">
        <f>AG29</f>
        <v>20</v>
      </c>
    </row>
    <row r="31" spans="1:43" ht="15.75" thickBot="1" x14ac:dyDescent="0.3">
      <c r="AK31" t="s">
        <v>294</v>
      </c>
      <c r="AO31" s="921" t="s">
        <v>34</v>
      </c>
      <c r="AP31" s="921">
        <v>0.05</v>
      </c>
    </row>
    <row r="32" spans="1:43" ht="15.75" thickTop="1" x14ac:dyDescent="0.25">
      <c r="AK32" s="826"/>
      <c r="AL32" s="826" t="s">
        <v>60</v>
      </c>
      <c r="AM32" s="826" t="s">
        <v>219</v>
      </c>
      <c r="AN32" s="826" t="s">
        <v>240</v>
      </c>
      <c r="AO32" s="826" t="s">
        <v>135</v>
      </c>
      <c r="AP32" s="826" t="s">
        <v>67</v>
      </c>
      <c r="AQ32" s="826" t="s">
        <v>527</v>
      </c>
    </row>
    <row r="33" spans="37:43" x14ac:dyDescent="0.25">
      <c r="AK33" t="s">
        <v>222</v>
      </c>
      <c r="AL33">
        <f>COUNT(AF25:AI25)-1</f>
        <v>3</v>
      </c>
      <c r="AM33">
        <f>AL26*AM35</f>
        <v>649.53417000525792</v>
      </c>
      <c r="AN33">
        <f>AM33/AL33</f>
        <v>216.51139000175263</v>
      </c>
      <c r="AO33">
        <f>AN33/AN34</f>
        <v>7.4505331053523864</v>
      </c>
      <c r="AP33">
        <f>FDIST(AO33,AL33,AL34)</f>
        <v>2.4288161841833399E-3</v>
      </c>
      <c r="AQ33" s="921" t="str">
        <f>IF(AP33&lt;AP31,"yes","no")</f>
        <v>yes</v>
      </c>
    </row>
    <row r="34" spans="37:43" x14ac:dyDescent="0.25">
      <c r="AK34" t="s">
        <v>295</v>
      </c>
      <c r="AL34">
        <f>AL35-AL33</f>
        <v>16</v>
      </c>
      <c r="AM34">
        <f>AM35-AM33</f>
        <v>464.95763337249105</v>
      </c>
      <c r="AN34">
        <f>AM34/AL34</f>
        <v>29.05985208578069</v>
      </c>
    </row>
    <row r="35" spans="37:43" x14ac:dyDescent="0.25">
      <c r="AK35" s="762" t="s">
        <v>1</v>
      </c>
      <c r="AL35" s="762">
        <f>AL29-1</f>
        <v>19</v>
      </c>
      <c r="AM35" s="762">
        <f>AI26^2*AL35</f>
        <v>1114.491803377749</v>
      </c>
      <c r="AN35" s="762"/>
      <c r="AO35" s="762"/>
      <c r="AP35" s="762"/>
      <c r="AQ35" s="762"/>
    </row>
    <row r="36" spans="37:43" ht="15.75" thickBot="1" x14ac:dyDescent="0.3"/>
    <row r="37" spans="37:43" ht="15.75" thickTop="1" x14ac:dyDescent="0.25">
      <c r="AK37" s="826"/>
      <c r="AL37" s="826" t="s">
        <v>1592</v>
      </c>
      <c r="AM37" s="826" t="s">
        <v>1000</v>
      </c>
      <c r="AN37" s="826" t="s">
        <v>61</v>
      </c>
      <c r="AO37" s="826" t="s">
        <v>67</v>
      </c>
      <c r="AP37" s="826" t="s">
        <v>29</v>
      </c>
      <c r="AQ37" s="826" t="s">
        <v>30</v>
      </c>
    </row>
    <row r="38" spans="37:43" x14ac:dyDescent="0.25">
      <c r="AK38" t="s">
        <v>296</v>
      </c>
      <c r="AL38">
        <f>AI27</f>
        <v>31.372359412717749</v>
      </c>
      <c r="AM38">
        <f>AI28</f>
        <v>11.464177753277667</v>
      </c>
      <c r="AN38">
        <f>AL38/AM38</f>
        <v>2.7365555635900911</v>
      </c>
      <c r="AO38">
        <f>TDIST(ABS(AN38),$U$13,2)</f>
        <v>9.5817319154291661E-3</v>
      </c>
      <c r="AP38">
        <f>AL38-TINV(AP$31,$AL$34)*AM38</f>
        <v>7.0693882423299996</v>
      </c>
      <c r="AQ38">
        <f>AL38+TINV(AP$31,$AL$34)*AM38</f>
        <v>55.675330583105499</v>
      </c>
    </row>
    <row r="39" spans="37:43" x14ac:dyDescent="0.25">
      <c r="AK39" t="str">
        <f t="array" ref="AK39:AK41">TRANSPOSE(AF24:AH24)</f>
        <v>read</v>
      </c>
      <c r="AL39">
        <f t="array" ref="AL39:AL41">TRANSPOSE(AF27:AH27)</f>
        <v>0.80523498734884424</v>
      </c>
      <c r="AM39">
        <f t="array" ref="AM39:AM41">TRANSPOSE(AF28:AH28)</f>
        <v>0.42146111880461318</v>
      </c>
      <c r="AN39">
        <f>AL39/AM39</f>
        <v>1.9105795325384365</v>
      </c>
      <c r="AO39">
        <f>TDIST(ABS(AN39),$U$13,2)</f>
        <v>6.404862461683461E-2</v>
      </c>
      <c r="AP39">
        <f>AL39-TINV(AP$31,$AL$34)*AM39</f>
        <v>-8.8222671820774146E-2</v>
      </c>
      <c r="AQ39">
        <f>AL39+TINV(AP$31,$AL$34)*AM39</f>
        <v>1.6986926465184626</v>
      </c>
    </row>
    <row r="40" spans="37:43" x14ac:dyDescent="0.25">
      <c r="AK40" t="str">
        <v>science</v>
      </c>
      <c r="AL40">
        <v>0.51118551413332391</v>
      </c>
      <c r="AM40">
        <v>0.15784542740717661</v>
      </c>
      <c r="AN40">
        <f>AL40/AM40</f>
        <v>3.2385196234710967</v>
      </c>
      <c r="AO40">
        <f>TDIST(ABS(AN40),$U$13,2)</f>
        <v>2.5840598923675818E-3</v>
      </c>
      <c r="AP40">
        <f>AL40-TINV(AP$31,$AL$34)*AM40</f>
        <v>0.17656815611500631</v>
      </c>
      <c r="AQ40">
        <f>AL40+TINV(AP$31,$AL$34)*AM40</f>
        <v>0.84580287215164152</v>
      </c>
    </row>
    <row r="41" spans="37:43" x14ac:dyDescent="0.25">
      <c r="AK41" s="762" t="str">
        <v>math</v>
      </c>
      <c r="AL41" s="762">
        <v>-0.66075635091079277</v>
      </c>
      <c r="AM41" s="762">
        <v>0.68126833216878735</v>
      </c>
      <c r="AN41" s="762">
        <f>AL41/AM41</f>
        <v>-0.96989147992143476</v>
      </c>
      <c r="AO41" s="762">
        <f>TDIST(ABS(AN41),$U$13,2)</f>
        <v>0.33857216347834596</v>
      </c>
      <c r="AP41" s="762">
        <f>AL41-TINV(AP$31,$AL$34)*AM41</f>
        <v>-2.1049806984670312</v>
      </c>
      <c r="AQ41" s="762">
        <f>AL41+TINV(AP$31,$AL$34)*AM41</f>
        <v>0.78346799664544564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Z27"/>
  <sheetViews>
    <sheetView workbookViewId="0"/>
  </sheetViews>
  <sheetFormatPr defaultRowHeight="15" x14ac:dyDescent="0.25"/>
  <cols>
    <col min="20" max="20" width="17.85546875" customWidth="1"/>
  </cols>
  <sheetData>
    <row r="1" spans="1:26" x14ac:dyDescent="0.25">
      <c r="A1" s="1" t="s">
        <v>1979</v>
      </c>
      <c r="G1" t="s">
        <v>2006</v>
      </c>
      <c r="N1" t="s">
        <v>2014</v>
      </c>
      <c r="T1" t="s">
        <v>1593</v>
      </c>
    </row>
    <row r="3" spans="1:26" ht="15.75" thickBot="1" x14ac:dyDescent="0.3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  <c r="G3" t="str">
        <f t="array" ref="G3:K8">[1]!DescStats(B3:E23,TRUE,TRUE)</f>
        <v/>
      </c>
      <c r="H3" s="903" t="str">
        <v>read</v>
      </c>
      <c r="I3" s="903" t="str">
        <v>science</v>
      </c>
      <c r="J3" s="903" t="str">
        <v>math</v>
      </c>
      <c r="K3" s="903" t="str">
        <v>medicine</v>
      </c>
      <c r="O3" s="903" t="str">
        <f>B3</f>
        <v>read</v>
      </c>
      <c r="P3" s="903" t="str">
        <f>C3</f>
        <v>science</v>
      </c>
      <c r="Q3" s="903" t="str">
        <f>D3</f>
        <v>math</v>
      </c>
      <c r="R3" s="903" t="str">
        <f>E3</f>
        <v>medicine</v>
      </c>
      <c r="T3" s="743" t="s">
        <v>1598</v>
      </c>
      <c r="U3" s="743"/>
    </row>
    <row r="4" spans="1:26" ht="15.75" thickTop="1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  <c r="G4" t="str">
        <v>count</v>
      </c>
      <c r="H4" s="865">
        <v>15</v>
      </c>
      <c r="I4" s="798">
        <v>17</v>
      </c>
      <c r="J4" s="798">
        <v>16</v>
      </c>
      <c r="K4" s="866">
        <v>18</v>
      </c>
      <c r="N4" t="s">
        <v>7</v>
      </c>
      <c r="O4" s="865">
        <f t="array" ref="O4:R8">[1]!MICombine('MI 8a'!A25:D29,10,1,FALSE,FALSE)</f>
        <v>16.280361808890365</v>
      </c>
      <c r="P4" s="798">
        <v>32.35496464913048</v>
      </c>
      <c r="Q4" s="798">
        <v>21.226983500932086</v>
      </c>
      <c r="R4" s="866">
        <v>47.045281837313468</v>
      </c>
      <c r="T4" t="s">
        <v>292</v>
      </c>
      <c r="U4">
        <f>SQRT(U5)</f>
        <v>0.75609655798071362</v>
      </c>
    </row>
    <row r="5" spans="1:26" x14ac:dyDescent="0.25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t="str">
        <v>mean</v>
      </c>
      <c r="H5" s="501">
        <v>16.133333333333333</v>
      </c>
      <c r="I5" s="7">
        <v>34.411764705882355</v>
      </c>
      <c r="J5" s="7">
        <v>21.0625</v>
      </c>
      <c r="K5" s="57">
        <v>47.722222222222221</v>
      </c>
      <c r="N5" t="s">
        <v>9</v>
      </c>
      <c r="O5" s="501">
        <v>4.3413982494143832</v>
      </c>
      <c r="P5" s="7">
        <v>11.598836668357498</v>
      </c>
      <c r="Q5" s="7">
        <v>3.1844417837723538</v>
      </c>
      <c r="R5" s="57">
        <v>7.5742673321460749</v>
      </c>
      <c r="T5" t="s">
        <v>285</v>
      </c>
      <c r="U5">
        <f>O8</f>
        <v>0.57168200499028266</v>
      </c>
    </row>
    <row r="6" spans="1:26" x14ac:dyDescent="0.25">
      <c r="A6" s="873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G6" t="str">
        <v>stdev</v>
      </c>
      <c r="H6" s="501">
        <v>4.7789219744724045</v>
      </c>
      <c r="I6" s="7">
        <v>10.79964596369606</v>
      </c>
      <c r="J6" s="7">
        <v>3.2755406678389241</v>
      </c>
      <c r="K6" s="57">
        <v>7.6297063050063398</v>
      </c>
      <c r="N6" t="s">
        <v>1592</v>
      </c>
      <c r="O6" s="501">
        <v>0.75252473147562082</v>
      </c>
      <c r="P6" s="7">
        <v>0.50250928656499705</v>
      </c>
      <c r="Q6" s="7">
        <v>-0.46020740913780933</v>
      </c>
      <c r="R6" s="57">
        <v>28.357947676135257</v>
      </c>
      <c r="T6" t="s">
        <v>293</v>
      </c>
      <c r="U6">
        <f>1-(1-U5)*(U8-1)/(U8-U12-1)</f>
        <v>0.49137238092596069</v>
      </c>
    </row>
    <row r="7" spans="1:26" x14ac:dyDescent="0.25">
      <c r="A7" s="873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G7" t="str">
        <v>min</v>
      </c>
      <c r="H7" s="501">
        <v>10</v>
      </c>
      <c r="I7" s="7">
        <v>18</v>
      </c>
      <c r="J7" s="7">
        <v>13</v>
      </c>
      <c r="K7" s="57">
        <v>34</v>
      </c>
      <c r="N7" t="s">
        <v>425</v>
      </c>
      <c r="O7" s="501">
        <v>0.42039431132319016</v>
      </c>
      <c r="P7" s="7">
        <v>0.16417537800099555</v>
      </c>
      <c r="Q7" s="7">
        <v>0.69885625314791733</v>
      </c>
      <c r="R7" s="57">
        <v>10.7138936010706</v>
      </c>
      <c r="T7" t="s">
        <v>11</v>
      </c>
      <c r="U7">
        <f>SQRT(W13)</f>
        <v>5.4018261007649144</v>
      </c>
    </row>
    <row r="8" spans="1:26" x14ac:dyDescent="0.25">
      <c r="A8" s="873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  <c r="G8" t="str">
        <v>max</v>
      </c>
      <c r="H8" s="759">
        <v>27</v>
      </c>
      <c r="I8" s="760">
        <v>56</v>
      </c>
      <c r="J8" s="760">
        <v>28</v>
      </c>
      <c r="K8" s="761">
        <v>60</v>
      </c>
      <c r="N8" t="s">
        <v>2015</v>
      </c>
      <c r="O8" s="759">
        <v>0.57168200499028266</v>
      </c>
      <c r="P8" s="760">
        <v>20</v>
      </c>
      <c r="Q8" s="760" t="str">
        <v/>
      </c>
      <c r="R8" s="761" t="str">
        <v/>
      </c>
      <c r="T8" s="762" t="s">
        <v>81</v>
      </c>
      <c r="U8" s="762">
        <f>P8</f>
        <v>20</v>
      </c>
    </row>
    <row r="9" spans="1:26" x14ac:dyDescent="0.25">
      <c r="A9" s="873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</row>
    <row r="10" spans="1:26" ht="15.75" thickBot="1" x14ac:dyDescent="0.3">
      <c r="A10" s="873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  <c r="G10" t="s">
        <v>1986</v>
      </c>
      <c r="T10" t="s">
        <v>294</v>
      </c>
      <c r="X10" s="903" t="s">
        <v>34</v>
      </c>
      <c r="Y10" s="903">
        <v>0.05</v>
      </c>
    </row>
    <row r="11" spans="1:26" ht="15.75" thickTop="1" x14ac:dyDescent="0.25">
      <c r="A11" s="873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  <c r="T11" s="826"/>
      <c r="U11" s="826" t="s">
        <v>60</v>
      </c>
      <c r="V11" s="826" t="s">
        <v>219</v>
      </c>
      <c r="W11" s="826" t="s">
        <v>240</v>
      </c>
      <c r="X11" s="826" t="s">
        <v>135</v>
      </c>
      <c r="Y11" s="826" t="s">
        <v>67</v>
      </c>
      <c r="Z11" s="826" t="s">
        <v>527</v>
      </c>
    </row>
    <row r="12" spans="1:26" x14ac:dyDescent="0.25">
      <c r="A12" s="873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G12" s="903" t="str">
        <f t="array" ref="G12:L14">[1]!MissingFreq(B3:E23)</f>
        <v>read</v>
      </c>
      <c r="H12" s="903" t="str">
        <v>science</v>
      </c>
      <c r="I12" s="903" t="str">
        <v>math</v>
      </c>
      <c r="J12" s="903" t="str">
        <v>medicine</v>
      </c>
      <c r="K12" s="903" t="str">
        <v>rows</v>
      </c>
      <c r="L12" s="903" t="str">
        <v>cells</v>
      </c>
      <c r="T12" t="s">
        <v>222</v>
      </c>
      <c r="U12">
        <f>COUNT(O4:R4)-1</f>
        <v>3</v>
      </c>
      <c r="V12">
        <f>U5*V14</f>
        <v>623.14538319100768</v>
      </c>
      <c r="W12">
        <f>V12/U12</f>
        <v>207.71512773033589</v>
      </c>
      <c r="X12">
        <f>W12/W13</f>
        <v>7.118474425087685</v>
      </c>
      <c r="Y12">
        <f>FDIST(X12,U12,U13)</f>
        <v>2.9742220199933632E-3</v>
      </c>
      <c r="Z12" s="903" t="str">
        <f>IF(Y12&lt;Y10,"yes","no")</f>
        <v>yes</v>
      </c>
    </row>
    <row r="13" spans="1:26" x14ac:dyDescent="0.25">
      <c r="A13" s="873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G13" s="865">
        <v>15</v>
      </c>
      <c r="H13" s="798">
        <v>17</v>
      </c>
      <c r="I13" s="798">
        <v>16</v>
      </c>
      <c r="J13" s="798">
        <v>18</v>
      </c>
      <c r="K13" s="798">
        <v>10</v>
      </c>
      <c r="L13" s="866">
        <v>66</v>
      </c>
      <c r="T13" t="s">
        <v>295</v>
      </c>
      <c r="U13">
        <f>U14-U12</f>
        <v>16</v>
      </c>
      <c r="V13">
        <f>V14-V12</f>
        <v>466.87560356648135</v>
      </c>
      <c r="W13">
        <f>V13/U13</f>
        <v>29.179725222905084</v>
      </c>
    </row>
    <row r="14" spans="1:26" x14ac:dyDescent="0.25">
      <c r="A14" s="873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G14" s="894">
        <v>0.75</v>
      </c>
      <c r="H14" s="895">
        <v>0.85</v>
      </c>
      <c r="I14" s="895">
        <v>0.8</v>
      </c>
      <c r="J14" s="895">
        <v>0.9</v>
      </c>
      <c r="K14" s="895">
        <v>0.5</v>
      </c>
      <c r="L14" s="893">
        <v>0.82499999999999996</v>
      </c>
      <c r="T14" s="762" t="s">
        <v>1</v>
      </c>
      <c r="U14" s="762">
        <f>U8-1</f>
        <v>19</v>
      </c>
      <c r="V14" s="762">
        <f>R5^2*U14</f>
        <v>1090.020986757489</v>
      </c>
      <c r="W14" s="762"/>
      <c r="X14" s="762"/>
      <c r="Y14" s="762"/>
      <c r="Z14" s="762"/>
    </row>
    <row r="15" spans="1:26" ht="15.75" thickBot="1" x14ac:dyDescent="0.3">
      <c r="A15" s="873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</row>
    <row r="16" spans="1:26" ht="15.75" thickTop="1" x14ac:dyDescent="0.25">
      <c r="A16" s="873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G16" t="s">
        <v>1987</v>
      </c>
      <c r="T16" s="826"/>
      <c r="U16" s="826" t="s">
        <v>1592</v>
      </c>
      <c r="V16" s="826" t="s">
        <v>1000</v>
      </c>
      <c r="W16" s="826" t="s">
        <v>61</v>
      </c>
      <c r="X16" s="826" t="s">
        <v>67</v>
      </c>
      <c r="Y16" s="826" t="s">
        <v>29</v>
      </c>
      <c r="Z16" s="826" t="s">
        <v>30</v>
      </c>
    </row>
    <row r="17" spans="1:26" x14ac:dyDescent="0.25">
      <c r="A17" s="873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  <c r="T17" t="s">
        <v>296</v>
      </c>
      <c r="U17">
        <f>R6</f>
        <v>28.357947676135257</v>
      </c>
      <c r="V17">
        <f>R7</f>
        <v>10.7138936010706</v>
      </c>
      <c r="W17">
        <f>U17/V17</f>
        <v>2.6468386500778345</v>
      </c>
      <c r="X17">
        <f>TDIST(ABS(W17),$U$13,2)</f>
        <v>1.7582197119027265E-2</v>
      </c>
      <c r="Y17">
        <f>U17-TINV(Y$10,$U$13)*V17</f>
        <v>5.6455078559329976</v>
      </c>
      <c r="Z17">
        <f>U17+TINV(Y$10,$U$13)*V17</f>
        <v>51.070387496337517</v>
      </c>
    </row>
    <row r="18" spans="1:26" x14ac:dyDescent="0.25">
      <c r="A18" s="873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G18" s="903" t="str">
        <f t="array" ref="G18:L26">[1]!MissingPatterns(B3:E23)</f>
        <v>read</v>
      </c>
      <c r="H18" s="903" t="str">
        <v>science</v>
      </c>
      <c r="I18" s="903" t="str">
        <v>math</v>
      </c>
      <c r="J18" s="903" t="str">
        <v>medicine</v>
      </c>
      <c r="K18" s="903" t="str">
        <v>freq</v>
      </c>
      <c r="L18" s="903" t="str">
        <v>%</v>
      </c>
      <c r="T18" t="str">
        <f t="array" ref="T18:T20">TRANSPOSE(O3:Q3)</f>
        <v>read</v>
      </c>
      <c r="U18">
        <f t="array" ref="U18:U20">TRANSPOSE(O6:Q6)</f>
        <v>0.75252473147562082</v>
      </c>
      <c r="V18">
        <f t="array" ref="V18:V20">TRANSPOSE(O7:Q7)</f>
        <v>0.42039431132319016</v>
      </c>
      <c r="W18">
        <f>U18/V18</f>
        <v>1.7900449915867103</v>
      </c>
      <c r="X18">
        <f>TDIST(ABS(W18),$U$13,2)</f>
        <v>9.2387286063859736E-2</v>
      </c>
      <c r="Y18">
        <f>U18-TINV(Y$10,$U$13)*V18</f>
        <v>-0.13867139686088004</v>
      </c>
      <c r="Z18">
        <f>U18+TINV(Y$10,$U$13)*V18</f>
        <v>1.6437208598121216</v>
      </c>
    </row>
    <row r="19" spans="1:26" x14ac:dyDescent="0.25">
      <c r="A19" s="873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  <c r="G19" s="888" t="str">
        <v>.</v>
      </c>
      <c r="H19" s="889" t="str">
        <v>x</v>
      </c>
      <c r="I19" s="889" t="str">
        <v>.</v>
      </c>
      <c r="J19" s="889" t="str">
        <v>x</v>
      </c>
      <c r="K19" s="798">
        <v>1</v>
      </c>
      <c r="L19" s="890">
        <v>5.2631578947368418E-2</v>
      </c>
      <c r="T19" t="str">
        <v>science</v>
      </c>
      <c r="U19">
        <v>0.50250928656499705</v>
      </c>
      <c r="V19">
        <v>0.16417537800099555</v>
      </c>
      <c r="W19">
        <f>U19/V19</f>
        <v>3.0608078548900912</v>
      </c>
      <c r="X19">
        <f>TDIST(ABS(W19),$U$13,2)</f>
        <v>7.468056428712227E-3</v>
      </c>
      <c r="Y19">
        <f>U19-TINV(Y$10,$U$13)*V19</f>
        <v>0.15447303273903396</v>
      </c>
      <c r="Z19">
        <f>U19+TINV(Y$10,$U$13)*V19</f>
        <v>0.85054554039096009</v>
      </c>
    </row>
    <row r="20" spans="1:26" x14ac:dyDescent="0.25">
      <c r="A20" s="873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G20" s="500" t="str">
        <v>.</v>
      </c>
      <c r="H20" s="904" t="str">
        <v>x</v>
      </c>
      <c r="I20" s="904" t="str">
        <v>x</v>
      </c>
      <c r="J20" s="904" t="str">
        <v>.</v>
      </c>
      <c r="K20" s="7">
        <v>1</v>
      </c>
      <c r="L20" s="891">
        <v>5.2631578947368418E-2</v>
      </c>
      <c r="T20" s="762" t="str">
        <v>math</v>
      </c>
      <c r="U20" s="762">
        <v>-0.46020740913780933</v>
      </c>
      <c r="V20" s="762">
        <v>0.69885625314791733</v>
      </c>
      <c r="W20" s="762">
        <f>U20/V20</f>
        <v>-0.65851511961845965</v>
      </c>
      <c r="X20" s="762">
        <f>TDIST(ABS(W20),$U$13,2)</f>
        <v>0.51957152031107134</v>
      </c>
      <c r="Y20" s="762">
        <f>U20-TINV(Y$10,$U$13)*V20</f>
        <v>-1.9417164835799903</v>
      </c>
      <c r="Z20" s="762">
        <f>U20+TINV(Y$10,$U$13)*V20</f>
        <v>1.0213016653043714</v>
      </c>
    </row>
    <row r="21" spans="1:26" x14ac:dyDescent="0.25">
      <c r="A21" s="873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  <c r="G21" s="500" t="str">
        <v>.</v>
      </c>
      <c r="H21" s="904" t="str">
        <v>x</v>
      </c>
      <c r="I21" s="904" t="str">
        <v>x</v>
      </c>
      <c r="J21" s="904" t="str">
        <v>x</v>
      </c>
      <c r="K21" s="7">
        <v>3</v>
      </c>
      <c r="L21" s="891">
        <v>0.15789473684210525</v>
      </c>
    </row>
    <row r="22" spans="1:26" x14ac:dyDescent="0.25">
      <c r="A22" s="873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  <c r="G22" s="500" t="str">
        <v>x</v>
      </c>
      <c r="H22" s="904" t="str">
        <v>.</v>
      </c>
      <c r="I22" s="904" t="str">
        <v>.</v>
      </c>
      <c r="J22" s="904" t="str">
        <v>x</v>
      </c>
      <c r="K22" s="7">
        <v>2</v>
      </c>
      <c r="L22" s="891">
        <v>0.10526315789473684</v>
      </c>
    </row>
    <row r="23" spans="1:26" x14ac:dyDescent="0.25">
      <c r="A23" s="873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  <c r="G23" s="500" t="str">
        <v>x</v>
      </c>
      <c r="H23" s="904" t="str">
        <v>.</v>
      </c>
      <c r="I23" s="904" t="str">
        <v>x</v>
      </c>
      <c r="J23" s="904" t="str">
        <v>x</v>
      </c>
      <c r="K23" s="7">
        <v>1</v>
      </c>
      <c r="L23" s="891">
        <v>5.2631578947368418E-2</v>
      </c>
    </row>
    <row r="24" spans="1:26" x14ac:dyDescent="0.25">
      <c r="A24" s="873" t="s">
        <v>7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500" t="str">
        <v>x</v>
      </c>
      <c r="H24" s="904" t="str">
        <v>x</v>
      </c>
      <c r="I24" s="904" t="str">
        <v>.</v>
      </c>
      <c r="J24" s="904" t="str">
        <v>x</v>
      </c>
      <c r="K24" s="7">
        <v>1</v>
      </c>
      <c r="L24" s="891">
        <v>5.2631578947368418E-2</v>
      </c>
    </row>
    <row r="25" spans="1:26" x14ac:dyDescent="0.25">
      <c r="A25" s="873" t="s">
        <v>9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500" t="str">
        <v>x</v>
      </c>
      <c r="H25" s="904" t="str">
        <v>x</v>
      </c>
      <c r="I25" s="904" t="str">
        <v>x</v>
      </c>
      <c r="J25" s="904" t="str">
        <v>.</v>
      </c>
      <c r="K25" s="7">
        <v>1</v>
      </c>
      <c r="L25" s="891">
        <v>5.2631578947368418E-2</v>
      </c>
    </row>
    <row r="26" spans="1:26" x14ac:dyDescent="0.25">
      <c r="G26" s="817" t="str">
        <v>x</v>
      </c>
      <c r="H26" s="892" t="str">
        <v>x</v>
      </c>
      <c r="I26" s="892" t="str">
        <v>x</v>
      </c>
      <c r="J26" s="892" t="str">
        <v>x</v>
      </c>
      <c r="K26" s="760">
        <v>10</v>
      </c>
      <c r="L26" s="893">
        <v>0.52631578947368418</v>
      </c>
    </row>
    <row r="27" spans="1:26" x14ac:dyDescent="0.25">
      <c r="K27">
        <f>SUM(K19:K26)</f>
        <v>20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AW29"/>
  <sheetViews>
    <sheetView workbookViewId="0"/>
  </sheetViews>
  <sheetFormatPr defaultRowHeight="15" x14ac:dyDescent="0.25"/>
  <sheetData>
    <row r="1" spans="1:49" x14ac:dyDescent="0.25">
      <c r="A1" t="s">
        <v>2013</v>
      </c>
      <c r="B1">
        <v>1</v>
      </c>
      <c r="F1" t="s">
        <v>2013</v>
      </c>
      <c r="G1">
        <v>2</v>
      </c>
      <c r="K1" t="s">
        <v>2013</v>
      </c>
      <c r="L1">
        <v>3</v>
      </c>
      <c r="P1" t="s">
        <v>2013</v>
      </c>
      <c r="Q1">
        <v>4</v>
      </c>
      <c r="U1" t="s">
        <v>2013</v>
      </c>
      <c r="V1">
        <v>5</v>
      </c>
      <c r="Z1" t="s">
        <v>2013</v>
      </c>
      <c r="AA1">
        <v>6</v>
      </c>
      <c r="AE1" t="s">
        <v>2013</v>
      </c>
      <c r="AF1">
        <v>7</v>
      </c>
      <c r="AJ1" t="s">
        <v>2013</v>
      </c>
      <c r="AK1">
        <v>8</v>
      </c>
      <c r="AO1" t="s">
        <v>2013</v>
      </c>
      <c r="AP1">
        <v>9</v>
      </c>
      <c r="AT1" t="s">
        <v>2013</v>
      </c>
      <c r="AU1">
        <v>10</v>
      </c>
    </row>
    <row r="3" spans="1:49" x14ac:dyDescent="0.25">
      <c r="A3" s="903" t="str">
        <f t="array" ref="A3:D23">[1]!ImputeFCS('MI 8'!B3:E23,TRUE,20)</f>
        <v>read</v>
      </c>
      <c r="B3" s="903" t="str">
        <v>science</v>
      </c>
      <c r="C3" s="903" t="str">
        <v>math</v>
      </c>
      <c r="D3" s="903" t="str">
        <v>medicine</v>
      </c>
      <c r="F3" s="903" t="str">
        <f t="array" ref="F3:I23">[1]!ImputeFCS('MI 8'!B3:E23,TRUE,20)</f>
        <v>read</v>
      </c>
      <c r="G3" s="903" t="str">
        <v>science</v>
      </c>
      <c r="H3" s="903" t="str">
        <v>math</v>
      </c>
      <c r="I3" s="903" t="str">
        <v>medicine</v>
      </c>
      <c r="K3" s="903" t="str">
        <f t="array" ref="K3:N23">[1]!ImputeFCS('MI 8'!B3:E23,TRUE,20)</f>
        <v>read</v>
      </c>
      <c r="L3" s="903" t="str">
        <v>science</v>
      </c>
      <c r="M3" s="903" t="str">
        <v>math</v>
      </c>
      <c r="N3" s="903" t="str">
        <v>medicine</v>
      </c>
      <c r="P3" s="903" t="str">
        <f t="array" ref="P3:S23">[1]!ImputeFCS('MI 8'!B3:E23,TRUE,20)</f>
        <v>read</v>
      </c>
      <c r="Q3" s="903" t="str">
        <v>science</v>
      </c>
      <c r="R3" s="903" t="str">
        <v>math</v>
      </c>
      <c r="S3" s="903" t="str">
        <v>medicine</v>
      </c>
      <c r="U3" s="903" t="str">
        <f t="array" ref="U3:X23">[1]!ImputeFCS('MI 8'!B3:E23,TRUE,20)</f>
        <v>read</v>
      </c>
      <c r="V3" s="903" t="str">
        <v>science</v>
      </c>
      <c r="W3" s="903" t="str">
        <v>math</v>
      </c>
      <c r="X3" s="903" t="str">
        <v>medicine</v>
      </c>
      <c r="Z3" s="903" t="str">
        <f t="array" ref="Z3:AC23">[1]!ImputeFCS('MI 8'!B3:E23,TRUE,20)</f>
        <v>read</v>
      </c>
      <c r="AA3" s="903" t="str">
        <v>science</v>
      </c>
      <c r="AB3" s="903" t="str">
        <v>math</v>
      </c>
      <c r="AC3" s="903" t="str">
        <v>medicine</v>
      </c>
      <c r="AE3" s="903" t="str">
        <f t="array" ref="AE3:AH23">[1]!ImputeFCS('MI 8'!B3:E23,TRUE,20)</f>
        <v>read</v>
      </c>
      <c r="AF3" s="903" t="str">
        <v>science</v>
      </c>
      <c r="AG3" s="903" t="str">
        <v>math</v>
      </c>
      <c r="AH3" s="903" t="str">
        <v>medicine</v>
      </c>
      <c r="AJ3" s="903" t="str">
        <f t="array" ref="AJ3:AM23">[1]!ImputeFCS('MI 8'!B3:E23,TRUE,20)</f>
        <v>read</v>
      </c>
      <c r="AK3" s="903" t="str">
        <v>science</v>
      </c>
      <c r="AL3" s="903" t="str">
        <v>math</v>
      </c>
      <c r="AM3" s="903" t="str">
        <v>medicine</v>
      </c>
      <c r="AO3" s="903" t="str">
        <f t="array" ref="AO3:AR23">[1]!ImputeFCS('MI 8'!B3:E23,TRUE,20)</f>
        <v>read</v>
      </c>
      <c r="AP3" s="903" t="str">
        <v>science</v>
      </c>
      <c r="AQ3" s="903" t="str">
        <v>math</v>
      </c>
      <c r="AR3" s="903" t="str">
        <v>medicine</v>
      </c>
      <c r="AT3" s="903" t="str">
        <f t="array" ref="AT3:AW23">[1]!ImputeFCS('MI 8'!B3:E23,TRUE,20)</f>
        <v>read</v>
      </c>
      <c r="AU3" s="903" t="str">
        <v>science</v>
      </c>
      <c r="AV3" s="903" t="str">
        <v>math</v>
      </c>
      <c r="AW3" s="903" t="str">
        <v>medicine</v>
      </c>
    </row>
    <row r="4" spans="1:49" x14ac:dyDescent="0.25">
      <c r="A4" s="865">
        <v>12</v>
      </c>
      <c r="B4" s="798">
        <v>27</v>
      </c>
      <c r="C4" s="798">
        <v>19</v>
      </c>
      <c r="D4" s="866">
        <v>44</v>
      </c>
      <c r="F4" s="865">
        <v>12</v>
      </c>
      <c r="G4" s="798">
        <v>27</v>
      </c>
      <c r="H4" s="798">
        <v>19</v>
      </c>
      <c r="I4" s="866">
        <v>44</v>
      </c>
      <c r="K4" s="865">
        <v>12</v>
      </c>
      <c r="L4" s="798">
        <v>27</v>
      </c>
      <c r="M4" s="798">
        <v>19</v>
      </c>
      <c r="N4" s="866">
        <v>44</v>
      </c>
      <c r="P4" s="865">
        <v>12</v>
      </c>
      <c r="Q4" s="798">
        <v>27</v>
      </c>
      <c r="R4" s="798">
        <v>19</v>
      </c>
      <c r="S4" s="866">
        <v>44</v>
      </c>
      <c r="U4" s="865">
        <v>12</v>
      </c>
      <c r="V4" s="798">
        <v>27</v>
      </c>
      <c r="W4" s="798">
        <v>19</v>
      </c>
      <c r="X4" s="866">
        <v>44</v>
      </c>
      <c r="Z4" s="865">
        <v>12</v>
      </c>
      <c r="AA4" s="798">
        <v>27</v>
      </c>
      <c r="AB4" s="798">
        <v>19</v>
      </c>
      <c r="AC4" s="866">
        <v>44</v>
      </c>
      <c r="AE4" s="865">
        <v>12</v>
      </c>
      <c r="AF4" s="798">
        <v>27</v>
      </c>
      <c r="AG4" s="798">
        <v>19</v>
      </c>
      <c r="AH4" s="866">
        <v>44</v>
      </c>
      <c r="AJ4" s="865">
        <v>12</v>
      </c>
      <c r="AK4" s="798">
        <v>27</v>
      </c>
      <c r="AL4" s="798">
        <v>19</v>
      </c>
      <c r="AM4" s="866">
        <v>44</v>
      </c>
      <c r="AO4" s="865">
        <v>12</v>
      </c>
      <c r="AP4" s="798">
        <v>27</v>
      </c>
      <c r="AQ4" s="798">
        <v>19</v>
      </c>
      <c r="AR4" s="866">
        <v>44</v>
      </c>
      <c r="AT4" s="865">
        <v>12</v>
      </c>
      <c r="AU4" s="798">
        <v>27</v>
      </c>
      <c r="AV4" s="798">
        <v>19</v>
      </c>
      <c r="AW4" s="866">
        <v>44</v>
      </c>
    </row>
    <row r="5" spans="1:49" x14ac:dyDescent="0.25">
      <c r="A5" s="501">
        <v>11</v>
      </c>
      <c r="B5" s="7">
        <v>21.548494195403528</v>
      </c>
      <c r="C5" s="7">
        <v>13</v>
      </c>
      <c r="D5" s="57">
        <v>43</v>
      </c>
      <c r="F5" s="501">
        <v>11</v>
      </c>
      <c r="G5" s="7">
        <v>22.204811373406763</v>
      </c>
      <c r="H5" s="7">
        <v>13</v>
      </c>
      <c r="I5" s="57">
        <v>43</v>
      </c>
      <c r="K5" s="501">
        <v>11</v>
      </c>
      <c r="L5" s="7">
        <v>-2.7728791313709067</v>
      </c>
      <c r="M5" s="7">
        <v>13</v>
      </c>
      <c r="N5" s="57">
        <v>43</v>
      </c>
      <c r="P5" s="501">
        <v>11</v>
      </c>
      <c r="Q5" s="7">
        <v>28.192765654843829</v>
      </c>
      <c r="R5" s="7">
        <v>13</v>
      </c>
      <c r="S5" s="57">
        <v>43</v>
      </c>
      <c r="U5" s="501">
        <v>11</v>
      </c>
      <c r="V5" s="7">
        <v>33.062050066408055</v>
      </c>
      <c r="W5" s="7">
        <v>13</v>
      </c>
      <c r="X5" s="57">
        <v>43</v>
      </c>
      <c r="Z5" s="501">
        <v>11</v>
      </c>
      <c r="AA5" s="7">
        <v>12.768616834643655</v>
      </c>
      <c r="AB5" s="7">
        <v>13</v>
      </c>
      <c r="AC5" s="57">
        <v>43</v>
      </c>
      <c r="AE5" s="501">
        <v>11</v>
      </c>
      <c r="AF5" s="7">
        <v>25.657123307163314</v>
      </c>
      <c r="AG5" s="7">
        <v>13</v>
      </c>
      <c r="AH5" s="57">
        <v>43</v>
      </c>
      <c r="AJ5" s="501">
        <v>11</v>
      </c>
      <c r="AK5" s="7">
        <v>14.47538093544464</v>
      </c>
      <c r="AL5" s="7">
        <v>13</v>
      </c>
      <c r="AM5" s="57">
        <v>43</v>
      </c>
      <c r="AO5" s="501">
        <v>11</v>
      </c>
      <c r="AP5" s="7">
        <v>9.7840957034976661</v>
      </c>
      <c r="AQ5" s="7">
        <v>13</v>
      </c>
      <c r="AR5" s="57">
        <v>43</v>
      </c>
      <c r="AT5" s="501">
        <v>11</v>
      </c>
      <c r="AU5" s="7">
        <v>28.808424181776559</v>
      </c>
      <c r="AV5" s="7">
        <v>13</v>
      </c>
      <c r="AW5" s="57">
        <v>43</v>
      </c>
    </row>
    <row r="6" spans="1:49" x14ac:dyDescent="0.25">
      <c r="A6" s="501">
        <v>16.406752226542221</v>
      </c>
      <c r="B6" s="7">
        <v>56</v>
      </c>
      <c r="C6" s="7">
        <v>23</v>
      </c>
      <c r="D6" s="57">
        <v>60</v>
      </c>
      <c r="F6" s="501">
        <v>19.748651550219169</v>
      </c>
      <c r="G6" s="7">
        <v>56</v>
      </c>
      <c r="H6" s="7">
        <v>23</v>
      </c>
      <c r="I6" s="57">
        <v>60</v>
      </c>
      <c r="K6" s="501">
        <v>14.31625774622635</v>
      </c>
      <c r="L6" s="7">
        <v>56</v>
      </c>
      <c r="M6" s="7">
        <v>23</v>
      </c>
      <c r="N6" s="57">
        <v>60</v>
      </c>
      <c r="P6" s="501">
        <v>11.979125201780956</v>
      </c>
      <c r="Q6" s="7">
        <v>56</v>
      </c>
      <c r="R6" s="7">
        <v>23</v>
      </c>
      <c r="S6" s="57">
        <v>60</v>
      </c>
      <c r="U6" s="501">
        <v>20.001631707810503</v>
      </c>
      <c r="V6" s="7">
        <v>56</v>
      </c>
      <c r="W6" s="7">
        <v>23</v>
      </c>
      <c r="X6" s="57">
        <v>60</v>
      </c>
      <c r="Z6" s="501">
        <v>15.900810775373962</v>
      </c>
      <c r="AA6" s="7">
        <v>56</v>
      </c>
      <c r="AB6" s="7">
        <v>23</v>
      </c>
      <c r="AC6" s="57">
        <v>60</v>
      </c>
      <c r="AE6" s="501">
        <v>17.544560692480385</v>
      </c>
      <c r="AF6" s="7">
        <v>56</v>
      </c>
      <c r="AG6" s="7">
        <v>23</v>
      </c>
      <c r="AH6" s="57">
        <v>60</v>
      </c>
      <c r="AJ6" s="501">
        <v>13.874646728539078</v>
      </c>
      <c r="AK6" s="7">
        <v>56</v>
      </c>
      <c r="AL6" s="7">
        <v>23</v>
      </c>
      <c r="AM6" s="57">
        <v>60</v>
      </c>
      <c r="AO6" s="501">
        <v>13.741244648940924</v>
      </c>
      <c r="AP6" s="7">
        <v>56</v>
      </c>
      <c r="AQ6" s="7">
        <v>23</v>
      </c>
      <c r="AR6" s="57">
        <v>60</v>
      </c>
      <c r="AT6" s="501">
        <v>13.457762152410938</v>
      </c>
      <c r="AU6" s="7">
        <v>56</v>
      </c>
      <c r="AV6" s="7">
        <v>23</v>
      </c>
      <c r="AW6" s="57">
        <v>60</v>
      </c>
    </row>
    <row r="7" spans="1:49" x14ac:dyDescent="0.25">
      <c r="A7" s="501">
        <v>15</v>
      </c>
      <c r="B7" s="7">
        <v>37</v>
      </c>
      <c r="C7" s="7">
        <v>19</v>
      </c>
      <c r="D7" s="57">
        <v>52</v>
      </c>
      <c r="F7" s="501">
        <v>15</v>
      </c>
      <c r="G7" s="7">
        <v>37</v>
      </c>
      <c r="H7" s="7">
        <v>19</v>
      </c>
      <c r="I7" s="57">
        <v>52</v>
      </c>
      <c r="K7" s="501">
        <v>15</v>
      </c>
      <c r="L7" s="7">
        <v>37</v>
      </c>
      <c r="M7" s="7">
        <v>19</v>
      </c>
      <c r="N7" s="57">
        <v>52</v>
      </c>
      <c r="P7" s="501">
        <v>15</v>
      </c>
      <c r="Q7" s="7">
        <v>37</v>
      </c>
      <c r="R7" s="7">
        <v>19</v>
      </c>
      <c r="S7" s="57">
        <v>52</v>
      </c>
      <c r="U7" s="501">
        <v>15</v>
      </c>
      <c r="V7" s="7">
        <v>37</v>
      </c>
      <c r="W7" s="7">
        <v>19</v>
      </c>
      <c r="X7" s="57">
        <v>52</v>
      </c>
      <c r="Z7" s="501">
        <v>15</v>
      </c>
      <c r="AA7" s="7">
        <v>37</v>
      </c>
      <c r="AB7" s="7">
        <v>19</v>
      </c>
      <c r="AC7" s="57">
        <v>52</v>
      </c>
      <c r="AE7" s="501">
        <v>15</v>
      </c>
      <c r="AF7" s="7">
        <v>37</v>
      </c>
      <c r="AG7" s="7">
        <v>19</v>
      </c>
      <c r="AH7" s="57">
        <v>52</v>
      </c>
      <c r="AJ7" s="501">
        <v>15</v>
      </c>
      <c r="AK7" s="7">
        <v>37</v>
      </c>
      <c r="AL7" s="7">
        <v>19</v>
      </c>
      <c r="AM7" s="57">
        <v>52</v>
      </c>
      <c r="AO7" s="501">
        <v>15</v>
      </c>
      <c r="AP7" s="7">
        <v>37</v>
      </c>
      <c r="AQ7" s="7">
        <v>19</v>
      </c>
      <c r="AR7" s="57">
        <v>52</v>
      </c>
      <c r="AT7" s="501">
        <v>15</v>
      </c>
      <c r="AU7" s="7">
        <v>37</v>
      </c>
      <c r="AV7" s="7">
        <v>19</v>
      </c>
      <c r="AW7" s="57">
        <v>52</v>
      </c>
    </row>
    <row r="8" spans="1:49" x14ac:dyDescent="0.25">
      <c r="A8" s="501">
        <v>10</v>
      </c>
      <c r="B8" s="7">
        <v>31</v>
      </c>
      <c r="C8" s="7">
        <v>21</v>
      </c>
      <c r="D8" s="57">
        <v>41.136799648593211</v>
      </c>
      <c r="F8" s="501">
        <v>10</v>
      </c>
      <c r="G8" s="7">
        <v>31</v>
      </c>
      <c r="H8" s="7">
        <v>21</v>
      </c>
      <c r="I8" s="57">
        <v>41.156442955401324</v>
      </c>
      <c r="K8" s="501">
        <v>10</v>
      </c>
      <c r="L8" s="7">
        <v>31</v>
      </c>
      <c r="M8" s="7">
        <v>21</v>
      </c>
      <c r="N8" s="57">
        <v>43.268694454256</v>
      </c>
      <c r="P8" s="501">
        <v>10</v>
      </c>
      <c r="Q8" s="7">
        <v>31</v>
      </c>
      <c r="R8" s="7">
        <v>21</v>
      </c>
      <c r="S8" s="57">
        <v>41.95359167265417</v>
      </c>
      <c r="U8" s="501">
        <v>10</v>
      </c>
      <c r="V8" s="7">
        <v>31</v>
      </c>
      <c r="W8" s="7">
        <v>21</v>
      </c>
      <c r="X8" s="57">
        <v>40.877577337420284</v>
      </c>
      <c r="Z8" s="501">
        <v>10</v>
      </c>
      <c r="AA8" s="7">
        <v>31</v>
      </c>
      <c r="AB8" s="7">
        <v>21</v>
      </c>
      <c r="AC8" s="57">
        <v>40.520711361655181</v>
      </c>
      <c r="AE8" s="501">
        <v>10</v>
      </c>
      <c r="AF8" s="7">
        <v>31</v>
      </c>
      <c r="AG8" s="7">
        <v>21</v>
      </c>
      <c r="AH8" s="57">
        <v>41.311287574110473</v>
      </c>
      <c r="AJ8" s="501">
        <v>10</v>
      </c>
      <c r="AK8" s="7">
        <v>31</v>
      </c>
      <c r="AL8" s="7">
        <v>21</v>
      </c>
      <c r="AM8" s="57">
        <v>44.101087043742346</v>
      </c>
      <c r="AO8" s="501">
        <v>10</v>
      </c>
      <c r="AP8" s="7">
        <v>31</v>
      </c>
      <c r="AQ8" s="7">
        <v>21</v>
      </c>
      <c r="AR8" s="57">
        <v>44.966552062965548</v>
      </c>
      <c r="AT8" s="501">
        <v>10</v>
      </c>
      <c r="AU8" s="7">
        <v>31</v>
      </c>
      <c r="AV8" s="7">
        <v>21</v>
      </c>
      <c r="AW8" s="57">
        <v>33.790561186172894</v>
      </c>
    </row>
    <row r="9" spans="1:49" x14ac:dyDescent="0.25">
      <c r="A9" s="501">
        <v>18</v>
      </c>
      <c r="B9" s="7">
        <v>40</v>
      </c>
      <c r="C9" s="7">
        <v>22</v>
      </c>
      <c r="D9" s="57">
        <v>43</v>
      </c>
      <c r="F9" s="501">
        <v>18</v>
      </c>
      <c r="G9" s="7">
        <v>40</v>
      </c>
      <c r="H9" s="7">
        <v>22</v>
      </c>
      <c r="I9" s="57">
        <v>43</v>
      </c>
      <c r="K9" s="501">
        <v>18</v>
      </c>
      <c r="L9" s="7">
        <v>40</v>
      </c>
      <c r="M9" s="7">
        <v>22</v>
      </c>
      <c r="N9" s="57">
        <v>43</v>
      </c>
      <c r="P9" s="501">
        <v>18</v>
      </c>
      <c r="Q9" s="7">
        <v>40</v>
      </c>
      <c r="R9" s="7">
        <v>22</v>
      </c>
      <c r="S9" s="57">
        <v>43</v>
      </c>
      <c r="U9" s="501">
        <v>18</v>
      </c>
      <c r="V9" s="7">
        <v>40</v>
      </c>
      <c r="W9" s="7">
        <v>22</v>
      </c>
      <c r="X9" s="57">
        <v>43</v>
      </c>
      <c r="Z9" s="501">
        <v>18</v>
      </c>
      <c r="AA9" s="7">
        <v>40</v>
      </c>
      <c r="AB9" s="7">
        <v>22</v>
      </c>
      <c r="AC9" s="57">
        <v>43</v>
      </c>
      <c r="AE9" s="501">
        <v>18</v>
      </c>
      <c r="AF9" s="7">
        <v>40</v>
      </c>
      <c r="AG9" s="7">
        <v>22</v>
      </c>
      <c r="AH9" s="57">
        <v>43</v>
      </c>
      <c r="AJ9" s="501">
        <v>18</v>
      </c>
      <c r="AK9" s="7">
        <v>40</v>
      </c>
      <c r="AL9" s="7">
        <v>22</v>
      </c>
      <c r="AM9" s="57">
        <v>43</v>
      </c>
      <c r="AO9" s="501">
        <v>18</v>
      </c>
      <c r="AP9" s="7">
        <v>40</v>
      </c>
      <c r="AQ9" s="7">
        <v>22</v>
      </c>
      <c r="AR9" s="57">
        <v>43</v>
      </c>
      <c r="AT9" s="501">
        <v>18</v>
      </c>
      <c r="AU9" s="7">
        <v>40</v>
      </c>
      <c r="AV9" s="7">
        <v>22</v>
      </c>
      <c r="AW9" s="57">
        <v>43</v>
      </c>
    </row>
    <row r="10" spans="1:49" x14ac:dyDescent="0.25">
      <c r="A10" s="501">
        <v>15</v>
      </c>
      <c r="B10" s="7">
        <v>50</v>
      </c>
      <c r="C10" s="7">
        <v>28</v>
      </c>
      <c r="D10" s="57">
        <v>56</v>
      </c>
      <c r="F10" s="501">
        <v>15</v>
      </c>
      <c r="G10" s="7">
        <v>50</v>
      </c>
      <c r="H10" s="7">
        <v>28</v>
      </c>
      <c r="I10" s="57">
        <v>56</v>
      </c>
      <c r="K10" s="501">
        <v>15</v>
      </c>
      <c r="L10" s="7">
        <v>50</v>
      </c>
      <c r="M10" s="7">
        <v>28</v>
      </c>
      <c r="N10" s="57">
        <v>56</v>
      </c>
      <c r="P10" s="501">
        <v>15</v>
      </c>
      <c r="Q10" s="7">
        <v>50</v>
      </c>
      <c r="R10" s="7">
        <v>28</v>
      </c>
      <c r="S10" s="57">
        <v>56</v>
      </c>
      <c r="U10" s="501">
        <v>15</v>
      </c>
      <c r="V10" s="7">
        <v>50</v>
      </c>
      <c r="W10" s="7">
        <v>28</v>
      </c>
      <c r="X10" s="57">
        <v>56</v>
      </c>
      <c r="Z10" s="501">
        <v>15</v>
      </c>
      <c r="AA10" s="7">
        <v>50</v>
      </c>
      <c r="AB10" s="7">
        <v>28</v>
      </c>
      <c r="AC10" s="57">
        <v>56</v>
      </c>
      <c r="AE10" s="501">
        <v>15</v>
      </c>
      <c r="AF10" s="7">
        <v>50</v>
      </c>
      <c r="AG10" s="7">
        <v>28</v>
      </c>
      <c r="AH10" s="57">
        <v>56</v>
      </c>
      <c r="AJ10" s="501">
        <v>15</v>
      </c>
      <c r="AK10" s="7">
        <v>50</v>
      </c>
      <c r="AL10" s="7">
        <v>28</v>
      </c>
      <c r="AM10" s="57">
        <v>56</v>
      </c>
      <c r="AO10" s="501">
        <v>15</v>
      </c>
      <c r="AP10" s="7">
        <v>50</v>
      </c>
      <c r="AQ10" s="7">
        <v>28</v>
      </c>
      <c r="AR10" s="57">
        <v>56</v>
      </c>
      <c r="AT10" s="501">
        <v>15</v>
      </c>
      <c r="AU10" s="7">
        <v>50</v>
      </c>
      <c r="AV10" s="7">
        <v>28</v>
      </c>
      <c r="AW10" s="57">
        <v>56</v>
      </c>
    </row>
    <row r="11" spans="1:49" x14ac:dyDescent="0.25">
      <c r="A11" s="501">
        <v>21</v>
      </c>
      <c r="B11" s="7">
        <v>27.110439758428601</v>
      </c>
      <c r="C11" s="7">
        <v>22.520561089240903</v>
      </c>
      <c r="D11" s="57">
        <v>46</v>
      </c>
      <c r="F11" s="501">
        <v>21</v>
      </c>
      <c r="G11" s="7">
        <v>26.14017937434155</v>
      </c>
      <c r="H11" s="7">
        <v>24.079029661998401</v>
      </c>
      <c r="I11" s="57">
        <v>46</v>
      </c>
      <c r="K11" s="501">
        <v>21</v>
      </c>
      <c r="L11" s="7">
        <v>23.556724533599329</v>
      </c>
      <c r="M11" s="7">
        <v>22.055976190488341</v>
      </c>
      <c r="N11" s="57">
        <v>46</v>
      </c>
      <c r="P11" s="501">
        <v>21</v>
      </c>
      <c r="Q11" s="7">
        <v>25.008464556439876</v>
      </c>
      <c r="R11" s="7">
        <v>22.373456202400053</v>
      </c>
      <c r="S11" s="57">
        <v>46</v>
      </c>
      <c r="U11" s="501">
        <v>21</v>
      </c>
      <c r="V11" s="7">
        <v>27.306512716465832</v>
      </c>
      <c r="W11" s="7">
        <v>23.758883451496313</v>
      </c>
      <c r="X11" s="57">
        <v>46</v>
      </c>
      <c r="Z11" s="501">
        <v>21</v>
      </c>
      <c r="AA11" s="7">
        <v>21.982880404935859</v>
      </c>
      <c r="AB11" s="7">
        <v>22.096156083685589</v>
      </c>
      <c r="AC11" s="57">
        <v>46</v>
      </c>
      <c r="AE11" s="501">
        <v>21</v>
      </c>
      <c r="AF11" s="7">
        <v>18.825811598144675</v>
      </c>
      <c r="AG11" s="7">
        <v>20.998445311498486</v>
      </c>
      <c r="AH11" s="57">
        <v>46</v>
      </c>
      <c r="AJ11" s="501">
        <v>21</v>
      </c>
      <c r="AK11" s="7">
        <v>29.189718451459818</v>
      </c>
      <c r="AL11" s="7">
        <v>20.763510192496078</v>
      </c>
      <c r="AM11" s="57">
        <v>46</v>
      </c>
      <c r="AO11" s="501">
        <v>21</v>
      </c>
      <c r="AP11" s="7">
        <v>26.424932071421821</v>
      </c>
      <c r="AQ11" s="7">
        <v>22.722707377113686</v>
      </c>
      <c r="AR11" s="57">
        <v>46</v>
      </c>
      <c r="AT11" s="501">
        <v>21</v>
      </c>
      <c r="AU11" s="7">
        <v>21.333836362252246</v>
      </c>
      <c r="AV11" s="7">
        <v>18.242263085456873</v>
      </c>
      <c r="AW11" s="57">
        <v>46</v>
      </c>
    </row>
    <row r="12" spans="1:49" x14ac:dyDescent="0.25">
      <c r="A12" s="501">
        <v>20</v>
      </c>
      <c r="B12" s="7">
        <v>39</v>
      </c>
      <c r="C12" s="7">
        <v>25</v>
      </c>
      <c r="D12" s="57">
        <v>51</v>
      </c>
      <c r="F12" s="501">
        <v>20</v>
      </c>
      <c r="G12" s="7">
        <v>39</v>
      </c>
      <c r="H12" s="7">
        <v>25</v>
      </c>
      <c r="I12" s="57">
        <v>51</v>
      </c>
      <c r="K12" s="501">
        <v>20</v>
      </c>
      <c r="L12" s="7">
        <v>39</v>
      </c>
      <c r="M12" s="7">
        <v>25</v>
      </c>
      <c r="N12" s="57">
        <v>51</v>
      </c>
      <c r="P12" s="501">
        <v>20</v>
      </c>
      <c r="Q12" s="7">
        <v>39</v>
      </c>
      <c r="R12" s="7">
        <v>25</v>
      </c>
      <c r="S12" s="57">
        <v>51</v>
      </c>
      <c r="U12" s="501">
        <v>20</v>
      </c>
      <c r="V12" s="7">
        <v>39</v>
      </c>
      <c r="W12" s="7">
        <v>25</v>
      </c>
      <c r="X12" s="57">
        <v>51</v>
      </c>
      <c r="Z12" s="501">
        <v>20</v>
      </c>
      <c r="AA12" s="7">
        <v>39</v>
      </c>
      <c r="AB12" s="7">
        <v>25</v>
      </c>
      <c r="AC12" s="57">
        <v>51</v>
      </c>
      <c r="AE12" s="501">
        <v>20</v>
      </c>
      <c r="AF12" s="7">
        <v>39</v>
      </c>
      <c r="AG12" s="7">
        <v>25</v>
      </c>
      <c r="AH12" s="57">
        <v>51</v>
      </c>
      <c r="AJ12" s="501">
        <v>20</v>
      </c>
      <c r="AK12" s="7">
        <v>39</v>
      </c>
      <c r="AL12" s="7">
        <v>25</v>
      </c>
      <c r="AM12" s="57">
        <v>51</v>
      </c>
      <c r="AO12" s="501">
        <v>20</v>
      </c>
      <c r="AP12" s="7">
        <v>39</v>
      </c>
      <c r="AQ12" s="7">
        <v>25</v>
      </c>
      <c r="AR12" s="57">
        <v>51</v>
      </c>
      <c r="AT12" s="501">
        <v>20</v>
      </c>
      <c r="AU12" s="7">
        <v>39</v>
      </c>
      <c r="AV12" s="7">
        <v>25</v>
      </c>
      <c r="AW12" s="57">
        <v>51</v>
      </c>
    </row>
    <row r="13" spans="1:49" x14ac:dyDescent="0.25">
      <c r="A13" s="501">
        <v>21.344150298024015</v>
      </c>
      <c r="B13" s="7">
        <v>36</v>
      </c>
      <c r="C13" s="7">
        <v>23</v>
      </c>
      <c r="D13" s="57">
        <v>56</v>
      </c>
      <c r="F13" s="501">
        <v>20.692471208680075</v>
      </c>
      <c r="G13" s="7">
        <v>36</v>
      </c>
      <c r="H13" s="7">
        <v>23</v>
      </c>
      <c r="I13" s="57">
        <v>56</v>
      </c>
      <c r="K13" s="501">
        <v>20.357076030524201</v>
      </c>
      <c r="L13" s="7">
        <v>36</v>
      </c>
      <c r="M13" s="7">
        <v>23</v>
      </c>
      <c r="N13" s="57">
        <v>56</v>
      </c>
      <c r="P13" s="501">
        <v>16.568711618481807</v>
      </c>
      <c r="Q13" s="7">
        <v>36</v>
      </c>
      <c r="R13" s="7">
        <v>23</v>
      </c>
      <c r="S13" s="57">
        <v>56</v>
      </c>
      <c r="U13" s="501">
        <v>20.717980563534073</v>
      </c>
      <c r="V13" s="7">
        <v>36</v>
      </c>
      <c r="W13" s="7">
        <v>23</v>
      </c>
      <c r="X13" s="57">
        <v>56</v>
      </c>
      <c r="Z13" s="501">
        <v>19.257409589166265</v>
      </c>
      <c r="AA13" s="7">
        <v>36</v>
      </c>
      <c r="AB13" s="7">
        <v>23</v>
      </c>
      <c r="AC13" s="57">
        <v>56</v>
      </c>
      <c r="AE13" s="501">
        <v>20.545500063900292</v>
      </c>
      <c r="AF13" s="7">
        <v>36</v>
      </c>
      <c r="AG13" s="7">
        <v>23</v>
      </c>
      <c r="AH13" s="57">
        <v>56</v>
      </c>
      <c r="AJ13" s="501">
        <v>19.714757634074243</v>
      </c>
      <c r="AK13" s="7">
        <v>36</v>
      </c>
      <c r="AL13" s="7">
        <v>23</v>
      </c>
      <c r="AM13" s="57">
        <v>56</v>
      </c>
      <c r="AO13" s="501">
        <v>18.725131260356275</v>
      </c>
      <c r="AP13" s="7">
        <v>36</v>
      </c>
      <c r="AQ13" s="7">
        <v>23</v>
      </c>
      <c r="AR13" s="57">
        <v>56</v>
      </c>
      <c r="AT13" s="501">
        <v>19.688346107029805</v>
      </c>
      <c r="AU13" s="7">
        <v>36</v>
      </c>
      <c r="AV13" s="7">
        <v>23</v>
      </c>
      <c r="AW13" s="57">
        <v>56</v>
      </c>
    </row>
    <row r="14" spans="1:49" x14ac:dyDescent="0.25">
      <c r="A14" s="501">
        <v>15.155086798534107</v>
      </c>
      <c r="B14" s="7">
        <v>27</v>
      </c>
      <c r="C14" s="7">
        <v>21</v>
      </c>
      <c r="D14" s="57">
        <v>39</v>
      </c>
      <c r="F14" s="501">
        <v>13.464700793471087</v>
      </c>
      <c r="G14" s="7">
        <v>27</v>
      </c>
      <c r="H14" s="7">
        <v>21</v>
      </c>
      <c r="I14" s="57">
        <v>39</v>
      </c>
      <c r="K14" s="501">
        <v>13.380670173909625</v>
      </c>
      <c r="L14" s="7">
        <v>27</v>
      </c>
      <c r="M14" s="7">
        <v>21</v>
      </c>
      <c r="N14" s="57">
        <v>39</v>
      </c>
      <c r="P14" s="501">
        <v>15.916890631348043</v>
      </c>
      <c r="Q14" s="7">
        <v>27</v>
      </c>
      <c r="R14" s="7">
        <v>21</v>
      </c>
      <c r="S14" s="57">
        <v>39</v>
      </c>
      <c r="U14" s="501">
        <v>13.904098378414751</v>
      </c>
      <c r="V14" s="7">
        <v>27</v>
      </c>
      <c r="W14" s="7">
        <v>21</v>
      </c>
      <c r="X14" s="57">
        <v>39</v>
      </c>
      <c r="Z14" s="501">
        <v>13.010552003808179</v>
      </c>
      <c r="AA14" s="7">
        <v>27</v>
      </c>
      <c r="AB14" s="7">
        <v>21</v>
      </c>
      <c r="AC14" s="57">
        <v>39</v>
      </c>
      <c r="AE14" s="501">
        <v>19.372391288415262</v>
      </c>
      <c r="AF14" s="7">
        <v>27</v>
      </c>
      <c r="AG14" s="7">
        <v>21</v>
      </c>
      <c r="AH14" s="57">
        <v>39</v>
      </c>
      <c r="AJ14" s="501">
        <v>15.495035084491718</v>
      </c>
      <c r="AK14" s="7">
        <v>27</v>
      </c>
      <c r="AL14" s="7">
        <v>21</v>
      </c>
      <c r="AM14" s="57">
        <v>39</v>
      </c>
      <c r="AO14" s="501">
        <v>13.859200725594521</v>
      </c>
      <c r="AP14" s="7">
        <v>27</v>
      </c>
      <c r="AQ14" s="7">
        <v>21</v>
      </c>
      <c r="AR14" s="57">
        <v>39</v>
      </c>
      <c r="AT14" s="501">
        <v>15.175603788761272</v>
      </c>
      <c r="AU14" s="7">
        <v>27</v>
      </c>
      <c r="AV14" s="7">
        <v>21</v>
      </c>
      <c r="AW14" s="57">
        <v>39</v>
      </c>
    </row>
    <row r="15" spans="1:49" x14ac:dyDescent="0.25">
      <c r="A15" s="501">
        <v>14</v>
      </c>
      <c r="B15" s="7">
        <v>32</v>
      </c>
      <c r="C15" s="7">
        <v>20</v>
      </c>
      <c r="D15" s="57">
        <v>46</v>
      </c>
      <c r="F15" s="501">
        <v>14</v>
      </c>
      <c r="G15" s="7">
        <v>32</v>
      </c>
      <c r="H15" s="7">
        <v>20</v>
      </c>
      <c r="I15" s="57">
        <v>46</v>
      </c>
      <c r="K15" s="501">
        <v>14</v>
      </c>
      <c r="L15" s="7">
        <v>32</v>
      </c>
      <c r="M15" s="7">
        <v>20</v>
      </c>
      <c r="N15" s="57">
        <v>46</v>
      </c>
      <c r="P15" s="501">
        <v>14</v>
      </c>
      <c r="Q15" s="7">
        <v>32</v>
      </c>
      <c r="R15" s="7">
        <v>20</v>
      </c>
      <c r="S15" s="57">
        <v>46</v>
      </c>
      <c r="U15" s="501">
        <v>14</v>
      </c>
      <c r="V15" s="7">
        <v>32</v>
      </c>
      <c r="W15" s="7">
        <v>20</v>
      </c>
      <c r="X15" s="57">
        <v>46</v>
      </c>
      <c r="Z15" s="501">
        <v>14</v>
      </c>
      <c r="AA15" s="7">
        <v>32</v>
      </c>
      <c r="AB15" s="7">
        <v>20</v>
      </c>
      <c r="AC15" s="57">
        <v>46</v>
      </c>
      <c r="AE15" s="501">
        <v>14</v>
      </c>
      <c r="AF15" s="7">
        <v>32</v>
      </c>
      <c r="AG15" s="7">
        <v>20</v>
      </c>
      <c r="AH15" s="57">
        <v>46</v>
      </c>
      <c r="AJ15" s="501">
        <v>14</v>
      </c>
      <c r="AK15" s="7">
        <v>32</v>
      </c>
      <c r="AL15" s="7">
        <v>20</v>
      </c>
      <c r="AM15" s="57">
        <v>46</v>
      </c>
      <c r="AO15" s="501">
        <v>14</v>
      </c>
      <c r="AP15" s="7">
        <v>32</v>
      </c>
      <c r="AQ15" s="7">
        <v>20</v>
      </c>
      <c r="AR15" s="57">
        <v>46</v>
      </c>
      <c r="AT15" s="501">
        <v>14</v>
      </c>
      <c r="AU15" s="7">
        <v>32</v>
      </c>
      <c r="AV15" s="7">
        <v>20</v>
      </c>
      <c r="AW15" s="57">
        <v>46</v>
      </c>
    </row>
    <row r="16" spans="1:49" x14ac:dyDescent="0.25">
      <c r="A16" s="501">
        <v>22</v>
      </c>
      <c r="B16" s="7">
        <v>40</v>
      </c>
      <c r="C16" s="7">
        <v>25.346377184860582</v>
      </c>
      <c r="D16" s="57">
        <v>49</v>
      </c>
      <c r="F16" s="501">
        <v>22</v>
      </c>
      <c r="G16" s="7">
        <v>40</v>
      </c>
      <c r="H16" s="7">
        <v>27.22484339417321</v>
      </c>
      <c r="I16" s="57">
        <v>49</v>
      </c>
      <c r="K16" s="501">
        <v>22</v>
      </c>
      <c r="L16" s="7">
        <v>40</v>
      </c>
      <c r="M16" s="7">
        <v>23.289119325201092</v>
      </c>
      <c r="N16" s="57">
        <v>49</v>
      </c>
      <c r="P16" s="501">
        <v>22</v>
      </c>
      <c r="Q16" s="7">
        <v>40</v>
      </c>
      <c r="R16" s="7">
        <v>27.960629680722381</v>
      </c>
      <c r="S16" s="57">
        <v>49</v>
      </c>
      <c r="U16" s="501">
        <v>22</v>
      </c>
      <c r="V16" s="7">
        <v>40</v>
      </c>
      <c r="W16" s="7">
        <v>24.849479680981545</v>
      </c>
      <c r="X16" s="57">
        <v>49</v>
      </c>
      <c r="Z16" s="501">
        <v>22</v>
      </c>
      <c r="AA16" s="7">
        <v>40</v>
      </c>
      <c r="AB16" s="7">
        <v>25.196006395345151</v>
      </c>
      <c r="AC16" s="57">
        <v>49</v>
      </c>
      <c r="AE16" s="501">
        <v>22</v>
      </c>
      <c r="AF16" s="7">
        <v>40</v>
      </c>
      <c r="AG16" s="7">
        <v>24.591612714690051</v>
      </c>
      <c r="AH16" s="57">
        <v>49</v>
      </c>
      <c r="AJ16" s="501">
        <v>22</v>
      </c>
      <c r="AK16" s="7">
        <v>40</v>
      </c>
      <c r="AL16" s="7">
        <v>23.456421126792907</v>
      </c>
      <c r="AM16" s="57">
        <v>49</v>
      </c>
      <c r="AO16" s="501">
        <v>22</v>
      </c>
      <c r="AP16" s="7">
        <v>40</v>
      </c>
      <c r="AQ16" s="7">
        <v>25.910692576096455</v>
      </c>
      <c r="AR16" s="57">
        <v>49</v>
      </c>
      <c r="AT16" s="501">
        <v>22</v>
      </c>
      <c r="AU16" s="7">
        <v>40</v>
      </c>
      <c r="AV16" s="7">
        <v>23.879577879218964</v>
      </c>
      <c r="AW16" s="57">
        <v>49</v>
      </c>
    </row>
    <row r="17" spans="1:49" x14ac:dyDescent="0.25">
      <c r="A17" s="501">
        <v>16.876293131577256</v>
      </c>
      <c r="B17" s="7">
        <v>31</v>
      </c>
      <c r="C17" s="7">
        <v>22.741053879303493</v>
      </c>
      <c r="D17" s="57">
        <v>44</v>
      </c>
      <c r="F17" s="501">
        <v>15.312172302904273</v>
      </c>
      <c r="G17" s="7">
        <v>31</v>
      </c>
      <c r="H17" s="7">
        <v>22.179504753180183</v>
      </c>
      <c r="I17" s="57">
        <v>44</v>
      </c>
      <c r="K17" s="501">
        <v>13.169027138976702</v>
      </c>
      <c r="L17" s="7">
        <v>31</v>
      </c>
      <c r="M17" s="7">
        <v>21.271081153718285</v>
      </c>
      <c r="N17" s="57">
        <v>44</v>
      </c>
      <c r="P17" s="501">
        <v>15.631499469389524</v>
      </c>
      <c r="Q17" s="7">
        <v>31</v>
      </c>
      <c r="R17" s="7">
        <v>20.411633845024824</v>
      </c>
      <c r="S17" s="57">
        <v>44</v>
      </c>
      <c r="U17" s="501">
        <v>12.688414267303351</v>
      </c>
      <c r="V17" s="7">
        <v>31</v>
      </c>
      <c r="W17" s="7">
        <v>19.570130265771862</v>
      </c>
      <c r="X17" s="57">
        <v>44</v>
      </c>
      <c r="Z17" s="501">
        <v>16.157414471121768</v>
      </c>
      <c r="AA17" s="7">
        <v>31</v>
      </c>
      <c r="AB17" s="7">
        <v>22.15760395392207</v>
      </c>
      <c r="AC17" s="57">
        <v>44</v>
      </c>
      <c r="AE17" s="501">
        <v>17.477068887760844</v>
      </c>
      <c r="AF17" s="7">
        <v>31</v>
      </c>
      <c r="AG17" s="7">
        <v>20.507485905260538</v>
      </c>
      <c r="AH17" s="57">
        <v>44</v>
      </c>
      <c r="AJ17" s="501">
        <v>13.234332697557283</v>
      </c>
      <c r="AK17" s="7">
        <v>31</v>
      </c>
      <c r="AL17" s="7">
        <v>18.945386378165889</v>
      </c>
      <c r="AM17" s="57">
        <v>44</v>
      </c>
      <c r="AO17" s="501">
        <v>12.995387139813975</v>
      </c>
      <c r="AP17" s="7">
        <v>31</v>
      </c>
      <c r="AQ17" s="7">
        <v>20.518200138674473</v>
      </c>
      <c r="AR17" s="57">
        <v>44</v>
      </c>
      <c r="AT17" s="501">
        <v>15.427585818980472</v>
      </c>
      <c r="AU17" s="7">
        <v>31</v>
      </c>
      <c r="AV17" s="7">
        <v>17.741670943625589</v>
      </c>
      <c r="AW17" s="57">
        <v>44</v>
      </c>
    </row>
    <row r="18" spans="1:49" x14ac:dyDescent="0.25">
      <c r="A18" s="501">
        <v>16.455006569848262</v>
      </c>
      <c r="B18" s="7">
        <v>18</v>
      </c>
      <c r="C18" s="7">
        <v>21</v>
      </c>
      <c r="D18" s="57">
        <v>39.894949346460564</v>
      </c>
      <c r="F18" s="501">
        <v>19.845057857184784</v>
      </c>
      <c r="G18" s="7">
        <v>18</v>
      </c>
      <c r="H18" s="7">
        <v>21</v>
      </c>
      <c r="I18" s="57">
        <v>41.693600220222727</v>
      </c>
      <c r="K18" s="501">
        <v>16.022353185567123</v>
      </c>
      <c r="L18" s="7">
        <v>18</v>
      </c>
      <c r="M18" s="7">
        <v>21</v>
      </c>
      <c r="N18" s="57">
        <v>38.138869297806409</v>
      </c>
      <c r="P18" s="501">
        <v>18.565901500962372</v>
      </c>
      <c r="Q18" s="7">
        <v>18</v>
      </c>
      <c r="R18" s="7">
        <v>21</v>
      </c>
      <c r="S18" s="57">
        <v>38.175775269304054</v>
      </c>
      <c r="U18" s="501">
        <v>16.891627184464916</v>
      </c>
      <c r="V18" s="7">
        <v>18</v>
      </c>
      <c r="W18" s="7">
        <v>21</v>
      </c>
      <c r="X18" s="57">
        <v>40.572722936241917</v>
      </c>
      <c r="Z18" s="501">
        <v>19.119801943999114</v>
      </c>
      <c r="AA18" s="7">
        <v>18</v>
      </c>
      <c r="AB18" s="7">
        <v>21</v>
      </c>
      <c r="AC18" s="57">
        <v>39.272224855283284</v>
      </c>
      <c r="AE18" s="501">
        <v>20.78615407637939</v>
      </c>
      <c r="AF18" s="7">
        <v>18</v>
      </c>
      <c r="AG18" s="7">
        <v>21</v>
      </c>
      <c r="AH18" s="57">
        <v>36.557753469422366</v>
      </c>
      <c r="AJ18" s="501">
        <v>17.561665016890689</v>
      </c>
      <c r="AK18" s="7">
        <v>18</v>
      </c>
      <c r="AL18" s="7">
        <v>21</v>
      </c>
      <c r="AM18" s="57">
        <v>46.600007133777737</v>
      </c>
      <c r="AO18" s="501">
        <v>20.766182399000325</v>
      </c>
      <c r="AP18" s="7">
        <v>18</v>
      </c>
      <c r="AQ18" s="7">
        <v>21</v>
      </c>
      <c r="AR18" s="57">
        <v>45.313299894456037</v>
      </c>
      <c r="AT18" s="501">
        <v>17.7722092475464</v>
      </c>
      <c r="AU18" s="7">
        <v>18</v>
      </c>
      <c r="AV18" s="7">
        <v>21</v>
      </c>
      <c r="AW18" s="57">
        <v>39.753859742746592</v>
      </c>
    </row>
    <row r="19" spans="1:49" x14ac:dyDescent="0.25">
      <c r="A19" s="501">
        <v>16</v>
      </c>
      <c r="B19" s="7">
        <v>23</v>
      </c>
      <c r="C19" s="7">
        <v>21</v>
      </c>
      <c r="D19" s="57">
        <v>34</v>
      </c>
      <c r="F19" s="501">
        <v>16</v>
      </c>
      <c r="G19" s="7">
        <v>23</v>
      </c>
      <c r="H19" s="7">
        <v>21</v>
      </c>
      <c r="I19" s="57">
        <v>34</v>
      </c>
      <c r="K19" s="501">
        <v>16</v>
      </c>
      <c r="L19" s="7">
        <v>23</v>
      </c>
      <c r="M19" s="7">
        <v>21</v>
      </c>
      <c r="N19" s="57">
        <v>34</v>
      </c>
      <c r="P19" s="501">
        <v>16</v>
      </c>
      <c r="Q19" s="7">
        <v>23</v>
      </c>
      <c r="R19" s="7">
        <v>21</v>
      </c>
      <c r="S19" s="57">
        <v>34</v>
      </c>
      <c r="U19" s="501">
        <v>16</v>
      </c>
      <c r="V19" s="7">
        <v>23</v>
      </c>
      <c r="W19" s="7">
        <v>21</v>
      </c>
      <c r="X19" s="57">
        <v>34</v>
      </c>
      <c r="Z19" s="501">
        <v>16</v>
      </c>
      <c r="AA19" s="7">
        <v>23</v>
      </c>
      <c r="AB19" s="7">
        <v>21</v>
      </c>
      <c r="AC19" s="57">
        <v>34</v>
      </c>
      <c r="AE19" s="501">
        <v>16</v>
      </c>
      <c r="AF19" s="7">
        <v>23</v>
      </c>
      <c r="AG19" s="7">
        <v>21</v>
      </c>
      <c r="AH19" s="57">
        <v>34</v>
      </c>
      <c r="AJ19" s="501">
        <v>16</v>
      </c>
      <c r="AK19" s="7">
        <v>23</v>
      </c>
      <c r="AL19" s="7">
        <v>21</v>
      </c>
      <c r="AM19" s="57">
        <v>34</v>
      </c>
      <c r="AO19" s="501">
        <v>16</v>
      </c>
      <c r="AP19" s="7">
        <v>23</v>
      </c>
      <c r="AQ19" s="7">
        <v>21</v>
      </c>
      <c r="AR19" s="57">
        <v>34</v>
      </c>
      <c r="AT19" s="501">
        <v>16</v>
      </c>
      <c r="AU19" s="7">
        <v>23</v>
      </c>
      <c r="AV19" s="7">
        <v>21</v>
      </c>
      <c r="AW19" s="57">
        <v>34</v>
      </c>
    </row>
    <row r="20" spans="1:49" x14ac:dyDescent="0.25">
      <c r="A20" s="501">
        <v>27</v>
      </c>
      <c r="B20" s="7">
        <v>26</v>
      </c>
      <c r="C20" s="7">
        <v>23</v>
      </c>
      <c r="D20" s="57">
        <v>59</v>
      </c>
      <c r="F20" s="501">
        <v>27</v>
      </c>
      <c r="G20" s="7">
        <v>26</v>
      </c>
      <c r="H20" s="7">
        <v>23</v>
      </c>
      <c r="I20" s="57">
        <v>59</v>
      </c>
      <c r="K20" s="501">
        <v>27</v>
      </c>
      <c r="L20" s="7">
        <v>26</v>
      </c>
      <c r="M20" s="7">
        <v>23</v>
      </c>
      <c r="N20" s="57">
        <v>59</v>
      </c>
      <c r="P20" s="501">
        <v>27</v>
      </c>
      <c r="Q20" s="7">
        <v>26</v>
      </c>
      <c r="R20" s="7">
        <v>23</v>
      </c>
      <c r="S20" s="57">
        <v>59</v>
      </c>
      <c r="U20" s="501">
        <v>27</v>
      </c>
      <c r="V20" s="7">
        <v>26</v>
      </c>
      <c r="W20" s="7">
        <v>23</v>
      </c>
      <c r="X20" s="57">
        <v>59</v>
      </c>
      <c r="Z20" s="501">
        <v>27</v>
      </c>
      <c r="AA20" s="7">
        <v>26</v>
      </c>
      <c r="AB20" s="7">
        <v>23</v>
      </c>
      <c r="AC20" s="57">
        <v>59</v>
      </c>
      <c r="AE20" s="501">
        <v>27</v>
      </c>
      <c r="AF20" s="7">
        <v>26</v>
      </c>
      <c r="AG20" s="7">
        <v>23</v>
      </c>
      <c r="AH20" s="57">
        <v>59</v>
      </c>
      <c r="AJ20" s="501">
        <v>27</v>
      </c>
      <c r="AK20" s="7">
        <v>26</v>
      </c>
      <c r="AL20" s="7">
        <v>23</v>
      </c>
      <c r="AM20" s="57">
        <v>59</v>
      </c>
      <c r="AO20" s="501">
        <v>27</v>
      </c>
      <c r="AP20" s="7">
        <v>26</v>
      </c>
      <c r="AQ20" s="7">
        <v>23</v>
      </c>
      <c r="AR20" s="57">
        <v>59</v>
      </c>
      <c r="AT20" s="501">
        <v>27</v>
      </c>
      <c r="AU20" s="7">
        <v>26</v>
      </c>
      <c r="AV20" s="7">
        <v>23</v>
      </c>
      <c r="AW20" s="57">
        <v>59</v>
      </c>
    </row>
    <row r="21" spans="1:49" x14ac:dyDescent="0.25">
      <c r="A21" s="501">
        <v>17</v>
      </c>
      <c r="B21" s="7">
        <v>11.770708764011097</v>
      </c>
      <c r="C21" s="7">
        <v>20.489267988924265</v>
      </c>
      <c r="D21" s="57">
        <v>35</v>
      </c>
      <c r="F21" s="501">
        <v>17</v>
      </c>
      <c r="G21" s="7">
        <v>14.309495515898721</v>
      </c>
      <c r="H21" s="7">
        <v>19.997984825133653</v>
      </c>
      <c r="I21" s="57">
        <v>35</v>
      </c>
      <c r="K21" s="501">
        <v>17</v>
      </c>
      <c r="L21" s="7">
        <v>18.718756912714351</v>
      </c>
      <c r="M21" s="7">
        <v>20.7709960312433</v>
      </c>
      <c r="N21" s="57">
        <v>35</v>
      </c>
      <c r="P21" s="501">
        <v>17</v>
      </c>
      <c r="Q21" s="7">
        <v>18.916511024772749</v>
      </c>
      <c r="R21" s="7">
        <v>21.584557444269699</v>
      </c>
      <c r="S21" s="57">
        <v>35</v>
      </c>
      <c r="U21" s="501">
        <v>17</v>
      </c>
      <c r="V21" s="7">
        <v>18.058288905233695</v>
      </c>
      <c r="W21" s="7">
        <v>22.138986402349126</v>
      </c>
      <c r="X21" s="57">
        <v>35</v>
      </c>
      <c r="Z21" s="501">
        <v>17</v>
      </c>
      <c r="AA21" s="7">
        <v>23.970057395175054</v>
      </c>
      <c r="AB21" s="7">
        <v>22.820030047845439</v>
      </c>
      <c r="AC21" s="57">
        <v>35</v>
      </c>
      <c r="AE21" s="501">
        <v>17</v>
      </c>
      <c r="AF21" s="7">
        <v>15.572641374329061</v>
      </c>
      <c r="AG21" s="7">
        <v>19.826341152957298</v>
      </c>
      <c r="AH21" s="57">
        <v>35</v>
      </c>
      <c r="AJ21" s="501">
        <v>17</v>
      </c>
      <c r="AK21" s="7">
        <v>39.421412615557038</v>
      </c>
      <c r="AL21" s="7">
        <v>19.022463950550204</v>
      </c>
      <c r="AM21" s="57">
        <v>35</v>
      </c>
      <c r="AO21" s="501">
        <v>17</v>
      </c>
      <c r="AP21" s="7">
        <v>9.758613197375956</v>
      </c>
      <c r="AQ21" s="7">
        <v>16.745871247166583</v>
      </c>
      <c r="AR21" s="57">
        <v>35</v>
      </c>
      <c r="AT21" s="501">
        <v>17</v>
      </c>
      <c r="AU21" s="7">
        <v>9.8880611723220824</v>
      </c>
      <c r="AV21" s="7">
        <v>14.640701275372631</v>
      </c>
      <c r="AW21" s="57">
        <v>35</v>
      </c>
    </row>
    <row r="22" spans="1:49" x14ac:dyDescent="0.25">
      <c r="A22" s="501">
        <v>13</v>
      </c>
      <c r="B22" s="7">
        <v>21</v>
      </c>
      <c r="C22" s="7">
        <v>20</v>
      </c>
      <c r="D22" s="57">
        <v>48</v>
      </c>
      <c r="F22" s="501">
        <v>13</v>
      </c>
      <c r="G22" s="7">
        <v>21</v>
      </c>
      <c r="H22" s="7">
        <v>20</v>
      </c>
      <c r="I22" s="57">
        <v>48</v>
      </c>
      <c r="K22" s="501">
        <v>13</v>
      </c>
      <c r="L22" s="7">
        <v>21</v>
      </c>
      <c r="M22" s="7">
        <v>20</v>
      </c>
      <c r="N22" s="57">
        <v>48</v>
      </c>
      <c r="P22" s="501">
        <v>13</v>
      </c>
      <c r="Q22" s="7">
        <v>21</v>
      </c>
      <c r="R22" s="7">
        <v>20</v>
      </c>
      <c r="S22" s="57">
        <v>48</v>
      </c>
      <c r="U22" s="501">
        <v>13</v>
      </c>
      <c r="V22" s="7">
        <v>21</v>
      </c>
      <c r="W22" s="7">
        <v>20</v>
      </c>
      <c r="X22" s="57">
        <v>48</v>
      </c>
      <c r="Z22" s="501">
        <v>13</v>
      </c>
      <c r="AA22" s="7">
        <v>21</v>
      </c>
      <c r="AB22" s="7">
        <v>20</v>
      </c>
      <c r="AC22" s="57">
        <v>48</v>
      </c>
      <c r="AE22" s="501">
        <v>13</v>
      </c>
      <c r="AF22" s="7">
        <v>21</v>
      </c>
      <c r="AG22" s="7">
        <v>20</v>
      </c>
      <c r="AH22" s="57">
        <v>48</v>
      </c>
      <c r="AJ22" s="501">
        <v>13</v>
      </c>
      <c r="AK22" s="7">
        <v>21</v>
      </c>
      <c r="AL22" s="7">
        <v>20</v>
      </c>
      <c r="AM22" s="57">
        <v>48</v>
      </c>
      <c r="AO22" s="501">
        <v>13</v>
      </c>
      <c r="AP22" s="7">
        <v>21</v>
      </c>
      <c r="AQ22" s="7">
        <v>20</v>
      </c>
      <c r="AR22" s="57">
        <v>48</v>
      </c>
      <c r="AT22" s="501">
        <v>13</v>
      </c>
      <c r="AU22" s="7">
        <v>21</v>
      </c>
      <c r="AV22" s="7">
        <v>20</v>
      </c>
      <c r="AW22" s="57">
        <v>48</v>
      </c>
    </row>
    <row r="23" spans="1:49" x14ac:dyDescent="0.25">
      <c r="A23" s="759">
        <v>11</v>
      </c>
      <c r="B23" s="760">
        <v>51</v>
      </c>
      <c r="C23" s="760">
        <v>18</v>
      </c>
      <c r="D23" s="761">
        <v>54</v>
      </c>
      <c r="F23" s="759">
        <v>11</v>
      </c>
      <c r="G23" s="760">
        <v>51</v>
      </c>
      <c r="H23" s="760">
        <v>18</v>
      </c>
      <c r="I23" s="761">
        <v>54</v>
      </c>
      <c r="K23" s="759">
        <v>11</v>
      </c>
      <c r="L23" s="760">
        <v>51</v>
      </c>
      <c r="M23" s="760">
        <v>18</v>
      </c>
      <c r="N23" s="761">
        <v>54</v>
      </c>
      <c r="P23" s="759">
        <v>11</v>
      </c>
      <c r="Q23" s="760">
        <v>51</v>
      </c>
      <c r="R23" s="760">
        <v>18</v>
      </c>
      <c r="S23" s="761">
        <v>54</v>
      </c>
      <c r="U23" s="759">
        <v>11</v>
      </c>
      <c r="V23" s="760">
        <v>51</v>
      </c>
      <c r="W23" s="760">
        <v>18</v>
      </c>
      <c r="X23" s="761">
        <v>54</v>
      </c>
      <c r="Z23" s="759">
        <v>11</v>
      </c>
      <c r="AA23" s="760">
        <v>51</v>
      </c>
      <c r="AB23" s="760">
        <v>18</v>
      </c>
      <c r="AC23" s="761">
        <v>54</v>
      </c>
      <c r="AE23" s="759">
        <v>11</v>
      </c>
      <c r="AF23" s="760">
        <v>51</v>
      </c>
      <c r="AG23" s="760">
        <v>18</v>
      </c>
      <c r="AH23" s="761">
        <v>54</v>
      </c>
      <c r="AJ23" s="759">
        <v>11</v>
      </c>
      <c r="AK23" s="760">
        <v>51</v>
      </c>
      <c r="AL23" s="760">
        <v>18</v>
      </c>
      <c r="AM23" s="761">
        <v>54</v>
      </c>
      <c r="AO23" s="759">
        <v>11</v>
      </c>
      <c r="AP23" s="760">
        <v>51</v>
      </c>
      <c r="AQ23" s="760">
        <v>18</v>
      </c>
      <c r="AR23" s="761">
        <v>54</v>
      </c>
      <c r="AT23" s="759">
        <v>11</v>
      </c>
      <c r="AU23" s="760">
        <v>51</v>
      </c>
      <c r="AV23" s="760">
        <v>18</v>
      </c>
      <c r="AW23" s="761">
        <v>54</v>
      </c>
    </row>
    <row r="25" spans="1:49" x14ac:dyDescent="0.25">
      <c r="A25" s="865">
        <f t="array" ref="A25:D29">[1]!MISummary(A4:D23)</f>
        <v>16.41186445122629</v>
      </c>
      <c r="B25" s="798">
        <v>32.271482135892157</v>
      </c>
      <c r="C25" s="798">
        <v>21.404863007116461</v>
      </c>
      <c r="D25" s="866">
        <v>47.001587449752684</v>
      </c>
      <c r="F25" s="865">
        <f t="array" ref="F25:I29">[1]!MISummary(F4:I23)</f>
        <v>16.553152685622969</v>
      </c>
      <c r="G25" s="798">
        <v>32.382724313182351</v>
      </c>
      <c r="H25" s="798">
        <v>21.52406813172427</v>
      </c>
      <c r="I25" s="866">
        <v>47.092502158781201</v>
      </c>
      <c r="K25" s="865">
        <f t="array" ref="K25:N29">[1]!MISummary(K4:N23)</f>
        <v>15.9622692137602</v>
      </c>
      <c r="L25" s="798">
        <v>31.225130115747142</v>
      </c>
      <c r="M25" s="798">
        <v>21.219358635032552</v>
      </c>
      <c r="N25" s="866">
        <v>47.020378187603121</v>
      </c>
      <c r="P25" s="865">
        <f t="array" ref="P25:S29">[1]!MISummary(P4:S23)</f>
        <v>16.033106421098136</v>
      </c>
      <c r="Q25" s="798">
        <v>32.855887061802818</v>
      </c>
      <c r="R25" s="798">
        <v>21.46651385862085</v>
      </c>
      <c r="S25" s="866">
        <v>46.956468347097911</v>
      </c>
      <c r="U25" s="865">
        <f t="array" ref="U25:X29">[1]!MISummary(U4:X23)</f>
        <v>16.310187605076379</v>
      </c>
      <c r="V25" s="798">
        <v>33.171342584405373</v>
      </c>
      <c r="W25" s="798">
        <v>21.365873990029943</v>
      </c>
      <c r="X25" s="866">
        <v>47.022515013683105</v>
      </c>
      <c r="Z25" s="865">
        <f t="array" ref="Z25:AC29">[1]!MISummary(Z4:AC23)</f>
        <v>16.272299439173462</v>
      </c>
      <c r="AA25" s="798">
        <v>32.186077731737733</v>
      </c>
      <c r="AB25" s="798">
        <v>21.463489824039915</v>
      </c>
      <c r="AC25" s="866">
        <v>46.939646810846924</v>
      </c>
      <c r="AE25" s="865">
        <f t="array" ref="AE25:AH29">[1]!MISummary(AE4:AH23)</f>
        <v>16.886283750446811</v>
      </c>
      <c r="AF25" s="798">
        <v>32.252778813981848</v>
      </c>
      <c r="AG25" s="798">
        <v>21.146194254220315</v>
      </c>
      <c r="AH25" s="866">
        <v>46.843452052176637</v>
      </c>
      <c r="AJ25" s="865">
        <f t="array" ref="AJ25:AM29">[1]!MISummary(AJ4:AM23)</f>
        <v>16.09402185807765</v>
      </c>
      <c r="AK25" s="798">
        <v>33.404325600123073</v>
      </c>
      <c r="AL25" s="798">
        <v>20.959389082400257</v>
      </c>
      <c r="AM25" s="866">
        <v>47.485054708876007</v>
      </c>
      <c r="AO25" s="865">
        <f t="array" ref="AO25:AR29">[1]!MISummary(AO4:AR23)</f>
        <v>16.104357308685302</v>
      </c>
      <c r="AP25" s="798">
        <v>31.548382048614776</v>
      </c>
      <c r="AQ25" s="798">
        <v>21.144873566952558</v>
      </c>
      <c r="AR25" s="866">
        <v>47.463992597871076</v>
      </c>
      <c r="AT25" s="865">
        <f t="array" ref="AT25:AW29">[1]!MISummary(AT4:AW23)</f>
        <v>16.176075355736444</v>
      </c>
      <c r="AU25" s="798">
        <v>32.251516085817549</v>
      </c>
      <c r="AV25" s="798">
        <v>20.575210659183703</v>
      </c>
      <c r="AW25" s="866">
        <v>46.627221046445975</v>
      </c>
    </row>
    <row r="26" spans="1:49" x14ac:dyDescent="0.25">
      <c r="A26" s="501">
        <v>4.2736742616989671</v>
      </c>
      <c r="B26" s="7">
        <v>11.484295789531934</v>
      </c>
      <c r="C26" s="7">
        <v>3.0968314483163302</v>
      </c>
      <c r="D26" s="57">
        <v>7.552827329620456</v>
      </c>
      <c r="F26" s="501">
        <v>4.422653618465727</v>
      </c>
      <c r="G26" s="7">
        <v>11.251450453630243</v>
      </c>
      <c r="H26" s="7">
        <v>3.2937853498041636</v>
      </c>
      <c r="I26" s="57">
        <v>7.4732290793229073</v>
      </c>
      <c r="K26" s="501">
        <v>4.3326570370356068</v>
      </c>
      <c r="L26" s="7">
        <v>13.396435061690235</v>
      </c>
      <c r="M26" s="7">
        <v>2.9604295260390132</v>
      </c>
      <c r="N26" s="57">
        <v>7.5791749758846949</v>
      </c>
      <c r="P26" s="501">
        <v>4.250049514674096</v>
      </c>
      <c r="Q26" s="7">
        <v>10.723568317474111</v>
      </c>
      <c r="R26" s="7">
        <v>3.3060703818433104</v>
      </c>
      <c r="S26" s="57">
        <v>7.616793354189376</v>
      </c>
      <c r="U26" s="501">
        <v>4.4277977930368682</v>
      </c>
      <c r="V26" s="7">
        <v>10.650147546478211</v>
      </c>
      <c r="W26" s="7">
        <v>3.1127452231719759</v>
      </c>
      <c r="X26" s="57">
        <v>7.5316308822988765</v>
      </c>
      <c r="Z26" s="501">
        <v>4.2786640736629469</v>
      </c>
      <c r="AA26" s="7">
        <v>11.468437839810564</v>
      </c>
      <c r="AB26" s="7">
        <v>3.0793379994220067</v>
      </c>
      <c r="AC26" s="57">
        <v>7.6110267645300294</v>
      </c>
      <c r="AE26" s="501">
        <v>4.3757663219490341</v>
      </c>
      <c r="AF26" s="7">
        <v>11.349406415335148</v>
      </c>
      <c r="AG26" s="7">
        <v>3.0356849078290407</v>
      </c>
      <c r="AH26" s="57">
        <v>7.7456670959707843</v>
      </c>
      <c r="AJ26" s="501">
        <v>4.2826605812592913</v>
      </c>
      <c r="AK26" s="7">
        <v>10.991970067010321</v>
      </c>
      <c r="AL26" s="7">
        <v>3.0365235767458749</v>
      </c>
      <c r="AM26" s="57">
        <v>7.2651226280407659</v>
      </c>
      <c r="AO26" s="501">
        <v>4.4047684794765853</v>
      </c>
      <c r="AP26" s="7">
        <v>12.524140683923152</v>
      </c>
      <c r="AQ26" s="7">
        <v>3.2926760659324281</v>
      </c>
      <c r="AR26" s="57">
        <v>7.2608325067884971</v>
      </c>
      <c r="AT26" s="501">
        <v>4.2525214339991866</v>
      </c>
      <c r="AU26" s="7">
        <v>11.645251652251689</v>
      </c>
      <c r="AV26" s="7">
        <v>3.4362276629402482</v>
      </c>
      <c r="AW26" s="57">
        <v>8.0237035005819646</v>
      </c>
    </row>
    <row r="27" spans="1:49" x14ac:dyDescent="0.25">
      <c r="A27" s="501">
        <v>0.86303084135007746</v>
      </c>
      <c r="B27" s="7">
        <v>0.53623687176621759</v>
      </c>
      <c r="C27" s="7">
        <v>-0.63956423909536209</v>
      </c>
      <c r="D27" s="57">
        <v>29.222268558564153</v>
      </c>
      <c r="F27" s="501">
        <v>0.88052644034201999</v>
      </c>
      <c r="G27" s="7">
        <v>0.52042436220498822</v>
      </c>
      <c r="H27" s="7">
        <v>-0.60889816821139164</v>
      </c>
      <c r="I27" s="57">
        <v>28.770220558787869</v>
      </c>
      <c r="K27" s="501">
        <v>0.72189410531802545</v>
      </c>
      <c r="L27" s="7">
        <v>0.44937152765474736</v>
      </c>
      <c r="M27" s="7">
        <v>-0.84000271016120809</v>
      </c>
      <c r="N27" s="57">
        <v>39.289944474668665</v>
      </c>
      <c r="P27" s="501">
        <v>0.73023180442627478</v>
      </c>
      <c r="Q27" s="7">
        <v>0.59815907139235214</v>
      </c>
      <c r="R27" s="7">
        <v>-0.38921271100046601</v>
      </c>
      <c r="S27" s="57">
        <v>23.950577274643855</v>
      </c>
      <c r="U27" s="501">
        <v>0.81199147236411218</v>
      </c>
      <c r="V27" s="7">
        <v>0.48884138941271127</v>
      </c>
      <c r="W27" s="7">
        <v>-0.3086062626924409</v>
      </c>
      <c r="X27" s="57">
        <v>24.156899089277253</v>
      </c>
      <c r="Z27" s="501">
        <v>0.9467075628880971</v>
      </c>
      <c r="AA27" s="7">
        <v>0.55973195462151537</v>
      </c>
      <c r="AB27" s="7">
        <v>-0.98798402145965458</v>
      </c>
      <c r="AC27" s="57">
        <v>34.724546656729402</v>
      </c>
      <c r="AE27" s="501">
        <v>0.64675039729404471</v>
      </c>
      <c r="AF27" s="7">
        <v>0.53605359523712537</v>
      </c>
      <c r="AG27" s="7">
        <v>-0.29071197490037343</v>
      </c>
      <c r="AH27" s="57">
        <v>24.780475181403748</v>
      </c>
      <c r="AJ27" s="501">
        <v>0.32168841162430367</v>
      </c>
      <c r="AK27" s="7">
        <v>0.2833894949060351</v>
      </c>
      <c r="AL27" s="7">
        <v>0.33179841861432191</v>
      </c>
      <c r="AM27" s="57">
        <v>25.887067268545877</v>
      </c>
      <c r="AO27" s="501">
        <v>0.68042422987914941</v>
      </c>
      <c r="AP27" s="7">
        <v>0.49109442393699371</v>
      </c>
      <c r="AQ27" s="7">
        <v>-0.54876019280202926</v>
      </c>
      <c r="AR27" s="57">
        <v>32.616428065476981</v>
      </c>
      <c r="AT27" s="501">
        <v>0.9220020492701041</v>
      </c>
      <c r="AU27" s="7">
        <v>0.56179017451728475</v>
      </c>
      <c r="AV27" s="7">
        <v>-0.32013222966949012</v>
      </c>
      <c r="AW27" s="57">
        <v>20.181049633254823</v>
      </c>
    </row>
    <row r="28" spans="1:49" x14ac:dyDescent="0.25">
      <c r="A28" s="501">
        <v>0.33946256895145649</v>
      </c>
      <c r="B28" s="7">
        <v>0.1128433798361636</v>
      </c>
      <c r="C28" s="7">
        <v>0.51372653506364774</v>
      </c>
      <c r="D28" s="57">
        <v>7.8198469537958903</v>
      </c>
      <c r="F28" s="501">
        <v>0.32386336403873917</v>
      </c>
      <c r="G28" s="7">
        <v>0.11158785000366636</v>
      </c>
      <c r="H28" s="7">
        <v>0.47450254439728706</v>
      </c>
      <c r="I28" s="57">
        <v>7.3058385340509897</v>
      </c>
      <c r="K28" s="501">
        <v>0.38693604822252586</v>
      </c>
      <c r="L28" s="7">
        <v>0.13396513716021727</v>
      </c>
      <c r="M28" s="7">
        <v>0.70755946675569004</v>
      </c>
      <c r="N28" s="57">
        <v>10.330215783093804</v>
      </c>
      <c r="P28" s="501">
        <v>0.39949665109639093</v>
      </c>
      <c r="Q28" s="7">
        <v>0.14068114169593374</v>
      </c>
      <c r="R28" s="7">
        <v>0.53027757424402189</v>
      </c>
      <c r="S28" s="57">
        <v>8.237781035781401</v>
      </c>
      <c r="U28" s="501">
        <v>0.33076128561382673</v>
      </c>
      <c r="V28" s="7">
        <v>0.11153201728786807</v>
      </c>
      <c r="W28" s="7">
        <v>0.48340115732624078</v>
      </c>
      <c r="X28" s="57">
        <v>8.1500256814299643</v>
      </c>
      <c r="Z28" s="501">
        <v>0.37430499640845832</v>
      </c>
      <c r="AA28" s="7">
        <v>0.13181548667875961</v>
      </c>
      <c r="AB28" s="7">
        <v>0.59106941339861696</v>
      </c>
      <c r="AC28" s="57">
        <v>8.6849919238882425</v>
      </c>
      <c r="AE28" s="501">
        <v>0.37308187707547652</v>
      </c>
      <c r="AF28" s="7">
        <v>0.13336101743664946</v>
      </c>
      <c r="AG28" s="7">
        <v>0.58075358121271647</v>
      </c>
      <c r="AH28" s="57">
        <v>8.8658067779984915</v>
      </c>
      <c r="AJ28" s="501">
        <v>0.42762837259410974</v>
      </c>
      <c r="AK28" s="7">
        <v>0.16524747719600308</v>
      </c>
      <c r="AL28" s="7">
        <v>0.69065033633786499</v>
      </c>
      <c r="AM28" s="57">
        <v>10.447053173310644</v>
      </c>
      <c r="AO28" s="501">
        <v>0.37428610970688181</v>
      </c>
      <c r="AP28" s="7">
        <v>0.14106220731912247</v>
      </c>
      <c r="AQ28" s="7">
        <v>0.61995738720555571</v>
      </c>
      <c r="AR28" s="57">
        <v>8.1419557318146012</v>
      </c>
      <c r="AT28" s="501">
        <v>0.35149582156378145</v>
      </c>
      <c r="AU28" s="7">
        <v>0.13750071732212221</v>
      </c>
      <c r="AV28" s="7">
        <v>0.49668356713024292</v>
      </c>
      <c r="AW28" s="57">
        <v>7.7660530385041584</v>
      </c>
    </row>
    <row r="29" spans="1:49" x14ac:dyDescent="0.25">
      <c r="A29" s="759">
        <v>0.64837354722291962</v>
      </c>
      <c r="B29" s="760">
        <v>20</v>
      </c>
      <c r="C29" s="760" t="str">
        <v/>
      </c>
      <c r="D29" s="761" t="str">
        <v/>
      </c>
      <c r="F29" s="759">
        <v>0.65044055010719815</v>
      </c>
      <c r="G29" s="760">
        <v>20</v>
      </c>
      <c r="H29" s="760" t="str">
        <v/>
      </c>
      <c r="I29" s="761" t="str">
        <v/>
      </c>
      <c r="K29" s="759">
        <v>0.50039132061770075</v>
      </c>
      <c r="L29" s="760">
        <v>20</v>
      </c>
      <c r="M29" s="760" t="str">
        <v/>
      </c>
      <c r="N29" s="761" t="str">
        <v/>
      </c>
      <c r="P29" s="759">
        <v>0.58319830312256116</v>
      </c>
      <c r="Q29" s="760">
        <v>20</v>
      </c>
      <c r="R29" s="760" t="str">
        <v/>
      </c>
      <c r="S29" s="761" t="str">
        <v/>
      </c>
      <c r="U29" s="759">
        <v>0.63064940222533306</v>
      </c>
      <c r="V29" s="760">
        <v>20</v>
      </c>
      <c r="W29" s="760" t="str">
        <v/>
      </c>
      <c r="X29" s="761" t="str">
        <v/>
      </c>
      <c r="Z29" s="759">
        <v>0.58317298302400655</v>
      </c>
      <c r="AA29" s="760">
        <v>20</v>
      </c>
      <c r="AB29" s="760" t="str">
        <v/>
      </c>
      <c r="AC29" s="761" t="str">
        <v/>
      </c>
      <c r="AE29" s="759">
        <v>0.57723847658826732</v>
      </c>
      <c r="AF29" s="760">
        <v>20</v>
      </c>
      <c r="AG29" s="760" t="str">
        <v/>
      </c>
      <c r="AH29" s="761" t="str">
        <v/>
      </c>
      <c r="AJ29" s="759">
        <v>0.32192983224680344</v>
      </c>
      <c r="AK29" s="760">
        <v>20</v>
      </c>
      <c r="AL29" s="760" t="str">
        <v/>
      </c>
      <c r="AM29" s="761" t="str">
        <v/>
      </c>
      <c r="AO29" s="759">
        <v>0.55175383891479401</v>
      </c>
      <c r="AP29" s="760">
        <v>20</v>
      </c>
      <c r="AQ29" s="760" t="str">
        <v/>
      </c>
      <c r="AR29" s="761" t="str">
        <v/>
      </c>
      <c r="AT29" s="759">
        <v>0.62313216075994393</v>
      </c>
      <c r="AU29" s="760">
        <v>20</v>
      </c>
      <c r="AV29" s="760" t="str">
        <v/>
      </c>
      <c r="AW29" s="761" t="str">
        <v/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AE29"/>
  <sheetViews>
    <sheetView workbookViewId="0"/>
  </sheetViews>
  <sheetFormatPr defaultRowHeight="15" x14ac:dyDescent="0.25"/>
  <cols>
    <col min="25" max="25" width="17" customWidth="1"/>
  </cols>
  <sheetData>
    <row r="1" spans="1:31" x14ac:dyDescent="0.25">
      <c r="A1" s="1" t="s">
        <v>1997</v>
      </c>
    </row>
    <row r="3" spans="1:31" x14ac:dyDescent="0.25">
      <c r="A3" s="907" t="s">
        <v>1985</v>
      </c>
      <c r="B3" s="907" t="s">
        <v>1983</v>
      </c>
      <c r="C3" s="907" t="s">
        <v>1964</v>
      </c>
      <c r="D3" s="907" t="s">
        <v>1963</v>
      </c>
      <c r="E3" s="907" t="s">
        <v>1984</v>
      </c>
      <c r="H3" t="s">
        <v>1989</v>
      </c>
      <c r="I3" t="s">
        <v>1990</v>
      </c>
      <c r="J3" t="s">
        <v>1991</v>
      </c>
      <c r="L3" t="s">
        <v>2006</v>
      </c>
      <c r="S3" t="s">
        <v>2014</v>
      </c>
      <c r="Y3" t="s">
        <v>1593</v>
      </c>
    </row>
    <row r="4" spans="1:31" x14ac:dyDescent="0.25">
      <c r="A4" s="907">
        <v>1</v>
      </c>
      <c r="B4" s="875">
        <v>12</v>
      </c>
      <c r="C4" s="881">
        <v>27</v>
      </c>
      <c r="D4" s="881">
        <v>19</v>
      </c>
      <c r="E4" s="876">
        <v>44</v>
      </c>
      <c r="G4" t="s">
        <v>1964</v>
      </c>
      <c r="H4" s="869">
        <v>20</v>
      </c>
      <c r="I4" s="827">
        <v>50.4</v>
      </c>
      <c r="J4" s="870" t="b">
        <v>1</v>
      </c>
    </row>
    <row r="5" spans="1:31" ht="15.75" thickBot="1" x14ac:dyDescent="0.3">
      <c r="A5" s="907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t="s">
        <v>1963</v>
      </c>
      <c r="H5" s="409"/>
      <c r="I5" s="762">
        <v>28.5</v>
      </c>
      <c r="J5" s="417"/>
      <c r="L5" t="str">
        <f t="array" ref="L5:P10">[1]!DescStats(B3:E23,TRUE,TRUE)</f>
        <v/>
      </c>
      <c r="M5" s="907" t="str">
        <v>read</v>
      </c>
      <c r="N5" s="907" t="str">
        <v>science</v>
      </c>
      <c r="O5" s="907" t="str">
        <v>math</v>
      </c>
      <c r="P5" s="907" t="str">
        <v>medicine</v>
      </c>
      <c r="T5" s="907" t="str">
        <f>B3</f>
        <v>read</v>
      </c>
      <c r="U5" s="907" t="str">
        <f>C3</f>
        <v>science</v>
      </c>
      <c r="V5" s="907" t="str">
        <f>D3</f>
        <v>math</v>
      </c>
      <c r="W5" s="907" t="str">
        <f>E3</f>
        <v>medicine</v>
      </c>
      <c r="Y5" s="743" t="s">
        <v>1598</v>
      </c>
      <c r="Z5" s="743"/>
    </row>
    <row r="6" spans="1:31" ht="15.75" thickTop="1" x14ac:dyDescent="0.25">
      <c r="A6" s="907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L6" t="str">
        <v>count</v>
      </c>
      <c r="M6" s="865">
        <v>15</v>
      </c>
      <c r="N6" s="798">
        <v>17</v>
      </c>
      <c r="O6" s="798">
        <v>16</v>
      </c>
      <c r="P6" s="866">
        <v>18</v>
      </c>
      <c r="S6" t="s">
        <v>7</v>
      </c>
      <c r="T6" s="865">
        <f t="array" ref="T6:W10">[1]!MICombine('MI 9a'!A25:D29,10,1,FALSE,FALSE)</f>
        <v>16.129587369358777</v>
      </c>
      <c r="U6" s="798">
        <v>32.945</v>
      </c>
      <c r="V6" s="798">
        <v>21.388981467225516</v>
      </c>
      <c r="W6" s="866">
        <v>46.866788190275869</v>
      </c>
      <c r="Y6" t="s">
        <v>292</v>
      </c>
      <c r="Z6">
        <f>SQRT(Z7)</f>
        <v>0.77477132315769437</v>
      </c>
    </row>
    <row r="7" spans="1:31" x14ac:dyDescent="0.25">
      <c r="A7" s="907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L7" t="str">
        <v>mean</v>
      </c>
      <c r="M7" s="501">
        <v>16.133333333333333</v>
      </c>
      <c r="N7" s="7">
        <v>34.411764705882355</v>
      </c>
      <c r="O7" s="7">
        <v>21.0625</v>
      </c>
      <c r="P7" s="57">
        <v>47.722222222222221</v>
      </c>
      <c r="S7" t="s">
        <v>9</v>
      </c>
      <c r="T7" s="501">
        <v>4.3975018750153065</v>
      </c>
      <c r="U7" s="7">
        <v>10.734527093907053</v>
      </c>
      <c r="V7" s="7">
        <v>3.1727276563301556</v>
      </c>
      <c r="W7" s="57">
        <v>7.770678390601014</v>
      </c>
      <c r="Y7" t="s">
        <v>285</v>
      </c>
      <c r="Z7">
        <f>T10</f>
        <v>0.60027060318752445</v>
      </c>
    </row>
    <row r="8" spans="1:31" x14ac:dyDescent="0.25">
      <c r="A8" s="907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  <c r="L8" t="str">
        <v>stdev</v>
      </c>
      <c r="M8" s="501">
        <v>4.7789219744724045</v>
      </c>
      <c r="N8" s="7">
        <v>10.79964596369606</v>
      </c>
      <c r="O8" s="7">
        <v>3.2755406678389241</v>
      </c>
      <c r="P8" s="57">
        <v>7.6297063050063398</v>
      </c>
      <c r="S8" t="s">
        <v>1592</v>
      </c>
      <c r="T8" s="501">
        <v>0.7757330297144357</v>
      </c>
      <c r="U8" s="7">
        <v>0.52920924858316631</v>
      </c>
      <c r="V8" s="7">
        <v>-0.44309608977193171</v>
      </c>
      <c r="W8" s="57">
        <v>26.374878656449944</v>
      </c>
      <c r="Y8" t="s">
        <v>293</v>
      </c>
      <c r="Z8">
        <f>1-(1-Z7)*(Z10-1)/(Z10-Z14-1)</f>
        <v>0.52532134128518526</v>
      </c>
    </row>
    <row r="9" spans="1:31" x14ac:dyDescent="0.25">
      <c r="A9" s="907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  <c r="L9" t="str">
        <v>min</v>
      </c>
      <c r="M9" s="501">
        <v>10</v>
      </c>
      <c r="N9" s="7">
        <v>18</v>
      </c>
      <c r="O9" s="7">
        <v>13</v>
      </c>
      <c r="P9" s="57">
        <v>34</v>
      </c>
      <c r="S9" t="s">
        <v>425</v>
      </c>
      <c r="T9" s="501">
        <v>0.41948255788021632</v>
      </c>
      <c r="U9" s="7">
        <v>0.13091223480683706</v>
      </c>
      <c r="V9" s="7">
        <v>0.63920231269504602</v>
      </c>
      <c r="W9" s="57">
        <v>9.6352160449600195</v>
      </c>
      <c r="Y9" t="s">
        <v>11</v>
      </c>
      <c r="Z9">
        <f>SQRT(AB15)</f>
        <v>5.353758639101863</v>
      </c>
    </row>
    <row r="10" spans="1:31" x14ac:dyDescent="0.25">
      <c r="A10" s="907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  <c r="L10" t="str">
        <v>max</v>
      </c>
      <c r="M10" s="759">
        <v>27</v>
      </c>
      <c r="N10" s="760">
        <v>56</v>
      </c>
      <c r="O10" s="760">
        <v>28</v>
      </c>
      <c r="P10" s="761">
        <v>60</v>
      </c>
      <c r="S10" t="s">
        <v>2015</v>
      </c>
      <c r="T10" s="759">
        <v>0.60027060318752445</v>
      </c>
      <c r="U10" s="760">
        <v>20</v>
      </c>
      <c r="V10" s="760" t="str">
        <v/>
      </c>
      <c r="W10" s="761" t="str">
        <v/>
      </c>
      <c r="Y10" s="762" t="s">
        <v>81</v>
      </c>
      <c r="Z10" s="762">
        <f>U10</f>
        <v>20</v>
      </c>
    </row>
    <row r="11" spans="1:31" x14ac:dyDescent="0.25">
      <c r="A11" s="907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</row>
    <row r="12" spans="1:31" ht="15.75" thickBot="1" x14ac:dyDescent="0.3">
      <c r="A12" s="907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L12" t="s">
        <v>1986</v>
      </c>
      <c r="Y12" t="s">
        <v>294</v>
      </c>
      <c r="AC12" s="907" t="s">
        <v>34</v>
      </c>
      <c r="AD12" s="907">
        <v>0.05</v>
      </c>
    </row>
    <row r="13" spans="1:31" ht="15.75" thickTop="1" x14ac:dyDescent="0.25">
      <c r="A13" s="907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Y13" s="826"/>
      <c r="Z13" s="826" t="s">
        <v>60</v>
      </c>
      <c r="AA13" s="826" t="s">
        <v>219</v>
      </c>
      <c r="AB13" s="826" t="s">
        <v>240</v>
      </c>
      <c r="AC13" s="826" t="s">
        <v>135</v>
      </c>
      <c r="AD13" s="826" t="s">
        <v>67</v>
      </c>
      <c r="AE13" s="826" t="s">
        <v>527</v>
      </c>
    </row>
    <row r="14" spans="1:31" x14ac:dyDescent="0.25">
      <c r="A14" s="907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L14" s="907" t="str">
        <f t="array" ref="L14:Q16">[1]!MissingFreq(B3:E23)</f>
        <v>read</v>
      </c>
      <c r="M14" s="907" t="str">
        <v>science</v>
      </c>
      <c r="N14" s="907" t="str">
        <v>math</v>
      </c>
      <c r="O14" s="907" t="str">
        <v>medicine</v>
      </c>
      <c r="P14" s="907" t="str">
        <v>rows</v>
      </c>
      <c r="Q14" s="907" t="str">
        <v>cells</v>
      </c>
      <c r="Y14" t="s">
        <v>222</v>
      </c>
      <c r="Z14">
        <f>COUNT(T6:W6)-1</f>
        <v>3</v>
      </c>
      <c r="AA14">
        <f>Z7*AA16</f>
        <v>688.68170530079249</v>
      </c>
      <c r="AB14">
        <f>AA14/Z14</f>
        <v>229.5605684335975</v>
      </c>
      <c r="AC14">
        <f>AB14/AB15</f>
        <v>8.009026212555538</v>
      </c>
      <c r="AD14">
        <f>FDIST(AC14,Z14,Z15)</f>
        <v>1.7464322577310743E-3</v>
      </c>
      <c r="AE14" s="907" t="str">
        <f>IF(AD14&lt;AD12,"yes","no")</f>
        <v>yes</v>
      </c>
    </row>
    <row r="15" spans="1:31" x14ac:dyDescent="0.25">
      <c r="A15" s="907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  <c r="L15" s="865">
        <v>15</v>
      </c>
      <c r="M15" s="798">
        <v>17</v>
      </c>
      <c r="N15" s="798">
        <v>16</v>
      </c>
      <c r="O15" s="798">
        <v>18</v>
      </c>
      <c r="P15" s="798">
        <v>10</v>
      </c>
      <c r="Q15" s="866">
        <v>66</v>
      </c>
      <c r="Y15" t="s">
        <v>295</v>
      </c>
      <c r="Z15">
        <f>Z16-Z14</f>
        <v>16</v>
      </c>
      <c r="AA15">
        <f>AA16-AA14</f>
        <v>458.60370505212529</v>
      </c>
      <c r="AB15">
        <f>AA15/Z15</f>
        <v>28.662731565757831</v>
      </c>
    </row>
    <row r="16" spans="1:31" x14ac:dyDescent="0.25">
      <c r="A16" s="907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L16" s="894">
        <v>0.75</v>
      </c>
      <c r="M16" s="895">
        <v>0.85</v>
      </c>
      <c r="N16" s="895">
        <v>0.8</v>
      </c>
      <c r="O16" s="895">
        <v>0.9</v>
      </c>
      <c r="P16" s="895">
        <v>0.5</v>
      </c>
      <c r="Q16" s="893">
        <v>0.82499999999999996</v>
      </c>
      <c r="Y16" s="762" t="s">
        <v>1</v>
      </c>
      <c r="Z16" s="762">
        <f>Z10-1</f>
        <v>19</v>
      </c>
      <c r="AA16" s="762">
        <f>W7^2*Z16</f>
        <v>1147.2854103529178</v>
      </c>
      <c r="AB16" s="762"/>
      <c r="AC16" s="762"/>
      <c r="AD16" s="762"/>
      <c r="AE16" s="762"/>
    </row>
    <row r="17" spans="1:31" ht="15.75" thickBot="1" x14ac:dyDescent="0.3">
      <c r="A17" s="907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</row>
    <row r="18" spans="1:31" ht="15.75" thickTop="1" x14ac:dyDescent="0.25">
      <c r="A18" s="907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L18" t="s">
        <v>1987</v>
      </c>
      <c r="Y18" s="826"/>
      <c r="Z18" s="826" t="s">
        <v>1592</v>
      </c>
      <c r="AA18" s="826" t="s">
        <v>1000</v>
      </c>
      <c r="AB18" s="826" t="s">
        <v>61</v>
      </c>
      <c r="AC18" s="826" t="s">
        <v>67</v>
      </c>
      <c r="AD18" s="826" t="s">
        <v>29</v>
      </c>
      <c r="AE18" s="826" t="s">
        <v>30</v>
      </c>
    </row>
    <row r="19" spans="1:31" x14ac:dyDescent="0.25">
      <c r="A19" s="907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  <c r="Y19" t="s">
        <v>296</v>
      </c>
      <c r="Z19">
        <f>W8</f>
        <v>26.374878656449944</v>
      </c>
      <c r="AA19">
        <f>W9</f>
        <v>9.6352160449600195</v>
      </c>
      <c r="AB19">
        <f>Z19/AA19</f>
        <v>2.7373416987620214</v>
      </c>
      <c r="AC19">
        <f>TDIST(ABS(AB19),$Z$15,2)</f>
        <v>1.4609157007998653E-2</v>
      </c>
      <c r="AD19">
        <f>Z19-TINV(AD$12,$Z$15)*AA19</f>
        <v>5.9491331035975357</v>
      </c>
      <c r="AE19">
        <f>Z19+TINV(AD$12,$Z$15)*AA19</f>
        <v>46.800624209302356</v>
      </c>
    </row>
    <row r="20" spans="1:31" x14ac:dyDescent="0.25">
      <c r="A20" s="907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L20" s="907" t="str">
        <f t="array" ref="L20:Q28">[1]!MissingPatterns(B3:E23)</f>
        <v>read</v>
      </c>
      <c r="M20" s="907" t="str">
        <v>science</v>
      </c>
      <c r="N20" s="907" t="str">
        <v>math</v>
      </c>
      <c r="O20" s="907" t="str">
        <v>medicine</v>
      </c>
      <c r="P20" s="907" t="str">
        <v>freq</v>
      </c>
      <c r="Q20" s="907" t="str">
        <v>%</v>
      </c>
      <c r="Y20" t="str">
        <f t="array" ref="Y20:Y22">TRANSPOSE(T5:V5)</f>
        <v>read</v>
      </c>
      <c r="Z20">
        <f t="array" ref="Z20:Z22">TRANSPOSE(T8:V8)</f>
        <v>0.7757330297144357</v>
      </c>
      <c r="AA20">
        <f t="array" ref="AA20:AA22">TRANSPOSE(T9:V9)</f>
        <v>0.41948255788021632</v>
      </c>
      <c r="AB20">
        <f>Z20/AA20</f>
        <v>1.84926170383453</v>
      </c>
      <c r="AC20">
        <f>TDIST(ABS(AB20),$Z$15,2)</f>
        <v>8.2981785537621616E-2</v>
      </c>
      <c r="AD20">
        <f>Z20-TINV(AD$12,$Z$15)*AA20</f>
        <v>-0.1135302676667217</v>
      </c>
      <c r="AE20">
        <f>Z20+TINV(AD$12,$Z$15)*AA20</f>
        <v>1.6649963270955932</v>
      </c>
    </row>
    <row r="21" spans="1:31" x14ac:dyDescent="0.25">
      <c r="A21" s="907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  <c r="L21" s="888" t="str">
        <v>.</v>
      </c>
      <c r="M21" s="889" t="str">
        <v>x</v>
      </c>
      <c r="N21" s="889" t="str">
        <v>.</v>
      </c>
      <c r="O21" s="889" t="str">
        <v>x</v>
      </c>
      <c r="P21" s="798">
        <v>1</v>
      </c>
      <c r="Q21" s="890">
        <v>5.2631578947368418E-2</v>
      </c>
      <c r="Y21" t="str">
        <v>science</v>
      </c>
      <c r="Z21">
        <v>0.52920924858316631</v>
      </c>
      <c r="AA21">
        <v>0.13091223480683706</v>
      </c>
      <c r="AB21">
        <f>Z21/AA21</f>
        <v>4.0424735653166595</v>
      </c>
      <c r="AC21">
        <f>TDIST(ABS(AB21),$Z$15,2)</f>
        <v>9.4390554888011658E-4</v>
      </c>
      <c r="AD21">
        <f>Z21-TINV(AD$12,$Z$15)*AA21</f>
        <v>0.25168770828325521</v>
      </c>
      <c r="AE21">
        <f>Z21+TINV(AD$12,$Z$15)*AA21</f>
        <v>0.80673078888307748</v>
      </c>
    </row>
    <row r="22" spans="1:31" x14ac:dyDescent="0.25">
      <c r="A22" s="907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  <c r="L22" s="500" t="str">
        <v>.</v>
      </c>
      <c r="M22" s="908" t="str">
        <v>x</v>
      </c>
      <c r="N22" s="908" t="str">
        <v>x</v>
      </c>
      <c r="O22" s="908" t="str">
        <v>.</v>
      </c>
      <c r="P22" s="7">
        <v>1</v>
      </c>
      <c r="Q22" s="891">
        <v>5.2631578947368418E-2</v>
      </c>
      <c r="Y22" s="762" t="str">
        <v>math</v>
      </c>
      <c r="Z22" s="762">
        <v>-0.44309608977193171</v>
      </c>
      <c r="AA22" s="762">
        <v>0.63920231269504602</v>
      </c>
      <c r="AB22" s="762">
        <f>Z22/AA22</f>
        <v>-0.69320163737161933</v>
      </c>
      <c r="AC22" s="762">
        <f>TDIST(ABS(AB22),$Z$15,2)</f>
        <v>0.4981230574120431</v>
      </c>
      <c r="AD22" s="762">
        <f>Z22-TINV(AD$12,$Z$15)*AA22</f>
        <v>-1.7981444597286416</v>
      </c>
      <c r="AE22" s="762">
        <f>Z22+TINV(AD$12,$Z$15)*AA22</f>
        <v>0.91195228018477803</v>
      </c>
    </row>
    <row r="23" spans="1:31" x14ac:dyDescent="0.25">
      <c r="A23" s="907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  <c r="L23" s="500" t="str">
        <v>.</v>
      </c>
      <c r="M23" s="908" t="str">
        <v>x</v>
      </c>
      <c r="N23" s="908" t="str">
        <v>x</v>
      </c>
      <c r="O23" s="908" t="str">
        <v>x</v>
      </c>
      <c r="P23" s="7">
        <v>3</v>
      </c>
      <c r="Q23" s="891">
        <v>0.15789473684210525</v>
      </c>
    </row>
    <row r="24" spans="1:31" x14ac:dyDescent="0.25">
      <c r="A24" s="907" t="s">
        <v>7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L24" s="500" t="str">
        <v>x</v>
      </c>
      <c r="M24" s="908" t="str">
        <v>.</v>
      </c>
      <c r="N24" s="908" t="str">
        <v>.</v>
      </c>
      <c r="O24" s="908" t="str">
        <v>x</v>
      </c>
      <c r="P24" s="7">
        <v>2</v>
      </c>
      <c r="Q24" s="891">
        <v>0.10526315789473684</v>
      </c>
    </row>
    <row r="25" spans="1:31" x14ac:dyDescent="0.25">
      <c r="A25" s="907" t="s">
        <v>9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L25" s="500" t="str">
        <v>x</v>
      </c>
      <c r="M25" s="908" t="str">
        <v>.</v>
      </c>
      <c r="N25" s="908" t="str">
        <v>x</v>
      </c>
      <c r="O25" s="908" t="str">
        <v>x</v>
      </c>
      <c r="P25" s="7">
        <v>1</v>
      </c>
      <c r="Q25" s="891">
        <v>5.2631578947368418E-2</v>
      </c>
    </row>
    <row r="26" spans="1:31" x14ac:dyDescent="0.25">
      <c r="L26" s="500" t="str">
        <v>x</v>
      </c>
      <c r="M26" s="908" t="str">
        <v>x</v>
      </c>
      <c r="N26" s="908" t="str">
        <v>.</v>
      </c>
      <c r="O26" s="908" t="str">
        <v>x</v>
      </c>
      <c r="P26" s="7">
        <v>1</v>
      </c>
      <c r="Q26" s="891">
        <v>5.2631578947368418E-2</v>
      </c>
    </row>
    <row r="27" spans="1:31" x14ac:dyDescent="0.25">
      <c r="L27" s="500" t="str">
        <v>x</v>
      </c>
      <c r="M27" s="908" t="str">
        <v>x</v>
      </c>
      <c r="N27" s="908" t="str">
        <v>x</v>
      </c>
      <c r="O27" s="908" t="str">
        <v>.</v>
      </c>
      <c r="P27" s="7">
        <v>1</v>
      </c>
      <c r="Q27" s="891">
        <v>5.2631578947368418E-2</v>
      </c>
    </row>
    <row r="28" spans="1:31" x14ac:dyDescent="0.25">
      <c r="L28" s="817" t="str">
        <v>x</v>
      </c>
      <c r="M28" s="892" t="str">
        <v>x</v>
      </c>
      <c r="N28" s="892" t="str">
        <v>x</v>
      </c>
      <c r="O28" s="892" t="str">
        <v>x</v>
      </c>
      <c r="P28" s="760">
        <v>10</v>
      </c>
      <c r="Q28" s="893">
        <v>0.52631578947368418</v>
      </c>
    </row>
    <row r="29" spans="1:31" x14ac:dyDescent="0.25">
      <c r="P29">
        <f>SUM(P21:P28)</f>
        <v>20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AW29"/>
  <sheetViews>
    <sheetView workbookViewId="0"/>
  </sheetViews>
  <sheetFormatPr defaultRowHeight="15" x14ac:dyDescent="0.25"/>
  <sheetData>
    <row r="1" spans="1:49" x14ac:dyDescent="0.25">
      <c r="A1" t="s">
        <v>2013</v>
      </c>
      <c r="B1">
        <v>1</v>
      </c>
      <c r="F1" t="s">
        <v>2013</v>
      </c>
      <c r="G1">
        <v>2</v>
      </c>
      <c r="K1" t="s">
        <v>2013</v>
      </c>
      <c r="L1">
        <v>3</v>
      </c>
      <c r="P1" t="s">
        <v>2013</v>
      </c>
      <c r="Q1">
        <v>4</v>
      </c>
      <c r="U1" t="s">
        <v>2013</v>
      </c>
      <c r="V1">
        <v>5</v>
      </c>
      <c r="Z1" t="s">
        <v>2013</v>
      </c>
      <c r="AA1">
        <v>6</v>
      </c>
      <c r="AE1" t="s">
        <v>2013</v>
      </c>
      <c r="AF1">
        <v>7</v>
      </c>
      <c r="AJ1" t="s">
        <v>2013</v>
      </c>
      <c r="AK1">
        <v>8</v>
      </c>
      <c r="AO1" t="s">
        <v>2013</v>
      </c>
      <c r="AP1">
        <v>9</v>
      </c>
      <c r="AT1" t="s">
        <v>2013</v>
      </c>
      <c r="AU1">
        <v>10</v>
      </c>
    </row>
    <row r="3" spans="1:49" x14ac:dyDescent="0.25">
      <c r="A3" s="907" t="str">
        <f t="array" ref="A3:D23">[1]!ImputeFCS('MI 9'!B3:E23,TRUE,20,'MI 9'!G4:J5)</f>
        <v>read</v>
      </c>
      <c r="B3" s="907" t="str">
        <v>science</v>
      </c>
      <c r="C3" s="907" t="str">
        <v>math</v>
      </c>
      <c r="D3" s="907" t="str">
        <v>medicine</v>
      </c>
      <c r="F3" s="907" t="str">
        <f t="array" ref="F3:I23">[1]!ImputeFCS('MI 9'!B3:E23,TRUE,20,'MI 9'!G4:J5)</f>
        <v>read</v>
      </c>
      <c r="G3" s="907" t="str">
        <v>science</v>
      </c>
      <c r="H3" s="907" t="str">
        <v>math</v>
      </c>
      <c r="I3" s="907" t="str">
        <v>medicine</v>
      </c>
      <c r="K3" s="907" t="str">
        <f t="array" ref="K3:N23">[1]!ImputeFCS('MI 9'!B3:E23,TRUE,20,'MI 9'!G4:J5)</f>
        <v>read</v>
      </c>
      <c r="L3" s="907" t="str">
        <v>science</v>
      </c>
      <c r="M3" s="907" t="str">
        <v>math</v>
      </c>
      <c r="N3" s="907" t="str">
        <v>medicine</v>
      </c>
      <c r="P3" s="907" t="str">
        <f t="array" ref="P3:S23">[1]!ImputeFCS('MI 9'!B3:E23,TRUE,20,'MI 9'!G4:J5)</f>
        <v>read</v>
      </c>
      <c r="Q3" s="907" t="str">
        <v>science</v>
      </c>
      <c r="R3" s="907" t="str">
        <v>math</v>
      </c>
      <c r="S3" s="907" t="str">
        <v>medicine</v>
      </c>
      <c r="U3" s="907" t="str">
        <f t="array" ref="U3:X23">[1]!ImputeFCS('MI 9'!B3:E23,TRUE,20,'MI 9'!G4:J5)</f>
        <v>read</v>
      </c>
      <c r="V3" s="907" t="str">
        <v>science</v>
      </c>
      <c r="W3" s="907" t="str">
        <v>math</v>
      </c>
      <c r="X3" s="907" t="str">
        <v>medicine</v>
      </c>
      <c r="Z3" s="907" t="str">
        <f t="array" ref="Z3:AC23">[1]!ImputeFCS('MI 9'!B3:E23,TRUE,20,'MI 9'!G4:J5)</f>
        <v>read</v>
      </c>
      <c r="AA3" s="907" t="str">
        <v>science</v>
      </c>
      <c r="AB3" s="907" t="str">
        <v>math</v>
      </c>
      <c r="AC3" s="907" t="str">
        <v>medicine</v>
      </c>
      <c r="AE3" s="907" t="str">
        <f t="array" ref="AE3:AH23">[1]!ImputeFCS('MI 9'!B3:E23,TRUE,20,'MI 9'!G4:J5)</f>
        <v>read</v>
      </c>
      <c r="AF3" s="907" t="str">
        <v>science</v>
      </c>
      <c r="AG3" s="907" t="str">
        <v>math</v>
      </c>
      <c r="AH3" s="907" t="str">
        <v>medicine</v>
      </c>
      <c r="AJ3" s="907" t="str">
        <f t="array" ref="AJ3:AM23">[1]!ImputeFCS('MI 9'!B3:E23,TRUE,20,'MI 9'!G4:J5)</f>
        <v>read</v>
      </c>
      <c r="AK3" s="907" t="str">
        <v>science</v>
      </c>
      <c r="AL3" s="907" t="str">
        <v>math</v>
      </c>
      <c r="AM3" s="907" t="str">
        <v>medicine</v>
      </c>
      <c r="AO3" s="907" t="str">
        <f t="array" ref="AO3:AR23">[1]!ImputeFCS('MI 9'!B3:E23,TRUE,20,'MI 9'!G4:J5)</f>
        <v>read</v>
      </c>
      <c r="AP3" s="907" t="str">
        <v>science</v>
      </c>
      <c r="AQ3" s="907" t="str">
        <v>math</v>
      </c>
      <c r="AR3" s="907" t="str">
        <v>medicine</v>
      </c>
      <c r="AT3" s="907" t="str">
        <f t="array" ref="AT3:AW23">[1]!ImputeFCS('MI 9'!B3:E23,TRUE,20,'MI 9'!G4:J5)</f>
        <v>read</v>
      </c>
      <c r="AU3" s="907" t="str">
        <v>science</v>
      </c>
      <c r="AV3" s="907" t="str">
        <v>math</v>
      </c>
      <c r="AW3" s="907" t="str">
        <v>medicine</v>
      </c>
    </row>
    <row r="4" spans="1:49" x14ac:dyDescent="0.25">
      <c r="A4" s="865">
        <v>12</v>
      </c>
      <c r="B4" s="798">
        <v>27</v>
      </c>
      <c r="C4" s="798">
        <v>19</v>
      </c>
      <c r="D4" s="866">
        <v>44</v>
      </c>
      <c r="F4" s="865">
        <v>12</v>
      </c>
      <c r="G4" s="798">
        <v>27</v>
      </c>
      <c r="H4" s="798">
        <v>19</v>
      </c>
      <c r="I4" s="866">
        <v>44</v>
      </c>
      <c r="K4" s="865">
        <v>12</v>
      </c>
      <c r="L4" s="798">
        <v>27</v>
      </c>
      <c r="M4" s="798">
        <v>19</v>
      </c>
      <c r="N4" s="866">
        <v>44</v>
      </c>
      <c r="P4" s="865">
        <v>12</v>
      </c>
      <c r="Q4" s="798">
        <v>27</v>
      </c>
      <c r="R4" s="798">
        <v>19</v>
      </c>
      <c r="S4" s="866">
        <v>44</v>
      </c>
      <c r="U4" s="865">
        <v>12</v>
      </c>
      <c r="V4" s="798">
        <v>27</v>
      </c>
      <c r="W4" s="798">
        <v>19</v>
      </c>
      <c r="X4" s="866">
        <v>44</v>
      </c>
      <c r="Z4" s="865">
        <v>12</v>
      </c>
      <c r="AA4" s="798">
        <v>27</v>
      </c>
      <c r="AB4" s="798">
        <v>19</v>
      </c>
      <c r="AC4" s="866">
        <v>44</v>
      </c>
      <c r="AE4" s="865">
        <v>12</v>
      </c>
      <c r="AF4" s="798">
        <v>27</v>
      </c>
      <c r="AG4" s="798">
        <v>19</v>
      </c>
      <c r="AH4" s="866">
        <v>44</v>
      </c>
      <c r="AJ4" s="865">
        <v>12</v>
      </c>
      <c r="AK4" s="798">
        <v>27</v>
      </c>
      <c r="AL4" s="798">
        <v>19</v>
      </c>
      <c r="AM4" s="866">
        <v>44</v>
      </c>
      <c r="AO4" s="865">
        <v>12</v>
      </c>
      <c r="AP4" s="798">
        <v>27</v>
      </c>
      <c r="AQ4" s="798">
        <v>19</v>
      </c>
      <c r="AR4" s="866">
        <v>44</v>
      </c>
      <c r="AT4" s="865">
        <v>12</v>
      </c>
      <c r="AU4" s="798">
        <v>27</v>
      </c>
      <c r="AV4" s="798">
        <v>19</v>
      </c>
      <c r="AW4" s="866">
        <v>44</v>
      </c>
    </row>
    <row r="5" spans="1:49" x14ac:dyDescent="0.25">
      <c r="A5" s="501">
        <v>11</v>
      </c>
      <c r="B5" s="7">
        <v>20</v>
      </c>
      <c r="C5" s="7">
        <v>13</v>
      </c>
      <c r="D5" s="57">
        <v>43</v>
      </c>
      <c r="F5" s="501">
        <v>11</v>
      </c>
      <c r="G5" s="7">
        <v>24</v>
      </c>
      <c r="H5" s="7">
        <v>13</v>
      </c>
      <c r="I5" s="57">
        <v>43</v>
      </c>
      <c r="K5" s="501">
        <v>11</v>
      </c>
      <c r="L5" s="7">
        <v>25</v>
      </c>
      <c r="M5" s="7">
        <v>13</v>
      </c>
      <c r="N5" s="57">
        <v>43</v>
      </c>
      <c r="P5" s="501">
        <v>11</v>
      </c>
      <c r="Q5" s="7">
        <v>24</v>
      </c>
      <c r="R5" s="7">
        <v>13</v>
      </c>
      <c r="S5" s="57">
        <v>43</v>
      </c>
      <c r="U5" s="501">
        <v>11</v>
      </c>
      <c r="V5" s="7">
        <v>25</v>
      </c>
      <c r="W5" s="7">
        <v>13</v>
      </c>
      <c r="X5" s="57">
        <v>43</v>
      </c>
      <c r="Z5" s="501">
        <v>11</v>
      </c>
      <c r="AA5" s="7">
        <v>20</v>
      </c>
      <c r="AB5" s="7">
        <v>13</v>
      </c>
      <c r="AC5" s="57">
        <v>43</v>
      </c>
      <c r="AE5" s="501">
        <v>11</v>
      </c>
      <c r="AF5" s="7">
        <v>36</v>
      </c>
      <c r="AG5" s="7">
        <v>13</v>
      </c>
      <c r="AH5" s="57">
        <v>43</v>
      </c>
      <c r="AJ5" s="501">
        <v>11</v>
      </c>
      <c r="AK5" s="7">
        <v>35</v>
      </c>
      <c r="AL5" s="7">
        <v>13</v>
      </c>
      <c r="AM5" s="57">
        <v>43</v>
      </c>
      <c r="AO5" s="501">
        <v>11</v>
      </c>
      <c r="AP5" s="7">
        <v>26</v>
      </c>
      <c r="AQ5" s="7">
        <v>13</v>
      </c>
      <c r="AR5" s="57">
        <v>43</v>
      </c>
      <c r="AT5" s="501">
        <v>11</v>
      </c>
      <c r="AU5" s="7">
        <v>20</v>
      </c>
      <c r="AV5" s="7">
        <v>13</v>
      </c>
      <c r="AW5" s="57">
        <v>43</v>
      </c>
    </row>
    <row r="6" spans="1:49" x14ac:dyDescent="0.25">
      <c r="A6" s="501">
        <v>20.863323089002272</v>
      </c>
      <c r="B6" s="7">
        <v>56</v>
      </c>
      <c r="C6" s="7">
        <v>23</v>
      </c>
      <c r="D6" s="57">
        <v>60</v>
      </c>
      <c r="F6" s="501">
        <v>16.502480692029</v>
      </c>
      <c r="G6" s="7">
        <v>56</v>
      </c>
      <c r="H6" s="7">
        <v>23</v>
      </c>
      <c r="I6" s="57">
        <v>60</v>
      </c>
      <c r="K6" s="501">
        <v>14.578026051422439</v>
      </c>
      <c r="L6" s="7">
        <v>56</v>
      </c>
      <c r="M6" s="7">
        <v>23</v>
      </c>
      <c r="N6" s="57">
        <v>60</v>
      </c>
      <c r="P6" s="501">
        <v>17.635451204799804</v>
      </c>
      <c r="Q6" s="7">
        <v>56</v>
      </c>
      <c r="R6" s="7">
        <v>23</v>
      </c>
      <c r="S6" s="57">
        <v>60</v>
      </c>
      <c r="U6" s="501">
        <v>15.267307728524591</v>
      </c>
      <c r="V6" s="7">
        <v>56</v>
      </c>
      <c r="W6" s="7">
        <v>23</v>
      </c>
      <c r="X6" s="57">
        <v>60</v>
      </c>
      <c r="Z6" s="501">
        <v>16.940832463128604</v>
      </c>
      <c r="AA6" s="7">
        <v>56</v>
      </c>
      <c r="AB6" s="7">
        <v>23</v>
      </c>
      <c r="AC6" s="57">
        <v>60</v>
      </c>
      <c r="AE6" s="501">
        <v>13.957117193240537</v>
      </c>
      <c r="AF6" s="7">
        <v>56</v>
      </c>
      <c r="AG6" s="7">
        <v>23</v>
      </c>
      <c r="AH6" s="57">
        <v>60</v>
      </c>
      <c r="AJ6" s="501">
        <v>11.483033363123742</v>
      </c>
      <c r="AK6" s="7">
        <v>56</v>
      </c>
      <c r="AL6" s="7">
        <v>23</v>
      </c>
      <c r="AM6" s="57">
        <v>60</v>
      </c>
      <c r="AO6" s="501">
        <v>18.306108645330145</v>
      </c>
      <c r="AP6" s="7">
        <v>56</v>
      </c>
      <c r="AQ6" s="7">
        <v>23</v>
      </c>
      <c r="AR6" s="57">
        <v>60</v>
      </c>
      <c r="AT6" s="501">
        <v>22.649843737407373</v>
      </c>
      <c r="AU6" s="7">
        <v>56</v>
      </c>
      <c r="AV6" s="7">
        <v>23</v>
      </c>
      <c r="AW6" s="57">
        <v>60</v>
      </c>
    </row>
    <row r="7" spans="1:49" x14ac:dyDescent="0.25">
      <c r="A7" s="501">
        <v>15</v>
      </c>
      <c r="B7" s="7">
        <v>37</v>
      </c>
      <c r="C7" s="7">
        <v>19</v>
      </c>
      <c r="D7" s="57">
        <v>52</v>
      </c>
      <c r="F7" s="501">
        <v>15</v>
      </c>
      <c r="G7" s="7">
        <v>37</v>
      </c>
      <c r="H7" s="7">
        <v>19</v>
      </c>
      <c r="I7" s="57">
        <v>52</v>
      </c>
      <c r="K7" s="501">
        <v>15</v>
      </c>
      <c r="L7" s="7">
        <v>37</v>
      </c>
      <c r="M7" s="7">
        <v>19</v>
      </c>
      <c r="N7" s="57">
        <v>52</v>
      </c>
      <c r="P7" s="501">
        <v>15</v>
      </c>
      <c r="Q7" s="7">
        <v>37</v>
      </c>
      <c r="R7" s="7">
        <v>19</v>
      </c>
      <c r="S7" s="57">
        <v>52</v>
      </c>
      <c r="U7" s="501">
        <v>15</v>
      </c>
      <c r="V7" s="7">
        <v>37</v>
      </c>
      <c r="W7" s="7">
        <v>19</v>
      </c>
      <c r="X7" s="57">
        <v>52</v>
      </c>
      <c r="Z7" s="501">
        <v>15</v>
      </c>
      <c r="AA7" s="7">
        <v>37</v>
      </c>
      <c r="AB7" s="7">
        <v>19</v>
      </c>
      <c r="AC7" s="57">
        <v>52</v>
      </c>
      <c r="AE7" s="501">
        <v>15</v>
      </c>
      <c r="AF7" s="7">
        <v>37</v>
      </c>
      <c r="AG7" s="7">
        <v>19</v>
      </c>
      <c r="AH7" s="57">
        <v>52</v>
      </c>
      <c r="AJ7" s="501">
        <v>15</v>
      </c>
      <c r="AK7" s="7">
        <v>37</v>
      </c>
      <c r="AL7" s="7">
        <v>19</v>
      </c>
      <c r="AM7" s="57">
        <v>52</v>
      </c>
      <c r="AO7" s="501">
        <v>15</v>
      </c>
      <c r="AP7" s="7">
        <v>37</v>
      </c>
      <c r="AQ7" s="7">
        <v>19</v>
      </c>
      <c r="AR7" s="57">
        <v>52</v>
      </c>
      <c r="AT7" s="501">
        <v>15</v>
      </c>
      <c r="AU7" s="7">
        <v>37</v>
      </c>
      <c r="AV7" s="7">
        <v>19</v>
      </c>
      <c r="AW7" s="57">
        <v>52</v>
      </c>
    </row>
    <row r="8" spans="1:49" x14ac:dyDescent="0.25">
      <c r="A8" s="501">
        <v>10</v>
      </c>
      <c r="B8" s="7">
        <v>31</v>
      </c>
      <c r="C8" s="7">
        <v>21</v>
      </c>
      <c r="D8" s="57">
        <v>39.190733927519126</v>
      </c>
      <c r="F8" s="501">
        <v>10</v>
      </c>
      <c r="G8" s="7">
        <v>31</v>
      </c>
      <c r="H8" s="7">
        <v>21</v>
      </c>
      <c r="I8" s="57">
        <v>40.669619589337316</v>
      </c>
      <c r="K8" s="501">
        <v>10</v>
      </c>
      <c r="L8" s="7">
        <v>31</v>
      </c>
      <c r="M8" s="7">
        <v>21</v>
      </c>
      <c r="N8" s="57">
        <v>39.421970564892966</v>
      </c>
      <c r="P8" s="501">
        <v>10</v>
      </c>
      <c r="Q8" s="7">
        <v>31</v>
      </c>
      <c r="R8" s="7">
        <v>21</v>
      </c>
      <c r="S8" s="57">
        <v>37.918487362757247</v>
      </c>
      <c r="U8" s="501">
        <v>10</v>
      </c>
      <c r="V8" s="7">
        <v>31</v>
      </c>
      <c r="W8" s="7">
        <v>21</v>
      </c>
      <c r="X8" s="57">
        <v>46.137627069287383</v>
      </c>
      <c r="Z8" s="501">
        <v>10</v>
      </c>
      <c r="AA8" s="7">
        <v>31</v>
      </c>
      <c r="AB8" s="7">
        <v>21</v>
      </c>
      <c r="AC8" s="57">
        <v>34.09498647114988</v>
      </c>
      <c r="AE8" s="501">
        <v>10</v>
      </c>
      <c r="AF8" s="7">
        <v>31</v>
      </c>
      <c r="AG8" s="7">
        <v>21</v>
      </c>
      <c r="AH8" s="57">
        <v>42.527956799464654</v>
      </c>
      <c r="AJ8" s="501">
        <v>10</v>
      </c>
      <c r="AK8" s="7">
        <v>31</v>
      </c>
      <c r="AL8" s="7">
        <v>21</v>
      </c>
      <c r="AM8" s="57">
        <v>42.731165176554875</v>
      </c>
      <c r="AO8" s="501">
        <v>10</v>
      </c>
      <c r="AP8" s="7">
        <v>31</v>
      </c>
      <c r="AQ8" s="7">
        <v>21</v>
      </c>
      <c r="AR8" s="57">
        <v>44.213686646669288</v>
      </c>
      <c r="AT8" s="501">
        <v>10</v>
      </c>
      <c r="AU8" s="7">
        <v>31</v>
      </c>
      <c r="AV8" s="7">
        <v>21</v>
      </c>
      <c r="AW8" s="57">
        <v>35.458105179612076</v>
      </c>
    </row>
    <row r="9" spans="1:49" x14ac:dyDescent="0.25">
      <c r="A9" s="501">
        <v>18</v>
      </c>
      <c r="B9" s="7">
        <v>40</v>
      </c>
      <c r="C9" s="7">
        <v>22</v>
      </c>
      <c r="D9" s="57">
        <v>43</v>
      </c>
      <c r="F9" s="501">
        <v>18</v>
      </c>
      <c r="G9" s="7">
        <v>40</v>
      </c>
      <c r="H9" s="7">
        <v>22</v>
      </c>
      <c r="I9" s="57">
        <v>43</v>
      </c>
      <c r="K9" s="501">
        <v>18</v>
      </c>
      <c r="L9" s="7">
        <v>40</v>
      </c>
      <c r="M9" s="7">
        <v>22</v>
      </c>
      <c r="N9" s="57">
        <v>43</v>
      </c>
      <c r="P9" s="501">
        <v>18</v>
      </c>
      <c r="Q9" s="7">
        <v>40</v>
      </c>
      <c r="R9" s="7">
        <v>22</v>
      </c>
      <c r="S9" s="57">
        <v>43</v>
      </c>
      <c r="U9" s="501">
        <v>18</v>
      </c>
      <c r="V9" s="7">
        <v>40</v>
      </c>
      <c r="W9" s="7">
        <v>22</v>
      </c>
      <c r="X9" s="57">
        <v>43</v>
      </c>
      <c r="Z9" s="501">
        <v>18</v>
      </c>
      <c r="AA9" s="7">
        <v>40</v>
      </c>
      <c r="AB9" s="7">
        <v>22</v>
      </c>
      <c r="AC9" s="57">
        <v>43</v>
      </c>
      <c r="AE9" s="501">
        <v>18</v>
      </c>
      <c r="AF9" s="7">
        <v>40</v>
      </c>
      <c r="AG9" s="7">
        <v>22</v>
      </c>
      <c r="AH9" s="57">
        <v>43</v>
      </c>
      <c r="AJ9" s="501">
        <v>18</v>
      </c>
      <c r="AK9" s="7">
        <v>40</v>
      </c>
      <c r="AL9" s="7">
        <v>22</v>
      </c>
      <c r="AM9" s="57">
        <v>43</v>
      </c>
      <c r="AO9" s="501">
        <v>18</v>
      </c>
      <c r="AP9" s="7">
        <v>40</v>
      </c>
      <c r="AQ9" s="7">
        <v>22</v>
      </c>
      <c r="AR9" s="57">
        <v>43</v>
      </c>
      <c r="AT9" s="501">
        <v>18</v>
      </c>
      <c r="AU9" s="7">
        <v>40</v>
      </c>
      <c r="AV9" s="7">
        <v>22</v>
      </c>
      <c r="AW9" s="57">
        <v>43</v>
      </c>
    </row>
    <row r="10" spans="1:49" x14ac:dyDescent="0.25">
      <c r="A10" s="501">
        <v>15</v>
      </c>
      <c r="B10" s="7">
        <v>50</v>
      </c>
      <c r="C10" s="7">
        <v>28</v>
      </c>
      <c r="D10" s="57">
        <v>56</v>
      </c>
      <c r="F10" s="501">
        <v>15</v>
      </c>
      <c r="G10" s="7">
        <v>50</v>
      </c>
      <c r="H10" s="7">
        <v>28</v>
      </c>
      <c r="I10" s="57">
        <v>56</v>
      </c>
      <c r="K10" s="501">
        <v>15</v>
      </c>
      <c r="L10" s="7">
        <v>50</v>
      </c>
      <c r="M10" s="7">
        <v>28</v>
      </c>
      <c r="N10" s="57">
        <v>56</v>
      </c>
      <c r="P10" s="501">
        <v>15</v>
      </c>
      <c r="Q10" s="7">
        <v>50</v>
      </c>
      <c r="R10" s="7">
        <v>28</v>
      </c>
      <c r="S10" s="57">
        <v>56</v>
      </c>
      <c r="U10" s="501">
        <v>15</v>
      </c>
      <c r="V10" s="7">
        <v>50</v>
      </c>
      <c r="W10" s="7">
        <v>28</v>
      </c>
      <c r="X10" s="57">
        <v>56</v>
      </c>
      <c r="Z10" s="501">
        <v>15</v>
      </c>
      <c r="AA10" s="7">
        <v>50</v>
      </c>
      <c r="AB10" s="7">
        <v>28</v>
      </c>
      <c r="AC10" s="57">
        <v>56</v>
      </c>
      <c r="AE10" s="501">
        <v>15</v>
      </c>
      <c r="AF10" s="7">
        <v>50</v>
      </c>
      <c r="AG10" s="7">
        <v>28</v>
      </c>
      <c r="AH10" s="57">
        <v>56</v>
      </c>
      <c r="AJ10" s="501">
        <v>15</v>
      </c>
      <c r="AK10" s="7">
        <v>50</v>
      </c>
      <c r="AL10" s="7">
        <v>28</v>
      </c>
      <c r="AM10" s="57">
        <v>56</v>
      </c>
      <c r="AO10" s="501">
        <v>15</v>
      </c>
      <c r="AP10" s="7">
        <v>50</v>
      </c>
      <c r="AQ10" s="7">
        <v>28</v>
      </c>
      <c r="AR10" s="57">
        <v>56</v>
      </c>
      <c r="AT10" s="501">
        <v>15</v>
      </c>
      <c r="AU10" s="7">
        <v>50</v>
      </c>
      <c r="AV10" s="7">
        <v>28</v>
      </c>
      <c r="AW10" s="57">
        <v>56</v>
      </c>
    </row>
    <row r="11" spans="1:49" x14ac:dyDescent="0.25">
      <c r="A11" s="501">
        <v>21</v>
      </c>
      <c r="B11" s="7">
        <v>33</v>
      </c>
      <c r="C11" s="7">
        <v>24.502206248785825</v>
      </c>
      <c r="D11" s="57">
        <v>46</v>
      </c>
      <c r="F11" s="501">
        <v>21</v>
      </c>
      <c r="G11" s="7">
        <v>27</v>
      </c>
      <c r="H11" s="7">
        <v>20.970589777629424</v>
      </c>
      <c r="I11" s="57">
        <v>46</v>
      </c>
      <c r="K11" s="501">
        <v>21</v>
      </c>
      <c r="L11" s="7">
        <v>20</v>
      </c>
      <c r="M11" s="7">
        <v>20.452039176570729</v>
      </c>
      <c r="N11" s="57">
        <v>46</v>
      </c>
      <c r="P11" s="501">
        <v>21</v>
      </c>
      <c r="Q11" s="7">
        <v>30</v>
      </c>
      <c r="R11" s="7">
        <v>25.207974565728655</v>
      </c>
      <c r="S11" s="57">
        <v>46</v>
      </c>
      <c r="U11" s="501">
        <v>21</v>
      </c>
      <c r="V11" s="7">
        <v>30</v>
      </c>
      <c r="W11" s="7">
        <v>23.274616701273732</v>
      </c>
      <c r="X11" s="57">
        <v>46</v>
      </c>
      <c r="Z11" s="501">
        <v>21</v>
      </c>
      <c r="AA11" s="7">
        <v>22</v>
      </c>
      <c r="AB11" s="7">
        <v>20.839076285247135</v>
      </c>
      <c r="AC11" s="57">
        <v>46</v>
      </c>
      <c r="AE11" s="501">
        <v>21</v>
      </c>
      <c r="AF11" s="7">
        <v>23</v>
      </c>
      <c r="AG11" s="7">
        <v>25.363902700341765</v>
      </c>
      <c r="AH11" s="57">
        <v>46</v>
      </c>
      <c r="AJ11" s="501">
        <v>21</v>
      </c>
      <c r="AK11" s="7">
        <v>32</v>
      </c>
      <c r="AL11" s="7">
        <v>25.826508478799013</v>
      </c>
      <c r="AM11" s="57">
        <v>46</v>
      </c>
      <c r="AO11" s="501">
        <v>21</v>
      </c>
      <c r="AP11" s="7">
        <v>30</v>
      </c>
      <c r="AQ11" s="7">
        <v>22.478352721211994</v>
      </c>
      <c r="AR11" s="57">
        <v>46</v>
      </c>
      <c r="AT11" s="501">
        <v>21</v>
      </c>
      <c r="AU11" s="7">
        <v>32</v>
      </c>
      <c r="AV11" s="7">
        <v>24.920152907404638</v>
      </c>
      <c r="AW11" s="57">
        <v>46</v>
      </c>
    </row>
    <row r="12" spans="1:49" x14ac:dyDescent="0.25">
      <c r="A12" s="501">
        <v>20</v>
      </c>
      <c r="B12" s="7">
        <v>39</v>
      </c>
      <c r="C12" s="7">
        <v>25</v>
      </c>
      <c r="D12" s="57">
        <v>51</v>
      </c>
      <c r="F12" s="501">
        <v>20</v>
      </c>
      <c r="G12" s="7">
        <v>39</v>
      </c>
      <c r="H12" s="7">
        <v>25</v>
      </c>
      <c r="I12" s="57">
        <v>51</v>
      </c>
      <c r="K12" s="501">
        <v>20</v>
      </c>
      <c r="L12" s="7">
        <v>39</v>
      </c>
      <c r="M12" s="7">
        <v>25</v>
      </c>
      <c r="N12" s="57">
        <v>51</v>
      </c>
      <c r="P12" s="501">
        <v>20</v>
      </c>
      <c r="Q12" s="7">
        <v>39</v>
      </c>
      <c r="R12" s="7">
        <v>25</v>
      </c>
      <c r="S12" s="57">
        <v>51</v>
      </c>
      <c r="U12" s="501">
        <v>20</v>
      </c>
      <c r="V12" s="7">
        <v>39</v>
      </c>
      <c r="W12" s="7">
        <v>25</v>
      </c>
      <c r="X12" s="57">
        <v>51</v>
      </c>
      <c r="Z12" s="501">
        <v>20</v>
      </c>
      <c r="AA12" s="7">
        <v>39</v>
      </c>
      <c r="AB12" s="7">
        <v>25</v>
      </c>
      <c r="AC12" s="57">
        <v>51</v>
      </c>
      <c r="AE12" s="501">
        <v>20</v>
      </c>
      <c r="AF12" s="7">
        <v>39</v>
      </c>
      <c r="AG12" s="7">
        <v>25</v>
      </c>
      <c r="AH12" s="57">
        <v>51</v>
      </c>
      <c r="AJ12" s="501">
        <v>20</v>
      </c>
      <c r="AK12" s="7">
        <v>39</v>
      </c>
      <c r="AL12" s="7">
        <v>25</v>
      </c>
      <c r="AM12" s="57">
        <v>51</v>
      </c>
      <c r="AO12" s="501">
        <v>20</v>
      </c>
      <c r="AP12" s="7">
        <v>39</v>
      </c>
      <c r="AQ12" s="7">
        <v>25</v>
      </c>
      <c r="AR12" s="57">
        <v>51</v>
      </c>
      <c r="AT12" s="501">
        <v>20</v>
      </c>
      <c r="AU12" s="7">
        <v>39</v>
      </c>
      <c r="AV12" s="7">
        <v>25</v>
      </c>
      <c r="AW12" s="57">
        <v>51</v>
      </c>
    </row>
    <row r="13" spans="1:49" x14ac:dyDescent="0.25">
      <c r="A13" s="501">
        <v>20.337858447247353</v>
      </c>
      <c r="B13" s="7">
        <v>36</v>
      </c>
      <c r="C13" s="7">
        <v>23</v>
      </c>
      <c r="D13" s="57">
        <v>56</v>
      </c>
      <c r="F13" s="501">
        <v>20.252651852079552</v>
      </c>
      <c r="G13" s="7">
        <v>36</v>
      </c>
      <c r="H13" s="7">
        <v>23</v>
      </c>
      <c r="I13" s="57">
        <v>56</v>
      </c>
      <c r="K13" s="501">
        <v>18.666571650919366</v>
      </c>
      <c r="L13" s="7">
        <v>36</v>
      </c>
      <c r="M13" s="7">
        <v>23</v>
      </c>
      <c r="N13" s="57">
        <v>56</v>
      </c>
      <c r="P13" s="501">
        <v>20.511720657832594</v>
      </c>
      <c r="Q13" s="7">
        <v>36</v>
      </c>
      <c r="R13" s="7">
        <v>23</v>
      </c>
      <c r="S13" s="57">
        <v>56</v>
      </c>
      <c r="U13" s="501">
        <v>20.596093699714647</v>
      </c>
      <c r="V13" s="7">
        <v>36</v>
      </c>
      <c r="W13" s="7">
        <v>23</v>
      </c>
      <c r="X13" s="57">
        <v>56</v>
      </c>
      <c r="Z13" s="501">
        <v>17.125913036484111</v>
      </c>
      <c r="AA13" s="7">
        <v>36</v>
      </c>
      <c r="AB13" s="7">
        <v>23</v>
      </c>
      <c r="AC13" s="57">
        <v>56</v>
      </c>
      <c r="AE13" s="501">
        <v>17.805305262224316</v>
      </c>
      <c r="AF13" s="7">
        <v>36</v>
      </c>
      <c r="AG13" s="7">
        <v>23</v>
      </c>
      <c r="AH13" s="57">
        <v>56</v>
      </c>
      <c r="AJ13" s="501">
        <v>10.816031965417942</v>
      </c>
      <c r="AK13" s="7">
        <v>36</v>
      </c>
      <c r="AL13" s="7">
        <v>23</v>
      </c>
      <c r="AM13" s="57">
        <v>56</v>
      </c>
      <c r="AO13" s="501">
        <v>21.823004180139762</v>
      </c>
      <c r="AP13" s="7">
        <v>36</v>
      </c>
      <c r="AQ13" s="7">
        <v>23</v>
      </c>
      <c r="AR13" s="57">
        <v>56</v>
      </c>
      <c r="AT13" s="501">
        <v>20.62095272884163</v>
      </c>
      <c r="AU13" s="7">
        <v>36</v>
      </c>
      <c r="AV13" s="7">
        <v>23</v>
      </c>
      <c r="AW13" s="57">
        <v>56</v>
      </c>
    </row>
    <row r="14" spans="1:49" x14ac:dyDescent="0.25">
      <c r="A14" s="501">
        <v>13.507729935675512</v>
      </c>
      <c r="B14" s="7">
        <v>27</v>
      </c>
      <c r="C14" s="7">
        <v>21</v>
      </c>
      <c r="D14" s="57">
        <v>39</v>
      </c>
      <c r="F14" s="501">
        <v>16.707605731792466</v>
      </c>
      <c r="G14" s="7">
        <v>27</v>
      </c>
      <c r="H14" s="7">
        <v>21</v>
      </c>
      <c r="I14" s="57">
        <v>39</v>
      </c>
      <c r="K14" s="501">
        <v>15.128512406312936</v>
      </c>
      <c r="L14" s="7">
        <v>27</v>
      </c>
      <c r="M14" s="7">
        <v>21</v>
      </c>
      <c r="N14" s="57">
        <v>39</v>
      </c>
      <c r="P14" s="501">
        <v>13.430190431643538</v>
      </c>
      <c r="Q14" s="7">
        <v>27</v>
      </c>
      <c r="R14" s="7">
        <v>21</v>
      </c>
      <c r="S14" s="57">
        <v>39</v>
      </c>
      <c r="U14" s="501">
        <v>12.728970780174256</v>
      </c>
      <c r="V14" s="7">
        <v>27</v>
      </c>
      <c r="W14" s="7">
        <v>21</v>
      </c>
      <c r="X14" s="57">
        <v>39</v>
      </c>
      <c r="Z14" s="501">
        <v>14.397451894782678</v>
      </c>
      <c r="AA14" s="7">
        <v>27</v>
      </c>
      <c r="AB14" s="7">
        <v>21</v>
      </c>
      <c r="AC14" s="57">
        <v>39</v>
      </c>
      <c r="AE14" s="501">
        <v>14.256104060337835</v>
      </c>
      <c r="AF14" s="7">
        <v>27</v>
      </c>
      <c r="AG14" s="7">
        <v>21</v>
      </c>
      <c r="AH14" s="57">
        <v>39</v>
      </c>
      <c r="AJ14" s="501">
        <v>13.356152672620116</v>
      </c>
      <c r="AK14" s="7">
        <v>27</v>
      </c>
      <c r="AL14" s="7">
        <v>21</v>
      </c>
      <c r="AM14" s="57">
        <v>39</v>
      </c>
      <c r="AO14" s="501">
        <v>15.759647035300803</v>
      </c>
      <c r="AP14" s="7">
        <v>27</v>
      </c>
      <c r="AQ14" s="7">
        <v>21</v>
      </c>
      <c r="AR14" s="57">
        <v>39</v>
      </c>
      <c r="AT14" s="501">
        <v>13.847319169224185</v>
      </c>
      <c r="AU14" s="7">
        <v>27</v>
      </c>
      <c r="AV14" s="7">
        <v>21</v>
      </c>
      <c r="AW14" s="57">
        <v>39</v>
      </c>
    </row>
    <row r="15" spans="1:49" x14ac:dyDescent="0.25">
      <c r="A15" s="501">
        <v>14</v>
      </c>
      <c r="B15" s="7">
        <v>32</v>
      </c>
      <c r="C15" s="7">
        <v>20</v>
      </c>
      <c r="D15" s="57">
        <v>46</v>
      </c>
      <c r="F15" s="501">
        <v>14</v>
      </c>
      <c r="G15" s="7">
        <v>32</v>
      </c>
      <c r="H15" s="7">
        <v>20</v>
      </c>
      <c r="I15" s="57">
        <v>46</v>
      </c>
      <c r="K15" s="501">
        <v>14</v>
      </c>
      <c r="L15" s="7">
        <v>32</v>
      </c>
      <c r="M15" s="7">
        <v>20</v>
      </c>
      <c r="N15" s="57">
        <v>46</v>
      </c>
      <c r="P15" s="501">
        <v>14</v>
      </c>
      <c r="Q15" s="7">
        <v>32</v>
      </c>
      <c r="R15" s="7">
        <v>20</v>
      </c>
      <c r="S15" s="57">
        <v>46</v>
      </c>
      <c r="U15" s="501">
        <v>14</v>
      </c>
      <c r="V15" s="7">
        <v>32</v>
      </c>
      <c r="W15" s="7">
        <v>20</v>
      </c>
      <c r="X15" s="57">
        <v>46</v>
      </c>
      <c r="Z15" s="501">
        <v>14</v>
      </c>
      <c r="AA15" s="7">
        <v>32</v>
      </c>
      <c r="AB15" s="7">
        <v>20</v>
      </c>
      <c r="AC15" s="57">
        <v>46</v>
      </c>
      <c r="AE15" s="501">
        <v>14</v>
      </c>
      <c r="AF15" s="7">
        <v>32</v>
      </c>
      <c r="AG15" s="7">
        <v>20</v>
      </c>
      <c r="AH15" s="57">
        <v>46</v>
      </c>
      <c r="AJ15" s="501">
        <v>14</v>
      </c>
      <c r="AK15" s="7">
        <v>32</v>
      </c>
      <c r="AL15" s="7">
        <v>20</v>
      </c>
      <c r="AM15" s="57">
        <v>46</v>
      </c>
      <c r="AO15" s="501">
        <v>14</v>
      </c>
      <c r="AP15" s="7">
        <v>32</v>
      </c>
      <c r="AQ15" s="7">
        <v>20</v>
      </c>
      <c r="AR15" s="57">
        <v>46</v>
      </c>
      <c r="AT15" s="501">
        <v>14</v>
      </c>
      <c r="AU15" s="7">
        <v>32</v>
      </c>
      <c r="AV15" s="7">
        <v>20</v>
      </c>
      <c r="AW15" s="57">
        <v>46</v>
      </c>
    </row>
    <row r="16" spans="1:49" x14ac:dyDescent="0.25">
      <c r="A16" s="501">
        <v>22</v>
      </c>
      <c r="B16" s="7">
        <v>40</v>
      </c>
      <c r="C16" s="7">
        <v>25.598875545668225</v>
      </c>
      <c r="D16" s="57">
        <v>49</v>
      </c>
      <c r="F16" s="501">
        <v>22</v>
      </c>
      <c r="G16" s="7">
        <v>40</v>
      </c>
      <c r="H16" s="7">
        <v>23.088719568552843</v>
      </c>
      <c r="I16" s="57">
        <v>49</v>
      </c>
      <c r="K16" s="501">
        <v>22</v>
      </c>
      <c r="L16" s="7">
        <v>40</v>
      </c>
      <c r="M16" s="7">
        <v>22.64042833932568</v>
      </c>
      <c r="N16" s="57">
        <v>49</v>
      </c>
      <c r="P16" s="501">
        <v>22</v>
      </c>
      <c r="Q16" s="7">
        <v>40</v>
      </c>
      <c r="R16" s="7">
        <v>24.556328175463459</v>
      </c>
      <c r="S16" s="57">
        <v>49</v>
      </c>
      <c r="U16" s="501">
        <v>22</v>
      </c>
      <c r="V16" s="7">
        <v>40</v>
      </c>
      <c r="W16" s="7">
        <v>23.810185298321688</v>
      </c>
      <c r="X16" s="57">
        <v>49</v>
      </c>
      <c r="Z16" s="501">
        <v>22</v>
      </c>
      <c r="AA16" s="7">
        <v>40</v>
      </c>
      <c r="AB16" s="7">
        <v>22.834715758407494</v>
      </c>
      <c r="AC16" s="57">
        <v>49</v>
      </c>
      <c r="AE16" s="501">
        <v>22</v>
      </c>
      <c r="AF16" s="7">
        <v>40</v>
      </c>
      <c r="AG16" s="7">
        <v>26.449387140650551</v>
      </c>
      <c r="AH16" s="57">
        <v>49</v>
      </c>
      <c r="AJ16" s="501">
        <v>22</v>
      </c>
      <c r="AK16" s="7">
        <v>40</v>
      </c>
      <c r="AL16" s="7">
        <v>25.415398780502478</v>
      </c>
      <c r="AM16" s="57">
        <v>49</v>
      </c>
      <c r="AO16" s="501">
        <v>22</v>
      </c>
      <c r="AP16" s="7">
        <v>40</v>
      </c>
      <c r="AQ16" s="7">
        <v>24.925007000007621</v>
      </c>
      <c r="AR16" s="57">
        <v>49</v>
      </c>
      <c r="AT16" s="501">
        <v>22</v>
      </c>
      <c r="AU16" s="7">
        <v>40</v>
      </c>
      <c r="AV16" s="7">
        <v>27.66562802914423</v>
      </c>
      <c r="AW16" s="57">
        <v>49</v>
      </c>
    </row>
    <row r="17" spans="1:49" x14ac:dyDescent="0.25">
      <c r="A17" s="501">
        <v>14.801930464439167</v>
      </c>
      <c r="B17" s="7">
        <v>31</v>
      </c>
      <c r="C17" s="7">
        <v>19.972537202372202</v>
      </c>
      <c r="D17" s="57">
        <v>44</v>
      </c>
      <c r="F17" s="501">
        <v>12.493504117030355</v>
      </c>
      <c r="G17" s="7">
        <v>31</v>
      </c>
      <c r="H17" s="7">
        <v>21.071743053917121</v>
      </c>
      <c r="I17" s="57">
        <v>44</v>
      </c>
      <c r="K17" s="501">
        <v>12.612883783910657</v>
      </c>
      <c r="L17" s="7">
        <v>31</v>
      </c>
      <c r="M17" s="7">
        <v>16.951925829082239</v>
      </c>
      <c r="N17" s="57">
        <v>44</v>
      </c>
      <c r="P17" s="501">
        <v>14.585192302364232</v>
      </c>
      <c r="Q17" s="7">
        <v>31</v>
      </c>
      <c r="R17" s="7">
        <v>20.853783381584499</v>
      </c>
      <c r="S17" s="57">
        <v>44</v>
      </c>
      <c r="U17" s="501">
        <v>18.855759977677565</v>
      </c>
      <c r="V17" s="7">
        <v>31</v>
      </c>
      <c r="W17" s="7">
        <v>23.878342853838191</v>
      </c>
      <c r="X17" s="57">
        <v>44</v>
      </c>
      <c r="Z17" s="501">
        <v>14.934435342631303</v>
      </c>
      <c r="AA17" s="7">
        <v>31</v>
      </c>
      <c r="AB17" s="7">
        <v>21.349349794048337</v>
      </c>
      <c r="AC17" s="57">
        <v>44</v>
      </c>
      <c r="AE17" s="501">
        <v>14.13440439636063</v>
      </c>
      <c r="AF17" s="7">
        <v>31</v>
      </c>
      <c r="AG17" s="7">
        <v>21.43023903709889</v>
      </c>
      <c r="AH17" s="57">
        <v>44</v>
      </c>
      <c r="AJ17" s="501">
        <v>10.898958574199202</v>
      </c>
      <c r="AK17" s="7">
        <v>31</v>
      </c>
      <c r="AL17" s="7">
        <v>18.97983342944292</v>
      </c>
      <c r="AM17" s="57">
        <v>44</v>
      </c>
      <c r="AO17" s="501">
        <v>16.604826155792363</v>
      </c>
      <c r="AP17" s="7">
        <v>31</v>
      </c>
      <c r="AQ17" s="7">
        <v>22.062958688787642</v>
      </c>
      <c r="AR17" s="57">
        <v>44</v>
      </c>
      <c r="AT17" s="501">
        <v>19.736011388849455</v>
      </c>
      <c r="AU17" s="7">
        <v>31</v>
      </c>
      <c r="AV17" s="7">
        <v>24.148554593809301</v>
      </c>
      <c r="AW17" s="57">
        <v>44</v>
      </c>
    </row>
    <row r="18" spans="1:49" x14ac:dyDescent="0.25">
      <c r="A18" s="501">
        <v>11.277867455640225</v>
      </c>
      <c r="B18" s="7">
        <v>18</v>
      </c>
      <c r="C18" s="7">
        <v>21</v>
      </c>
      <c r="D18" s="57">
        <v>37.080891162152398</v>
      </c>
      <c r="F18" s="501">
        <v>19.826435473392518</v>
      </c>
      <c r="G18" s="7">
        <v>18</v>
      </c>
      <c r="H18" s="7">
        <v>21</v>
      </c>
      <c r="I18" s="57">
        <v>43.215719498381148</v>
      </c>
      <c r="K18" s="501">
        <v>14.985788815132624</v>
      </c>
      <c r="L18" s="7">
        <v>18</v>
      </c>
      <c r="M18" s="7">
        <v>21</v>
      </c>
      <c r="N18" s="57">
        <v>39.585477816686002</v>
      </c>
      <c r="P18" s="501">
        <v>18.186769790087773</v>
      </c>
      <c r="Q18" s="7">
        <v>18</v>
      </c>
      <c r="R18" s="7">
        <v>21</v>
      </c>
      <c r="S18" s="57">
        <v>35.123786741872692</v>
      </c>
      <c r="U18" s="501">
        <v>17.174372580730186</v>
      </c>
      <c r="V18" s="7">
        <v>18</v>
      </c>
      <c r="W18" s="7">
        <v>21</v>
      </c>
      <c r="X18" s="57">
        <v>43.388463778157806</v>
      </c>
      <c r="Z18" s="501">
        <v>16.4966119649789</v>
      </c>
      <c r="AA18" s="7">
        <v>18</v>
      </c>
      <c r="AB18" s="7">
        <v>21</v>
      </c>
      <c r="AC18" s="57">
        <v>36.838284693729776</v>
      </c>
      <c r="AE18" s="501">
        <v>16.576324190002506</v>
      </c>
      <c r="AF18" s="7">
        <v>18</v>
      </c>
      <c r="AG18" s="7">
        <v>21</v>
      </c>
      <c r="AH18" s="57">
        <v>38.122400856400191</v>
      </c>
      <c r="AJ18" s="501">
        <v>11.581719984810416</v>
      </c>
      <c r="AK18" s="7">
        <v>18</v>
      </c>
      <c r="AL18" s="7">
        <v>21</v>
      </c>
      <c r="AM18" s="57">
        <v>36.343292009958873</v>
      </c>
      <c r="AO18" s="501">
        <v>16.360805932050916</v>
      </c>
      <c r="AP18" s="7">
        <v>18</v>
      </c>
      <c r="AQ18" s="7">
        <v>21</v>
      </c>
      <c r="AR18" s="57">
        <v>38.711137605466206</v>
      </c>
      <c r="AT18" s="501">
        <v>13.933559414899989</v>
      </c>
      <c r="AU18" s="7">
        <v>18</v>
      </c>
      <c r="AV18" s="7">
        <v>21</v>
      </c>
      <c r="AW18" s="57">
        <v>32.583845105124873</v>
      </c>
    </row>
    <row r="19" spans="1:49" x14ac:dyDescent="0.25">
      <c r="A19" s="501">
        <v>16</v>
      </c>
      <c r="B19" s="7">
        <v>23</v>
      </c>
      <c r="C19" s="7">
        <v>21</v>
      </c>
      <c r="D19" s="57">
        <v>34</v>
      </c>
      <c r="F19" s="501">
        <v>16</v>
      </c>
      <c r="G19" s="7">
        <v>23</v>
      </c>
      <c r="H19" s="7">
        <v>21</v>
      </c>
      <c r="I19" s="57">
        <v>34</v>
      </c>
      <c r="K19" s="501">
        <v>16</v>
      </c>
      <c r="L19" s="7">
        <v>23</v>
      </c>
      <c r="M19" s="7">
        <v>21</v>
      </c>
      <c r="N19" s="57">
        <v>34</v>
      </c>
      <c r="P19" s="501">
        <v>16</v>
      </c>
      <c r="Q19" s="7">
        <v>23</v>
      </c>
      <c r="R19" s="7">
        <v>21</v>
      </c>
      <c r="S19" s="57">
        <v>34</v>
      </c>
      <c r="U19" s="501">
        <v>16</v>
      </c>
      <c r="V19" s="7">
        <v>23</v>
      </c>
      <c r="W19" s="7">
        <v>21</v>
      </c>
      <c r="X19" s="57">
        <v>34</v>
      </c>
      <c r="Z19" s="501">
        <v>16</v>
      </c>
      <c r="AA19" s="7">
        <v>23</v>
      </c>
      <c r="AB19" s="7">
        <v>21</v>
      </c>
      <c r="AC19" s="57">
        <v>34</v>
      </c>
      <c r="AE19" s="501">
        <v>16</v>
      </c>
      <c r="AF19" s="7">
        <v>23</v>
      </c>
      <c r="AG19" s="7">
        <v>21</v>
      </c>
      <c r="AH19" s="57">
        <v>34</v>
      </c>
      <c r="AJ19" s="501">
        <v>16</v>
      </c>
      <c r="AK19" s="7">
        <v>23</v>
      </c>
      <c r="AL19" s="7">
        <v>21</v>
      </c>
      <c r="AM19" s="57">
        <v>34</v>
      </c>
      <c r="AO19" s="501">
        <v>16</v>
      </c>
      <c r="AP19" s="7">
        <v>23</v>
      </c>
      <c r="AQ19" s="7">
        <v>21</v>
      </c>
      <c r="AR19" s="57">
        <v>34</v>
      </c>
      <c r="AT19" s="501">
        <v>16</v>
      </c>
      <c r="AU19" s="7">
        <v>23</v>
      </c>
      <c r="AV19" s="7">
        <v>21</v>
      </c>
      <c r="AW19" s="57">
        <v>34</v>
      </c>
    </row>
    <row r="20" spans="1:49" x14ac:dyDescent="0.25">
      <c r="A20" s="501">
        <v>27</v>
      </c>
      <c r="B20" s="7">
        <v>26</v>
      </c>
      <c r="C20" s="7">
        <v>23</v>
      </c>
      <c r="D20" s="57">
        <v>59</v>
      </c>
      <c r="F20" s="501">
        <v>27</v>
      </c>
      <c r="G20" s="7">
        <v>26</v>
      </c>
      <c r="H20" s="7">
        <v>23</v>
      </c>
      <c r="I20" s="57">
        <v>59</v>
      </c>
      <c r="K20" s="501">
        <v>27</v>
      </c>
      <c r="L20" s="7">
        <v>26</v>
      </c>
      <c r="M20" s="7">
        <v>23</v>
      </c>
      <c r="N20" s="57">
        <v>59</v>
      </c>
      <c r="P20" s="501">
        <v>27</v>
      </c>
      <c r="Q20" s="7">
        <v>26</v>
      </c>
      <c r="R20" s="7">
        <v>23</v>
      </c>
      <c r="S20" s="57">
        <v>59</v>
      </c>
      <c r="U20" s="501">
        <v>27</v>
      </c>
      <c r="V20" s="7">
        <v>26</v>
      </c>
      <c r="W20" s="7">
        <v>23</v>
      </c>
      <c r="X20" s="57">
        <v>59</v>
      </c>
      <c r="Z20" s="501">
        <v>27</v>
      </c>
      <c r="AA20" s="7">
        <v>26</v>
      </c>
      <c r="AB20" s="7">
        <v>23</v>
      </c>
      <c r="AC20" s="57">
        <v>59</v>
      </c>
      <c r="AE20" s="501">
        <v>27</v>
      </c>
      <c r="AF20" s="7">
        <v>26</v>
      </c>
      <c r="AG20" s="7">
        <v>23</v>
      </c>
      <c r="AH20" s="57">
        <v>59</v>
      </c>
      <c r="AJ20" s="501">
        <v>27</v>
      </c>
      <c r="AK20" s="7">
        <v>26</v>
      </c>
      <c r="AL20" s="7">
        <v>23</v>
      </c>
      <c r="AM20" s="57">
        <v>59</v>
      </c>
      <c r="AO20" s="501">
        <v>27</v>
      </c>
      <c r="AP20" s="7">
        <v>26</v>
      </c>
      <c r="AQ20" s="7">
        <v>23</v>
      </c>
      <c r="AR20" s="57">
        <v>59</v>
      </c>
      <c r="AT20" s="501">
        <v>27</v>
      </c>
      <c r="AU20" s="7">
        <v>26</v>
      </c>
      <c r="AV20" s="7">
        <v>23</v>
      </c>
      <c r="AW20" s="57">
        <v>59</v>
      </c>
    </row>
    <row r="21" spans="1:49" x14ac:dyDescent="0.25">
      <c r="A21" s="501">
        <v>17</v>
      </c>
      <c r="B21" s="7">
        <v>20</v>
      </c>
      <c r="C21" s="7">
        <v>22.772432299360144</v>
      </c>
      <c r="D21" s="57">
        <v>35</v>
      </c>
      <c r="F21" s="501">
        <v>17</v>
      </c>
      <c r="G21" s="7">
        <v>20</v>
      </c>
      <c r="H21" s="7">
        <v>19.597838903034997</v>
      </c>
      <c r="I21" s="57">
        <v>35</v>
      </c>
      <c r="K21" s="501">
        <v>17</v>
      </c>
      <c r="L21" s="7">
        <v>20</v>
      </c>
      <c r="M21" s="7">
        <v>19.346317829992159</v>
      </c>
      <c r="N21" s="57">
        <v>35</v>
      </c>
      <c r="P21" s="501">
        <v>17</v>
      </c>
      <c r="Q21" s="7">
        <v>20</v>
      </c>
      <c r="R21" s="7">
        <v>21.950258183867874</v>
      </c>
      <c r="S21" s="57">
        <v>35</v>
      </c>
      <c r="U21" s="501">
        <v>17</v>
      </c>
      <c r="V21" s="7">
        <v>20</v>
      </c>
      <c r="W21" s="7">
        <v>22.614983489410708</v>
      </c>
      <c r="X21" s="57">
        <v>35</v>
      </c>
      <c r="Z21" s="501">
        <v>17</v>
      </c>
      <c r="AA21" s="7">
        <v>20</v>
      </c>
      <c r="AB21" s="7">
        <v>21.453680201106504</v>
      </c>
      <c r="AC21" s="57">
        <v>35</v>
      </c>
      <c r="AE21" s="501">
        <v>17</v>
      </c>
      <c r="AF21" s="7">
        <v>22</v>
      </c>
      <c r="AG21" s="7">
        <v>21.990872392930768</v>
      </c>
      <c r="AH21" s="57">
        <v>35</v>
      </c>
      <c r="AJ21" s="501">
        <v>17</v>
      </c>
      <c r="AK21" s="7">
        <v>23</v>
      </c>
      <c r="AL21" s="7">
        <v>19.362016771521827</v>
      </c>
      <c r="AM21" s="57">
        <v>35</v>
      </c>
      <c r="AO21" s="501">
        <v>17</v>
      </c>
      <c r="AP21" s="7">
        <v>20</v>
      </c>
      <c r="AQ21" s="7">
        <v>22.593238520363585</v>
      </c>
      <c r="AR21" s="57">
        <v>35</v>
      </c>
      <c r="AT21" s="501">
        <v>17</v>
      </c>
      <c r="AU21" s="7">
        <v>20</v>
      </c>
      <c r="AV21" s="7">
        <v>24.595293790495827</v>
      </c>
      <c r="AW21" s="57">
        <v>35</v>
      </c>
    </row>
    <row r="22" spans="1:49" x14ac:dyDescent="0.25">
      <c r="A22" s="501">
        <v>13</v>
      </c>
      <c r="B22" s="7">
        <v>21</v>
      </c>
      <c r="C22" s="7">
        <v>20</v>
      </c>
      <c r="D22" s="57">
        <v>48</v>
      </c>
      <c r="F22" s="501">
        <v>13</v>
      </c>
      <c r="G22" s="7">
        <v>21</v>
      </c>
      <c r="H22" s="7">
        <v>20</v>
      </c>
      <c r="I22" s="57">
        <v>48</v>
      </c>
      <c r="K22" s="501">
        <v>13</v>
      </c>
      <c r="L22" s="7">
        <v>21</v>
      </c>
      <c r="M22" s="7">
        <v>20</v>
      </c>
      <c r="N22" s="57">
        <v>48</v>
      </c>
      <c r="P22" s="501">
        <v>13</v>
      </c>
      <c r="Q22" s="7">
        <v>21</v>
      </c>
      <c r="R22" s="7">
        <v>20</v>
      </c>
      <c r="S22" s="57">
        <v>48</v>
      </c>
      <c r="U22" s="501">
        <v>13</v>
      </c>
      <c r="V22" s="7">
        <v>21</v>
      </c>
      <c r="W22" s="7">
        <v>20</v>
      </c>
      <c r="X22" s="57">
        <v>48</v>
      </c>
      <c r="Z22" s="501">
        <v>13</v>
      </c>
      <c r="AA22" s="7">
        <v>21</v>
      </c>
      <c r="AB22" s="7">
        <v>20</v>
      </c>
      <c r="AC22" s="57">
        <v>48</v>
      </c>
      <c r="AE22" s="501">
        <v>13</v>
      </c>
      <c r="AF22" s="7">
        <v>21</v>
      </c>
      <c r="AG22" s="7">
        <v>20</v>
      </c>
      <c r="AH22" s="57">
        <v>48</v>
      </c>
      <c r="AJ22" s="501">
        <v>13</v>
      </c>
      <c r="AK22" s="7">
        <v>21</v>
      </c>
      <c r="AL22" s="7">
        <v>20</v>
      </c>
      <c r="AM22" s="57">
        <v>48</v>
      </c>
      <c r="AO22" s="501">
        <v>13</v>
      </c>
      <c r="AP22" s="7">
        <v>21</v>
      </c>
      <c r="AQ22" s="7">
        <v>20</v>
      </c>
      <c r="AR22" s="57">
        <v>48</v>
      </c>
      <c r="AT22" s="501">
        <v>13</v>
      </c>
      <c r="AU22" s="7">
        <v>21</v>
      </c>
      <c r="AV22" s="7">
        <v>20</v>
      </c>
      <c r="AW22" s="57">
        <v>48</v>
      </c>
    </row>
    <row r="23" spans="1:49" x14ac:dyDescent="0.25">
      <c r="A23" s="759">
        <v>11</v>
      </c>
      <c r="B23" s="760">
        <v>51</v>
      </c>
      <c r="C23" s="760">
        <v>18</v>
      </c>
      <c r="D23" s="761">
        <v>54</v>
      </c>
      <c r="F23" s="759">
        <v>11</v>
      </c>
      <c r="G23" s="760">
        <v>51</v>
      </c>
      <c r="H23" s="760">
        <v>18</v>
      </c>
      <c r="I23" s="761">
        <v>54</v>
      </c>
      <c r="K23" s="759">
        <v>11</v>
      </c>
      <c r="L23" s="760">
        <v>51</v>
      </c>
      <c r="M23" s="760">
        <v>18</v>
      </c>
      <c r="N23" s="761">
        <v>54</v>
      </c>
      <c r="P23" s="759">
        <v>11</v>
      </c>
      <c r="Q23" s="760">
        <v>51</v>
      </c>
      <c r="R23" s="760">
        <v>18</v>
      </c>
      <c r="S23" s="761">
        <v>54</v>
      </c>
      <c r="U23" s="759">
        <v>11</v>
      </c>
      <c r="V23" s="760">
        <v>51</v>
      </c>
      <c r="W23" s="760">
        <v>18</v>
      </c>
      <c r="X23" s="761">
        <v>54</v>
      </c>
      <c r="Z23" s="759">
        <v>11</v>
      </c>
      <c r="AA23" s="760">
        <v>51</v>
      </c>
      <c r="AB23" s="760">
        <v>18</v>
      </c>
      <c r="AC23" s="761">
        <v>54</v>
      </c>
      <c r="AE23" s="759">
        <v>11</v>
      </c>
      <c r="AF23" s="760">
        <v>51</v>
      </c>
      <c r="AG23" s="760">
        <v>18</v>
      </c>
      <c r="AH23" s="761">
        <v>54</v>
      </c>
      <c r="AJ23" s="759">
        <v>11</v>
      </c>
      <c r="AK23" s="760">
        <v>51</v>
      </c>
      <c r="AL23" s="760">
        <v>18</v>
      </c>
      <c r="AM23" s="761">
        <v>54</v>
      </c>
      <c r="AO23" s="759">
        <v>11</v>
      </c>
      <c r="AP23" s="760">
        <v>51</v>
      </c>
      <c r="AQ23" s="760">
        <v>18</v>
      </c>
      <c r="AR23" s="761">
        <v>54</v>
      </c>
      <c r="AT23" s="759">
        <v>11</v>
      </c>
      <c r="AU23" s="760">
        <v>51</v>
      </c>
      <c r="AV23" s="760">
        <v>18</v>
      </c>
      <c r="AW23" s="761">
        <v>54</v>
      </c>
    </row>
    <row r="25" spans="1:49" x14ac:dyDescent="0.25">
      <c r="A25" s="865">
        <f t="array" ref="A25:D29">[1]!MISummary(A4:D23)</f>
        <v>16.139435469600226</v>
      </c>
      <c r="B25" s="798">
        <v>32.9</v>
      </c>
      <c r="C25" s="798">
        <v>21.492302564809322</v>
      </c>
      <c r="D25" s="866">
        <v>46.763581254483576</v>
      </c>
      <c r="F25" s="865">
        <f t="array" ref="F25:I29">[1]!MISummary(F4:I23)</f>
        <v>16.389133893316192</v>
      </c>
      <c r="G25" s="798">
        <v>32.799999999999997</v>
      </c>
      <c r="H25" s="798">
        <v>21.086444565156718</v>
      </c>
      <c r="I25" s="866">
        <v>47.144266954385927</v>
      </c>
      <c r="K25" s="865">
        <f t="array" ref="K25:N29">[1]!MISummary(K4:N23)</f>
        <v>15.898589135384901</v>
      </c>
      <c r="L25" s="798">
        <v>32.5</v>
      </c>
      <c r="M25" s="798">
        <v>20.819535558748544</v>
      </c>
      <c r="N25" s="866">
        <v>46.900372419078948</v>
      </c>
      <c r="P25" s="865">
        <f t="array" ref="P25:S29">[1]!MISummary(P4:S23)</f>
        <v>16.317466219336396</v>
      </c>
      <c r="Q25" s="798">
        <v>32.950000000000003</v>
      </c>
      <c r="R25" s="798">
        <v>21.478417215332222</v>
      </c>
      <c r="S25" s="866">
        <v>46.602113705231496</v>
      </c>
      <c r="U25" s="865">
        <f t="array" ref="U25:X29">[1]!MISummary(U4:X23)</f>
        <v>16.331125238341066</v>
      </c>
      <c r="V25" s="798">
        <v>33</v>
      </c>
      <c r="W25" s="798">
        <v>21.528906417142217</v>
      </c>
      <c r="X25" s="866">
        <v>47.426304542372257</v>
      </c>
      <c r="Z25" s="865">
        <f t="array" ref="Z25:AC29">[1]!MISummary(Z4:AC23)</f>
        <v>16.09476223510028</v>
      </c>
      <c r="AA25" s="798">
        <v>32.35</v>
      </c>
      <c r="AB25" s="798">
        <v>21.173841101940475</v>
      </c>
      <c r="AC25" s="866">
        <v>46.496663558243981</v>
      </c>
      <c r="AE25" s="865">
        <f t="array" ref="AE25:AH29">[1]!MISummary(AE4:AH23)</f>
        <v>15.936462755108291</v>
      </c>
      <c r="AF25" s="798">
        <v>33.299999999999997</v>
      </c>
      <c r="AG25" s="798">
        <v>21.6117200635511</v>
      </c>
      <c r="AH25" s="866">
        <v>46.982517882793239</v>
      </c>
      <c r="AJ25" s="865">
        <f t="array" ref="AJ25:AM29">[1]!MISummary(AJ4:AM23)</f>
        <v>15.006794828008571</v>
      </c>
      <c r="AK25" s="798">
        <v>33.75</v>
      </c>
      <c r="AL25" s="798">
        <v>21.329187873013314</v>
      </c>
      <c r="AM25" s="866">
        <v>46.90372285932569</v>
      </c>
      <c r="AO25" s="865">
        <f t="array" ref="AO25:AR29">[1]!MISummary(AO4:AR23)</f>
        <v>16.542719597430697</v>
      </c>
      <c r="AP25" s="798">
        <v>33.049999999999997</v>
      </c>
      <c r="AQ25" s="798">
        <v>21.452977846518543</v>
      </c>
      <c r="AR25" s="866">
        <v>47.096241212606778</v>
      </c>
      <c r="AT25" s="865">
        <f t="array" ref="AT25:AW29">[1]!MISummary(AT4:AW23)</f>
        <v>16.639384321961131</v>
      </c>
      <c r="AU25" s="798">
        <v>32.85</v>
      </c>
      <c r="AV25" s="798">
        <v>21.916481466042697</v>
      </c>
      <c r="AW25" s="866">
        <v>46.352097514236846</v>
      </c>
    </row>
    <row r="26" spans="1:49" x14ac:dyDescent="0.25">
      <c r="A26" s="501">
        <v>4.5423469404726005</v>
      </c>
      <c r="B26" s="7">
        <v>10.852600949469258</v>
      </c>
      <c r="C26" s="7">
        <v>3.1934560114441348</v>
      </c>
      <c r="D26" s="57">
        <v>7.8043694922619666</v>
      </c>
      <c r="F26" s="501">
        <v>4.36943244877226</v>
      </c>
      <c r="G26" s="7">
        <v>10.724296075537522</v>
      </c>
      <c r="H26" s="7">
        <v>2.9663495548352956</v>
      </c>
      <c r="I26" s="57">
        <v>7.4444547924367832</v>
      </c>
      <c r="K26" s="501">
        <v>4.2438041662332582</v>
      </c>
      <c r="L26" s="7">
        <v>10.995214269949688</v>
      </c>
      <c r="M26" s="7">
        <v>3.0989088667329323</v>
      </c>
      <c r="N26" s="57">
        <v>7.6475078714317695</v>
      </c>
      <c r="P26" s="501">
        <v>4.3188826045325737</v>
      </c>
      <c r="Q26" s="7">
        <v>10.65968795830446</v>
      </c>
      <c r="R26" s="7">
        <v>3.1430895738395432</v>
      </c>
      <c r="S26" s="57">
        <v>8.0110188689724939</v>
      </c>
      <c r="U26" s="501">
        <v>4.3510566469678347</v>
      </c>
      <c r="V26" s="7">
        <v>10.617760691655429</v>
      </c>
      <c r="W26" s="7">
        <v>3.0725371981135718</v>
      </c>
      <c r="X26" s="57">
        <v>7.2878852961117442</v>
      </c>
      <c r="Z26" s="501">
        <v>4.1417226277410801</v>
      </c>
      <c r="AA26" s="7">
        <v>11.122641677890051</v>
      </c>
      <c r="AB26" s="7">
        <v>2.9389895756080073</v>
      </c>
      <c r="AC26" s="57">
        <v>8.155504697905112</v>
      </c>
      <c r="AE26" s="501">
        <v>4.1940153301358087</v>
      </c>
      <c r="AF26" s="7">
        <v>10.583502554248735</v>
      </c>
      <c r="AG26" s="7">
        <v>3.2720697778545378</v>
      </c>
      <c r="AH26" s="57">
        <v>7.6012631375992052</v>
      </c>
      <c r="AJ26" s="501">
        <v>4.5887685110935132</v>
      </c>
      <c r="AK26" s="7">
        <v>10.243740065343117</v>
      </c>
      <c r="AL26" s="7">
        <v>3.3117629221782021</v>
      </c>
      <c r="AM26" s="57">
        <v>7.7139756634119658</v>
      </c>
      <c r="AO26" s="501">
        <v>4.3157507652310745</v>
      </c>
      <c r="AP26" s="7">
        <v>10.580393983312025</v>
      </c>
      <c r="AQ26" s="7">
        <v>3.0621261815808261</v>
      </c>
      <c r="AR26" s="57">
        <v>7.5228897529941436</v>
      </c>
      <c r="AT26" s="501">
        <v>4.589802037809255</v>
      </c>
      <c r="AU26" s="7">
        <v>10.854419424945377</v>
      </c>
      <c r="AV26" s="7">
        <v>3.455270297588338</v>
      </c>
      <c r="AW26" s="57">
        <v>8.3717737081116788</v>
      </c>
    </row>
    <row r="27" spans="1:49" x14ac:dyDescent="0.25">
      <c r="A27" s="501">
        <v>0.87786388107714586</v>
      </c>
      <c r="B27" s="7">
        <v>0.49298276910310207</v>
      </c>
      <c r="C27" s="7">
        <v>-0.71986708021818002</v>
      </c>
      <c r="D27" s="57">
        <v>31.847821785749105</v>
      </c>
      <c r="F27" s="501">
        <v>0.70391386043331805</v>
      </c>
      <c r="G27" s="7">
        <v>0.51524932479532926</v>
      </c>
      <c r="H27" s="7">
        <v>-0.28549840391785997</v>
      </c>
      <c r="I27" s="57">
        <v>24.727696860751067</v>
      </c>
      <c r="K27" s="501">
        <v>0.75370763310669653</v>
      </c>
      <c r="L27" s="7">
        <v>0.51496200727370156</v>
      </c>
      <c r="M27" s="7">
        <v>-0.23470575264058172</v>
      </c>
      <c r="N27" s="57">
        <v>23.067683958660282</v>
      </c>
      <c r="P27" s="501">
        <v>0.93911866386433118</v>
      </c>
      <c r="Q27" s="7">
        <v>0.5891390747697397</v>
      </c>
      <c r="R27" s="7">
        <v>-0.70507155133826704</v>
      </c>
      <c r="S27" s="57">
        <v>27.009765064318845</v>
      </c>
      <c r="U27" s="501">
        <v>0.68221090715423915</v>
      </c>
      <c r="V27" s="7">
        <v>0.51352385911876708</v>
      </c>
      <c r="W27" s="7">
        <v>-0.45474212086704852</v>
      </c>
      <c r="X27" s="57">
        <v>29.128845991834257</v>
      </c>
      <c r="Z27" s="501">
        <v>0.95824526338930827</v>
      </c>
      <c r="AA27" s="7">
        <v>0.56159606718967503</v>
      </c>
      <c r="AB27" s="7">
        <v>-0.68299576692053121</v>
      </c>
      <c r="AC27" s="57">
        <v>27.367944949569331</v>
      </c>
      <c r="AE27" s="501">
        <v>0.74978479200195003</v>
      </c>
      <c r="AF27" s="7">
        <v>0.53564182054033338</v>
      </c>
      <c r="AG27" s="7">
        <v>-0.1559415708687274</v>
      </c>
      <c r="AH27" s="57">
        <v>20.566893422599801</v>
      </c>
      <c r="AJ27" s="501">
        <v>0.30574242023801224</v>
      </c>
      <c r="AK27" s="7">
        <v>0.50565341634086214</v>
      </c>
      <c r="AL27" s="7">
        <v>0.21780387395150586</v>
      </c>
      <c r="AM27" s="57">
        <v>20.604126540109185</v>
      </c>
      <c r="AO27" s="501">
        <v>0.74590020965684356</v>
      </c>
      <c r="AP27" s="7">
        <v>0.53192369930811267</v>
      </c>
      <c r="AQ27" s="7">
        <v>-0.48731191002428914</v>
      </c>
      <c r="AR27" s="57">
        <v>27.631236544551438</v>
      </c>
      <c r="AT27" s="501">
        <v>1.0408426662225119</v>
      </c>
      <c r="AU27" s="7">
        <v>0.53142044739204064</v>
      </c>
      <c r="AV27" s="7">
        <v>-0.92263061487533815</v>
      </c>
      <c r="AW27" s="57">
        <v>31.79677144635615</v>
      </c>
    </row>
    <row r="28" spans="1:49" x14ac:dyDescent="0.25">
      <c r="A28" s="501">
        <v>0.32376466238074902</v>
      </c>
      <c r="B28" s="7">
        <v>0.11747947826109069</v>
      </c>
      <c r="C28" s="7">
        <v>0.48825372670109263</v>
      </c>
      <c r="D28" s="57">
        <v>7.9750613859201831</v>
      </c>
      <c r="F28" s="501">
        <v>0.342780880832597</v>
      </c>
      <c r="G28" s="7">
        <v>0.13374517987678014</v>
      </c>
      <c r="H28" s="7">
        <v>0.55618720097039787</v>
      </c>
      <c r="I28" s="57">
        <v>8.7190612669777003</v>
      </c>
      <c r="K28" s="501">
        <v>0.35695796173310695</v>
      </c>
      <c r="L28" s="7">
        <v>0.13064624565060676</v>
      </c>
      <c r="M28" s="7">
        <v>0.53263637188515534</v>
      </c>
      <c r="N28" s="57">
        <v>8.3852157537295557</v>
      </c>
      <c r="P28" s="501">
        <v>0.35900684594034077</v>
      </c>
      <c r="Q28" s="7">
        <v>0.12381757451708886</v>
      </c>
      <c r="R28" s="7">
        <v>0.52677160694739134</v>
      </c>
      <c r="S28" s="57">
        <v>8.3026431556678624</v>
      </c>
      <c r="U28" s="501">
        <v>0.35288760261721569</v>
      </c>
      <c r="V28" s="7">
        <v>0.12539919802925253</v>
      </c>
      <c r="W28" s="7">
        <v>0.52802056639103945</v>
      </c>
      <c r="X28" s="57">
        <v>8.6162630079935401</v>
      </c>
      <c r="Z28" s="501">
        <v>0.37863686476103081</v>
      </c>
      <c r="AA28" s="7">
        <v>0.1344705252068403</v>
      </c>
      <c r="AB28" s="7">
        <v>0.59010542557233769</v>
      </c>
      <c r="AC28" s="57">
        <v>9.4269479437766428</v>
      </c>
      <c r="AE28" s="501">
        <v>0.39530377112860515</v>
      </c>
      <c r="AF28" s="7">
        <v>0.12626227886732244</v>
      </c>
      <c r="AG28" s="7">
        <v>0.50568811439462558</v>
      </c>
      <c r="AH28" s="57">
        <v>8.6912541314156382</v>
      </c>
      <c r="AJ28" s="501">
        <v>0.35138394555840874</v>
      </c>
      <c r="AK28" s="7">
        <v>0.14004382264373089</v>
      </c>
      <c r="AL28" s="7">
        <v>0.50462801797198997</v>
      </c>
      <c r="AM28" s="57">
        <v>8.923466482001654</v>
      </c>
      <c r="AO28" s="501">
        <v>0.34310520640239323</v>
      </c>
      <c r="AP28" s="7">
        <v>0.12023666356224162</v>
      </c>
      <c r="AQ28" s="7">
        <v>0.51290721885824897</v>
      </c>
      <c r="AR28" s="57">
        <v>8.359703555156484</v>
      </c>
      <c r="AT28" s="501">
        <v>0.33505022267219736</v>
      </c>
      <c r="AU28" s="7">
        <v>0.11775448606637332</v>
      </c>
      <c r="AV28" s="7">
        <v>0.46181963647754715</v>
      </c>
      <c r="AW28" s="57">
        <v>7.7822631860961149</v>
      </c>
    </row>
    <row r="29" spans="1:49" x14ac:dyDescent="0.25">
      <c r="A29" s="759">
        <v>0.64329616016735014</v>
      </c>
      <c r="B29" s="760">
        <v>20</v>
      </c>
      <c r="C29" s="760" t="str">
        <v/>
      </c>
      <c r="D29" s="761" t="str">
        <v/>
      </c>
      <c r="F29" s="759">
        <v>0.57434861893117461</v>
      </c>
      <c r="G29" s="760">
        <v>20</v>
      </c>
      <c r="H29" s="760" t="str">
        <v/>
      </c>
      <c r="I29" s="761" t="str">
        <v/>
      </c>
      <c r="K29" s="759">
        <v>0.58646695112038671</v>
      </c>
      <c r="L29" s="760">
        <v>20</v>
      </c>
      <c r="M29" s="760" t="str">
        <v/>
      </c>
      <c r="N29" s="761" t="str">
        <v/>
      </c>
      <c r="P29" s="759">
        <v>0.64386872604739043</v>
      </c>
      <c r="Q29" s="760">
        <v>20</v>
      </c>
      <c r="R29" s="760" t="str">
        <v/>
      </c>
      <c r="S29" s="761" t="str">
        <v/>
      </c>
      <c r="U29" s="759">
        <v>0.5600128624387799</v>
      </c>
      <c r="V29" s="760">
        <v>20</v>
      </c>
      <c r="W29" s="760" t="str">
        <v/>
      </c>
      <c r="X29" s="761" t="str">
        <v/>
      </c>
      <c r="Z29" s="759">
        <v>0.59621589853940316</v>
      </c>
      <c r="AA29" s="760">
        <v>20</v>
      </c>
      <c r="AB29" s="760" t="str">
        <v/>
      </c>
      <c r="AC29" s="761" t="str">
        <v/>
      </c>
      <c r="AE29" s="759">
        <v>0.57549739051585169</v>
      </c>
      <c r="AF29" s="760">
        <v>20</v>
      </c>
      <c r="AG29" s="760" t="str">
        <v/>
      </c>
      <c r="AH29" s="761" t="str">
        <v/>
      </c>
      <c r="AJ29" s="759">
        <v>0.52523585918964633</v>
      </c>
      <c r="AK29" s="760">
        <v>20</v>
      </c>
      <c r="AL29" s="760" t="str">
        <v/>
      </c>
      <c r="AM29" s="761" t="str">
        <v/>
      </c>
      <c r="AO29" s="759">
        <v>0.61059509718173099</v>
      </c>
      <c r="AP29" s="760">
        <v>20</v>
      </c>
      <c r="AQ29" s="760" t="str">
        <v/>
      </c>
      <c r="AR29" s="761" t="str">
        <v/>
      </c>
      <c r="AT29" s="759">
        <v>0.67212359981366654</v>
      </c>
      <c r="AU29" s="760">
        <v>20</v>
      </c>
      <c r="AV29" s="760" t="str">
        <v/>
      </c>
      <c r="AW29" s="761" t="str">
        <v/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K25"/>
  <sheetViews>
    <sheetView workbookViewId="0"/>
  </sheetViews>
  <sheetFormatPr defaultRowHeight="15" x14ac:dyDescent="0.25"/>
  <sheetData>
    <row r="1" spans="1:11" x14ac:dyDescent="0.25">
      <c r="A1" s="1" t="s">
        <v>2023</v>
      </c>
    </row>
    <row r="2" spans="1:11" x14ac:dyDescent="0.25">
      <c r="G2" t="s">
        <v>2024</v>
      </c>
    </row>
    <row r="3" spans="1:11" x14ac:dyDescent="0.25">
      <c r="A3" s="873" t="s">
        <v>1985</v>
      </c>
      <c r="B3" s="873" t="s">
        <v>1983</v>
      </c>
      <c r="C3" s="873" t="s">
        <v>1964</v>
      </c>
      <c r="D3" s="873" t="s">
        <v>1963</v>
      </c>
      <c r="E3" s="873" t="s">
        <v>1984</v>
      </c>
    </row>
    <row r="4" spans="1:11" x14ac:dyDescent="0.25">
      <c r="A4" s="873">
        <v>1</v>
      </c>
      <c r="B4" s="875">
        <v>12</v>
      </c>
      <c r="C4" s="881">
        <v>27</v>
      </c>
      <c r="D4" s="881">
        <v>19</v>
      </c>
      <c r="E4" s="876">
        <v>44</v>
      </c>
      <c r="G4" t="str">
        <f t="array" ref="G4:K8">[1]!MissingPairwise(B3:E23,TRUE)</f>
        <v/>
      </c>
      <c r="H4" s="873" t="str">
        <v>read</v>
      </c>
      <c r="I4" s="873" t="str">
        <v>science</v>
      </c>
      <c r="J4" s="873" t="str">
        <v>math</v>
      </c>
      <c r="K4" s="873" t="str">
        <v>medicine</v>
      </c>
    </row>
    <row r="5" spans="1:11" x14ac:dyDescent="0.25">
      <c r="A5" s="873">
        <f>A4+1</f>
        <v>2</v>
      </c>
      <c r="B5" s="578">
        <v>11</v>
      </c>
      <c r="C5" s="25" t="s">
        <v>4</v>
      </c>
      <c r="D5" s="25">
        <v>13</v>
      </c>
      <c r="E5" s="602">
        <v>43</v>
      </c>
      <c r="G5" t="str">
        <v>read</v>
      </c>
      <c r="H5" s="896">
        <v>0.75</v>
      </c>
      <c r="I5" s="897">
        <v>0.6</v>
      </c>
      <c r="J5" s="897">
        <v>0.6</v>
      </c>
      <c r="K5" s="898">
        <v>0.7</v>
      </c>
    </row>
    <row r="6" spans="1:11" x14ac:dyDescent="0.25">
      <c r="A6" s="873">
        <f t="shared" ref="A6:A23" si="0">A5+1</f>
        <v>3</v>
      </c>
      <c r="B6" s="578" t="s">
        <v>4</v>
      </c>
      <c r="C6" s="25">
        <v>56</v>
      </c>
      <c r="D6" s="25">
        <v>23</v>
      </c>
      <c r="E6" s="602">
        <v>60</v>
      </c>
      <c r="G6" t="str">
        <v>science</v>
      </c>
      <c r="H6" s="899" t="str">
        <v/>
      </c>
      <c r="I6" s="900">
        <v>0.85</v>
      </c>
      <c r="J6" s="900">
        <v>0.75</v>
      </c>
      <c r="K6" s="901">
        <v>0.75</v>
      </c>
    </row>
    <row r="7" spans="1:11" x14ac:dyDescent="0.25">
      <c r="A7" s="873">
        <f t="shared" si="0"/>
        <v>4</v>
      </c>
      <c r="B7" s="578">
        <v>15</v>
      </c>
      <c r="C7" s="25">
        <v>37</v>
      </c>
      <c r="D7" s="25">
        <v>19</v>
      </c>
      <c r="E7" s="602">
        <v>52</v>
      </c>
      <c r="G7" t="str">
        <v>math</v>
      </c>
      <c r="H7" s="899" t="str">
        <v/>
      </c>
      <c r="I7" s="900" t="str">
        <v/>
      </c>
      <c r="J7" s="900">
        <v>0.8</v>
      </c>
      <c r="K7" s="901">
        <v>0.7</v>
      </c>
    </row>
    <row r="8" spans="1:11" x14ac:dyDescent="0.25">
      <c r="A8" s="873">
        <f t="shared" si="0"/>
        <v>5</v>
      </c>
      <c r="B8" s="578">
        <v>10</v>
      </c>
      <c r="C8" s="25">
        <v>31</v>
      </c>
      <c r="D8" s="25">
        <v>21</v>
      </c>
      <c r="E8" s="602" t="s">
        <v>4</v>
      </c>
      <c r="G8" t="str">
        <v>medicine</v>
      </c>
      <c r="H8" s="882" t="str">
        <v/>
      </c>
      <c r="I8" s="883" t="str">
        <v/>
      </c>
      <c r="J8" s="883" t="str">
        <v/>
      </c>
      <c r="K8" s="884">
        <v>0.9</v>
      </c>
    </row>
    <row r="9" spans="1:11" x14ac:dyDescent="0.25">
      <c r="A9" s="873">
        <f t="shared" si="0"/>
        <v>6</v>
      </c>
      <c r="B9" s="578">
        <v>18</v>
      </c>
      <c r="C9" s="25">
        <v>40</v>
      </c>
      <c r="D9" s="25">
        <v>22</v>
      </c>
      <c r="E9" s="602">
        <v>43</v>
      </c>
    </row>
    <row r="10" spans="1:11" x14ac:dyDescent="0.25">
      <c r="A10" s="873">
        <f t="shared" si="0"/>
        <v>7</v>
      </c>
      <c r="B10" s="578">
        <v>15</v>
      </c>
      <c r="C10" s="25">
        <v>50</v>
      </c>
      <c r="D10" s="25">
        <v>28</v>
      </c>
      <c r="E10" s="602">
        <v>56</v>
      </c>
      <c r="G10" t="s">
        <v>2025</v>
      </c>
    </row>
    <row r="11" spans="1:11" x14ac:dyDescent="0.25">
      <c r="A11" s="873">
        <f t="shared" si="0"/>
        <v>8</v>
      </c>
      <c r="B11" s="578">
        <v>21</v>
      </c>
      <c r="C11" s="25" t="s">
        <v>4</v>
      </c>
      <c r="D11" s="25" t="s">
        <v>4</v>
      </c>
      <c r="E11" s="602">
        <v>46</v>
      </c>
    </row>
    <row r="12" spans="1:11" x14ac:dyDescent="0.25">
      <c r="A12" s="873">
        <f t="shared" si="0"/>
        <v>9</v>
      </c>
      <c r="B12" s="578">
        <v>20</v>
      </c>
      <c r="C12" s="25">
        <v>39</v>
      </c>
      <c r="D12" s="25">
        <v>25</v>
      </c>
      <c r="E12" s="602">
        <v>51</v>
      </c>
      <c r="H12" s="873" t="s">
        <v>1983</v>
      </c>
      <c r="I12" s="873" t="s">
        <v>1964</v>
      </c>
      <c r="J12" s="873" t="s">
        <v>1963</v>
      </c>
      <c r="K12" s="873" t="s">
        <v>1984</v>
      </c>
    </row>
    <row r="13" spans="1:11" x14ac:dyDescent="0.25">
      <c r="A13" s="873">
        <f t="shared" si="0"/>
        <v>10</v>
      </c>
      <c r="B13" s="578" t="s">
        <v>4</v>
      </c>
      <c r="C13" s="25">
        <v>36</v>
      </c>
      <c r="D13" s="25">
        <v>23</v>
      </c>
      <c r="E13" s="602">
        <v>56</v>
      </c>
      <c r="G13" t="str">
        <f>G5</f>
        <v>read</v>
      </c>
      <c r="H13" s="869">
        <f t="array" ref="H13:K16">[1]!COV(B4:E23,FALSE)</f>
        <v>22.838095238095224</v>
      </c>
      <c r="I13" s="867">
        <v>-3.2499999999999987</v>
      </c>
      <c r="J13" s="867">
        <v>9.1363636363636349</v>
      </c>
      <c r="K13" s="870">
        <v>8.9120879120879142</v>
      </c>
    </row>
    <row r="14" spans="1:11" x14ac:dyDescent="0.25">
      <c r="A14" s="873">
        <f t="shared" si="0"/>
        <v>11</v>
      </c>
      <c r="B14" s="578" t="s">
        <v>4</v>
      </c>
      <c r="C14" s="25">
        <v>27</v>
      </c>
      <c r="D14" s="25">
        <v>21</v>
      </c>
      <c r="E14" s="602">
        <v>39</v>
      </c>
      <c r="G14" t="str">
        <f>G6</f>
        <v>science</v>
      </c>
      <c r="H14" s="532">
        <v>-3.2499999999999987</v>
      </c>
      <c r="I14" s="7">
        <v>116.63235294117658</v>
      </c>
      <c r="J14" s="7">
        <v>9.9714285714285715</v>
      </c>
      <c r="K14" s="533">
        <v>47.142857142857153</v>
      </c>
    </row>
    <row r="15" spans="1:11" x14ac:dyDescent="0.25">
      <c r="A15" s="873">
        <f t="shared" si="0"/>
        <v>12</v>
      </c>
      <c r="B15" s="578">
        <v>14</v>
      </c>
      <c r="C15" s="25">
        <v>32</v>
      </c>
      <c r="D15" s="25">
        <v>20</v>
      </c>
      <c r="E15" s="602">
        <v>46</v>
      </c>
      <c r="G15" t="str">
        <f>G7</f>
        <v>math</v>
      </c>
      <c r="H15" s="532">
        <v>9.1363636363636349</v>
      </c>
      <c r="I15" s="7">
        <v>9.9714285714285715</v>
      </c>
      <c r="J15" s="7">
        <v>10.729166666666666</v>
      </c>
      <c r="K15" s="533">
        <v>11.390109890109887</v>
      </c>
    </row>
    <row r="16" spans="1:11" x14ac:dyDescent="0.25">
      <c r="A16" s="873">
        <f t="shared" si="0"/>
        <v>13</v>
      </c>
      <c r="B16" s="578">
        <v>22</v>
      </c>
      <c r="C16" s="25">
        <v>40</v>
      </c>
      <c r="D16" s="25" t="s">
        <v>4</v>
      </c>
      <c r="E16" s="602">
        <v>49</v>
      </c>
      <c r="G16" t="str">
        <f>G8</f>
        <v>medicine</v>
      </c>
      <c r="H16" s="409">
        <v>8.9120879120879142</v>
      </c>
      <c r="I16" s="762">
        <v>47.142857142857153</v>
      </c>
      <c r="J16" s="762">
        <v>11.390109890109887</v>
      </c>
      <c r="K16" s="417">
        <v>58.212418300653496</v>
      </c>
    </row>
    <row r="17" spans="1:11" x14ac:dyDescent="0.25">
      <c r="A17" s="873">
        <f t="shared" si="0"/>
        <v>14</v>
      </c>
      <c r="B17" s="578" t="s">
        <v>4</v>
      </c>
      <c r="C17" s="25">
        <v>31</v>
      </c>
      <c r="D17" s="25" t="s">
        <v>4</v>
      </c>
      <c r="E17" s="602">
        <v>44</v>
      </c>
    </row>
    <row r="18" spans="1:11" x14ac:dyDescent="0.25">
      <c r="A18" s="873">
        <f t="shared" si="0"/>
        <v>15</v>
      </c>
      <c r="B18" s="578" t="s">
        <v>4</v>
      </c>
      <c r="C18" s="25">
        <v>18</v>
      </c>
      <c r="D18" s="25">
        <v>21</v>
      </c>
      <c r="E18" s="602" t="s">
        <v>4</v>
      </c>
      <c r="G18" t="s">
        <v>27</v>
      </c>
    </row>
    <row r="19" spans="1:11" x14ac:dyDescent="0.25">
      <c r="A19" s="873">
        <f t="shared" si="0"/>
        <v>16</v>
      </c>
      <c r="B19" s="578">
        <v>16</v>
      </c>
      <c r="C19" s="25">
        <v>23</v>
      </c>
      <c r="D19" s="25">
        <v>21</v>
      </c>
      <c r="E19" s="602">
        <v>34</v>
      </c>
    </row>
    <row r="20" spans="1:11" x14ac:dyDescent="0.25">
      <c r="A20" s="873">
        <f t="shared" si="0"/>
        <v>17</v>
      </c>
      <c r="B20" s="578">
        <v>27</v>
      </c>
      <c r="C20" s="25">
        <v>26</v>
      </c>
      <c r="D20" s="25">
        <v>23</v>
      </c>
      <c r="E20" s="602">
        <v>59</v>
      </c>
      <c r="G20" t="str">
        <f t="array" ref="G20:K25">[1]!DescStats(B3:E23,TRUE,TRUE)</f>
        <v/>
      </c>
      <c r="H20" s="873" t="str">
        <v>read</v>
      </c>
      <c r="I20" s="873" t="str">
        <v>science</v>
      </c>
      <c r="J20" s="873" t="str">
        <v>math</v>
      </c>
      <c r="K20" s="873" t="str">
        <v>medicine</v>
      </c>
    </row>
    <row r="21" spans="1:11" x14ac:dyDescent="0.25">
      <c r="A21" s="873">
        <f t="shared" si="0"/>
        <v>18</v>
      </c>
      <c r="B21" s="578">
        <v>17</v>
      </c>
      <c r="C21" s="25" t="s">
        <v>4</v>
      </c>
      <c r="D21" s="25" t="s">
        <v>4</v>
      </c>
      <c r="E21" s="602">
        <v>35</v>
      </c>
      <c r="G21" s="53" t="str">
        <v>count</v>
      </c>
      <c r="H21" s="869">
        <v>15</v>
      </c>
      <c r="I21" s="867">
        <v>17</v>
      </c>
      <c r="J21" s="867">
        <v>16</v>
      </c>
      <c r="K21" s="870">
        <v>18</v>
      </c>
    </row>
    <row r="22" spans="1:11" x14ac:dyDescent="0.25">
      <c r="A22" s="873">
        <f t="shared" si="0"/>
        <v>19</v>
      </c>
      <c r="B22" s="578">
        <v>13</v>
      </c>
      <c r="C22" s="25">
        <v>21</v>
      </c>
      <c r="D22" s="25">
        <v>20</v>
      </c>
      <c r="E22" s="602">
        <v>48</v>
      </c>
      <c r="G22" s="53" t="str">
        <v>mean</v>
      </c>
      <c r="H22" s="532">
        <v>16.133333333333333</v>
      </c>
      <c r="I22" s="7">
        <v>34.411764705882355</v>
      </c>
      <c r="J22" s="7">
        <v>21.0625</v>
      </c>
      <c r="K22" s="533">
        <v>47.722222222222221</v>
      </c>
    </row>
    <row r="23" spans="1:11" x14ac:dyDescent="0.25">
      <c r="A23" s="873">
        <f t="shared" si="0"/>
        <v>20</v>
      </c>
      <c r="B23" s="877">
        <v>11</v>
      </c>
      <c r="C23" s="880">
        <v>51</v>
      </c>
      <c r="D23" s="880">
        <v>18</v>
      </c>
      <c r="E23" s="878">
        <v>54</v>
      </c>
      <c r="G23" s="53" t="str">
        <v>stdev</v>
      </c>
      <c r="H23" s="532">
        <v>4.7789219744724045</v>
      </c>
      <c r="I23" s="7">
        <v>10.79964596369606</v>
      </c>
      <c r="J23" s="7">
        <v>3.2755406678389241</v>
      </c>
      <c r="K23" s="533">
        <v>7.6297063050063398</v>
      </c>
    </row>
    <row r="24" spans="1:11" x14ac:dyDescent="0.25">
      <c r="G24" t="str">
        <v>min</v>
      </c>
      <c r="H24" s="532">
        <v>10</v>
      </c>
      <c r="I24" s="7">
        <v>18</v>
      </c>
      <c r="J24" s="7">
        <v>13</v>
      </c>
      <c r="K24" s="533">
        <v>34</v>
      </c>
    </row>
    <row r="25" spans="1:11" x14ac:dyDescent="0.25">
      <c r="G25" t="str">
        <v>max</v>
      </c>
      <c r="H25" s="409">
        <v>27</v>
      </c>
      <c r="I25" s="762">
        <v>56</v>
      </c>
      <c r="J25" s="762">
        <v>28</v>
      </c>
      <c r="K25" s="417">
        <v>60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R24"/>
  <sheetViews>
    <sheetView workbookViewId="0"/>
  </sheetViews>
  <sheetFormatPr defaultRowHeight="15" x14ac:dyDescent="0.25"/>
  <cols>
    <col min="6" max="6" width="6.5703125" customWidth="1"/>
    <col min="11" max="11" width="6.7109375" customWidth="1"/>
  </cols>
  <sheetData>
    <row r="1" spans="1:18" x14ac:dyDescent="0.25">
      <c r="A1" s="1" t="s">
        <v>2029</v>
      </c>
      <c r="O1" t="s">
        <v>2081</v>
      </c>
    </row>
    <row r="3" spans="1:18" x14ac:dyDescent="0.25">
      <c r="A3" s="873" t="s">
        <v>1983</v>
      </c>
      <c r="B3" s="873" t="s">
        <v>1964</v>
      </c>
      <c r="C3" s="873" t="s">
        <v>1963</v>
      </c>
      <c r="D3" s="873" t="s">
        <v>1984</v>
      </c>
      <c r="E3" s="902" t="s">
        <v>2040</v>
      </c>
      <c r="G3" t="s">
        <v>1561</v>
      </c>
      <c r="L3" s="873" t="s">
        <v>2028</v>
      </c>
      <c r="M3" t="s">
        <v>2032</v>
      </c>
      <c r="O3" s="16" t="s">
        <v>2040</v>
      </c>
      <c r="Q3" s="580">
        <f t="array" ref="Q3">MMULT(A4:D4-G10:J10,MMULT(MINVERSE(G4:J7),TRANSPOSE(A4:D4-G10:J10)))+COUNT(A4:D4)*LN(2*PI())+LN(MDETERM(G4:J7))</f>
        <v>21.871633335904846</v>
      </c>
    </row>
    <row r="4" spans="1:18" x14ac:dyDescent="0.25">
      <c r="A4" s="875">
        <v>12</v>
      </c>
      <c r="B4" s="881">
        <v>27</v>
      </c>
      <c r="C4" s="881">
        <v>19</v>
      </c>
      <c r="D4" s="876">
        <v>44</v>
      </c>
      <c r="E4" s="868">
        <f t="array" ref="E4">[1]!LLReg(A4:D4,$G$4:$J$7,$G$10:$J$10)</f>
        <v>21.871633335904846</v>
      </c>
      <c r="G4" s="869">
        <f>L4</f>
        <v>22.838095238095224</v>
      </c>
      <c r="H4" s="867">
        <f>G5</f>
        <v>-3.2499999999999987</v>
      </c>
      <c r="I4" s="867">
        <f>G6</f>
        <v>9.1363636363636349</v>
      </c>
      <c r="J4" s="870">
        <f>G7</f>
        <v>8.9120879120879142</v>
      </c>
      <c r="L4" s="868">
        <f>G13</f>
        <v>22.838095238095224</v>
      </c>
      <c r="M4" s="868">
        <f>L4</f>
        <v>22.838095238095224</v>
      </c>
    </row>
    <row r="5" spans="1:18" x14ac:dyDescent="0.25">
      <c r="A5" s="578">
        <v>11</v>
      </c>
      <c r="B5" s="25" t="s">
        <v>4</v>
      </c>
      <c r="C5" s="25">
        <v>13</v>
      </c>
      <c r="D5" s="602">
        <v>43</v>
      </c>
      <c r="E5" s="503">
        <f t="array" ref="E5">[1]!LLReg(A5:D5,$G$4:$J$7,$G$10:$J$10)</f>
        <v>21.021521532743066</v>
      </c>
      <c r="G5" s="532">
        <f>L5</f>
        <v>-3.2499999999999987</v>
      </c>
      <c r="H5" s="7">
        <f>L8</f>
        <v>116.63235294117658</v>
      </c>
      <c r="I5" s="7">
        <f>H6</f>
        <v>9.9714285714285715</v>
      </c>
      <c r="J5" s="533">
        <f>H7</f>
        <v>47.142857142857153</v>
      </c>
      <c r="L5" s="503">
        <f>G14</f>
        <v>-3.2499999999999987</v>
      </c>
      <c r="M5" s="503">
        <f>SQRT(L4*L8)-ABS(L5)</f>
        <v>48.360665412429299</v>
      </c>
      <c r="O5" t="s">
        <v>2084</v>
      </c>
    </row>
    <row r="6" spans="1:18" x14ac:dyDescent="0.25">
      <c r="A6" s="578" t="s">
        <v>4</v>
      </c>
      <c r="B6" s="25">
        <v>56</v>
      </c>
      <c r="C6" s="25">
        <v>23</v>
      </c>
      <c r="D6" s="602">
        <v>60</v>
      </c>
      <c r="E6" s="503">
        <f t="array" ref="E6">[1]!LLReg(A6:D6,$G$4:$J$7,$G$10:$J$10)</f>
        <v>20.436637610648589</v>
      </c>
      <c r="G6" s="532">
        <f>L6</f>
        <v>9.1363636363636349</v>
      </c>
      <c r="H6" s="7">
        <f>L9</f>
        <v>9.9714285714285715</v>
      </c>
      <c r="I6" s="7">
        <f>L11</f>
        <v>10.729166666666666</v>
      </c>
      <c r="J6" s="533">
        <f>I7</f>
        <v>11.390109890109887</v>
      </c>
      <c r="L6" s="503">
        <f>G15</f>
        <v>9.1363636363636349</v>
      </c>
      <c r="M6" s="503">
        <f>SQRT(L4*L11)-ABS(L6)</f>
        <v>6.5171896394498159</v>
      </c>
    </row>
    <row r="7" spans="1:18" x14ac:dyDescent="0.25">
      <c r="A7" s="578">
        <v>15</v>
      </c>
      <c r="B7" s="25">
        <v>37</v>
      </c>
      <c r="C7" s="25">
        <v>19</v>
      </c>
      <c r="D7" s="602">
        <v>52</v>
      </c>
      <c r="E7" s="503">
        <f t="array" ref="E7">[1]!LLReg(A7:D7,$G$4:$J$7,$G$10:$J$10)</f>
        <v>21.856933286195552</v>
      </c>
      <c r="G7" s="409">
        <f>L7</f>
        <v>8.9120879120879142</v>
      </c>
      <c r="H7" s="762">
        <f>L10</f>
        <v>47.142857142857153</v>
      </c>
      <c r="I7" s="762">
        <f>L12</f>
        <v>11.390109890109887</v>
      </c>
      <c r="J7" s="417">
        <f>L13</f>
        <v>58.212418300653496</v>
      </c>
      <c r="L7" s="420">
        <f>G16</f>
        <v>8.9120879120879142</v>
      </c>
      <c r="M7" s="420">
        <f>SQRT(L4*L13)-ABS(L7)</f>
        <v>27.549683207677539</v>
      </c>
      <c r="O7" t="s">
        <v>2082</v>
      </c>
      <c r="Q7" s="609">
        <f>A21</f>
        <v>17</v>
      </c>
      <c r="R7" s="610">
        <f>D21</f>
        <v>35</v>
      </c>
    </row>
    <row r="8" spans="1:18" x14ac:dyDescent="0.25">
      <c r="A8" s="578">
        <v>10</v>
      </c>
      <c r="B8" s="25">
        <v>31</v>
      </c>
      <c r="C8" s="25">
        <v>21</v>
      </c>
      <c r="D8" s="602" t="s">
        <v>4</v>
      </c>
      <c r="E8" s="503">
        <f t="array" ref="E8">[1]!LLReg(A8:D8,$G$4:$J$7,$G$10:$J$10)</f>
        <v>18.308144680803025</v>
      </c>
      <c r="L8" s="868">
        <f>H14</f>
        <v>116.63235294117658</v>
      </c>
      <c r="M8" s="868">
        <f>L8</f>
        <v>116.63235294117658</v>
      </c>
    </row>
    <row r="9" spans="1:18" x14ac:dyDescent="0.25">
      <c r="A9" s="578">
        <v>18</v>
      </c>
      <c r="B9" s="25">
        <v>40</v>
      </c>
      <c r="C9" s="25">
        <v>22</v>
      </c>
      <c r="D9" s="602">
        <v>43</v>
      </c>
      <c r="E9" s="503">
        <f t="array" ref="E9">[1]!LLReg(A9:D9,$G$4:$J$7,$G$10:$J$10)</f>
        <v>22.786492137188851</v>
      </c>
      <c r="G9" t="s">
        <v>2026</v>
      </c>
      <c r="L9" s="503">
        <f>H15</f>
        <v>9.9714285714285715</v>
      </c>
      <c r="M9" s="503">
        <f>SQRT(L8*L11)-ABS(L9)</f>
        <v>25.403250980920365</v>
      </c>
      <c r="O9" t="s">
        <v>1615</v>
      </c>
      <c r="Q9" s="609">
        <f>G10</f>
        <v>16.133333333333333</v>
      </c>
      <c r="R9" s="610">
        <f>J10</f>
        <v>47.722222222222221</v>
      </c>
    </row>
    <row r="10" spans="1:18" x14ac:dyDescent="0.25">
      <c r="A10" s="578">
        <v>15</v>
      </c>
      <c r="B10" s="25">
        <v>50</v>
      </c>
      <c r="C10" s="25">
        <v>28</v>
      </c>
      <c r="D10" s="602">
        <v>56</v>
      </c>
      <c r="E10" s="503">
        <f t="array" ref="E10">[1]!LLReg(A10:D10,$G$4:$J$7,$G$10:$J$10)</f>
        <v>28.450474954674057</v>
      </c>
      <c r="G10" s="609">
        <f>L14</f>
        <v>16.133333333333333</v>
      </c>
      <c r="H10" s="590">
        <f>L15</f>
        <v>34.411764705882355</v>
      </c>
      <c r="I10" s="590">
        <f>L16</f>
        <v>21.0625</v>
      </c>
      <c r="J10" s="610">
        <f>L17</f>
        <v>47.722222222222221</v>
      </c>
      <c r="L10" s="420">
        <f>H16</f>
        <v>47.142857142857153</v>
      </c>
      <c r="M10" s="420">
        <f>SQRT(L8*L13)-ABS(L10)</f>
        <v>35.255269758190934</v>
      </c>
    </row>
    <row r="11" spans="1:18" x14ac:dyDescent="0.25">
      <c r="A11" s="578">
        <v>21</v>
      </c>
      <c r="B11" s="25" t="s">
        <v>4</v>
      </c>
      <c r="C11" s="25" t="s">
        <v>4</v>
      </c>
      <c r="D11" s="602">
        <v>46</v>
      </c>
      <c r="E11" s="503">
        <f t="array" ref="E11">[1]!LLReg(A11:D11,$G$4:$J$7,$G$10:$J$10)</f>
        <v>12.083333682645971</v>
      </c>
      <c r="L11" s="503">
        <f>I15</f>
        <v>10.729166666666666</v>
      </c>
      <c r="M11" s="868">
        <f>L11</f>
        <v>10.729166666666666</v>
      </c>
      <c r="O11" t="s">
        <v>2083</v>
      </c>
      <c r="Q11" s="869">
        <f>G4</f>
        <v>22.838095238095224</v>
      </c>
      <c r="R11" s="870">
        <f>J4</f>
        <v>8.9120879120879142</v>
      </c>
    </row>
    <row r="12" spans="1:18" x14ac:dyDescent="0.25">
      <c r="A12" s="578">
        <v>20</v>
      </c>
      <c r="B12" s="25">
        <v>39</v>
      </c>
      <c r="C12" s="25">
        <v>25</v>
      </c>
      <c r="D12" s="602">
        <v>51</v>
      </c>
      <c r="E12" s="503">
        <f t="array" ref="E12">[1]!LLReg(A12:D12,$G$4:$J$7,$G$10:$J$10)</f>
        <v>22.054607520614102</v>
      </c>
      <c r="G12" t="s">
        <v>2025</v>
      </c>
      <c r="L12" s="420">
        <f>I16</f>
        <v>11.390109890109887</v>
      </c>
      <c r="M12" s="420">
        <f>SQRT(L11*L13)-ABS(L12)</f>
        <v>13.601303395605431</v>
      </c>
      <c r="Q12" s="409">
        <f>G7</f>
        <v>8.9120879120879142</v>
      </c>
      <c r="R12" s="417">
        <f>J7</f>
        <v>58.212418300653496</v>
      </c>
    </row>
    <row r="13" spans="1:18" x14ac:dyDescent="0.25">
      <c r="A13" s="578" t="s">
        <v>4</v>
      </c>
      <c r="B13" s="25">
        <v>36</v>
      </c>
      <c r="C13" s="25">
        <v>23</v>
      </c>
      <c r="D13" s="602">
        <v>56</v>
      </c>
      <c r="E13" s="503">
        <f t="array" ref="E13">[1]!LLReg(A13:D13,$G$4:$J$7,$G$10:$J$10)</f>
        <v>17.605993466575924</v>
      </c>
      <c r="G13" s="869">
        <f t="array" ref="G13:J16">[1]!COV(A4:D23,FALSE)</f>
        <v>22.838095238095224</v>
      </c>
      <c r="H13" s="867">
        <v>-3.2499999999999987</v>
      </c>
      <c r="I13" s="867">
        <v>9.1363636363636349</v>
      </c>
      <c r="J13" s="870">
        <v>8.9120879120879142</v>
      </c>
      <c r="L13" s="420">
        <f>J16</f>
        <v>58.212418300653496</v>
      </c>
      <c r="M13" s="417">
        <f>L13</f>
        <v>58.212418300653496</v>
      </c>
    </row>
    <row r="14" spans="1:18" x14ac:dyDescent="0.25">
      <c r="A14" s="578" t="s">
        <v>4</v>
      </c>
      <c r="B14" s="25">
        <v>27</v>
      </c>
      <c r="C14" s="25">
        <v>21</v>
      </c>
      <c r="D14" s="602">
        <v>39</v>
      </c>
      <c r="E14" s="503">
        <f t="array" ref="E14">[1]!LLReg(A14:D14,$G$4:$J$7,$G$10:$J$10)</f>
        <v>17.70751881080751</v>
      </c>
      <c r="G14" s="532">
        <v>-3.2499999999999987</v>
      </c>
      <c r="H14" s="7">
        <v>116.63235294117658</v>
      </c>
      <c r="I14" s="7">
        <v>9.9714285714285715</v>
      </c>
      <c r="J14" s="533">
        <v>47.142857142857153</v>
      </c>
      <c r="L14" s="868">
        <f t="array" ref="L14:L17">TRANSPOSE(G19:J19)</f>
        <v>16.133333333333333</v>
      </c>
      <c r="O14" s="16" t="s">
        <v>2040</v>
      </c>
      <c r="Q14" s="580">
        <f t="array" ref="Q14">MMULT(Q7:R7-Q9:R9,MMULT(MINVERSE(Q11:R12),TRANSPOSE(Q7:R7-Q9:R9)))+COUNT(Q7:R7)*LN(2*PI())+LN(MDETERM(Q11:R12))</f>
        <v>13.955960447721147</v>
      </c>
    </row>
    <row r="15" spans="1:18" x14ac:dyDescent="0.25">
      <c r="A15" s="578">
        <v>14</v>
      </c>
      <c r="B15" s="25">
        <v>32</v>
      </c>
      <c r="C15" s="25">
        <v>20</v>
      </c>
      <c r="D15" s="602">
        <v>46</v>
      </c>
      <c r="E15" s="503">
        <f t="array" ref="E15">[1]!LLReg(A15:D15,$G$4:$J$7,$G$10:$J$10)</f>
        <v>20.782348606975411</v>
      </c>
      <c r="G15" s="532">
        <v>9.1363636363636349</v>
      </c>
      <c r="H15" s="7">
        <v>9.9714285714285715</v>
      </c>
      <c r="I15" s="7">
        <v>10.729166666666666</v>
      </c>
      <c r="J15" s="533">
        <v>11.390109890109887</v>
      </c>
      <c r="L15" s="503">
        <v>34.411764705882355</v>
      </c>
    </row>
    <row r="16" spans="1:18" x14ac:dyDescent="0.25">
      <c r="A16" s="578">
        <v>22</v>
      </c>
      <c r="B16" s="25">
        <v>40</v>
      </c>
      <c r="C16" s="25" t="s">
        <v>4</v>
      </c>
      <c r="D16" s="602">
        <v>49</v>
      </c>
      <c r="E16" s="503">
        <f t="array" ref="E16">[1]!LLReg(A16:D16,$G$4:$J$7,$G$10:$J$10)</f>
        <v>19.195599251313674</v>
      </c>
      <c r="G16" s="409">
        <v>8.9120879120879142</v>
      </c>
      <c r="H16" s="762">
        <v>47.142857142857153</v>
      </c>
      <c r="I16" s="762">
        <v>11.390109890109887</v>
      </c>
      <c r="J16" s="417">
        <v>58.212418300653496</v>
      </c>
      <c r="L16" s="503">
        <v>21.0625</v>
      </c>
    </row>
    <row r="17" spans="1:12" x14ac:dyDescent="0.25">
      <c r="A17" s="578" t="s">
        <v>4</v>
      </c>
      <c r="B17" s="25">
        <v>31</v>
      </c>
      <c r="C17" s="25" t="s">
        <v>4</v>
      </c>
      <c r="D17" s="602">
        <v>44</v>
      </c>
      <c r="E17" s="503">
        <f t="array" ref="E17">[1]!LLReg(A17:D17,$G$4:$J$7,$G$10:$J$10)</f>
        <v>12.342385540054268</v>
      </c>
      <c r="L17" s="420">
        <v>47.722222222222221</v>
      </c>
    </row>
    <row r="18" spans="1:12" x14ac:dyDescent="0.25">
      <c r="A18" s="578" t="s">
        <v>4</v>
      </c>
      <c r="B18" s="25">
        <v>18</v>
      </c>
      <c r="C18" s="25">
        <v>21</v>
      </c>
      <c r="D18" s="602" t="s">
        <v>4</v>
      </c>
      <c r="E18" s="503">
        <f t="array" ref="E18">[1]!LLReg(A18:D18,$G$4:$J$7,$G$10:$J$10)</f>
        <v>13.21628455357749</v>
      </c>
      <c r="G18" t="s">
        <v>2027</v>
      </c>
    </row>
    <row r="19" spans="1:12" x14ac:dyDescent="0.25">
      <c r="A19" s="578">
        <v>16</v>
      </c>
      <c r="B19" s="25">
        <v>23</v>
      </c>
      <c r="C19" s="25">
        <v>21</v>
      </c>
      <c r="D19" s="602">
        <v>34</v>
      </c>
      <c r="E19" s="503">
        <f t="array" ref="E19">[1]!LLReg(A19:D19,$G$4:$J$7,$G$10:$J$10)</f>
        <v>24.576227798234804</v>
      </c>
      <c r="G19" s="609">
        <f>AVERAGE(A4:A23)</f>
        <v>16.133333333333333</v>
      </c>
      <c r="H19" s="590">
        <f>AVERAGE(B4:B23)</f>
        <v>34.411764705882355</v>
      </c>
      <c r="I19" s="590">
        <f>AVERAGE(C4:C23)</f>
        <v>21.0625</v>
      </c>
      <c r="J19" s="610">
        <f>AVERAGE(D4:D23)</f>
        <v>47.722222222222221</v>
      </c>
    </row>
    <row r="20" spans="1:12" x14ac:dyDescent="0.25">
      <c r="A20" s="578">
        <v>27</v>
      </c>
      <c r="B20" s="25">
        <v>26</v>
      </c>
      <c r="C20" s="25">
        <v>23</v>
      </c>
      <c r="D20" s="602">
        <v>59</v>
      </c>
      <c r="E20" s="503">
        <f t="array" ref="E20">[1]!LLReg(A20:D20,$G$4:$J$7,$G$10:$J$10)</f>
        <v>30.151547024588325</v>
      </c>
    </row>
    <row r="21" spans="1:12" x14ac:dyDescent="0.25">
      <c r="A21" s="578">
        <v>17</v>
      </c>
      <c r="B21" s="25" t="s">
        <v>4</v>
      </c>
      <c r="C21" s="25" t="s">
        <v>4</v>
      </c>
      <c r="D21" s="602">
        <v>35</v>
      </c>
      <c r="E21" s="503">
        <f t="array" ref="E21">[1]!LLReg(A21:D21,$G$4:$J$7,$G$10:$J$10)</f>
        <v>13.955960447721147</v>
      </c>
      <c r="G21" t="s">
        <v>2036</v>
      </c>
    </row>
    <row r="22" spans="1:12" x14ac:dyDescent="0.25">
      <c r="A22" s="578">
        <v>13</v>
      </c>
      <c r="B22" s="25">
        <v>21</v>
      </c>
      <c r="C22" s="25">
        <v>20</v>
      </c>
      <c r="D22" s="602">
        <v>48</v>
      </c>
      <c r="E22" s="503">
        <f t="array" ref="E22">[1]!LLReg(A22:D22,$G$4:$J$7,$G$10:$J$10)</f>
        <v>24.26724255611013</v>
      </c>
      <c r="G22" s="609">
        <f>COUNT(A4:A23)</f>
        <v>15</v>
      </c>
      <c r="H22" s="590">
        <f>COUNT(B4:B23)</f>
        <v>17</v>
      </c>
      <c r="I22" s="590">
        <f>COUNT(C4:C23)</f>
        <v>16</v>
      </c>
      <c r="J22" s="610">
        <f>COUNT(D4:D23)</f>
        <v>18</v>
      </c>
    </row>
    <row r="23" spans="1:12" x14ac:dyDescent="0.25">
      <c r="A23" s="877">
        <v>11</v>
      </c>
      <c r="B23" s="880">
        <v>51</v>
      </c>
      <c r="C23" s="880">
        <v>18</v>
      </c>
      <c r="D23" s="878">
        <v>54</v>
      </c>
      <c r="E23" s="420">
        <f t="array" ref="E23">[1]!LLReg(A23:D23,$G$4:$J$7,$G$10:$J$10)</f>
        <v>25.195629177189218</v>
      </c>
    </row>
    <row r="24" spans="1:12" x14ac:dyDescent="0.25">
      <c r="E24">
        <f>SUM(E4:E23)</f>
        <v>407.86651597456603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Y24"/>
  <sheetViews>
    <sheetView workbookViewId="0"/>
  </sheetViews>
  <sheetFormatPr defaultRowHeight="15" x14ac:dyDescent="0.25"/>
  <cols>
    <col min="6" max="6" width="5.5703125" customWidth="1"/>
    <col min="11" max="11" width="5.85546875" customWidth="1"/>
    <col min="19" max="19" width="18" customWidth="1"/>
  </cols>
  <sheetData>
    <row r="1" spans="1:25" x14ac:dyDescent="0.25">
      <c r="A1" s="1" t="s">
        <v>2030</v>
      </c>
    </row>
    <row r="3" spans="1:25" x14ac:dyDescent="0.25">
      <c r="A3" s="873" t="s">
        <v>1983</v>
      </c>
      <c r="B3" s="873" t="s">
        <v>1964</v>
      </c>
      <c r="C3" s="873" t="s">
        <v>1963</v>
      </c>
      <c r="D3" s="873" t="s">
        <v>1984</v>
      </c>
      <c r="E3" s="902" t="s">
        <v>2040</v>
      </c>
      <c r="G3" t="s">
        <v>1561</v>
      </c>
      <c r="L3" s="873" t="s">
        <v>2028</v>
      </c>
      <c r="M3" t="s">
        <v>2032</v>
      </c>
      <c r="O3" t="s">
        <v>2034</v>
      </c>
      <c r="S3" t="s">
        <v>1593</v>
      </c>
    </row>
    <row r="4" spans="1:25" x14ac:dyDescent="0.25">
      <c r="A4" s="875">
        <v>12</v>
      </c>
      <c r="B4" s="881">
        <v>27</v>
      </c>
      <c r="C4" s="881">
        <v>19</v>
      </c>
      <c r="D4" s="876">
        <v>44</v>
      </c>
      <c r="E4" s="868">
        <f t="array" ref="E4">[1]!LLReg(A4:D4,$G$4:$J$7,$G$10:$J$10)</f>
        <v>21.563855512066599</v>
      </c>
      <c r="G4" s="869">
        <f>L4</f>
        <v>19.913368556254991</v>
      </c>
      <c r="H4" s="867">
        <f>G5</f>
        <v>-1.7969432911037646</v>
      </c>
      <c r="I4" s="867">
        <f>G6</f>
        <v>7.0738099577208127</v>
      </c>
      <c r="J4" s="870">
        <f>G7</f>
        <v>8.346581210980327</v>
      </c>
      <c r="L4" s="868">
        <v>19.913368556254991</v>
      </c>
      <c r="M4" s="868">
        <f>L4</f>
        <v>19.913368556254991</v>
      </c>
    </row>
    <row r="5" spans="1:25" ht="15.75" thickBot="1" x14ac:dyDescent="0.3">
      <c r="A5" s="578">
        <v>11</v>
      </c>
      <c r="B5" s="25" t="s">
        <v>4</v>
      </c>
      <c r="C5" s="25">
        <v>13</v>
      </c>
      <c r="D5" s="602">
        <v>43</v>
      </c>
      <c r="E5" s="503">
        <f t="array" ref="E5">[1]!LLReg(A5:D5,$G$4:$J$7,$G$10:$J$10)</f>
        <v>21.283521568486492</v>
      </c>
      <c r="G5" s="532">
        <f>L5</f>
        <v>-1.7969432911037646</v>
      </c>
      <c r="H5" s="7">
        <f>L8</f>
        <v>117.12234407398635</v>
      </c>
      <c r="I5" s="7">
        <f>H6</f>
        <v>13.571344540903519</v>
      </c>
      <c r="J5" s="533">
        <f>H7</f>
        <v>51.728519893611484</v>
      </c>
      <c r="L5" s="503">
        <v>-1.7969432911037646</v>
      </c>
      <c r="M5" s="503">
        <f>SQRT(L4*L8)-ABS(L5)</f>
        <v>46.496952842028811</v>
      </c>
      <c r="P5" t="s">
        <v>400</v>
      </c>
      <c r="Q5" s="868">
        <f>-MMULT(G10:J10,Q6:Q9)</f>
        <v>27.117920276590311</v>
      </c>
      <c r="S5" s="743" t="s">
        <v>1598</v>
      </c>
      <c r="T5" s="743"/>
    </row>
    <row r="6" spans="1:25" ht="15.75" thickTop="1" x14ac:dyDescent="0.25">
      <c r="A6" s="578" t="s">
        <v>4</v>
      </c>
      <c r="B6" s="25">
        <v>56</v>
      </c>
      <c r="C6" s="25">
        <v>23</v>
      </c>
      <c r="D6" s="602">
        <v>60</v>
      </c>
      <c r="E6" s="503">
        <f t="array" ref="E6">[1]!LLReg(A6:D6,$G$4:$J$7,$G$10:$J$10)</f>
        <v>20.808573249656085</v>
      </c>
      <c r="G6" s="532">
        <f>L6</f>
        <v>7.0738099577208127</v>
      </c>
      <c r="H6" s="7">
        <f>L9</f>
        <v>13.571344540903519</v>
      </c>
      <c r="I6" s="7">
        <f>L11</f>
        <v>10.133748927107019</v>
      </c>
      <c r="J6" s="533">
        <f>I7</f>
        <v>8.1771263566626953</v>
      </c>
      <c r="L6" s="503">
        <v>7.0738099577208127</v>
      </c>
      <c r="M6" s="503">
        <f>SQRT(L4*L11)-ABS(L6)</f>
        <v>7.131719854364186</v>
      </c>
      <c r="P6" t="str">
        <f t="array" ref="P6:P8">TRANSPOSE(A3:C3)</f>
        <v>read</v>
      </c>
      <c r="Q6" s="503">
        <f t="array" ref="Q6:Q8">MMULT(MINVERSE(G4:I6),J4:J6)</f>
        <v>0.53194171155368186</v>
      </c>
      <c r="S6" t="s">
        <v>292</v>
      </c>
      <c r="T6">
        <f>SQRT(T7)</f>
        <v>0.65239427012945272</v>
      </c>
    </row>
    <row r="7" spans="1:25" x14ac:dyDescent="0.25">
      <c r="A7" s="578">
        <v>15</v>
      </c>
      <c r="B7" s="25">
        <v>37</v>
      </c>
      <c r="C7" s="25">
        <v>19</v>
      </c>
      <c r="D7" s="602">
        <v>52</v>
      </c>
      <c r="E7" s="503">
        <f t="array" ref="E7">[1]!LLReg(A7:D7,$G$4:$J$7,$G$10:$J$10)</f>
        <v>21.677574971226505</v>
      </c>
      <c r="G7" s="409">
        <f>L7</f>
        <v>8.346581210980327</v>
      </c>
      <c r="H7" s="762">
        <f>L10</f>
        <v>51.728519893611484</v>
      </c>
      <c r="I7" s="762">
        <f>L12</f>
        <v>8.1771263566626953</v>
      </c>
      <c r="J7" s="417">
        <f>L13</f>
        <v>55.620698602570627</v>
      </c>
      <c r="L7" s="420">
        <v>8.346581210980327</v>
      </c>
      <c r="M7" s="420">
        <f>SQRT(L4*L13)-ABS(L7)</f>
        <v>24.933975734920772</v>
      </c>
      <c r="P7" t="str">
        <v>science</v>
      </c>
      <c r="Q7" s="503">
        <v>0.47270314270332053</v>
      </c>
      <c r="S7" t="s">
        <v>285</v>
      </c>
      <c r="T7">
        <f>SUMPRODUCT(J13:J15,Q6:Q8)/J16</f>
        <v>0.4256182836977413</v>
      </c>
    </row>
    <row r="8" spans="1:25" x14ac:dyDescent="0.25">
      <c r="A8" s="578">
        <v>10</v>
      </c>
      <c r="B8" s="25">
        <v>31</v>
      </c>
      <c r="C8" s="25">
        <v>21</v>
      </c>
      <c r="D8" s="602" t="s">
        <v>4</v>
      </c>
      <c r="E8" s="503">
        <f t="array" ref="E8">[1]!LLReg(A8:D8,$G$4:$J$7,$G$10:$J$10)</f>
        <v>17.958855455570102</v>
      </c>
      <c r="L8" s="503">
        <v>117.12234407398635</v>
      </c>
      <c r="M8" s="868">
        <f>L8</f>
        <v>117.12234407398635</v>
      </c>
      <c r="P8" t="str">
        <v>math</v>
      </c>
      <c r="Q8" s="420">
        <v>-0.19745362244914699</v>
      </c>
      <c r="S8" t="s">
        <v>293</v>
      </c>
      <c r="T8">
        <f>1-(1-T7)*(T10-1)/(T10-T14-1)</f>
        <v>0.31792171189106788</v>
      </c>
    </row>
    <row r="9" spans="1:25" x14ac:dyDescent="0.25">
      <c r="A9" s="578">
        <v>18</v>
      </c>
      <c r="B9" s="25">
        <v>40</v>
      </c>
      <c r="C9" s="25">
        <v>22</v>
      </c>
      <c r="D9" s="602">
        <v>43</v>
      </c>
      <c r="E9" s="503">
        <f t="array" ref="E9">[1]!LLReg(A9:D9,$G$4:$J$7,$G$10:$J$10)</f>
        <v>23.31814622394781</v>
      </c>
      <c r="G9" t="s">
        <v>2026</v>
      </c>
      <c r="L9" s="503">
        <v>13.571344540903519</v>
      </c>
      <c r="M9" s="503">
        <f>SQRT(L8*L11)-ABS(L9)</f>
        <v>20.879902586015099</v>
      </c>
      <c r="Q9">
        <v>-1</v>
      </c>
      <c r="S9" t="s">
        <v>11</v>
      </c>
      <c r="T9">
        <f>SQRT(V15)</f>
        <v>5.9603614009124124</v>
      </c>
    </row>
    <row r="10" spans="1:25" x14ac:dyDescent="0.25">
      <c r="A10" s="578">
        <v>15</v>
      </c>
      <c r="B10" s="25">
        <v>50</v>
      </c>
      <c r="C10" s="25">
        <v>28</v>
      </c>
      <c r="D10" s="602">
        <v>56</v>
      </c>
      <c r="E10" s="503">
        <f t="array" ref="E10">[1]!LLReg(A10:D10,$G$4:$J$7,$G$10:$J$10)</f>
        <v>27.523839620654741</v>
      </c>
      <c r="G10" s="609">
        <f>L14</f>
        <v>16.28686833905622</v>
      </c>
      <c r="H10" s="590">
        <f>L15</f>
        <v>32.915676871828403</v>
      </c>
      <c r="I10" s="590">
        <f>L16</f>
        <v>21.256847979858609</v>
      </c>
      <c r="J10" s="610">
        <f>L17</f>
        <v>47.143687162763719</v>
      </c>
      <c r="L10" s="420">
        <v>51.728519893611484</v>
      </c>
      <c r="M10" s="420">
        <f>SQRT(L8*L13)-ABS(L10)</f>
        <v>28.983477971425707</v>
      </c>
      <c r="S10" s="762" t="s">
        <v>81</v>
      </c>
      <c r="T10" s="762">
        <f>COUNTA(A4:A23)</f>
        <v>20</v>
      </c>
    </row>
    <row r="11" spans="1:25" ht="17.25" x14ac:dyDescent="0.25">
      <c r="A11" s="578">
        <v>21</v>
      </c>
      <c r="B11" s="25" t="s">
        <v>4</v>
      </c>
      <c r="C11" s="25" t="s">
        <v>4</v>
      </c>
      <c r="D11" s="602">
        <v>46</v>
      </c>
      <c r="E11" s="503">
        <f t="array" ref="E11">[1]!LLReg(A11:D11,$G$4:$J$7,$G$10:$J$10)</f>
        <v>11.922911836251782</v>
      </c>
      <c r="L11" s="503">
        <v>10.133748927107019</v>
      </c>
      <c r="M11" s="868">
        <f>L11</f>
        <v>10.133748927107019</v>
      </c>
      <c r="O11" t="s">
        <v>2035</v>
      </c>
    </row>
    <row r="12" spans="1:25" ht="15.75" thickBot="1" x14ac:dyDescent="0.3">
      <c r="A12" s="578">
        <v>20</v>
      </c>
      <c r="B12" s="25">
        <v>39</v>
      </c>
      <c r="C12" s="25">
        <v>25</v>
      </c>
      <c r="D12" s="602">
        <v>51</v>
      </c>
      <c r="E12" s="503">
        <f t="array" ref="E12">[1]!LLReg(A12:D12,$G$4:$J$7,$G$10:$J$10)</f>
        <v>21.728801977391868</v>
      </c>
      <c r="G12" t="s">
        <v>2025</v>
      </c>
      <c r="L12" s="420">
        <v>8.1771263566626953</v>
      </c>
      <c r="M12" s="420">
        <f>SQRT(L11*L13)-ABS(L12)</f>
        <v>15.564107705380982</v>
      </c>
      <c r="O12" s="869">
        <f t="array" ref="O12:Q14">MINVERSE(G13:I15)/(COUNTA(A4:A23)-1)</f>
        <v>3.8210531638707668E-3</v>
      </c>
      <c r="P12" s="867">
        <v>4.1785839119891339E-4</v>
      </c>
      <c r="Q12" s="870">
        <v>-3.6421445853029697E-3</v>
      </c>
      <c r="S12" t="s">
        <v>294</v>
      </c>
      <c r="W12" s="903" t="s">
        <v>34</v>
      </c>
      <c r="X12" s="903">
        <v>0.05</v>
      </c>
    </row>
    <row r="13" spans="1:25" ht="15.75" thickTop="1" x14ac:dyDescent="0.25">
      <c r="A13" s="578" t="s">
        <v>4</v>
      </c>
      <c r="B13" s="25">
        <v>36</v>
      </c>
      <c r="C13" s="25">
        <v>23</v>
      </c>
      <c r="D13" s="602">
        <v>56</v>
      </c>
      <c r="E13" s="503">
        <f t="array" ref="E13">[1]!LLReg(A13:D13,$G$4:$J$7,$G$10:$J$10)</f>
        <v>17.78479993299996</v>
      </c>
      <c r="G13" s="869">
        <f t="array" ref="G13:J16">[1]!COV(A4:D23,FALSE)</f>
        <v>22.838095238095224</v>
      </c>
      <c r="H13" s="867">
        <v>-3.2499999999999987</v>
      </c>
      <c r="I13" s="867">
        <v>9.1363636363636349</v>
      </c>
      <c r="J13" s="870">
        <v>8.9120879120879142</v>
      </c>
      <c r="L13" s="420">
        <v>55.620698602570627</v>
      </c>
      <c r="M13" s="417">
        <f>L13</f>
        <v>55.620698602570627</v>
      </c>
      <c r="O13" s="532">
        <v>4.1785839119891339E-4</v>
      </c>
      <c r="P13" s="7">
        <v>5.359067060366089E-4</v>
      </c>
      <c r="Q13" s="533">
        <v>-8.5388380433641404E-4</v>
      </c>
      <c r="S13" s="826"/>
      <c r="T13" s="826" t="s">
        <v>60</v>
      </c>
      <c r="U13" s="826" t="s">
        <v>219</v>
      </c>
      <c r="V13" s="826" t="s">
        <v>240</v>
      </c>
      <c r="W13" s="826" t="s">
        <v>135</v>
      </c>
      <c r="X13" s="826" t="s">
        <v>67</v>
      </c>
      <c r="Y13" s="826" t="s">
        <v>527</v>
      </c>
    </row>
    <row r="14" spans="1:25" x14ac:dyDescent="0.25">
      <c r="A14" s="578" t="s">
        <v>4</v>
      </c>
      <c r="B14" s="25">
        <v>27</v>
      </c>
      <c r="C14" s="25">
        <v>21</v>
      </c>
      <c r="D14" s="602">
        <v>39</v>
      </c>
      <c r="E14" s="503">
        <f t="array" ref="E14">[1]!LLReg(A14:D14,$G$4:$J$7,$G$10:$J$10)</f>
        <v>17.204280263985076</v>
      </c>
      <c r="G14" s="532">
        <v>-3.2499999999999987</v>
      </c>
      <c r="H14" s="7">
        <v>116.63235294117658</v>
      </c>
      <c r="I14" s="7">
        <v>9.9714285714285715</v>
      </c>
      <c r="J14" s="533">
        <v>47.142857142857153</v>
      </c>
      <c r="L14" s="868">
        <v>16.28686833905622</v>
      </c>
      <c r="O14" s="409">
        <v>-3.6421445853029705E-3</v>
      </c>
      <c r="P14" s="762">
        <v>-8.5388380433641426E-4</v>
      </c>
      <c r="Q14" s="417">
        <v>8.8004950050314043E-3</v>
      </c>
      <c r="S14" t="s">
        <v>222</v>
      </c>
      <c r="T14">
        <f>COUNTA(A3:D3)-1</f>
        <v>3</v>
      </c>
      <c r="U14">
        <f>T7*U16</f>
        <v>421.19658263932581</v>
      </c>
      <c r="V14">
        <f>U14/T14</f>
        <v>140.39886087977527</v>
      </c>
      <c r="W14">
        <f>V14/V15</f>
        <v>3.9520132958528165</v>
      </c>
      <c r="X14">
        <f>FDIST(W14,T14,T15)</f>
        <v>2.7625519517164878E-2</v>
      </c>
      <c r="Y14" s="903" t="str">
        <f>IF(X14&lt;X12,"yes","no")</f>
        <v>yes</v>
      </c>
    </row>
    <row r="15" spans="1:25" x14ac:dyDescent="0.25">
      <c r="A15" s="578">
        <v>14</v>
      </c>
      <c r="B15" s="25">
        <v>32</v>
      </c>
      <c r="C15" s="25">
        <v>20</v>
      </c>
      <c r="D15" s="602">
        <v>46</v>
      </c>
      <c r="E15" s="503">
        <f t="array" ref="E15">[1]!LLReg(A15:D15,$G$4:$J$7,$G$10:$J$10)</f>
        <v>20.514990864828036</v>
      </c>
      <c r="G15" s="532">
        <v>9.1363636363636349</v>
      </c>
      <c r="H15" s="7">
        <v>9.9714285714285715</v>
      </c>
      <c r="I15" s="7">
        <v>10.729166666666666</v>
      </c>
      <c r="J15" s="533">
        <v>11.390109890109887</v>
      </c>
      <c r="L15" s="503">
        <v>32.915676871828403</v>
      </c>
      <c r="S15" t="s">
        <v>295</v>
      </c>
      <c r="T15">
        <f>T16-T14</f>
        <v>16</v>
      </c>
      <c r="U15">
        <f>U16-U14</f>
        <v>568.41452847178516</v>
      </c>
      <c r="V15">
        <f>U15/T15</f>
        <v>35.525908029486573</v>
      </c>
    </row>
    <row r="16" spans="1:25" x14ac:dyDescent="0.25">
      <c r="A16" s="578">
        <v>22</v>
      </c>
      <c r="B16" s="25">
        <v>40</v>
      </c>
      <c r="C16" s="25" t="s">
        <v>4</v>
      </c>
      <c r="D16" s="602">
        <v>49</v>
      </c>
      <c r="E16" s="503">
        <f t="array" ref="E16">[1]!LLReg(A16:D16,$G$4:$J$7,$G$10:$J$10)</f>
        <v>19.297875474685764</v>
      </c>
      <c r="G16" s="409">
        <v>8.9120879120879142</v>
      </c>
      <c r="H16" s="762">
        <v>47.142857142857153</v>
      </c>
      <c r="I16" s="762">
        <v>11.390109890109887</v>
      </c>
      <c r="J16" s="417">
        <v>58.212418300653496</v>
      </c>
      <c r="L16" s="503">
        <v>21.256847979858609</v>
      </c>
      <c r="S16" s="762" t="s">
        <v>1</v>
      </c>
      <c r="T16" s="762">
        <f>T10-1</f>
        <v>19</v>
      </c>
      <c r="U16" s="762">
        <f>DEVSQ(D4:D23)</f>
        <v>989.61111111111097</v>
      </c>
      <c r="V16" s="762"/>
      <c r="W16" s="762"/>
      <c r="X16" s="762"/>
      <c r="Y16" s="762"/>
    </row>
    <row r="17" spans="1:25" ht="15.75" thickBot="1" x14ac:dyDescent="0.3">
      <c r="A17" s="578" t="s">
        <v>4</v>
      </c>
      <c r="B17" s="25">
        <v>31</v>
      </c>
      <c r="C17" s="25" t="s">
        <v>4</v>
      </c>
      <c r="D17" s="602">
        <v>44</v>
      </c>
      <c r="E17" s="503">
        <f t="array" ref="E17">[1]!LLReg(A17:D17,$G$4:$J$7,$G$10:$J$10)</f>
        <v>12.121018549633664</v>
      </c>
      <c r="L17" s="420">
        <v>47.143687162763719</v>
      </c>
    </row>
    <row r="18" spans="1:25" ht="15.75" thickTop="1" x14ac:dyDescent="0.25">
      <c r="A18" s="578" t="s">
        <v>4</v>
      </c>
      <c r="B18" s="25">
        <v>18</v>
      </c>
      <c r="C18" s="25">
        <v>21</v>
      </c>
      <c r="D18" s="602" t="s">
        <v>4</v>
      </c>
      <c r="E18" s="503">
        <f t="array" ref="E18">[1]!LLReg(A18:D18,$G$4:$J$7,$G$10:$J$10)</f>
        <v>12.738657680100186</v>
      </c>
      <c r="G18" t="s">
        <v>2027</v>
      </c>
      <c r="S18" s="826"/>
      <c r="T18" s="826" t="s">
        <v>1592</v>
      </c>
      <c r="U18" s="826" t="s">
        <v>1000</v>
      </c>
      <c r="V18" s="826" t="s">
        <v>61</v>
      </c>
      <c r="W18" s="826" t="s">
        <v>67</v>
      </c>
      <c r="X18" s="826" t="s">
        <v>29</v>
      </c>
      <c r="Y18" s="826" t="s">
        <v>30</v>
      </c>
    </row>
    <row r="19" spans="1:25" x14ac:dyDescent="0.25">
      <c r="A19" s="578">
        <v>16</v>
      </c>
      <c r="B19" s="25">
        <v>23</v>
      </c>
      <c r="C19" s="25">
        <v>21</v>
      </c>
      <c r="D19" s="602">
        <v>34</v>
      </c>
      <c r="E19" s="503">
        <f t="array" ref="E19">[1]!LLReg(A19:D19,$G$4:$J$7,$G$10:$J$10)</f>
        <v>23.723043875843977</v>
      </c>
      <c r="G19" s="609">
        <f>AVERAGE(A4:A23)</f>
        <v>16.133333333333333</v>
      </c>
      <c r="H19" s="590">
        <f>AVERAGE(B4:B23)</f>
        <v>34.411764705882355</v>
      </c>
      <c r="I19" s="590">
        <f>AVERAGE(C4:C23)</f>
        <v>21.0625</v>
      </c>
      <c r="J19" s="610">
        <f>AVERAGE(D4:D23)</f>
        <v>47.722222222222221</v>
      </c>
      <c r="S19" t="s">
        <v>296</v>
      </c>
      <c r="T19">
        <f>Q5</f>
        <v>27.117920276590311</v>
      </c>
    </row>
    <row r="20" spans="1:25" x14ac:dyDescent="0.25">
      <c r="A20" s="578">
        <v>27</v>
      </c>
      <c r="B20" s="25">
        <v>26</v>
      </c>
      <c r="C20" s="25">
        <v>23</v>
      </c>
      <c r="D20" s="602">
        <v>59</v>
      </c>
      <c r="E20" s="503">
        <f t="array" ref="E20">[1]!LLReg(A20:D20,$G$4:$J$7,$G$10:$J$10)</f>
        <v>29.962059656301875</v>
      </c>
      <c r="S20" t="str">
        <f t="array" ref="S20:S22">TRANSPOSE(A3:C3)</f>
        <v>read</v>
      </c>
      <c r="T20">
        <f>Q6</f>
        <v>0.53194171155368186</v>
      </c>
      <c r="U20">
        <f t="array" ref="U20:U22">SQRT([1]!DIAG(O12:Q14))*T9</f>
        <v>0.36843776038220016</v>
      </c>
      <c r="V20">
        <f>T20/U20</f>
        <v>1.4437763138117827</v>
      </c>
      <c r="W20">
        <f>TDIST(ABS(V20),$T$15,2)</f>
        <v>0.16809724693718128</v>
      </c>
      <c r="X20">
        <f>T20-TINV(X$12,$T$15)*U20</f>
        <v>-0.24911144911375527</v>
      </c>
      <c r="Y20">
        <f>T20+TINV(X$12,$T$15)*U20</f>
        <v>1.3129948722211191</v>
      </c>
    </row>
    <row r="21" spans="1:25" x14ac:dyDescent="0.25">
      <c r="A21" s="578">
        <v>17</v>
      </c>
      <c r="B21" s="25" t="s">
        <v>4</v>
      </c>
      <c r="C21" s="25" t="s">
        <v>4</v>
      </c>
      <c r="D21" s="602">
        <v>35</v>
      </c>
      <c r="E21" s="503">
        <f t="array" ref="E21">[1]!LLReg(A21:D21,$G$4:$J$7,$G$10:$J$10)</f>
        <v>13.616563155176761</v>
      </c>
      <c r="G21" t="s">
        <v>2036</v>
      </c>
      <c r="S21" t="str">
        <v>science</v>
      </c>
      <c r="T21">
        <f>Q7</f>
        <v>0.47270314270332053</v>
      </c>
      <c r="U21">
        <v>0.13798033320383621</v>
      </c>
      <c r="V21">
        <f>T21/U21</f>
        <v>3.4258733235917287</v>
      </c>
      <c r="W21">
        <f>TDIST(ABS(V21),$T$15,2)</f>
        <v>3.4656648784675624E-3</v>
      </c>
      <c r="X21">
        <f>T21-TINV(X$12,$T$15)*U21</f>
        <v>0.18019790315619366</v>
      </c>
      <c r="Y21">
        <f>T21+TINV(X$12,$T$15)*U21</f>
        <v>0.76520838225044741</v>
      </c>
    </row>
    <row r="22" spans="1:25" x14ac:dyDescent="0.25">
      <c r="A22" s="578">
        <v>13</v>
      </c>
      <c r="B22" s="25">
        <v>21</v>
      </c>
      <c r="C22" s="25">
        <v>20</v>
      </c>
      <c r="D22" s="602">
        <v>48</v>
      </c>
      <c r="E22" s="503">
        <f t="array" ref="E22">[1]!LLReg(A22:D22,$G$4:$J$7,$G$10:$J$10)</f>
        <v>24.622593328067573</v>
      </c>
      <c r="G22" s="609">
        <f>COUNT(A4:A23)</f>
        <v>15</v>
      </c>
      <c r="H22" s="590">
        <f>COUNT(B4:B23)</f>
        <v>17</v>
      </c>
      <c r="I22" s="590">
        <f>COUNT(C4:C23)</f>
        <v>16</v>
      </c>
      <c r="J22" s="610">
        <f>COUNT(D4:D23)</f>
        <v>18</v>
      </c>
      <c r="S22" s="762" t="str">
        <v>math</v>
      </c>
      <c r="T22" s="762">
        <f>Q8</f>
        <v>-0.19745362244914699</v>
      </c>
      <c r="U22" s="762">
        <v>0.55914718649269946</v>
      </c>
      <c r="V22" s="762">
        <f>T22/U22</f>
        <v>-0.35313353481699949</v>
      </c>
      <c r="W22" s="762">
        <f>TDIST(ABS(V22),$T$15,2)</f>
        <v>0.72859787861881964</v>
      </c>
      <c r="X22" s="762">
        <f>T22-TINV(X$12,$T$15)*U22</f>
        <v>-1.3827927061396759</v>
      </c>
      <c r="Y22" s="762">
        <f>T22+TINV(X$12,$T$15)*U22</f>
        <v>0.98788546124138188</v>
      </c>
    </row>
    <row r="23" spans="1:25" x14ac:dyDescent="0.25">
      <c r="A23" s="877">
        <v>11</v>
      </c>
      <c r="B23" s="880">
        <v>51</v>
      </c>
      <c r="C23" s="880">
        <v>18</v>
      </c>
      <c r="D23" s="878">
        <v>54</v>
      </c>
      <c r="E23" s="420">
        <f t="array" ref="E23">[1]!LLReg(A23:D23,$G$4:$J$7,$G$10:$J$10)</f>
        <v>26.384941719070866</v>
      </c>
    </row>
    <row r="24" spans="1:25" x14ac:dyDescent="0.25">
      <c r="E24">
        <f>SUM(E4:E23)</f>
        <v>405.75690491594577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Y27"/>
  <sheetViews>
    <sheetView workbookViewId="0"/>
  </sheetViews>
  <sheetFormatPr defaultRowHeight="15" x14ac:dyDescent="0.25"/>
  <cols>
    <col min="19" max="19" width="18" customWidth="1"/>
  </cols>
  <sheetData>
    <row r="1" spans="1:25" x14ac:dyDescent="0.25">
      <c r="A1" s="1" t="s">
        <v>2030</v>
      </c>
    </row>
    <row r="3" spans="1:25" x14ac:dyDescent="0.25">
      <c r="A3" s="903" t="s">
        <v>1983</v>
      </c>
      <c r="B3" s="903" t="s">
        <v>1964</v>
      </c>
      <c r="C3" s="903" t="s">
        <v>1963</v>
      </c>
      <c r="D3" s="903" t="s">
        <v>1984</v>
      </c>
      <c r="E3" s="902" t="s">
        <v>2040</v>
      </c>
      <c r="G3" t="s">
        <v>1561</v>
      </c>
      <c r="L3" s="903" t="s">
        <v>2028</v>
      </c>
      <c r="M3" t="s">
        <v>2032</v>
      </c>
      <c r="O3" t="s">
        <v>2034</v>
      </c>
      <c r="S3" t="s">
        <v>1593</v>
      </c>
    </row>
    <row r="4" spans="1:25" x14ac:dyDescent="0.25">
      <c r="A4" s="875">
        <v>12</v>
      </c>
      <c r="B4" s="881">
        <v>27</v>
      </c>
      <c r="C4" s="881">
        <v>19</v>
      </c>
      <c r="D4" s="876">
        <v>44</v>
      </c>
      <c r="E4" s="868">
        <f t="array" ref="E4">[1]!LLReg(A4:D4,$G$4:$J$7,$G$10:$J$10)</f>
        <v>21.563855512066599</v>
      </c>
      <c r="G4" s="869">
        <f>L4</f>
        <v>19.913368556254991</v>
      </c>
      <c r="H4" s="867">
        <f>G5</f>
        <v>-1.7969432911037646</v>
      </c>
      <c r="I4" s="867">
        <f>G6</f>
        <v>7.0738099577208127</v>
      </c>
      <c r="J4" s="870">
        <f>G7</f>
        <v>8.346581210980327</v>
      </c>
      <c r="L4" s="868">
        <v>19.913368556254991</v>
      </c>
      <c r="M4" s="868">
        <f>L4</f>
        <v>19.913368556254991</v>
      </c>
    </row>
    <row r="5" spans="1:25" ht="15.75" thickBot="1" x14ac:dyDescent="0.3">
      <c r="A5" s="578">
        <v>11</v>
      </c>
      <c r="B5" s="25" t="s">
        <v>4</v>
      </c>
      <c r="C5" s="25">
        <v>13</v>
      </c>
      <c r="D5" s="602">
        <v>43</v>
      </c>
      <c r="E5" s="503">
        <f t="array" ref="E5">[1]!LLReg(A5:D5,$G$4:$J$7,$G$10:$J$10)</f>
        <v>21.283521568486492</v>
      </c>
      <c r="G5" s="532">
        <f>L5</f>
        <v>-1.7969432911037646</v>
      </c>
      <c r="H5" s="7">
        <f>L8</f>
        <v>117.12234407398635</v>
      </c>
      <c r="I5" s="7">
        <f>H6</f>
        <v>13.571344540903519</v>
      </c>
      <c r="J5" s="533">
        <f>H7</f>
        <v>51.728519893611484</v>
      </c>
      <c r="L5" s="503">
        <v>-1.7969432911037646</v>
      </c>
      <c r="M5" s="503">
        <f>SQRT(L4*L8)-ABS(L5)</f>
        <v>46.496952842028811</v>
      </c>
      <c r="O5" t="s">
        <v>400</v>
      </c>
      <c r="P5" s="868">
        <f>-MMULT(G10:J10,P6:P9)</f>
        <v>27.117920276590311</v>
      </c>
      <c r="S5" s="743" t="s">
        <v>1598</v>
      </c>
      <c r="T5" s="743"/>
    </row>
    <row r="6" spans="1:25" ht="15.75" thickTop="1" x14ac:dyDescent="0.25">
      <c r="A6" s="578" t="s">
        <v>4</v>
      </c>
      <c r="B6" s="25">
        <v>56</v>
      </c>
      <c r="C6" s="25">
        <v>23</v>
      </c>
      <c r="D6" s="602">
        <v>60</v>
      </c>
      <c r="E6" s="503">
        <f t="array" ref="E6">[1]!LLReg(A6:D6,$G$4:$J$7,$G$10:$J$10)</f>
        <v>20.808573249656085</v>
      </c>
      <c r="G6" s="532">
        <f>L6</f>
        <v>7.0738099577208127</v>
      </c>
      <c r="H6" s="7">
        <f>L9</f>
        <v>13.571344540903519</v>
      </c>
      <c r="I6" s="7">
        <f>L11</f>
        <v>10.133748927107019</v>
      </c>
      <c r="J6" s="533">
        <f>I7</f>
        <v>8.1771263566626953</v>
      </c>
      <c r="L6" s="503">
        <v>7.0738099577208127</v>
      </c>
      <c r="M6" s="503">
        <f>SQRT(L4*L11)-ABS(L6)</f>
        <v>7.131719854364186</v>
      </c>
      <c r="O6" t="str">
        <f t="array" ref="O6:O8">TRANSPOSE(A3:C3)</f>
        <v>read</v>
      </c>
      <c r="P6" s="503">
        <f t="array" ref="P6:P8">MMULT(MINVERSE(G4:I6),J4:J6)</f>
        <v>0.53194171155368186</v>
      </c>
      <c r="S6" t="s">
        <v>292</v>
      </c>
      <c r="T6">
        <f>SQRT(T7)</f>
        <v>0.65239427012945272</v>
      </c>
    </row>
    <row r="7" spans="1:25" x14ac:dyDescent="0.25">
      <c r="A7" s="578">
        <v>15</v>
      </c>
      <c r="B7" s="25">
        <v>37</v>
      </c>
      <c r="C7" s="25">
        <v>19</v>
      </c>
      <c r="D7" s="602">
        <v>52</v>
      </c>
      <c r="E7" s="503">
        <f t="array" ref="E7">[1]!LLReg(A7:D7,$G$4:$J$7,$G$10:$J$10)</f>
        <v>21.677574971226505</v>
      </c>
      <c r="G7" s="409">
        <f>L7</f>
        <v>8.346581210980327</v>
      </c>
      <c r="H7" s="762">
        <f>L10</f>
        <v>51.728519893611484</v>
      </c>
      <c r="I7" s="762">
        <f>L12</f>
        <v>8.1771263566626953</v>
      </c>
      <c r="J7" s="417">
        <f>L13</f>
        <v>55.620698602570627</v>
      </c>
      <c r="L7" s="420">
        <v>8.346581210980327</v>
      </c>
      <c r="M7" s="420">
        <f>SQRT(L4*L13)-ABS(L7)</f>
        <v>24.933975734920772</v>
      </c>
      <c r="O7" t="str">
        <v>science</v>
      </c>
      <c r="P7" s="503">
        <v>0.47270314270332053</v>
      </c>
      <c r="S7" t="s">
        <v>285</v>
      </c>
      <c r="T7">
        <f>SUMPRODUCT(J13:J15,P6:P8)/J16</f>
        <v>0.4256182836977413</v>
      </c>
    </row>
    <row r="8" spans="1:25" x14ac:dyDescent="0.25">
      <c r="A8" s="578">
        <v>10</v>
      </c>
      <c r="B8" s="25">
        <v>31</v>
      </c>
      <c r="C8" s="25">
        <v>21</v>
      </c>
      <c r="D8" s="602" t="s">
        <v>4</v>
      </c>
      <c r="E8" s="503">
        <f t="array" ref="E8">[1]!LLReg(A8:D8,$G$4:$J$7,$G$10:$J$10)</f>
        <v>17.958855455570102</v>
      </c>
      <c r="L8" s="503">
        <v>117.12234407398635</v>
      </c>
      <c r="M8" s="868">
        <f>L8</f>
        <v>117.12234407398635</v>
      </c>
      <c r="O8" t="str">
        <v>math</v>
      </c>
      <c r="P8" s="420">
        <v>-0.19745362244914699</v>
      </c>
      <c r="S8" t="s">
        <v>293</v>
      </c>
      <c r="T8">
        <f>1-(1-T7)*(T10-1)/(T10-T14-1)</f>
        <v>0.28776667178519932</v>
      </c>
    </row>
    <row r="9" spans="1:25" x14ac:dyDescent="0.25">
      <c r="A9" s="578">
        <v>18</v>
      </c>
      <c r="B9" s="25">
        <v>40</v>
      </c>
      <c r="C9" s="25">
        <v>22</v>
      </c>
      <c r="D9" s="602">
        <v>43</v>
      </c>
      <c r="E9" s="503">
        <f t="array" ref="E9">[1]!LLReg(A9:D9,$G$4:$J$7,$G$10:$J$10)</f>
        <v>23.31814622394781</v>
      </c>
      <c r="G9" t="s">
        <v>2026</v>
      </c>
      <c r="L9" s="503">
        <v>13.571344540903519</v>
      </c>
      <c r="M9" s="503">
        <f>SQRT(L8*L11)-ABS(L9)</f>
        <v>20.879902586015099</v>
      </c>
      <c r="P9">
        <v>-1</v>
      </c>
      <c r="S9" t="s">
        <v>11</v>
      </c>
      <c r="T9">
        <f>SQRT(V15)</f>
        <v>6.7433791438523469</v>
      </c>
    </row>
    <row r="10" spans="1:25" x14ac:dyDescent="0.25">
      <c r="A10" s="578">
        <v>15</v>
      </c>
      <c r="B10" s="25">
        <v>50</v>
      </c>
      <c r="C10" s="25">
        <v>28</v>
      </c>
      <c r="D10" s="602">
        <v>56</v>
      </c>
      <c r="E10" s="503">
        <f t="array" ref="E10">[1]!LLReg(A10:D10,$G$4:$J$7,$G$10:$J$10)</f>
        <v>27.523839620654741</v>
      </c>
      <c r="G10" s="609">
        <f>L14</f>
        <v>16.28686833905622</v>
      </c>
      <c r="H10" s="590">
        <f>L15</f>
        <v>32.915676871828403</v>
      </c>
      <c r="I10" s="590">
        <f>L16</f>
        <v>21.256847979858609</v>
      </c>
      <c r="J10" s="610">
        <f>L17</f>
        <v>47.143687162763719</v>
      </c>
      <c r="L10" s="420">
        <v>51.728519893611484</v>
      </c>
      <c r="M10" s="420">
        <f>SQRT(L8*L13)-ABS(L10)</f>
        <v>28.983477971425707</v>
      </c>
      <c r="S10" s="762" t="s">
        <v>81</v>
      </c>
      <c r="T10" s="762">
        <f>K22</f>
        <v>16.5</v>
      </c>
    </row>
    <row r="11" spans="1:25" ht="17.25" x14ac:dyDescent="0.25">
      <c r="A11" s="578">
        <v>21</v>
      </c>
      <c r="B11" s="25" t="s">
        <v>4</v>
      </c>
      <c r="C11" s="25" t="s">
        <v>4</v>
      </c>
      <c r="D11" s="602">
        <v>46</v>
      </c>
      <c r="E11" s="503">
        <f t="array" ref="E11">[1]!LLReg(A11:D11,$G$4:$J$7,$G$10:$J$10)</f>
        <v>11.922911836251782</v>
      </c>
      <c r="L11" s="503">
        <v>10.133748927107019</v>
      </c>
      <c r="M11" s="868">
        <f>L11</f>
        <v>10.133748927107019</v>
      </c>
      <c r="O11" t="s">
        <v>2035</v>
      </c>
    </row>
    <row r="12" spans="1:25" ht="15.75" thickBot="1" x14ac:dyDescent="0.3">
      <c r="A12" s="578">
        <v>20</v>
      </c>
      <c r="B12" s="25">
        <v>39</v>
      </c>
      <c r="C12" s="25">
        <v>25</v>
      </c>
      <c r="D12" s="602">
        <v>51</v>
      </c>
      <c r="E12" s="503">
        <f t="array" ref="E12">[1]!LLReg(A12:D12,$G$4:$J$7,$G$10:$J$10)</f>
        <v>21.728801977391868</v>
      </c>
      <c r="G12" t="s">
        <v>2025</v>
      </c>
      <c r="L12" s="420">
        <v>8.1771263566626953</v>
      </c>
      <c r="M12" s="420">
        <f>SQRT(L11*L13)-ABS(L12)</f>
        <v>15.564107705380982</v>
      </c>
      <c r="O12" s="869">
        <f t="array" ref="O12:Q14">MINVERSE(G13:I15)/(COUNTA(A4:A23)-1)</f>
        <v>3.8210531638707668E-3</v>
      </c>
      <c r="P12" s="867">
        <v>4.1785839119891339E-4</v>
      </c>
      <c r="Q12" s="870">
        <v>-3.6421445853029697E-3</v>
      </c>
      <c r="S12" t="s">
        <v>294</v>
      </c>
      <c r="W12" s="903" t="s">
        <v>34</v>
      </c>
      <c r="X12" s="903">
        <v>0.05</v>
      </c>
    </row>
    <row r="13" spans="1:25" ht="15.75" thickTop="1" x14ac:dyDescent="0.25">
      <c r="A13" s="578" t="s">
        <v>4</v>
      </c>
      <c r="B13" s="25">
        <v>36</v>
      </c>
      <c r="C13" s="25">
        <v>23</v>
      </c>
      <c r="D13" s="602">
        <v>56</v>
      </c>
      <c r="E13" s="503">
        <f t="array" ref="E13">[1]!LLReg(A13:D13,$G$4:$J$7,$G$10:$J$10)</f>
        <v>17.78479993299996</v>
      </c>
      <c r="G13" s="869">
        <f t="array" ref="G13:J16">[1]!COV(A4:D23,FALSE)</f>
        <v>22.838095238095224</v>
      </c>
      <c r="H13" s="867">
        <v>-3.2499999999999987</v>
      </c>
      <c r="I13" s="867">
        <v>9.1363636363636349</v>
      </c>
      <c r="J13" s="870">
        <v>8.9120879120879142</v>
      </c>
      <c r="L13" s="420">
        <v>55.620698602570627</v>
      </c>
      <c r="M13" s="417">
        <f>L13</f>
        <v>55.620698602570627</v>
      </c>
      <c r="O13" s="532">
        <v>4.1785839119891339E-4</v>
      </c>
      <c r="P13" s="7">
        <v>5.359067060366089E-4</v>
      </c>
      <c r="Q13" s="533">
        <v>-8.5388380433641404E-4</v>
      </c>
      <c r="S13" s="826"/>
      <c r="T13" s="826" t="s">
        <v>60</v>
      </c>
      <c r="U13" s="826" t="s">
        <v>219</v>
      </c>
      <c r="V13" s="826" t="s">
        <v>240</v>
      </c>
      <c r="W13" s="826" t="s">
        <v>135</v>
      </c>
      <c r="X13" s="826" t="s">
        <v>67</v>
      </c>
      <c r="Y13" s="826" t="s">
        <v>527</v>
      </c>
    </row>
    <row r="14" spans="1:25" x14ac:dyDescent="0.25">
      <c r="A14" s="578" t="s">
        <v>4</v>
      </c>
      <c r="B14" s="25">
        <v>27</v>
      </c>
      <c r="C14" s="25">
        <v>21</v>
      </c>
      <c r="D14" s="602">
        <v>39</v>
      </c>
      <c r="E14" s="503">
        <f t="array" ref="E14">[1]!LLReg(A14:D14,$G$4:$J$7,$G$10:$J$10)</f>
        <v>17.204280263985076</v>
      </c>
      <c r="G14" s="532">
        <v>-3.2499999999999987</v>
      </c>
      <c r="H14" s="7">
        <v>116.63235294117658</v>
      </c>
      <c r="I14" s="7">
        <v>9.9714285714285715</v>
      </c>
      <c r="J14" s="533">
        <v>47.142857142857153</v>
      </c>
      <c r="L14" s="868">
        <v>16.28686833905622</v>
      </c>
      <c r="O14" s="409">
        <v>-3.6421445853029705E-3</v>
      </c>
      <c r="P14" s="762">
        <v>-8.5388380433641426E-4</v>
      </c>
      <c r="Q14" s="417">
        <v>8.8004950050314043E-3</v>
      </c>
      <c r="S14" t="s">
        <v>222</v>
      </c>
      <c r="T14">
        <f>COUNTA(A3:D3)-1</f>
        <v>3</v>
      </c>
      <c r="U14">
        <f>T7*U16</f>
        <v>421.19658263932581</v>
      </c>
      <c r="V14">
        <f>U14/T14</f>
        <v>140.39886087977527</v>
      </c>
      <c r="W14">
        <f>V14/V15</f>
        <v>3.0875103873850129</v>
      </c>
      <c r="X14">
        <f>FDIST(W14,T14,T15)</f>
        <v>6.794461173167686E-2</v>
      </c>
      <c r="Y14" s="903" t="str">
        <f>IF(X14&lt;X12,"yes","no")</f>
        <v>no</v>
      </c>
    </row>
    <row r="15" spans="1:25" x14ac:dyDescent="0.25">
      <c r="A15" s="578">
        <v>14</v>
      </c>
      <c r="B15" s="25">
        <v>32</v>
      </c>
      <c r="C15" s="25">
        <v>20</v>
      </c>
      <c r="D15" s="602">
        <v>46</v>
      </c>
      <c r="E15" s="503">
        <f t="array" ref="E15">[1]!LLReg(A15:D15,$G$4:$J$7,$G$10:$J$10)</f>
        <v>20.514990864828036</v>
      </c>
      <c r="G15" s="532">
        <v>9.1363636363636349</v>
      </c>
      <c r="H15" s="7">
        <v>9.9714285714285715</v>
      </c>
      <c r="I15" s="7">
        <v>10.729166666666666</v>
      </c>
      <c r="J15" s="533">
        <v>11.390109890109887</v>
      </c>
      <c r="L15" s="503">
        <v>32.915676871828403</v>
      </c>
      <c r="S15" t="s">
        <v>295</v>
      </c>
      <c r="T15">
        <f>T16-T14</f>
        <v>12.5</v>
      </c>
      <c r="U15">
        <f>U16-U14</f>
        <v>568.41452847178516</v>
      </c>
      <c r="V15">
        <f>U15/T15</f>
        <v>45.473162277742816</v>
      </c>
    </row>
    <row r="16" spans="1:25" x14ac:dyDescent="0.25">
      <c r="A16" s="578">
        <v>22</v>
      </c>
      <c r="B16" s="25">
        <v>40</v>
      </c>
      <c r="C16" s="25" t="s">
        <v>4</v>
      </c>
      <c r="D16" s="602">
        <v>49</v>
      </c>
      <c r="E16" s="503">
        <f t="array" ref="E16">[1]!LLReg(A16:D16,$G$4:$J$7,$G$10:$J$10)</f>
        <v>19.297875474685764</v>
      </c>
      <c r="G16" s="409">
        <v>8.9120879120879142</v>
      </c>
      <c r="H16" s="762">
        <v>47.142857142857153</v>
      </c>
      <c r="I16" s="762">
        <v>11.390109890109887</v>
      </c>
      <c r="J16" s="417">
        <v>58.212418300653496</v>
      </c>
      <c r="L16" s="503">
        <v>21.256847979858609</v>
      </c>
      <c r="S16" s="762" t="s">
        <v>1</v>
      </c>
      <c r="T16" s="762">
        <f>T10-1</f>
        <v>15.5</v>
      </c>
      <c r="U16" s="762">
        <f>DEVSQ(D4:D23)</f>
        <v>989.61111111111097</v>
      </c>
      <c r="V16" s="762"/>
      <c r="W16" s="762"/>
      <c r="X16" s="762"/>
      <c r="Y16" s="762"/>
    </row>
    <row r="17" spans="1:25" ht="15.75" thickBot="1" x14ac:dyDescent="0.3">
      <c r="A17" s="578" t="s">
        <v>4</v>
      </c>
      <c r="B17" s="25">
        <v>31</v>
      </c>
      <c r="C17" s="25" t="s">
        <v>4</v>
      </c>
      <c r="D17" s="602">
        <v>44</v>
      </c>
      <c r="E17" s="503">
        <f t="array" ref="E17">[1]!LLReg(A17:D17,$G$4:$J$7,$G$10:$J$10)</f>
        <v>12.121018549633664</v>
      </c>
      <c r="L17" s="420">
        <v>47.143687162763719</v>
      </c>
    </row>
    <row r="18" spans="1:25" ht="15.75" thickTop="1" x14ac:dyDescent="0.25">
      <c r="A18" s="578" t="s">
        <v>4</v>
      </c>
      <c r="B18" s="25">
        <v>18</v>
      </c>
      <c r="C18" s="25">
        <v>21</v>
      </c>
      <c r="D18" s="602" t="s">
        <v>4</v>
      </c>
      <c r="E18" s="503">
        <f t="array" ref="E18">[1]!LLReg(A18:D18,$G$4:$J$7,$G$10:$J$10)</f>
        <v>12.738657680100186</v>
      </c>
      <c r="G18" t="s">
        <v>2027</v>
      </c>
      <c r="S18" s="826"/>
      <c r="T18" s="826" t="s">
        <v>1592</v>
      </c>
      <c r="U18" s="826" t="s">
        <v>1000</v>
      </c>
      <c r="V18" s="826" t="s">
        <v>61</v>
      </c>
      <c r="W18" s="826" t="s">
        <v>67</v>
      </c>
      <c r="X18" s="826" t="s">
        <v>29</v>
      </c>
      <c r="Y18" s="826" t="s">
        <v>30</v>
      </c>
    </row>
    <row r="19" spans="1:25" x14ac:dyDescent="0.25">
      <c r="A19" s="578">
        <v>16</v>
      </c>
      <c r="B19" s="25">
        <v>23</v>
      </c>
      <c r="C19" s="25">
        <v>21</v>
      </c>
      <c r="D19" s="602">
        <v>34</v>
      </c>
      <c r="E19" s="503">
        <f t="array" ref="E19">[1]!LLReg(A19:D19,$G$4:$J$7,$G$10:$J$10)</f>
        <v>23.723043875843977</v>
      </c>
      <c r="G19" s="609">
        <f>AVERAGE(A4:A23)</f>
        <v>16.133333333333333</v>
      </c>
      <c r="H19" s="590">
        <f>AVERAGE(B4:B23)</f>
        <v>34.411764705882355</v>
      </c>
      <c r="I19" s="590">
        <f>AVERAGE(C4:C23)</f>
        <v>21.0625</v>
      </c>
      <c r="J19" s="610">
        <f>AVERAGE(D4:D23)</f>
        <v>47.722222222222221</v>
      </c>
      <c r="S19" t="s">
        <v>296</v>
      </c>
      <c r="T19">
        <f>P5</f>
        <v>27.117920276590311</v>
      </c>
    </row>
    <row r="20" spans="1:25" x14ac:dyDescent="0.25">
      <c r="A20" s="578">
        <v>27</v>
      </c>
      <c r="B20" s="25">
        <v>26</v>
      </c>
      <c r="C20" s="25">
        <v>23</v>
      </c>
      <c r="D20" s="602">
        <v>59</v>
      </c>
      <c r="E20" s="503">
        <f t="array" ref="E20">[1]!LLReg(A20:D20,$G$4:$J$7,$G$10:$J$10)</f>
        <v>29.962059656301875</v>
      </c>
      <c r="S20" t="str">
        <f t="array" ref="S20:S22">TRANSPOSE(A3:C3)</f>
        <v>read</v>
      </c>
      <c r="T20">
        <f>P6</f>
        <v>0.53194171155368186</v>
      </c>
      <c r="U20">
        <f t="array" ref="U20:U22">SQRT([1]!DIAG(O12:Q14))*T9</f>
        <v>0.41683974209830088</v>
      </c>
      <c r="V20">
        <f>T20/U20</f>
        <v>1.2761300275160354</v>
      </c>
      <c r="W20">
        <f>TDIST(ABS(V20),$T$15,2)</f>
        <v>0.22605603741592881</v>
      </c>
      <c r="X20">
        <f>T20-TINV(X$12,$T$15)*U20</f>
        <v>-0.37627406644527484</v>
      </c>
      <c r="Y20">
        <f>T20+TINV(X$12,$T$15)*U20</f>
        <v>1.4401574895526386</v>
      </c>
    </row>
    <row r="21" spans="1:25" x14ac:dyDescent="0.25">
      <c r="A21" s="578">
        <v>17</v>
      </c>
      <c r="B21" s="25" t="s">
        <v>4</v>
      </c>
      <c r="C21" s="25" t="s">
        <v>4</v>
      </c>
      <c r="D21" s="602">
        <v>35</v>
      </c>
      <c r="E21" s="503">
        <f t="array" ref="E21">[1]!LLReg(A21:D21,$G$4:$J$7,$G$10:$J$10)</f>
        <v>13.616563155176761</v>
      </c>
      <c r="G21" t="s">
        <v>2036</v>
      </c>
      <c r="S21" t="str">
        <v>science</v>
      </c>
      <c r="T21">
        <f>P7</f>
        <v>0.47270314270332053</v>
      </c>
      <c r="U21">
        <v>0.15610692684609909</v>
      </c>
      <c r="V21">
        <f>T21/U21</f>
        <v>3.0280728232472587</v>
      </c>
      <c r="W21">
        <f>TDIST(ABS(V21),$T$15,2)</f>
        <v>1.0504141071645672E-2</v>
      </c>
      <c r="X21">
        <f>T21-TINV(X$12,$T$15)*U21</f>
        <v>0.13257536769111633</v>
      </c>
      <c r="Y21">
        <f>T21+TINV(X$12,$T$15)*U21</f>
        <v>0.81283091771552474</v>
      </c>
    </row>
    <row r="22" spans="1:25" x14ac:dyDescent="0.25">
      <c r="A22" s="578">
        <v>13</v>
      </c>
      <c r="B22" s="25">
        <v>21</v>
      </c>
      <c r="C22" s="25">
        <v>20</v>
      </c>
      <c r="D22" s="602">
        <v>48</v>
      </c>
      <c r="E22" s="503">
        <f t="array" ref="E22">[1]!LLReg(A22:D22,$G$4:$J$7,$G$10:$J$10)</f>
        <v>24.622593328067573</v>
      </c>
      <c r="G22" s="609">
        <f>COUNT(A4:A23)</f>
        <v>15</v>
      </c>
      <c r="H22" s="590">
        <f>COUNT(B4:B23)</f>
        <v>17</v>
      </c>
      <c r="I22" s="590">
        <f>COUNT(C4:C23)</f>
        <v>16</v>
      </c>
      <c r="J22" s="590">
        <f>COUNT(D4:D23)</f>
        <v>18</v>
      </c>
      <c r="K22" s="906">
        <f>AVERAGE(G22:J22)</f>
        <v>16.5</v>
      </c>
      <c r="S22" s="762" t="str">
        <v>math</v>
      </c>
      <c r="T22" s="762">
        <f>P8</f>
        <v>-0.19745362244914699</v>
      </c>
      <c r="U22" s="762">
        <v>0.63260282760058706</v>
      </c>
      <c r="V22" s="762">
        <f>T22/U22</f>
        <v>-0.31212889641684516</v>
      </c>
      <c r="W22" s="762">
        <f>TDIST(ABS(V22),$T$15,2)</f>
        <v>0.76029952590388883</v>
      </c>
      <c r="X22" s="762">
        <f>T22-TINV(X$12,$T$15)*U22</f>
        <v>-1.575776779309072</v>
      </c>
      <c r="Y22" s="762">
        <f>T22+TINV(X$12,$T$15)*U22</f>
        <v>1.180869534410778</v>
      </c>
    </row>
    <row r="23" spans="1:25" x14ac:dyDescent="0.25">
      <c r="A23" s="877">
        <v>11</v>
      </c>
      <c r="B23" s="880">
        <v>51</v>
      </c>
      <c r="C23" s="880">
        <v>18</v>
      </c>
      <c r="D23" s="878">
        <v>54</v>
      </c>
      <c r="E23" s="420">
        <f t="array" ref="E23">[1]!LLReg(A23:D23,$G$4:$J$7,$G$10:$J$10)</f>
        <v>26.384941719070866</v>
      </c>
    </row>
    <row r="24" spans="1:25" x14ac:dyDescent="0.25">
      <c r="E24">
        <f>SUM(E4:E23)</f>
        <v>405.75690491594577</v>
      </c>
    </row>
    <row r="27" spans="1:25" x14ac:dyDescent="0.25">
      <c r="O27">
        <f t="array" ref="O27:Q27">SQRT([1]!DIAG(O16:Q18))</f>
        <v>0</v>
      </c>
      <c r="P27">
        <v>0</v>
      </c>
      <c r="Q2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AI24"/>
  <sheetViews>
    <sheetView workbookViewId="0"/>
  </sheetViews>
  <sheetFormatPr defaultRowHeight="15" x14ac:dyDescent="0.25"/>
  <cols>
    <col min="29" max="29" width="17.5703125" customWidth="1"/>
  </cols>
  <sheetData>
    <row r="1" spans="1:35" x14ac:dyDescent="0.25">
      <c r="A1" s="1" t="s">
        <v>2044</v>
      </c>
    </row>
    <row r="3" spans="1:35" x14ac:dyDescent="0.25">
      <c r="A3" s="907" t="s">
        <v>1983</v>
      </c>
      <c r="B3" s="907" t="s">
        <v>1964</v>
      </c>
      <c r="C3" s="907" t="s">
        <v>1963</v>
      </c>
      <c r="D3" s="907" t="s">
        <v>1984</v>
      </c>
      <c r="F3" t="s">
        <v>2006</v>
      </c>
      <c r="L3" s="907" t="str">
        <f>A3</f>
        <v>read</v>
      </c>
      <c r="M3" s="907" t="str">
        <f>B3</f>
        <v>science</v>
      </c>
      <c r="N3" s="907" t="str">
        <f>C3</f>
        <v>math</v>
      </c>
      <c r="O3" s="907" t="str">
        <f>D3</f>
        <v>medicine</v>
      </c>
      <c r="P3" s="902" t="s">
        <v>2040</v>
      </c>
      <c r="R3" t="s">
        <v>2037</v>
      </c>
      <c r="W3" s="907" t="s">
        <v>2028</v>
      </c>
      <c r="Y3" t="s">
        <v>2041</v>
      </c>
      <c r="AC3" t="s">
        <v>1593</v>
      </c>
    </row>
    <row r="4" spans="1:35" x14ac:dyDescent="0.25">
      <c r="A4" s="875">
        <v>12</v>
      </c>
      <c r="B4" s="881">
        <v>27</v>
      </c>
      <c r="C4" s="881">
        <v>19</v>
      </c>
      <c r="D4" s="876">
        <v>44</v>
      </c>
      <c r="L4" s="888">
        <f t="shared" ref="L4:L23" si="0">A4</f>
        <v>12</v>
      </c>
      <c r="M4" s="889">
        <f t="shared" ref="M4:M23" si="1">B4</f>
        <v>27</v>
      </c>
      <c r="N4" s="889">
        <f t="shared" ref="N4:N23" si="2">C4</f>
        <v>19</v>
      </c>
      <c r="O4" s="918">
        <f t="shared" ref="O4:O23" si="3">D4</f>
        <v>44</v>
      </c>
      <c r="P4" s="868">
        <f t="array" ref="P4">[1]!LLReg(L4:O4,$R$4:$U$7,$R$10:$U$10)</f>
        <v>21.563855512066599</v>
      </c>
      <c r="R4" s="865">
        <f>W4</f>
        <v>19.913368556254991</v>
      </c>
      <c r="S4" s="798">
        <f>R5</f>
        <v>-1.7969432911037646</v>
      </c>
      <c r="T4" s="798">
        <f>R6</f>
        <v>7.0738099577208127</v>
      </c>
      <c r="U4" s="866">
        <f>R7</f>
        <v>8.346581210980327</v>
      </c>
      <c r="W4" s="820">
        <v>19.913368556254991</v>
      </c>
    </row>
    <row r="5" spans="1:35" ht="15.75" thickBot="1" x14ac:dyDescent="0.3">
      <c r="A5" s="578">
        <v>11</v>
      </c>
      <c r="B5" s="25" t="s">
        <v>4</v>
      </c>
      <c r="C5" s="25">
        <v>13</v>
      </c>
      <c r="D5" s="602">
        <v>43</v>
      </c>
      <c r="F5" t="str">
        <f t="array" ref="F5:J10">[1]!DescStats(A3:D23,TRUE,TRUE)</f>
        <v/>
      </c>
      <c r="G5" s="907" t="str">
        <v>read</v>
      </c>
      <c r="H5" s="907" t="str">
        <v>science</v>
      </c>
      <c r="I5" s="907" t="str">
        <v>math</v>
      </c>
      <c r="J5" s="907" t="str">
        <v>medicine</v>
      </c>
      <c r="L5" s="500">
        <f t="shared" si="0"/>
        <v>11</v>
      </c>
      <c r="M5" s="908" t="str">
        <f t="shared" si="1"/>
        <v>x</v>
      </c>
      <c r="N5" s="908">
        <f t="shared" si="2"/>
        <v>13</v>
      </c>
      <c r="O5" s="504">
        <f t="shared" si="3"/>
        <v>43</v>
      </c>
      <c r="P5" s="503">
        <f t="array" ref="P5">[1]!LLReg(L5:O5,$R$4:$U$7,$R$10:$U$10)</f>
        <v>21.283521568486492</v>
      </c>
      <c r="R5" s="501">
        <f>W5</f>
        <v>-1.7969432911037646</v>
      </c>
      <c r="S5" s="7">
        <f>W8</f>
        <v>117.12234407398635</v>
      </c>
      <c r="T5" s="7">
        <f>S6</f>
        <v>13.571344540903519</v>
      </c>
      <c r="U5" s="57">
        <f>S7</f>
        <v>51.728519893611484</v>
      </c>
      <c r="W5" s="680">
        <v>-1.7969432911037646</v>
      </c>
      <c r="Y5" t="s">
        <v>296</v>
      </c>
      <c r="Z5" s="820">
        <f t="array" ref="Z5">-MMULT(R10:U10,Z6:Z9)</f>
        <v>27.117920276590311</v>
      </c>
      <c r="AC5" s="743" t="s">
        <v>1598</v>
      </c>
      <c r="AD5" s="743"/>
    </row>
    <row r="6" spans="1:35" ht="15.75" thickTop="1" x14ac:dyDescent="0.25">
      <c r="A6" s="578" t="s">
        <v>4</v>
      </c>
      <c r="B6" s="25">
        <v>56</v>
      </c>
      <c r="C6" s="25">
        <v>23</v>
      </c>
      <c r="D6" s="602">
        <v>60</v>
      </c>
      <c r="F6" t="str">
        <v>count</v>
      </c>
      <c r="G6" s="865">
        <v>15</v>
      </c>
      <c r="H6" s="798">
        <v>17</v>
      </c>
      <c r="I6" s="798">
        <v>16</v>
      </c>
      <c r="J6" s="866">
        <v>18</v>
      </c>
      <c r="L6" s="500" t="str">
        <f t="shared" si="0"/>
        <v>x</v>
      </c>
      <c r="M6" s="908">
        <f t="shared" si="1"/>
        <v>56</v>
      </c>
      <c r="N6" s="908">
        <f t="shared" si="2"/>
        <v>23</v>
      </c>
      <c r="O6" s="504">
        <f t="shared" si="3"/>
        <v>60</v>
      </c>
      <c r="P6" s="503">
        <f t="array" ref="P6">[1]!LLReg(L6:O6,$R$4:$U$7,$R$10:$U$10)</f>
        <v>20.808573249656085</v>
      </c>
      <c r="R6" s="501">
        <f>W6</f>
        <v>7.0738099577208127</v>
      </c>
      <c r="S6" s="7">
        <f>W9</f>
        <v>13.571344540903519</v>
      </c>
      <c r="T6" s="7">
        <f>W11</f>
        <v>10.133748927107019</v>
      </c>
      <c r="U6" s="57">
        <f>T7</f>
        <v>8.1771263566626953</v>
      </c>
      <c r="W6" s="680">
        <v>7.0738099577208127</v>
      </c>
      <c r="Y6" t="str">
        <f t="array" ref="Y6:Y8">TRANSPOSE(L3:N3)</f>
        <v>read</v>
      </c>
      <c r="Z6" s="680">
        <f t="array" ref="Z6:Z8">MMULT(MINVERSE(R4:T6),U4:U6)</f>
        <v>0.53194171155368186</v>
      </c>
      <c r="AC6" t="s">
        <v>292</v>
      </c>
      <c r="AD6">
        <f>SQRT(AD7)</f>
        <v>0.65239427012945272</v>
      </c>
    </row>
    <row r="7" spans="1:35" x14ac:dyDescent="0.25">
      <c r="A7" s="578">
        <v>15</v>
      </c>
      <c r="B7" s="25">
        <v>37</v>
      </c>
      <c r="C7" s="25">
        <v>19</v>
      </c>
      <c r="D7" s="602">
        <v>52</v>
      </c>
      <c r="F7" t="str">
        <v>mean</v>
      </c>
      <c r="G7" s="501">
        <v>16.133333333333333</v>
      </c>
      <c r="H7" s="7">
        <v>34.411764705882355</v>
      </c>
      <c r="I7" s="7">
        <v>21.0625</v>
      </c>
      <c r="J7" s="57">
        <v>47.722222222222221</v>
      </c>
      <c r="L7" s="500">
        <f t="shared" si="0"/>
        <v>15</v>
      </c>
      <c r="M7" s="908">
        <f t="shared" si="1"/>
        <v>37</v>
      </c>
      <c r="N7" s="908">
        <f t="shared" si="2"/>
        <v>19</v>
      </c>
      <c r="O7" s="504">
        <f t="shared" si="3"/>
        <v>52</v>
      </c>
      <c r="P7" s="503">
        <f t="array" ref="P7">[1]!LLReg(L7:O7,$R$4:$U$7,$R$10:$U$10)</f>
        <v>21.677574971226505</v>
      </c>
      <c r="R7" s="759">
        <f>W7</f>
        <v>8.346581210980327</v>
      </c>
      <c r="S7" s="760">
        <f>W10</f>
        <v>51.728519893611484</v>
      </c>
      <c r="T7" s="760">
        <f>W12</f>
        <v>8.1771263566626953</v>
      </c>
      <c r="U7" s="761">
        <f>W13</f>
        <v>55.620698602570627</v>
      </c>
      <c r="W7" s="680">
        <v>8.346581210980327</v>
      </c>
      <c r="Y7" t="str">
        <v>science</v>
      </c>
      <c r="Z7" s="680">
        <v>0.47270314270332053</v>
      </c>
      <c r="AC7" t="s">
        <v>285</v>
      </c>
      <c r="AD7">
        <f>SUMPRODUCT(U13:U15,Z6:Z8)/U16</f>
        <v>0.4256182836977413</v>
      </c>
    </row>
    <row r="8" spans="1:35" x14ac:dyDescent="0.25">
      <c r="A8" s="578">
        <v>10</v>
      </c>
      <c r="B8" s="25">
        <v>31</v>
      </c>
      <c r="C8" s="25">
        <v>21</v>
      </c>
      <c r="D8" s="602" t="s">
        <v>4</v>
      </c>
      <c r="F8" t="str">
        <v>stdev</v>
      </c>
      <c r="G8" s="501">
        <v>4.7789219744724045</v>
      </c>
      <c r="H8" s="7">
        <v>10.79964596369606</v>
      </c>
      <c r="I8" s="7">
        <v>3.2755406678389241</v>
      </c>
      <c r="J8" s="57">
        <v>7.6297063050063398</v>
      </c>
      <c r="L8" s="500">
        <f t="shared" si="0"/>
        <v>10</v>
      </c>
      <c r="M8" s="908">
        <f t="shared" si="1"/>
        <v>31</v>
      </c>
      <c r="N8" s="908">
        <f t="shared" si="2"/>
        <v>21</v>
      </c>
      <c r="O8" s="504" t="str">
        <f t="shared" si="3"/>
        <v>x</v>
      </c>
      <c r="P8" s="503">
        <f t="array" ref="P8">[1]!LLReg(L8:O8,$R$4:$U$7,$R$10:$U$10)</f>
        <v>17.958855455570102</v>
      </c>
      <c r="W8" s="680">
        <v>117.12234407398635</v>
      </c>
      <c r="Y8" t="str">
        <v>math</v>
      </c>
      <c r="Z8" s="757">
        <v>-0.19745362244914699</v>
      </c>
      <c r="AC8" t="s">
        <v>293</v>
      </c>
      <c r="AD8">
        <f>1-(1-AD7)*(AD10-1)/(AD10-AD14-1)</f>
        <v>0.31792171189106788</v>
      </c>
    </row>
    <row r="9" spans="1:35" x14ac:dyDescent="0.25">
      <c r="A9" s="578">
        <v>18</v>
      </c>
      <c r="B9" s="25">
        <v>40</v>
      </c>
      <c r="C9" s="25">
        <v>22</v>
      </c>
      <c r="D9" s="602">
        <v>43</v>
      </c>
      <c r="F9" t="str">
        <v>min</v>
      </c>
      <c r="G9" s="501">
        <v>10</v>
      </c>
      <c r="H9" s="7">
        <v>18</v>
      </c>
      <c r="I9" s="7">
        <v>13</v>
      </c>
      <c r="J9" s="57">
        <v>34</v>
      </c>
      <c r="L9" s="500">
        <f t="shared" si="0"/>
        <v>18</v>
      </c>
      <c r="M9" s="908">
        <f t="shared" si="1"/>
        <v>40</v>
      </c>
      <c r="N9" s="908">
        <f t="shared" si="2"/>
        <v>22</v>
      </c>
      <c r="O9" s="504">
        <f t="shared" si="3"/>
        <v>43</v>
      </c>
      <c r="P9" s="503">
        <f t="array" ref="P9">[1]!LLReg(L9:O9,$R$4:$U$7,$R$10:$U$10)</f>
        <v>23.31814622394781</v>
      </c>
      <c r="R9" t="s">
        <v>2038</v>
      </c>
      <c r="W9" s="680">
        <v>13.571344540903519</v>
      </c>
      <c r="Z9">
        <v>-1</v>
      </c>
      <c r="AC9" t="s">
        <v>11</v>
      </c>
      <c r="AD9">
        <f>SQRT(AF15)</f>
        <v>5.9603614009124124</v>
      </c>
    </row>
    <row r="10" spans="1:35" x14ac:dyDescent="0.25">
      <c r="A10" s="578">
        <v>15</v>
      </c>
      <c r="B10" s="25">
        <v>50</v>
      </c>
      <c r="C10" s="25">
        <v>28</v>
      </c>
      <c r="D10" s="602">
        <v>56</v>
      </c>
      <c r="F10" t="str">
        <v>max</v>
      </c>
      <c r="G10" s="759">
        <v>27</v>
      </c>
      <c r="H10" s="760">
        <v>56</v>
      </c>
      <c r="I10" s="760">
        <v>28</v>
      </c>
      <c r="J10" s="761">
        <v>60</v>
      </c>
      <c r="L10" s="500">
        <f t="shared" si="0"/>
        <v>15</v>
      </c>
      <c r="M10" s="908">
        <f t="shared" si="1"/>
        <v>50</v>
      </c>
      <c r="N10" s="908">
        <f t="shared" si="2"/>
        <v>28</v>
      </c>
      <c r="O10" s="504">
        <f t="shared" si="3"/>
        <v>56</v>
      </c>
      <c r="P10" s="503">
        <f t="array" ref="P10">[1]!LLReg(L10:O10,$R$4:$U$7,$R$10:$U$10)</f>
        <v>27.523839620654741</v>
      </c>
      <c r="R10" s="803">
        <f>W14</f>
        <v>16.28686833905622</v>
      </c>
      <c r="S10" s="720">
        <f>W15</f>
        <v>32.915676871828403</v>
      </c>
      <c r="T10" s="720">
        <f>W16</f>
        <v>21.256847979858609</v>
      </c>
      <c r="U10" s="804">
        <f>W17</f>
        <v>47.143687162763719</v>
      </c>
      <c r="W10" s="680">
        <v>51.728519893611484</v>
      </c>
      <c r="AC10" s="762" t="s">
        <v>81</v>
      </c>
      <c r="AD10" s="762">
        <f>COUNTA(L4:L23)</f>
        <v>20</v>
      </c>
    </row>
    <row r="11" spans="1:35" x14ac:dyDescent="0.25">
      <c r="A11" s="578">
        <v>21</v>
      </c>
      <c r="B11" s="25" t="s">
        <v>4</v>
      </c>
      <c r="C11" s="25" t="s">
        <v>4</v>
      </c>
      <c r="D11" s="602">
        <v>46</v>
      </c>
      <c r="L11" s="500">
        <f t="shared" si="0"/>
        <v>21</v>
      </c>
      <c r="M11" s="908" t="str">
        <f t="shared" si="1"/>
        <v>x</v>
      </c>
      <c r="N11" s="908" t="str">
        <f t="shared" si="2"/>
        <v>x</v>
      </c>
      <c r="O11" s="504">
        <f t="shared" si="3"/>
        <v>46</v>
      </c>
      <c r="P11" s="503">
        <f t="array" ref="P11">[1]!LLReg(L11:O11,$R$4:$U$7,$R$10:$U$10)</f>
        <v>11.922911836251782</v>
      </c>
      <c r="W11" s="680">
        <v>10.133748927107019</v>
      </c>
      <c r="Y11" t="s">
        <v>2042</v>
      </c>
    </row>
    <row r="12" spans="1:35" ht="15.75" thickBot="1" x14ac:dyDescent="0.3">
      <c r="A12" s="578">
        <v>20</v>
      </c>
      <c r="B12" s="25">
        <v>39</v>
      </c>
      <c r="C12" s="25">
        <v>25</v>
      </c>
      <c r="D12" s="602">
        <v>51</v>
      </c>
      <c r="F12" t="s">
        <v>1986</v>
      </c>
      <c r="L12" s="500">
        <f t="shared" si="0"/>
        <v>20</v>
      </c>
      <c r="M12" s="908">
        <f t="shared" si="1"/>
        <v>39</v>
      </c>
      <c r="N12" s="908">
        <f t="shared" si="2"/>
        <v>25</v>
      </c>
      <c r="O12" s="504">
        <f t="shared" si="3"/>
        <v>51</v>
      </c>
      <c r="P12" s="503">
        <f t="array" ref="P12">[1]!LLReg(L12:O12,$R$4:$U$7,$R$10:$U$10)</f>
        <v>21.728801977391868</v>
      </c>
      <c r="R12" t="s">
        <v>980</v>
      </c>
      <c r="W12" s="680">
        <v>8.1771263566626953</v>
      </c>
      <c r="Y12" s="865">
        <f t="array" ref="Y12:AA14">MINVERSE(R13:T15)/(COUNTA(L4:L23)-1)</f>
        <v>3.8210531638707668E-3</v>
      </c>
      <c r="Z12" s="798">
        <v>4.1785839119891339E-4</v>
      </c>
      <c r="AA12" s="866">
        <v>-3.6421445853029697E-3</v>
      </c>
      <c r="AC12" t="s">
        <v>294</v>
      </c>
      <c r="AG12" s="907" t="s">
        <v>34</v>
      </c>
      <c r="AH12" s="907">
        <v>0.05</v>
      </c>
    </row>
    <row r="13" spans="1:35" ht="15.75" thickTop="1" x14ac:dyDescent="0.25">
      <c r="A13" s="578" t="s">
        <v>4</v>
      </c>
      <c r="B13" s="25">
        <v>36</v>
      </c>
      <c r="C13" s="25">
        <v>23</v>
      </c>
      <c r="D13" s="602">
        <v>56</v>
      </c>
      <c r="L13" s="500" t="str">
        <f t="shared" si="0"/>
        <v>x</v>
      </c>
      <c r="M13" s="908">
        <f t="shared" si="1"/>
        <v>36</v>
      </c>
      <c r="N13" s="908">
        <f t="shared" si="2"/>
        <v>23</v>
      </c>
      <c r="O13" s="504">
        <f t="shared" si="3"/>
        <v>56</v>
      </c>
      <c r="P13" s="503">
        <f t="array" ref="P13">[1]!LLReg(L13:O13,$R$4:$U$7,$R$10:$U$10)</f>
        <v>17.78479993299996</v>
      </c>
      <c r="R13" s="865">
        <f t="array" ref="R13:U16">[1]!COV(L4:O23,FALSE)</f>
        <v>22.838095238095224</v>
      </c>
      <c r="S13" s="798">
        <v>-3.2499999999999987</v>
      </c>
      <c r="T13" s="798">
        <v>9.1363636363636349</v>
      </c>
      <c r="U13" s="866">
        <v>8.9120879120879142</v>
      </c>
      <c r="W13" s="680">
        <v>55.620698602570627</v>
      </c>
      <c r="Y13" s="501">
        <v>4.1785839119891339E-4</v>
      </c>
      <c r="Z13" s="7">
        <v>5.359067060366089E-4</v>
      </c>
      <c r="AA13" s="57">
        <v>-8.5388380433641404E-4</v>
      </c>
      <c r="AC13" s="826"/>
      <c r="AD13" s="826" t="s">
        <v>60</v>
      </c>
      <c r="AE13" s="826" t="s">
        <v>219</v>
      </c>
      <c r="AF13" s="826" t="s">
        <v>240</v>
      </c>
      <c r="AG13" s="826" t="s">
        <v>135</v>
      </c>
      <c r="AH13" s="826" t="s">
        <v>67</v>
      </c>
      <c r="AI13" s="826" t="s">
        <v>527</v>
      </c>
    </row>
    <row r="14" spans="1:35" x14ac:dyDescent="0.25">
      <c r="A14" s="578" t="s">
        <v>4</v>
      </c>
      <c r="B14" s="25">
        <v>27</v>
      </c>
      <c r="C14" s="25">
        <v>21</v>
      </c>
      <c r="D14" s="602">
        <v>39</v>
      </c>
      <c r="F14" t="str">
        <f t="array" ref="F14:J18">[1]!MissingPairwise(A3:D23,TRUE)</f>
        <v/>
      </c>
      <c r="G14" s="907" t="str">
        <v>read</v>
      </c>
      <c r="H14" s="907" t="str">
        <v>science</v>
      </c>
      <c r="I14" s="907" t="str">
        <v>math</v>
      </c>
      <c r="J14" s="907" t="str">
        <v>medicine</v>
      </c>
      <c r="L14" s="500" t="str">
        <f t="shared" si="0"/>
        <v>x</v>
      </c>
      <c r="M14" s="908">
        <f t="shared" si="1"/>
        <v>27</v>
      </c>
      <c r="N14" s="908">
        <f t="shared" si="2"/>
        <v>21</v>
      </c>
      <c r="O14" s="504">
        <f t="shared" si="3"/>
        <v>39</v>
      </c>
      <c r="P14" s="503">
        <f t="array" ref="P14">[1]!LLReg(L14:O14,$R$4:$U$7,$R$10:$U$10)</f>
        <v>17.204280263985076</v>
      </c>
      <c r="R14" s="501">
        <v>-3.2499999999999987</v>
      </c>
      <c r="S14" s="7">
        <v>116.63235294117658</v>
      </c>
      <c r="T14" s="7">
        <v>9.9714285714285715</v>
      </c>
      <c r="U14" s="57">
        <v>47.142857142857153</v>
      </c>
      <c r="W14" s="680">
        <v>16.28686833905622</v>
      </c>
      <c r="Y14" s="759">
        <v>-3.6421445853029705E-3</v>
      </c>
      <c r="Z14" s="760">
        <v>-8.5388380433641426E-4</v>
      </c>
      <c r="AA14" s="761">
        <v>8.8004950050314043E-3</v>
      </c>
      <c r="AC14" t="s">
        <v>222</v>
      </c>
      <c r="AD14">
        <f>COUNT(L4:O4)-1</f>
        <v>3</v>
      </c>
      <c r="AE14">
        <f>AD7*AE16</f>
        <v>421.19658263932581</v>
      </c>
      <c r="AF14">
        <f>AE14/AD14</f>
        <v>140.39886087977527</v>
      </c>
      <c r="AG14">
        <f>AF14/AF15</f>
        <v>3.9520132958528165</v>
      </c>
      <c r="AH14">
        <f>FDIST(AG14,AD14,AD15)</f>
        <v>2.7625519517164878E-2</v>
      </c>
      <c r="AI14" s="907" t="str">
        <f>IF(AH14&lt;AH12,"yes","no")</f>
        <v>yes</v>
      </c>
    </row>
    <row r="15" spans="1:35" x14ac:dyDescent="0.25">
      <c r="A15" s="578">
        <v>14</v>
      </c>
      <c r="B15" s="25">
        <v>32</v>
      </c>
      <c r="C15" s="25">
        <v>20</v>
      </c>
      <c r="D15" s="602">
        <v>46</v>
      </c>
      <c r="F15" t="str">
        <v>read</v>
      </c>
      <c r="G15" s="909">
        <v>0.75</v>
      </c>
      <c r="H15" s="910">
        <v>0.6</v>
      </c>
      <c r="I15" s="910">
        <v>0.6</v>
      </c>
      <c r="J15" s="911">
        <v>0.7</v>
      </c>
      <c r="L15" s="500">
        <f t="shared" si="0"/>
        <v>14</v>
      </c>
      <c r="M15" s="908">
        <f t="shared" si="1"/>
        <v>32</v>
      </c>
      <c r="N15" s="908">
        <f t="shared" si="2"/>
        <v>20</v>
      </c>
      <c r="O15" s="504">
        <f t="shared" si="3"/>
        <v>46</v>
      </c>
      <c r="P15" s="503">
        <f t="array" ref="P15">[1]!LLReg(L15:O15,$R$4:$U$7,$R$10:$U$10)</f>
        <v>20.514990864828036</v>
      </c>
      <c r="R15" s="501">
        <v>9.1363636363636349</v>
      </c>
      <c r="S15" s="7">
        <v>9.9714285714285715</v>
      </c>
      <c r="T15" s="7">
        <v>10.729166666666666</v>
      </c>
      <c r="U15" s="57">
        <v>11.390109890109887</v>
      </c>
      <c r="W15" s="680">
        <v>32.915676871828403</v>
      </c>
      <c r="AC15" t="s">
        <v>295</v>
      </c>
      <c r="AD15">
        <f>AD16-AD14</f>
        <v>16</v>
      </c>
      <c r="AE15">
        <f>AE16-AE14</f>
        <v>568.41452847178516</v>
      </c>
      <c r="AF15">
        <f>AE15/AD15</f>
        <v>35.525908029486573</v>
      </c>
    </row>
    <row r="16" spans="1:35" x14ac:dyDescent="0.25">
      <c r="A16" s="578">
        <v>22</v>
      </c>
      <c r="B16" s="25">
        <v>40</v>
      </c>
      <c r="C16" s="25" t="s">
        <v>4</v>
      </c>
      <c r="D16" s="602">
        <v>49</v>
      </c>
      <c r="F16" t="str">
        <v>science</v>
      </c>
      <c r="G16" s="912" t="str">
        <v/>
      </c>
      <c r="H16" s="913">
        <v>0.85</v>
      </c>
      <c r="I16" s="913">
        <v>0.75</v>
      </c>
      <c r="J16" s="914">
        <v>0.75</v>
      </c>
      <c r="L16" s="500">
        <f t="shared" si="0"/>
        <v>22</v>
      </c>
      <c r="M16" s="908">
        <f t="shared" si="1"/>
        <v>40</v>
      </c>
      <c r="N16" s="908" t="str">
        <f t="shared" si="2"/>
        <v>x</v>
      </c>
      <c r="O16" s="504">
        <f t="shared" si="3"/>
        <v>49</v>
      </c>
      <c r="P16" s="503">
        <f t="array" ref="P16">[1]!LLReg(L16:O16,$R$4:$U$7,$R$10:$U$10)</f>
        <v>19.297875474685764</v>
      </c>
      <c r="R16" s="759">
        <v>8.9120879120879142</v>
      </c>
      <c r="S16" s="760">
        <v>47.142857142857153</v>
      </c>
      <c r="T16" s="760">
        <v>11.390109890109887</v>
      </c>
      <c r="U16" s="761">
        <v>58.212418300653496</v>
      </c>
      <c r="W16" s="680">
        <v>21.256847979858609</v>
      </c>
      <c r="AC16" s="762" t="s">
        <v>1</v>
      </c>
      <c r="AD16" s="762">
        <f>AD10-1</f>
        <v>19</v>
      </c>
      <c r="AE16" s="762">
        <f>DEVSQ(O4:O23)</f>
        <v>989.61111111111097</v>
      </c>
      <c r="AF16" s="762"/>
      <c r="AG16" s="762"/>
      <c r="AH16" s="762"/>
      <c r="AI16" s="762"/>
    </row>
    <row r="17" spans="1:35" ht="15.75" thickBot="1" x14ac:dyDescent="0.3">
      <c r="A17" s="578" t="s">
        <v>4</v>
      </c>
      <c r="B17" s="25">
        <v>31</v>
      </c>
      <c r="C17" s="25" t="s">
        <v>4</v>
      </c>
      <c r="D17" s="602">
        <v>44</v>
      </c>
      <c r="F17" t="str">
        <v>math</v>
      </c>
      <c r="G17" s="912" t="str">
        <v/>
      </c>
      <c r="H17" s="913" t="str">
        <v/>
      </c>
      <c r="I17" s="913">
        <v>0.8</v>
      </c>
      <c r="J17" s="914">
        <v>0.7</v>
      </c>
      <c r="L17" s="500" t="str">
        <f t="shared" si="0"/>
        <v>x</v>
      </c>
      <c r="M17" s="908">
        <f t="shared" si="1"/>
        <v>31</v>
      </c>
      <c r="N17" s="908" t="str">
        <f t="shared" si="2"/>
        <v>x</v>
      </c>
      <c r="O17" s="504">
        <f t="shared" si="3"/>
        <v>44</v>
      </c>
      <c r="P17" s="503">
        <f t="array" ref="P17">[1]!LLReg(L17:O17,$R$4:$U$7,$R$10:$U$10)</f>
        <v>12.121018549633664</v>
      </c>
      <c r="W17" s="757">
        <v>47.143687162763719</v>
      </c>
    </row>
    <row r="18" spans="1:35" ht="15.75" thickTop="1" x14ac:dyDescent="0.25">
      <c r="A18" s="578" t="s">
        <v>4</v>
      </c>
      <c r="B18" s="25">
        <v>18</v>
      </c>
      <c r="C18" s="25">
        <v>21</v>
      </c>
      <c r="D18" s="602" t="s">
        <v>4</v>
      </c>
      <c r="F18" t="str">
        <v>medicine</v>
      </c>
      <c r="G18" s="915" t="str">
        <v/>
      </c>
      <c r="H18" s="916" t="str">
        <v/>
      </c>
      <c r="I18" s="916" t="str">
        <v/>
      </c>
      <c r="J18" s="917">
        <v>0.9</v>
      </c>
      <c r="L18" s="500" t="str">
        <f t="shared" si="0"/>
        <v>x</v>
      </c>
      <c r="M18" s="908">
        <f t="shared" si="1"/>
        <v>18</v>
      </c>
      <c r="N18" s="908">
        <f t="shared" si="2"/>
        <v>21</v>
      </c>
      <c r="O18" s="504" t="str">
        <f t="shared" si="3"/>
        <v>x</v>
      </c>
      <c r="P18" s="503">
        <f t="array" ref="P18">[1]!LLReg(L18:O18,$R$4:$U$7,$R$10:$U$10)</f>
        <v>12.738657680100186</v>
      </c>
      <c r="R18" t="s">
        <v>2039</v>
      </c>
      <c r="AC18" s="826"/>
      <c r="AD18" s="826" t="s">
        <v>1592</v>
      </c>
      <c r="AE18" s="826" t="s">
        <v>1000</v>
      </c>
      <c r="AF18" s="826" t="s">
        <v>61</v>
      </c>
      <c r="AG18" s="826" t="s">
        <v>67</v>
      </c>
      <c r="AH18" s="826" t="s">
        <v>29</v>
      </c>
      <c r="AI18" s="826" t="s">
        <v>30</v>
      </c>
    </row>
    <row r="19" spans="1:35" x14ac:dyDescent="0.25">
      <c r="A19" s="578">
        <v>16</v>
      </c>
      <c r="B19" s="25">
        <v>23</v>
      </c>
      <c r="C19" s="25">
        <v>21</v>
      </c>
      <c r="D19" s="602">
        <v>34</v>
      </c>
      <c r="L19" s="500">
        <f t="shared" si="0"/>
        <v>16</v>
      </c>
      <c r="M19" s="908">
        <f t="shared" si="1"/>
        <v>23</v>
      </c>
      <c r="N19" s="908">
        <f t="shared" si="2"/>
        <v>21</v>
      </c>
      <c r="O19" s="504">
        <f t="shared" si="3"/>
        <v>34</v>
      </c>
      <c r="P19" s="503">
        <f t="array" ref="P19">[1]!LLReg(L19:O19,$R$4:$U$7,$R$10:$U$10)</f>
        <v>23.723043875843977</v>
      </c>
      <c r="R19" s="803">
        <f>AVERAGE(L4:L23)</f>
        <v>16.133333333333333</v>
      </c>
      <c r="S19" s="720">
        <f>AVERAGE(M4:M23)</f>
        <v>34.411764705882355</v>
      </c>
      <c r="T19" s="720">
        <f>AVERAGE(N4:N23)</f>
        <v>21.0625</v>
      </c>
      <c r="U19" s="804">
        <f>AVERAGE(O4:O23)</f>
        <v>47.722222222222221</v>
      </c>
      <c r="AC19" t="str">
        <f t="array" ref="AC19:AC22">Y5:Y8</f>
        <v>Intercept</v>
      </c>
      <c r="AD19">
        <f>Z5</f>
        <v>27.117920276590311</v>
      </c>
    </row>
    <row r="20" spans="1:35" x14ac:dyDescent="0.25">
      <c r="A20" s="578">
        <v>27</v>
      </c>
      <c r="B20" s="25">
        <v>26</v>
      </c>
      <c r="C20" s="25">
        <v>23</v>
      </c>
      <c r="D20" s="602">
        <v>59</v>
      </c>
      <c r="L20" s="500">
        <f t="shared" si="0"/>
        <v>27</v>
      </c>
      <c r="M20" s="908">
        <f t="shared" si="1"/>
        <v>26</v>
      </c>
      <c r="N20" s="908">
        <f t="shared" si="2"/>
        <v>23</v>
      </c>
      <c r="O20" s="504">
        <f t="shared" si="3"/>
        <v>59</v>
      </c>
      <c r="P20" s="503">
        <f t="array" ref="P20">[1]!LLReg(L20:O20,$R$4:$U$7,$R$10:$U$10)</f>
        <v>29.962059656301875</v>
      </c>
      <c r="AC20" t="str">
        <v>read</v>
      </c>
      <c r="AD20">
        <f t="array" ref="AD20:AD22">Z6:Z8</f>
        <v>0.53194171155368186</v>
      </c>
      <c r="AE20">
        <f t="array" ref="AE20:AE22">SQRT([1]!DIAG(Y12:AA14))*AD9</f>
        <v>0.36843776038220016</v>
      </c>
      <c r="AF20">
        <f>AD20/AE20</f>
        <v>1.4437763138117827</v>
      </c>
      <c r="AG20">
        <f>TDIST(ABS(AF20),$AD$15,2)</f>
        <v>0.16809724693718128</v>
      </c>
      <c r="AH20">
        <f>AD20-TINV(AH$12,$AD$15)*AE20</f>
        <v>-0.24911144911375527</v>
      </c>
      <c r="AI20">
        <f>AD20+TINV(AH$12,$AD$15)*AE20</f>
        <v>1.3129948722211191</v>
      </c>
    </row>
    <row r="21" spans="1:35" x14ac:dyDescent="0.25">
      <c r="A21" s="578">
        <v>17</v>
      </c>
      <c r="B21" s="25" t="s">
        <v>4</v>
      </c>
      <c r="C21" s="25" t="s">
        <v>4</v>
      </c>
      <c r="D21" s="602">
        <v>35</v>
      </c>
      <c r="L21" s="500">
        <f t="shared" si="0"/>
        <v>17</v>
      </c>
      <c r="M21" s="908" t="str">
        <f t="shared" si="1"/>
        <v>x</v>
      </c>
      <c r="N21" s="908" t="str">
        <f t="shared" si="2"/>
        <v>x</v>
      </c>
      <c r="O21" s="504">
        <f t="shared" si="3"/>
        <v>35</v>
      </c>
      <c r="P21" s="503">
        <f t="array" ref="P21">[1]!LLReg(L21:O21,$R$4:$U$7,$R$10:$U$10)</f>
        <v>13.616563155176761</v>
      </c>
      <c r="AC21" t="str">
        <v>science</v>
      </c>
      <c r="AD21">
        <v>0.47270314270332053</v>
      </c>
      <c r="AE21">
        <v>0.13798033320383621</v>
      </c>
      <c r="AF21">
        <f>AD21/AE21</f>
        <v>3.4258733235917287</v>
      </c>
      <c r="AG21">
        <f>TDIST(ABS(AF21),$AD$15,2)</f>
        <v>3.4656648784675624E-3</v>
      </c>
      <c r="AH21">
        <f>AD21-TINV(AH$12,$AD$15)*AE21</f>
        <v>0.18019790315619366</v>
      </c>
      <c r="AI21">
        <f>AD21+TINV(AH$12,$AD$15)*AE21</f>
        <v>0.76520838225044741</v>
      </c>
    </row>
    <row r="22" spans="1:35" x14ac:dyDescent="0.25">
      <c r="A22" s="578">
        <v>13</v>
      </c>
      <c r="B22" s="25">
        <v>21</v>
      </c>
      <c r="C22" s="25">
        <v>20</v>
      </c>
      <c r="D22" s="602">
        <v>48</v>
      </c>
      <c r="L22" s="500">
        <f t="shared" si="0"/>
        <v>13</v>
      </c>
      <c r="M22" s="908">
        <f t="shared" si="1"/>
        <v>21</v>
      </c>
      <c r="N22" s="908">
        <f t="shared" si="2"/>
        <v>20</v>
      </c>
      <c r="O22" s="504">
        <f t="shared" si="3"/>
        <v>48</v>
      </c>
      <c r="P22" s="503">
        <f t="array" ref="P22">[1]!LLReg(L22:O22,$R$4:$U$7,$R$10:$U$10)</f>
        <v>24.622593328067573</v>
      </c>
      <c r="AC22" s="762" t="str">
        <v>math</v>
      </c>
      <c r="AD22" s="762">
        <v>-0.19745362244914699</v>
      </c>
      <c r="AE22" s="762">
        <v>0.55914718649269946</v>
      </c>
      <c r="AF22" s="762">
        <f>AD22/AE22</f>
        <v>-0.35313353481699949</v>
      </c>
      <c r="AG22" s="762">
        <f>TDIST(ABS(AF22),$AD$15,2)</f>
        <v>0.72859787861881964</v>
      </c>
      <c r="AH22" s="762">
        <f>AD22-TINV(AH$12,$AD$15)*AE22</f>
        <v>-1.3827927061396759</v>
      </c>
      <c r="AI22" s="762">
        <f>AD22+TINV(AH$12,$AD$15)*AE22</f>
        <v>0.98788546124138188</v>
      </c>
    </row>
    <row r="23" spans="1:35" x14ac:dyDescent="0.25">
      <c r="A23" s="877">
        <v>11</v>
      </c>
      <c r="B23" s="880">
        <v>51</v>
      </c>
      <c r="C23" s="880">
        <v>18</v>
      </c>
      <c r="D23" s="878">
        <v>54</v>
      </c>
      <c r="L23" s="817">
        <f t="shared" si="0"/>
        <v>11</v>
      </c>
      <c r="M23" s="892">
        <f t="shared" si="1"/>
        <v>51</v>
      </c>
      <c r="N23" s="892">
        <f t="shared" si="2"/>
        <v>18</v>
      </c>
      <c r="O23" s="818">
        <f t="shared" si="3"/>
        <v>54</v>
      </c>
      <c r="P23" s="420">
        <f t="array" ref="P23">[1]!LLReg(L23:O23,$R$4:$U$7,$R$10:$U$10)</f>
        <v>26.384941719070866</v>
      </c>
    </row>
    <row r="24" spans="1:35" x14ac:dyDescent="0.25">
      <c r="P24">
        <f>SUM(P4:P23)</f>
        <v>405.75690491594577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M24"/>
  <sheetViews>
    <sheetView workbookViewId="0"/>
  </sheetViews>
  <sheetFormatPr defaultRowHeight="15" x14ac:dyDescent="0.25"/>
  <sheetData>
    <row r="1" spans="1:13" x14ac:dyDescent="0.25">
      <c r="A1" s="1" t="s">
        <v>2031</v>
      </c>
    </row>
    <row r="3" spans="1:13" x14ac:dyDescent="0.25">
      <c r="A3" s="903" t="s">
        <v>1983</v>
      </c>
      <c r="B3" s="903" t="s">
        <v>1964</v>
      </c>
      <c r="C3" s="903" t="s">
        <v>1963</v>
      </c>
      <c r="D3" s="903" t="s">
        <v>1984</v>
      </c>
      <c r="E3" s="902" t="s">
        <v>2040</v>
      </c>
      <c r="G3" t="s">
        <v>1561</v>
      </c>
      <c r="L3" s="873" t="s">
        <v>2028</v>
      </c>
      <c r="M3" t="s">
        <v>2032</v>
      </c>
    </row>
    <row r="4" spans="1:13" x14ac:dyDescent="0.25">
      <c r="A4" s="875">
        <v>12</v>
      </c>
      <c r="B4" s="881">
        <v>27</v>
      </c>
      <c r="C4" s="881">
        <v>19</v>
      </c>
      <c r="D4" s="876">
        <v>44</v>
      </c>
      <c r="E4" s="868">
        <f t="array" ref="E4">[1]!LLReg(A4:D4,$G$4:$J$7,$G$10:$J$10)</f>
        <v>21.221346664225884</v>
      </c>
      <c r="G4" s="869">
        <f>L4</f>
        <v>17.989473684210537</v>
      </c>
      <c r="H4" s="867">
        <f>G5</f>
        <v>-1.6947368421052631</v>
      </c>
      <c r="I4" s="867">
        <f>G6</f>
        <v>6.6947368421052618</v>
      </c>
      <c r="J4" s="870">
        <f>G7</f>
        <v>10.89473684210526</v>
      </c>
      <c r="L4" s="868">
        <f>G13</f>
        <v>17.989473684210537</v>
      </c>
      <c r="M4" s="868">
        <f>L4</f>
        <v>17.989473684210537</v>
      </c>
    </row>
    <row r="5" spans="1:13" x14ac:dyDescent="0.25">
      <c r="A5" s="578">
        <v>11</v>
      </c>
      <c r="B5" s="25">
        <v>30</v>
      </c>
      <c r="C5" s="25">
        <v>13</v>
      </c>
      <c r="D5" s="602">
        <v>43</v>
      </c>
      <c r="E5" s="503">
        <f t="array" ref="E5">[1]!LLReg(A5:D5,$G$4:$J$7,$G$10:$J$10)</f>
        <v>27.766712693971456</v>
      </c>
      <c r="G5" s="532">
        <f>L5</f>
        <v>-1.6947368421052631</v>
      </c>
      <c r="H5" s="7">
        <f>L8</f>
        <v>130.88421052631574</v>
      </c>
      <c r="I5" s="7">
        <f>H6</f>
        <v>11.063157894736843</v>
      </c>
      <c r="J5" s="533">
        <f>H7</f>
        <v>61.789473684210513</v>
      </c>
      <c r="L5" s="503">
        <f>G14</f>
        <v>-1.6947368421052631</v>
      </c>
      <c r="M5" s="503">
        <f>SQRT(L4*L8)-ABS(L5)</f>
        <v>46.828845681672071</v>
      </c>
    </row>
    <row r="6" spans="1:13" x14ac:dyDescent="0.25">
      <c r="A6" s="578">
        <v>16</v>
      </c>
      <c r="B6" s="25">
        <v>56</v>
      </c>
      <c r="C6" s="25">
        <v>23</v>
      </c>
      <c r="D6" s="602">
        <v>60</v>
      </c>
      <c r="E6" s="503">
        <f t="array" ref="E6">[1]!LLReg(A6:D6,$G$4:$J$7,$G$10:$J$10)</f>
        <v>24.300076352907386</v>
      </c>
      <c r="G6" s="532">
        <f>L6</f>
        <v>6.6947368421052618</v>
      </c>
      <c r="H6" s="7">
        <f>L9</f>
        <v>11.063157894736843</v>
      </c>
      <c r="I6" s="7">
        <f>L11</f>
        <v>9.1473684210525938</v>
      </c>
      <c r="J6" s="533">
        <f>I7</f>
        <v>9.4210526315789469</v>
      </c>
      <c r="L6" s="503">
        <f>G15</f>
        <v>6.6947368421052618</v>
      </c>
      <c r="M6" s="503">
        <f>SQRT(L4*L11)-ABS(L6)</f>
        <v>6.1332148061628322</v>
      </c>
    </row>
    <row r="7" spans="1:13" x14ac:dyDescent="0.25">
      <c r="A7" s="578">
        <v>15</v>
      </c>
      <c r="B7" s="25">
        <v>37</v>
      </c>
      <c r="C7" s="25">
        <v>19</v>
      </c>
      <c r="D7" s="602">
        <v>52</v>
      </c>
      <c r="E7" s="503">
        <f t="array" ref="E7">[1]!LLReg(A7:D7,$G$4:$J$7,$G$10:$J$10)</f>
        <v>21.446772707288133</v>
      </c>
      <c r="G7" s="409">
        <f>L7</f>
        <v>10.89473684210526</v>
      </c>
      <c r="H7" s="762">
        <f>L10</f>
        <v>61.789473684210513</v>
      </c>
      <c r="I7" s="762">
        <f>L12</f>
        <v>9.4210526315789469</v>
      </c>
      <c r="J7" s="417">
        <f>L13</f>
        <v>58.315789473684212</v>
      </c>
      <c r="L7" s="420">
        <f>G16</f>
        <v>10.89473684210526</v>
      </c>
      <c r="M7" s="420">
        <f>SQRT(L4*L13)-ABS(L7)</f>
        <v>21.494618818525041</v>
      </c>
    </row>
    <row r="8" spans="1:13" x14ac:dyDescent="0.25">
      <c r="A8" s="578">
        <v>10</v>
      </c>
      <c r="B8" s="25">
        <v>31</v>
      </c>
      <c r="C8" s="25">
        <v>21</v>
      </c>
      <c r="D8" s="602">
        <v>44</v>
      </c>
      <c r="E8" s="503">
        <f t="array" ref="E8">[1]!LLReg(A8:D8,$G$4:$J$7,$G$10:$J$10)</f>
        <v>22.912539175825557</v>
      </c>
      <c r="L8" s="868">
        <f>H14</f>
        <v>130.88421052631574</v>
      </c>
      <c r="M8" s="868">
        <f>L8</f>
        <v>130.88421052631574</v>
      </c>
    </row>
    <row r="9" spans="1:13" x14ac:dyDescent="0.25">
      <c r="A9" s="578">
        <v>18</v>
      </c>
      <c r="B9" s="25">
        <v>40</v>
      </c>
      <c r="C9" s="25">
        <v>22</v>
      </c>
      <c r="D9" s="602">
        <v>43</v>
      </c>
      <c r="E9" s="503">
        <f t="array" ref="E9">[1]!LLReg(A9:D9,$G$4:$J$7,$G$10:$J$10)</f>
        <v>24.47926595788071</v>
      </c>
      <c r="G9" t="s">
        <v>2026</v>
      </c>
      <c r="L9" s="503">
        <f>H15</f>
        <v>11.063157894736843</v>
      </c>
      <c r="M9" s="503">
        <f>SQRT(L8*L11)-ABS(L9)</f>
        <v>23.538086218485734</v>
      </c>
    </row>
    <row r="10" spans="1:13" x14ac:dyDescent="0.25">
      <c r="A10" s="578">
        <v>15</v>
      </c>
      <c r="B10" s="25">
        <v>50</v>
      </c>
      <c r="C10" s="25">
        <v>28</v>
      </c>
      <c r="D10" s="602">
        <v>56</v>
      </c>
      <c r="E10" s="503">
        <f t="array" ref="E10">[1]!LLReg(A10:D10,$G$4:$J$7,$G$10:$J$10)</f>
        <v>28.115759558664834</v>
      </c>
      <c r="G10" s="609">
        <f>L14</f>
        <v>15.9</v>
      </c>
      <c r="H10" s="590">
        <f>L15</f>
        <v>32.4</v>
      </c>
      <c r="I10" s="590">
        <f>L16</f>
        <v>21.1</v>
      </c>
      <c r="J10" s="610">
        <f>L17</f>
        <v>47</v>
      </c>
      <c r="L10" s="420">
        <f>H16</f>
        <v>61.789473684210513</v>
      </c>
      <c r="M10" s="420">
        <f>SQRT(L8*L13)-ABS(L10)</f>
        <v>25.57537088431139</v>
      </c>
    </row>
    <row r="11" spans="1:13" x14ac:dyDescent="0.25">
      <c r="A11" s="578">
        <v>21</v>
      </c>
      <c r="B11" s="25">
        <v>21</v>
      </c>
      <c r="C11" s="25">
        <v>23</v>
      </c>
      <c r="D11" s="602">
        <v>46</v>
      </c>
      <c r="E11" s="503">
        <f t="array" ref="E11">[1]!LLReg(A11:D11,$G$4:$J$7,$G$10:$J$10)</f>
        <v>22.503940750597067</v>
      </c>
      <c r="L11" s="503">
        <f>I15</f>
        <v>9.1473684210525938</v>
      </c>
      <c r="M11" s="868">
        <f>L11</f>
        <v>9.1473684210525938</v>
      </c>
    </row>
    <row r="12" spans="1:13" x14ac:dyDescent="0.25">
      <c r="A12" s="578">
        <v>20</v>
      </c>
      <c r="B12" s="25">
        <v>39</v>
      </c>
      <c r="C12" s="25">
        <v>25</v>
      </c>
      <c r="D12" s="602">
        <v>51</v>
      </c>
      <c r="E12" s="503">
        <f t="array" ref="E12">[1]!LLReg(A12:D12,$G$4:$J$7,$G$10:$J$10)</f>
        <v>21.905379235840307</v>
      </c>
      <c r="G12" t="s">
        <v>2025</v>
      </c>
      <c r="L12" s="420">
        <f>I16</f>
        <v>9.4210526315789469</v>
      </c>
      <c r="M12" s="420">
        <f>SQRT(L11*L13)-ABS(L12)</f>
        <v>13.675181067453677</v>
      </c>
    </row>
    <row r="13" spans="1:13" x14ac:dyDescent="0.25">
      <c r="A13" s="578">
        <v>18</v>
      </c>
      <c r="B13" s="25">
        <v>36</v>
      </c>
      <c r="C13" s="25">
        <v>23</v>
      </c>
      <c r="D13" s="602">
        <v>56</v>
      </c>
      <c r="E13" s="503">
        <f t="array" ref="E13">[1]!LLReg(A13:D13,$G$4:$J$7,$G$10:$J$10)</f>
        <v>22.010068865391414</v>
      </c>
      <c r="G13" s="869">
        <f t="array" ref="G13:J16">[1]!COV(A4:D23,FALSE)</f>
        <v>17.989473684210537</v>
      </c>
      <c r="H13" s="867">
        <v>-1.6947368421052631</v>
      </c>
      <c r="I13" s="867">
        <v>6.6947368421052618</v>
      </c>
      <c r="J13" s="870">
        <v>10.89473684210526</v>
      </c>
      <c r="L13" s="420">
        <f>J16</f>
        <v>58.315789473684212</v>
      </c>
      <c r="M13" s="417">
        <f>L13</f>
        <v>58.315789473684212</v>
      </c>
    </row>
    <row r="14" spans="1:13" x14ac:dyDescent="0.25">
      <c r="A14" s="578">
        <v>13</v>
      </c>
      <c r="B14" s="25">
        <v>27</v>
      </c>
      <c r="C14" s="25">
        <v>21</v>
      </c>
      <c r="D14" s="602">
        <v>39</v>
      </c>
      <c r="E14" s="503">
        <f t="array" ref="E14">[1]!LLReg(A14:D14,$G$4:$J$7,$G$10:$J$10)</f>
        <v>21.568964338982916</v>
      </c>
      <c r="G14" s="532">
        <v>-1.6947368421052631</v>
      </c>
      <c r="H14" s="7">
        <v>130.88421052631574</v>
      </c>
      <c r="I14" s="7">
        <v>11.063157894736843</v>
      </c>
      <c r="J14" s="533">
        <v>61.789473684210513</v>
      </c>
      <c r="L14" s="868">
        <f t="array" ref="L14:L17">TRANSPOSE(G19:J19)</f>
        <v>15.9</v>
      </c>
    </row>
    <row r="15" spans="1:13" x14ac:dyDescent="0.25">
      <c r="A15" s="578">
        <v>14</v>
      </c>
      <c r="B15" s="25">
        <v>32</v>
      </c>
      <c r="C15" s="25">
        <v>20</v>
      </c>
      <c r="D15" s="602">
        <v>46</v>
      </c>
      <c r="E15" s="503">
        <f t="array" ref="E15">[1]!LLReg(A15:D15,$G$4:$J$7,$G$10:$J$10)</f>
        <v>20.139922024669833</v>
      </c>
      <c r="G15" s="532">
        <v>6.6947368421052618</v>
      </c>
      <c r="H15" s="7">
        <v>11.063157894736843</v>
      </c>
      <c r="I15" s="7">
        <v>9.1473684210525938</v>
      </c>
      <c r="J15" s="533">
        <v>9.4210526315789469</v>
      </c>
      <c r="L15" s="503">
        <v>32.4</v>
      </c>
    </row>
    <row r="16" spans="1:13" x14ac:dyDescent="0.25">
      <c r="A16" s="578">
        <v>22</v>
      </c>
      <c r="B16" s="25">
        <v>40</v>
      </c>
      <c r="C16" s="25">
        <v>23</v>
      </c>
      <c r="D16" s="602">
        <v>49</v>
      </c>
      <c r="E16" s="503">
        <f t="array" ref="E16">[1]!LLReg(A16:D16,$G$4:$J$7,$G$10:$J$10)</f>
        <v>24.198625865037123</v>
      </c>
      <c r="G16" s="409">
        <v>10.89473684210526</v>
      </c>
      <c r="H16" s="762">
        <v>61.789473684210513</v>
      </c>
      <c r="I16" s="762">
        <v>9.4210526315789469</v>
      </c>
      <c r="J16" s="417">
        <v>58.315789473684212</v>
      </c>
      <c r="L16" s="503">
        <v>21.1</v>
      </c>
    </row>
    <row r="17" spans="1:12" x14ac:dyDescent="0.25">
      <c r="A17" s="578">
        <v>16</v>
      </c>
      <c r="B17" s="25">
        <v>31</v>
      </c>
      <c r="C17" s="25">
        <v>20</v>
      </c>
      <c r="D17" s="602">
        <v>44</v>
      </c>
      <c r="E17" s="503">
        <f t="array" ref="E17">[1]!LLReg(A17:D17,$G$4:$J$7,$G$10:$J$10)</f>
        <v>20.382364618745143</v>
      </c>
      <c r="L17" s="420">
        <v>47</v>
      </c>
    </row>
    <row r="18" spans="1:12" x14ac:dyDescent="0.25">
      <c r="A18" s="578">
        <v>13</v>
      </c>
      <c r="B18" s="25">
        <v>18</v>
      </c>
      <c r="C18" s="25">
        <v>21</v>
      </c>
      <c r="D18" s="602">
        <v>37</v>
      </c>
      <c r="E18" s="503">
        <f t="array" ref="E18">[1]!LLReg(A18:D18,$G$4:$J$7,$G$10:$J$10)</f>
        <v>23.013940237055706</v>
      </c>
      <c r="G18" t="s">
        <v>2027</v>
      </c>
    </row>
    <row r="19" spans="1:12" x14ac:dyDescent="0.25">
      <c r="A19" s="578">
        <v>16</v>
      </c>
      <c r="B19" s="25">
        <v>23</v>
      </c>
      <c r="C19" s="25">
        <v>21</v>
      </c>
      <c r="D19" s="602">
        <v>34</v>
      </c>
      <c r="E19" s="503">
        <f t="array" ref="E19">[1]!LLReg(A19:D19,$G$4:$J$7,$G$10:$J$10)</f>
        <v>24.041280450380476</v>
      </c>
      <c r="G19" s="609">
        <f>AVERAGE(A4:A23)</f>
        <v>15.9</v>
      </c>
      <c r="H19" s="590">
        <f>AVERAGE(B4:B23)</f>
        <v>32.4</v>
      </c>
      <c r="I19" s="590">
        <f>AVERAGE(C4:C23)</f>
        <v>21.1</v>
      </c>
      <c r="J19" s="610">
        <f>AVERAGE(D4:D23)</f>
        <v>47</v>
      </c>
    </row>
    <row r="20" spans="1:12" x14ac:dyDescent="0.25">
      <c r="A20" s="578">
        <v>27</v>
      </c>
      <c r="B20" s="25">
        <v>26</v>
      </c>
      <c r="C20" s="25">
        <v>23</v>
      </c>
      <c r="D20" s="602">
        <v>59</v>
      </c>
      <c r="E20" s="503">
        <f t="array" ref="E20">[1]!LLReg(A20:D20,$G$4:$J$7,$G$10:$J$10)</f>
        <v>30.329730671119805</v>
      </c>
    </row>
    <row r="21" spans="1:12" x14ac:dyDescent="0.25">
      <c r="A21" s="578">
        <v>17</v>
      </c>
      <c r="B21" s="25">
        <v>12</v>
      </c>
      <c r="C21" s="25">
        <v>19</v>
      </c>
      <c r="D21" s="602">
        <v>35</v>
      </c>
      <c r="E21" s="503">
        <f t="array" ref="E21">[1]!LLReg(A21:D21,$G$4:$J$7,$G$10:$J$10)</f>
        <v>23.615150749137733</v>
      </c>
      <c r="G21" t="s">
        <v>2036</v>
      </c>
    </row>
    <row r="22" spans="1:12" x14ac:dyDescent="0.25">
      <c r="A22" s="578">
        <v>13</v>
      </c>
      <c r="B22" s="25">
        <v>21</v>
      </c>
      <c r="C22" s="25">
        <v>20</v>
      </c>
      <c r="D22" s="602">
        <v>48</v>
      </c>
      <c r="E22" s="503">
        <f t="array" ref="E22">[1]!LLReg(A22:D22,$G$4:$J$7,$G$10:$J$10)</f>
        <v>24.892110416457761</v>
      </c>
      <c r="G22" s="609">
        <f>COUNT(A4:A23)</f>
        <v>20</v>
      </c>
      <c r="H22" s="590">
        <f>COUNT(B4:B23)</f>
        <v>20</v>
      </c>
      <c r="I22" s="590">
        <f>COUNT(C4:C23)</f>
        <v>20</v>
      </c>
      <c r="J22" s="610">
        <f>COUNT(D4:D23)</f>
        <v>20</v>
      </c>
    </row>
    <row r="23" spans="1:12" x14ac:dyDescent="0.25">
      <c r="A23" s="877">
        <v>11</v>
      </c>
      <c r="B23" s="880">
        <v>51</v>
      </c>
      <c r="C23" s="880">
        <v>18</v>
      </c>
      <c r="D23" s="878">
        <v>54</v>
      </c>
      <c r="E23" s="420">
        <f t="array" ref="E23">[1]!LLReg(A23:D23,$G$4:$J$7,$G$10:$J$10)</f>
        <v>25.315959540106263</v>
      </c>
    </row>
    <row r="24" spans="1:12" x14ac:dyDescent="0.25">
      <c r="E24">
        <f>SUM(E4:E23)</f>
        <v>474.15991087428552</v>
      </c>
    </row>
  </sheetData>
  <pageMargins left="0.7" right="0.7" top="0.75" bottom="0.75" header="0.3" footer="0.3"/>
  <ignoredErrors>
    <ignoredError sqref="M12" formula="1"/>
  </ignoredError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AG31"/>
  <sheetViews>
    <sheetView workbookViewId="0"/>
  </sheetViews>
  <sheetFormatPr defaultRowHeight="15" x14ac:dyDescent="0.25"/>
  <cols>
    <col min="19" max="19" width="18" customWidth="1"/>
    <col min="27" max="27" width="17" customWidth="1"/>
  </cols>
  <sheetData>
    <row r="1" spans="1:33" x14ac:dyDescent="0.25">
      <c r="A1" s="1" t="s">
        <v>2033</v>
      </c>
    </row>
    <row r="3" spans="1:33" x14ac:dyDescent="0.25">
      <c r="A3" s="903" t="s">
        <v>1983</v>
      </c>
      <c r="B3" s="903" t="s">
        <v>1964</v>
      </c>
      <c r="C3" s="903" t="s">
        <v>1963</v>
      </c>
      <c r="D3" s="903" t="s">
        <v>1984</v>
      </c>
      <c r="E3" s="902" t="s">
        <v>2040</v>
      </c>
      <c r="G3" t="s">
        <v>1561</v>
      </c>
      <c r="L3" s="903" t="s">
        <v>2028</v>
      </c>
      <c r="M3" t="s">
        <v>2032</v>
      </c>
      <c r="O3" t="s">
        <v>2034</v>
      </c>
      <c r="S3" t="s">
        <v>2046</v>
      </c>
      <c r="AA3" t="s">
        <v>2045</v>
      </c>
    </row>
    <row r="4" spans="1:33" x14ac:dyDescent="0.25">
      <c r="A4" s="875">
        <v>12</v>
      </c>
      <c r="B4" s="881">
        <v>27</v>
      </c>
      <c r="C4" s="881">
        <v>19</v>
      </c>
      <c r="D4" s="876">
        <v>44</v>
      </c>
      <c r="E4" s="868">
        <f>[1]!LLReg(A4:D4,$G$4:$J$7,$G$10:$J$10)</f>
        <v>21.085211945748256</v>
      </c>
      <c r="G4" s="869">
        <f>L4</f>
        <v>17.089889071593699</v>
      </c>
      <c r="H4" s="867">
        <f>G5</f>
        <v>-1.6098580530537256</v>
      </c>
      <c r="I4" s="867">
        <f>G6</f>
        <v>6.3599764446213713</v>
      </c>
      <c r="J4" s="870">
        <f>G7</f>
        <v>10.349924432711751</v>
      </c>
      <c r="L4" s="868">
        <v>17.089889071593699</v>
      </c>
      <c r="M4" s="868">
        <f>L4</f>
        <v>17.089889071593699</v>
      </c>
    </row>
    <row r="5" spans="1:33" ht="15.75" thickBot="1" x14ac:dyDescent="0.3">
      <c r="A5" s="578">
        <v>11</v>
      </c>
      <c r="B5" s="25">
        <v>30</v>
      </c>
      <c r="C5" s="25">
        <v>13</v>
      </c>
      <c r="D5" s="602">
        <v>43</v>
      </c>
      <c r="E5" s="503">
        <f>[1]!LLReg(A5:D5,$G$4:$J$7,$G$10:$J$10)</f>
        <v>27.975059442381976</v>
      </c>
      <c r="G5" s="532">
        <f>L5</f>
        <v>-1.6098580530537256</v>
      </c>
      <c r="H5" s="7">
        <f>L8</f>
        <v>124.33709405134971</v>
      </c>
      <c r="I5" s="7">
        <f>H6</f>
        <v>10.509684350937441</v>
      </c>
      <c r="J5" s="533">
        <f>H7</f>
        <v>58.698291193444597</v>
      </c>
      <c r="L5" s="503">
        <v>-1.6098580530537256</v>
      </c>
      <c r="M5" s="503">
        <f>SQRT(L4*L8)-ABS(L5)</f>
        <v>44.486857066593132</v>
      </c>
      <c r="P5" t="s">
        <v>400</v>
      </c>
      <c r="Q5" s="868">
        <f>-MMULT(G10:J10,Q6:Q9)</f>
        <v>21.629184964866834</v>
      </c>
      <c r="S5" s="743" t="s">
        <v>1598</v>
      </c>
      <c r="T5" s="743"/>
      <c r="AA5" s="743" t="s">
        <v>1598</v>
      </c>
      <c r="AB5" s="743"/>
    </row>
    <row r="6" spans="1:33" ht="15.75" thickTop="1" x14ac:dyDescent="0.25">
      <c r="A6" s="578">
        <v>16</v>
      </c>
      <c r="B6" s="25">
        <v>56</v>
      </c>
      <c r="C6" s="25">
        <v>23</v>
      </c>
      <c r="D6" s="602">
        <v>60</v>
      </c>
      <c r="E6" s="503">
        <f>[1]!LLReg(A6:D6,$G$4:$J$7,$G$10:$J$10)</f>
        <v>24.326247733992279</v>
      </c>
      <c r="G6" s="532">
        <f>L6</f>
        <v>6.3599764446213713</v>
      </c>
      <c r="H6" s="7">
        <f>L9</f>
        <v>10.509684350937441</v>
      </c>
      <c r="I6" s="7">
        <f>L11</f>
        <v>8.6899329067307782</v>
      </c>
      <c r="J6" s="533">
        <f>I7</f>
        <v>8.9497550915703616</v>
      </c>
      <c r="L6" s="503">
        <v>6.3599764446213713</v>
      </c>
      <c r="M6" s="503">
        <f>SQRT(L4*L11)-ABS(L6)</f>
        <v>5.826491026127516</v>
      </c>
      <c r="P6" t="str">
        <f t="array" ref="P6:P8">TRANSPOSE(A3:C3)</f>
        <v>read</v>
      </c>
      <c r="Q6" s="503">
        <f t="array" ref="Q6:Q8">MMULT(MINVERSE(G4:I6),J4:J6)</f>
        <v>0.66801415090768601</v>
      </c>
      <c r="S6" t="s">
        <v>292</v>
      </c>
      <c r="T6">
        <f>SQRT(T7)</f>
        <v>0.79431396979739799</v>
      </c>
      <c r="AA6" t="s">
        <v>292</v>
      </c>
      <c r="AB6">
        <f>SQRT(AB7)</f>
        <v>0.79431672655930907</v>
      </c>
    </row>
    <row r="7" spans="1:33" x14ac:dyDescent="0.25">
      <c r="A7" s="578">
        <v>15</v>
      </c>
      <c r="B7" s="25">
        <v>37</v>
      </c>
      <c r="C7" s="25">
        <v>19</v>
      </c>
      <c r="D7" s="602">
        <v>52</v>
      </c>
      <c r="E7" s="503">
        <f>[1]!LLReg(A7:D7,$G$4:$J$7,$G$10:$J$10)</f>
        <v>21.322568149767406</v>
      </c>
      <c r="G7" s="409">
        <f>L7</f>
        <v>10.349924432711751</v>
      </c>
      <c r="H7" s="762">
        <f>L10</f>
        <v>58.698291193444597</v>
      </c>
      <c r="I7" s="762">
        <f>L12</f>
        <v>8.9497550915703616</v>
      </c>
      <c r="J7" s="417">
        <f>L13</f>
        <v>55.398851433720949</v>
      </c>
      <c r="L7" s="420">
        <v>10.349924432711751</v>
      </c>
      <c r="M7" s="420">
        <f>SQRT(L4*L13)-ABS(L7)</f>
        <v>20.419544618540833</v>
      </c>
      <c r="P7" t="str">
        <v>science</v>
      </c>
      <c r="Q7" s="503">
        <v>0.48454428261504684</v>
      </c>
      <c r="S7" t="s">
        <v>285</v>
      </c>
      <c r="T7">
        <f>SUMPRODUCT(J13:J15,Q6:Q8)/J16</f>
        <v>0.63093468261530172</v>
      </c>
      <c r="AA7" t="s">
        <v>285</v>
      </c>
      <c r="AB7">
        <f>AC14/AC16</f>
        <v>0.6309390620918961</v>
      </c>
    </row>
    <row r="8" spans="1:33" x14ac:dyDescent="0.25">
      <c r="A8" s="578">
        <v>10</v>
      </c>
      <c r="B8" s="25">
        <v>31</v>
      </c>
      <c r="C8" s="25">
        <v>21</v>
      </c>
      <c r="D8" s="602">
        <v>44</v>
      </c>
      <c r="E8" s="503">
        <f>[1]!LLReg(A8:D8,$G$4:$J$7,$G$10:$J$10)</f>
        <v>22.865438005937712</v>
      </c>
      <c r="L8" s="868">
        <v>124.33709405134971</v>
      </c>
      <c r="M8" s="868">
        <f>L8</f>
        <v>124.33709405134971</v>
      </c>
      <c r="P8" t="str">
        <v>math</v>
      </c>
      <c r="Q8" s="420">
        <v>-4.5018372570957865E-2</v>
      </c>
      <c r="S8" t="s">
        <v>293</v>
      </c>
      <c r="T8">
        <f>1-(1-T7)*(T10-1)/(T10-T14-1)</f>
        <v>0.56173493560567078</v>
      </c>
      <c r="AA8" t="s">
        <v>293</v>
      </c>
      <c r="AB8">
        <f>1-(1-AB7)*(AB10-1)/(AB10-AB14-1)</f>
        <v>0.56174013623412655</v>
      </c>
    </row>
    <row r="9" spans="1:33" x14ac:dyDescent="0.25">
      <c r="A9" s="578">
        <v>18</v>
      </c>
      <c r="B9" s="25">
        <v>40</v>
      </c>
      <c r="C9" s="25">
        <v>22</v>
      </c>
      <c r="D9" s="602">
        <v>43</v>
      </c>
      <c r="E9" s="503">
        <f>[1]!LLReg(A9:D9,$G$4:$J$7,$G$10:$J$10)</f>
        <v>24.514647813092683</v>
      </c>
      <c r="G9" t="s">
        <v>2026</v>
      </c>
      <c r="L9" s="503">
        <v>10.509684350937441</v>
      </c>
      <c r="M9" s="503">
        <f>SQRT(L8*L11)-ABS(L9)</f>
        <v>22.360986544620857</v>
      </c>
      <c r="Q9">
        <v>-1</v>
      </c>
      <c r="S9" t="s">
        <v>11</v>
      </c>
      <c r="T9">
        <f>SQRT(V15)</f>
        <v>5.0554696348499961</v>
      </c>
      <c r="AA9" t="s">
        <v>11</v>
      </c>
      <c r="AB9">
        <f>SQRT(AD15)</f>
        <v>5.0554396396491761</v>
      </c>
    </row>
    <row r="10" spans="1:33" ht="15" customHeight="1" x14ac:dyDescent="0.25">
      <c r="A10" s="578">
        <v>15</v>
      </c>
      <c r="B10" s="25">
        <v>50</v>
      </c>
      <c r="C10" s="25">
        <v>28</v>
      </c>
      <c r="D10" s="602">
        <v>56</v>
      </c>
      <c r="E10" s="503">
        <f>[1]!LLReg(A10:D10,$G$4:$J$7,$G$10:$J$10)</f>
        <v>28.342777268358066</v>
      </c>
      <c r="G10" s="609">
        <f>L14</f>
        <v>15.899921366693819</v>
      </c>
      <c r="H10" s="590">
        <f>L15</f>
        <v>32.399749616392405</v>
      </c>
      <c r="I10" s="590">
        <f>L16</f>
        <v>21.099928532015614</v>
      </c>
      <c r="J10" s="610">
        <f>L17</f>
        <v>46.999786427044917</v>
      </c>
      <c r="L10" s="420">
        <v>58.698291193444597</v>
      </c>
      <c r="M10" s="420">
        <f>SQRT(L8*L13)-ABS(L10)</f>
        <v>24.296480937402968</v>
      </c>
      <c r="S10" s="762" t="s">
        <v>81</v>
      </c>
      <c r="T10" s="762">
        <f>COUNTA(A4:A23)</f>
        <v>20</v>
      </c>
      <c r="AA10" s="762" t="s">
        <v>81</v>
      </c>
      <c r="AB10" s="762">
        <f>COUNT(D4:D23)</f>
        <v>20</v>
      </c>
    </row>
    <row r="11" spans="1:33" ht="15.75" customHeight="1" x14ac:dyDescent="0.25">
      <c r="A11" s="578">
        <v>21</v>
      </c>
      <c r="B11" s="25">
        <v>21</v>
      </c>
      <c r="C11" s="25">
        <v>23</v>
      </c>
      <c r="D11" s="602">
        <v>46</v>
      </c>
      <c r="E11" s="503">
        <f>[1]!LLReg(A11:D11,$G$4:$J$7,$G$10:$J$10)</f>
        <v>22.4354084743924</v>
      </c>
      <c r="L11" s="503">
        <v>8.6899329067307782</v>
      </c>
      <c r="M11" s="868">
        <f>L11</f>
        <v>8.6899329067307782</v>
      </c>
      <c r="O11" t="s">
        <v>2035</v>
      </c>
    </row>
    <row r="12" spans="1:33" ht="15.75" thickBot="1" x14ac:dyDescent="0.3">
      <c r="A12" s="578">
        <v>20</v>
      </c>
      <c r="B12" s="25">
        <v>39</v>
      </c>
      <c r="C12" s="25">
        <v>25</v>
      </c>
      <c r="D12" s="602">
        <v>51</v>
      </c>
      <c r="E12" s="503">
        <f>[1]!LLReg(A12:D12,$G$4:$J$7,$G$10:$J$10)</f>
        <v>21.805377538783347</v>
      </c>
      <c r="G12" t="s">
        <v>2025</v>
      </c>
      <c r="L12" s="420">
        <v>8.9497550915703616</v>
      </c>
      <c r="M12" s="420">
        <f>SQRT(L11*L13)-ABS(L12)</f>
        <v>12.991354772540459</v>
      </c>
      <c r="O12" s="869">
        <f t="array" ref="O12:Q14">MINVERSE(G13:I15)/(COUNTA(A4:A23)-1)</f>
        <v>4.2881150279077884E-3</v>
      </c>
      <c r="P12" s="867">
        <v>3.5732799984270315E-4</v>
      </c>
      <c r="Q12" s="870">
        <v>-3.5705326646536793E-3</v>
      </c>
      <c r="S12" t="s">
        <v>294</v>
      </c>
      <c r="W12" s="903" t="s">
        <v>34</v>
      </c>
      <c r="X12" s="903">
        <v>0.05</v>
      </c>
      <c r="AA12" t="s">
        <v>294</v>
      </c>
      <c r="AE12" s="903" t="s">
        <v>34</v>
      </c>
      <c r="AF12" s="903">
        <v>0.05</v>
      </c>
    </row>
    <row r="13" spans="1:33" ht="15.75" thickTop="1" x14ac:dyDescent="0.25">
      <c r="A13" s="578">
        <v>18</v>
      </c>
      <c r="B13" s="25">
        <v>36</v>
      </c>
      <c r="C13" s="25">
        <v>23</v>
      </c>
      <c r="D13" s="602">
        <v>56</v>
      </c>
      <c r="E13" s="503">
        <f>[1]!LLReg(A13:D13,$G$4:$J$7,$G$10:$J$10)</f>
        <v>21.915582664568205</v>
      </c>
      <c r="G13" s="905">
        <f t="array" ref="G13:J16">[1]!COV(A4:D23,FALSE)</f>
        <v>17.989473684210537</v>
      </c>
      <c r="H13" s="867">
        <v>-1.6947368421052631</v>
      </c>
      <c r="I13" s="867">
        <v>6.6947368421052618</v>
      </c>
      <c r="J13" s="870">
        <v>10.89473684210526</v>
      </c>
      <c r="L13" s="420">
        <v>55.398851433720949</v>
      </c>
      <c r="M13" s="417">
        <f>L13</f>
        <v>55.398851433720949</v>
      </c>
      <c r="O13" s="532">
        <v>3.5732799984270315E-4</v>
      </c>
      <c r="P13" s="7">
        <v>4.7768906819491635E-4</v>
      </c>
      <c r="Q13" s="533">
        <v>-8.3925410652798543E-4</v>
      </c>
      <c r="S13" s="826"/>
      <c r="T13" s="826" t="s">
        <v>60</v>
      </c>
      <c r="U13" s="826" t="s">
        <v>219</v>
      </c>
      <c r="V13" s="826" t="s">
        <v>240</v>
      </c>
      <c r="W13" s="826" t="s">
        <v>135</v>
      </c>
      <c r="X13" s="826" t="s">
        <v>67</v>
      </c>
      <c r="Y13" s="826" t="s">
        <v>527</v>
      </c>
      <c r="AA13" s="826"/>
      <c r="AB13" s="826" t="s">
        <v>60</v>
      </c>
      <c r="AC13" s="826" t="s">
        <v>219</v>
      </c>
      <c r="AD13" s="826" t="s">
        <v>240</v>
      </c>
      <c r="AE13" s="826" t="s">
        <v>135</v>
      </c>
      <c r="AF13" s="826" t="s">
        <v>67</v>
      </c>
      <c r="AG13" s="826" t="s">
        <v>527</v>
      </c>
    </row>
    <row r="14" spans="1:33" x14ac:dyDescent="0.25">
      <c r="A14" s="578">
        <v>13</v>
      </c>
      <c r="B14" s="25">
        <v>27</v>
      </c>
      <c r="C14" s="25">
        <v>21</v>
      </c>
      <c r="D14" s="602">
        <v>39</v>
      </c>
      <c r="E14" s="503">
        <f>[1]!LLReg(A14:D14,$G$4:$J$7,$G$10:$J$10)</f>
        <v>21.451137595838443</v>
      </c>
      <c r="G14" s="532">
        <v>-1.6947368421052631</v>
      </c>
      <c r="H14" s="7">
        <v>130.88421052631574</v>
      </c>
      <c r="I14" s="7">
        <v>11.063157894736843</v>
      </c>
      <c r="J14" s="533">
        <v>61.789473684210513</v>
      </c>
      <c r="L14" s="868">
        <v>15.899921366693819</v>
      </c>
      <c r="O14" s="409">
        <v>-3.5705326646536784E-3</v>
      </c>
      <c r="P14" s="762">
        <v>-8.3925410652798543E-4</v>
      </c>
      <c r="Q14" s="417">
        <v>9.381950334500214E-3</v>
      </c>
      <c r="S14" t="s">
        <v>222</v>
      </c>
      <c r="T14">
        <f>COUNTA(A3:D3)-1</f>
        <v>3</v>
      </c>
      <c r="U14">
        <f>T7*U16</f>
        <v>699.07562833775432</v>
      </c>
      <c r="V14">
        <f>U14/T14</f>
        <v>233.02520944591811</v>
      </c>
      <c r="W14">
        <f>V14/V15</f>
        <v>9.1175865502440487</v>
      </c>
      <c r="X14">
        <f>FDIST(W14,T14,T15)</f>
        <v>9.4163606299042411E-4</v>
      </c>
      <c r="Y14" s="903" t="str">
        <f>IF(X14&lt;X12,"yes","no")</f>
        <v>yes</v>
      </c>
      <c r="AA14" t="s">
        <v>222</v>
      </c>
      <c r="AB14">
        <f>COUNT(A4:C4)</f>
        <v>3</v>
      </c>
      <c r="AC14">
        <f>DEVSQ(MMULT([1]!DESIGN(A4:C23),AB19:AB22))</f>
        <v>699.08048079782088</v>
      </c>
      <c r="AD14">
        <f>AC14/AB14</f>
        <v>233.02682693260695</v>
      </c>
      <c r="AE14">
        <f>AD14/AD15</f>
        <v>9.117758032671194</v>
      </c>
      <c r="AF14">
        <f>FDIST(AE14,AB14,AB15)</f>
        <v>9.4154941523961761E-4</v>
      </c>
      <c r="AG14" s="903" t="str">
        <f>IF(AF14&lt;AF12,"yes","no")</f>
        <v>yes</v>
      </c>
    </row>
    <row r="15" spans="1:33" x14ac:dyDescent="0.25">
      <c r="A15" s="578">
        <v>14</v>
      </c>
      <c r="B15" s="25">
        <v>32</v>
      </c>
      <c r="C15" s="25">
        <v>20</v>
      </c>
      <c r="D15" s="602">
        <v>46</v>
      </c>
      <c r="E15" s="503">
        <f>[1]!LLReg(A15:D15,$G$4:$J$7,$G$10:$J$10)</f>
        <v>19.946900089488359</v>
      </c>
      <c r="G15" s="532">
        <v>6.6947368421052618</v>
      </c>
      <c r="H15" s="7">
        <v>11.063157894736843</v>
      </c>
      <c r="I15" s="7">
        <v>9.1473684210525938</v>
      </c>
      <c r="J15" s="533">
        <v>9.4210526315789469</v>
      </c>
      <c r="L15" s="503">
        <v>32.399749616392405</v>
      </c>
      <c r="S15" t="s">
        <v>295</v>
      </c>
      <c r="T15">
        <f>T16-T14</f>
        <v>16</v>
      </c>
      <c r="U15">
        <f>U16-U14</f>
        <v>408.92437166224568</v>
      </c>
      <c r="V15">
        <f>U15/T15</f>
        <v>25.557773228890355</v>
      </c>
      <c r="AA15" t="s">
        <v>295</v>
      </c>
      <c r="AB15">
        <f>AB16-AB14</f>
        <v>16</v>
      </c>
      <c r="AC15">
        <f>AC16-AC14</f>
        <v>408.91951920217912</v>
      </c>
      <c r="AD15">
        <f>AC15/AB15</f>
        <v>25.557469950136195</v>
      </c>
    </row>
    <row r="16" spans="1:33" x14ac:dyDescent="0.25">
      <c r="A16" s="578">
        <v>22</v>
      </c>
      <c r="B16" s="25">
        <v>40</v>
      </c>
      <c r="C16" s="25">
        <v>23</v>
      </c>
      <c r="D16" s="602">
        <v>49</v>
      </c>
      <c r="E16" s="503">
        <f>[1]!LLReg(A16:D16,$G$4:$J$7,$G$10:$J$10)</f>
        <v>24.219292614019061</v>
      </c>
      <c r="G16" s="409">
        <v>10.89473684210526</v>
      </c>
      <c r="H16" s="762">
        <v>61.789473684210513</v>
      </c>
      <c r="I16" s="762">
        <v>9.4210526315789469</v>
      </c>
      <c r="J16" s="417">
        <v>58.315789473684212</v>
      </c>
      <c r="L16" s="503">
        <v>21.099928532015614</v>
      </c>
      <c r="S16" s="762" t="s">
        <v>1</v>
      </c>
      <c r="T16" s="762">
        <f>T10-1</f>
        <v>19</v>
      </c>
      <c r="U16" s="762">
        <f>DEVSQ(D4:D23)</f>
        <v>1108</v>
      </c>
      <c r="V16" s="762"/>
      <c r="W16" s="762"/>
      <c r="X16" s="762"/>
      <c r="Y16" s="762"/>
      <c r="AA16" s="762" t="s">
        <v>1</v>
      </c>
      <c r="AB16" s="762">
        <f>AB10-1</f>
        <v>19</v>
      </c>
      <c r="AC16" s="762">
        <f>DEVSQ(D4:D23)</f>
        <v>1108</v>
      </c>
      <c r="AD16" s="762"/>
      <c r="AE16" s="762"/>
      <c r="AF16" s="762"/>
      <c r="AG16" s="762"/>
    </row>
    <row r="17" spans="1:33" ht="15.75" thickBot="1" x14ac:dyDescent="0.3">
      <c r="A17" s="578">
        <v>16</v>
      </c>
      <c r="B17" s="25">
        <v>31</v>
      </c>
      <c r="C17" s="25">
        <v>20</v>
      </c>
      <c r="D17" s="602">
        <v>44</v>
      </c>
      <c r="E17" s="503">
        <f>[1]!LLReg(A17:D17,$G$4:$J$7,$G$10:$J$10)</f>
        <v>20.202104033912065</v>
      </c>
      <c r="L17" s="420">
        <v>46.999786427044917</v>
      </c>
    </row>
    <row r="18" spans="1:33" ht="15" customHeight="1" thickTop="1" x14ac:dyDescent="0.25">
      <c r="A18" s="578">
        <v>13</v>
      </c>
      <c r="B18" s="25">
        <v>18</v>
      </c>
      <c r="C18" s="25">
        <v>21</v>
      </c>
      <c r="D18" s="602">
        <v>37</v>
      </c>
      <c r="E18" s="503">
        <f>[1]!LLReg(A18:D18,$G$4:$J$7,$G$10:$J$10)</f>
        <v>22.972164333496146</v>
      </c>
      <c r="G18" t="s">
        <v>2027</v>
      </c>
      <c r="O18" t="s">
        <v>2087</v>
      </c>
      <c r="S18" s="826"/>
      <c r="T18" s="826" t="s">
        <v>1592</v>
      </c>
      <c r="U18" s="826" t="s">
        <v>1000</v>
      </c>
      <c r="V18" s="826" t="s">
        <v>61</v>
      </c>
      <c r="W18" s="826" t="s">
        <v>67</v>
      </c>
      <c r="X18" s="826" t="s">
        <v>29</v>
      </c>
      <c r="Y18" s="826" t="s">
        <v>30</v>
      </c>
      <c r="AA18" s="826"/>
      <c r="AB18" s="826" t="s">
        <v>1592</v>
      </c>
      <c r="AC18" s="826" t="s">
        <v>1000</v>
      </c>
      <c r="AD18" s="826" t="s">
        <v>61</v>
      </c>
      <c r="AE18" s="826" t="s">
        <v>67</v>
      </c>
      <c r="AF18" s="826" t="s">
        <v>29</v>
      </c>
      <c r="AG18" s="826" t="s">
        <v>30</v>
      </c>
    </row>
    <row r="19" spans="1:33" x14ac:dyDescent="0.25">
      <c r="A19" s="578">
        <v>16</v>
      </c>
      <c r="B19" s="25">
        <v>23</v>
      </c>
      <c r="C19" s="25">
        <v>21</v>
      </c>
      <c r="D19" s="602">
        <v>34</v>
      </c>
      <c r="E19" s="503">
        <f>[1]!LLReg(A19:D19,$G$4:$J$7,$G$10:$J$10)</f>
        <v>24.053589696964458</v>
      </c>
      <c r="G19" s="609">
        <f>AVERAGE(A4:A23)</f>
        <v>15.9</v>
      </c>
      <c r="H19" s="590">
        <f>AVERAGE(B4:B23)</f>
        <v>32.4</v>
      </c>
      <c r="I19" s="590">
        <f>AVERAGE(C4:C23)</f>
        <v>21.1</v>
      </c>
      <c r="J19" s="610">
        <f>AVERAGE(D4:D23)</f>
        <v>47</v>
      </c>
      <c r="O19" s="869">
        <f t="array" ref="O19:Q21">MINVERSE(G4:I6)/(COUNTA(A4:A23))</f>
        <v>4.2881411159149717E-3</v>
      </c>
      <c r="P19" s="867">
        <v>3.5732420570626703E-4</v>
      </c>
      <c r="Q19" s="870">
        <v>-3.57055013362892E-3</v>
      </c>
      <c r="S19" t="s">
        <v>296</v>
      </c>
      <c r="T19">
        <f>Q5</f>
        <v>21.629184964866834</v>
      </c>
      <c r="AA19" t="s">
        <v>296</v>
      </c>
      <c r="AB19">
        <f t="array" ref="AB19:AB22">[1]!RegCoeff(A4:C23,D4:D23)</f>
        <v>21.629012645639197</v>
      </c>
      <c r="AC19">
        <f t="array" ref="AC19:AC22">[1]!RegCoeffSE(A4:C23,D4:D23)</f>
        <v>8.2100498003424374</v>
      </c>
      <c r="AD19">
        <f>AB19/AC19</f>
        <v>2.6344557184947965</v>
      </c>
      <c r="AE19">
        <f>TDIST(ABS(AD19),$AB$15,2)</f>
        <v>1.8031623275260051E-2</v>
      </c>
      <c r="AF19">
        <f>AB19-TINV(AF$12,$AB$15)*AC19</f>
        <v>4.2244845670228557</v>
      </c>
      <c r="AG19">
        <f>AB19+TINV(AF$12,$AB$15)*AC19</f>
        <v>39.033540724255538</v>
      </c>
    </row>
    <row r="20" spans="1:33" x14ac:dyDescent="0.25">
      <c r="A20" s="578">
        <v>27</v>
      </c>
      <c r="B20" s="25">
        <v>26</v>
      </c>
      <c r="C20" s="25">
        <v>23</v>
      </c>
      <c r="D20" s="602">
        <v>59</v>
      </c>
      <c r="E20" s="503">
        <f>[1]!LLReg(A20:D20,$G$4:$J$7,$G$10:$J$10)</f>
        <v>30.673224910736472</v>
      </c>
      <c r="O20" s="532">
        <v>3.5732420570626703E-4</v>
      </c>
      <c r="P20" s="7">
        <v>4.776972452758449E-4</v>
      </c>
      <c r="Q20" s="533">
        <v>-8.3924937888732942E-4</v>
      </c>
      <c r="S20" t="str">
        <f t="array" ref="S20:S22">TRANSPOSE(A3:C3)</f>
        <v>read</v>
      </c>
      <c r="T20">
        <f>Q6</f>
        <v>0.66801415090768601</v>
      </c>
      <c r="U20">
        <f t="array" ref="U20:U22">SQRT([1]!DIAG(O12:Q14))*T9</f>
        <v>0.33105085932929412</v>
      </c>
      <c r="V20">
        <f>T20/U20</f>
        <v>2.0178595888893818</v>
      </c>
      <c r="W20">
        <f>TDIST(ABS(V20),$T$15,2)</f>
        <v>6.0698448829727719E-2</v>
      </c>
      <c r="X20">
        <f>T20-TINV(X$12,$T$15)*U20</f>
        <v>-3.378232009623483E-2</v>
      </c>
      <c r="Y20">
        <f>T20+TINV(X$12,$T$15)*U20</f>
        <v>1.3698106219116069</v>
      </c>
      <c r="AA20" t="str">
        <f t="array" ref="AA20:AA22">TRANSPOSE(A3:C3)</f>
        <v>read</v>
      </c>
      <c r="AB20">
        <v>0.66801753561923782</v>
      </c>
      <c r="AC20">
        <v>0.3310488951325477</v>
      </c>
      <c r="AD20">
        <f>AB20/AC20</f>
        <v>2.017881785564553</v>
      </c>
      <c r="AE20">
        <f>TDIST(ABS(AD20),$AB$15,2)</f>
        <v>6.0695910884350432E-2</v>
      </c>
      <c r="AF20">
        <f>AB20-TINV(AF$12,$AB$15)*AC20</f>
        <v>-3.3774771473591647E-2</v>
      </c>
      <c r="AG20">
        <f>AB20+TINV(AF$12,$AB$15)*AC20</f>
        <v>1.3698098427120673</v>
      </c>
    </row>
    <row r="21" spans="1:33" x14ac:dyDescent="0.25">
      <c r="A21" s="578">
        <v>17</v>
      </c>
      <c r="B21" s="25">
        <v>12</v>
      </c>
      <c r="C21" s="25">
        <v>19</v>
      </c>
      <c r="D21" s="602">
        <v>35</v>
      </c>
      <c r="E21" s="503">
        <f>[1]!LLReg(A21:D21,$G$4:$J$7,$G$10:$J$10)</f>
        <v>23.605068694140172</v>
      </c>
      <c r="G21" t="s">
        <v>2036</v>
      </c>
      <c r="O21" s="409">
        <v>-3.57055013362892E-3</v>
      </c>
      <c r="P21" s="762">
        <v>-8.3924937888732952E-4</v>
      </c>
      <c r="Q21" s="417">
        <v>9.3819896750753588E-3</v>
      </c>
      <c r="S21" t="str">
        <v>science</v>
      </c>
      <c r="T21">
        <f>Q7</f>
        <v>0.48454428261504684</v>
      </c>
      <c r="U21">
        <v>0.1104928453740133</v>
      </c>
      <c r="V21">
        <f>T21/U21</f>
        <v>4.3853000705601008</v>
      </c>
      <c r="W21">
        <f>TDIST(ABS(V21),$T$15,2)</f>
        <v>4.6110614455880723E-4</v>
      </c>
      <c r="X21">
        <f>T21-TINV(X$12,$T$15)*U21</f>
        <v>0.2503099141806413</v>
      </c>
      <c r="Y21">
        <f>T21+TINV(X$12,$T$15)*U21</f>
        <v>0.71877865104945238</v>
      </c>
      <c r="AA21" t="str">
        <v>science</v>
      </c>
      <c r="AB21">
        <v>0.48454737695976169</v>
      </c>
      <c r="AC21">
        <v>0.1104921897959313</v>
      </c>
      <c r="AD21">
        <f>AB21/AC21</f>
        <v>4.385354094752536</v>
      </c>
      <c r="AE21">
        <f>TDIST(ABS(AD21),$AB$15,2)</f>
        <v>4.6105439642577813E-4</v>
      </c>
      <c r="AF21">
        <f>AB21-TINV(AF$12,$AB$15)*AC21</f>
        <v>0.25031439828880625</v>
      </c>
      <c r="AG21">
        <f>AB21+TINV(AF$12,$AB$15)*AC21</f>
        <v>0.71878035563071707</v>
      </c>
    </row>
    <row r="22" spans="1:33" x14ac:dyDescent="0.25">
      <c r="A22" s="578">
        <v>13</v>
      </c>
      <c r="B22" s="25">
        <v>21</v>
      </c>
      <c r="C22" s="25">
        <v>20</v>
      </c>
      <c r="D22" s="602">
        <v>48</v>
      </c>
      <c r="E22" s="503">
        <f>[1]!LLReg(A22:D22,$G$4:$J$7,$G$10:$J$10)</f>
        <v>24.949179358667994</v>
      </c>
      <c r="G22" s="609">
        <f>COUNT(A4:A23)</f>
        <v>20</v>
      </c>
      <c r="H22" s="590">
        <f>COUNT(B4:B23)</f>
        <v>20</v>
      </c>
      <c r="I22" s="590">
        <f>COUNT(C4:C23)</f>
        <v>20</v>
      </c>
      <c r="J22" s="610">
        <f>COUNT(D4:D23)</f>
        <v>20</v>
      </c>
      <c r="S22" s="762" t="str">
        <v>math</v>
      </c>
      <c r="T22" s="762">
        <f>Q8</f>
        <v>-4.5018372570957865E-2</v>
      </c>
      <c r="U22" s="762">
        <v>0.48967515670479794</v>
      </c>
      <c r="V22" s="762">
        <f>T22/U22</f>
        <v>-9.1935177749067065E-2</v>
      </c>
      <c r="W22" s="762">
        <f>TDIST(ABS(V22),$T$15,2)</f>
        <v>0.92789077940103937</v>
      </c>
      <c r="X22" s="762">
        <f>T22-TINV(X$12,$T$15)*U22</f>
        <v>-1.0830833321664575</v>
      </c>
      <c r="Y22" s="762">
        <f>T22+TINV(X$12,$T$15)*U22</f>
        <v>0.99304658702454174</v>
      </c>
      <c r="AA22" s="762" t="str">
        <v>math</v>
      </c>
      <c r="AB22" s="762">
        <v>-4.5015472771628456E-2</v>
      </c>
      <c r="AC22" s="762">
        <v>0.48967225135559606</v>
      </c>
      <c r="AD22" s="762">
        <f>AB22/AC22</f>
        <v>-9.1929801304870315E-2</v>
      </c>
      <c r="AE22" s="762">
        <f>TDIST(ABS(AD22),$AB$15,2)</f>
        <v>0.92789498380391788</v>
      </c>
      <c r="AF22" s="762">
        <f>AB22-TINV(AF$12,$AB$15)*AC22</f>
        <v>-1.0830742733019589</v>
      </c>
      <c r="AG22" s="762">
        <f>AB22+TINV(AF$12,$AB$15)*AC22</f>
        <v>0.99304332775870197</v>
      </c>
    </row>
    <row r="23" spans="1:33" x14ac:dyDescent="0.25">
      <c r="A23" s="877">
        <v>11</v>
      </c>
      <c r="B23" s="880">
        <v>51</v>
      </c>
      <c r="C23" s="880">
        <v>18</v>
      </c>
      <c r="D23" s="878">
        <v>54</v>
      </c>
      <c r="E23" s="420">
        <f>[1]!LLReg(A23:D23,$G$4:$J$7,$G$10:$J$10)</f>
        <v>25.395466988357438</v>
      </c>
    </row>
    <row r="24" spans="1:33" x14ac:dyDescent="0.25">
      <c r="E24">
        <f>SUM(E4:E23)</f>
        <v>474.05644735264298</v>
      </c>
    </row>
    <row r="26" spans="1:33" ht="15" customHeight="1" x14ac:dyDescent="0.25">
      <c r="G26" t="s">
        <v>2085</v>
      </c>
      <c r="N26" t="s">
        <v>2086</v>
      </c>
    </row>
    <row r="28" spans="1:33" x14ac:dyDescent="0.25">
      <c r="G28" s="869">
        <f t="array" ref="G28:J31">[1]!COVP(A4:D23)</f>
        <v>17.09</v>
      </c>
      <c r="H28" s="827">
        <v>-1.6099999999999999</v>
      </c>
      <c r="I28" s="827">
        <v>6.3599999999999994</v>
      </c>
      <c r="J28" s="870">
        <v>10.35</v>
      </c>
      <c r="N28" s="869">
        <f t="array" ref="N28:Q31">[1]!CORE(A4:C23)</f>
        <v>2.6373861675515138</v>
      </c>
      <c r="O28" s="827">
        <v>-4.4202169144455248E-3</v>
      </c>
      <c r="P28" s="827">
        <v>-3.4503793592740432E-3</v>
      </c>
      <c r="Q28" s="870">
        <v>-0.11399584963845266</v>
      </c>
    </row>
    <row r="29" spans="1:33" x14ac:dyDescent="0.25">
      <c r="G29" s="532">
        <v>-1.6099999999999999</v>
      </c>
      <c r="H29" s="7">
        <v>124.34000000000002</v>
      </c>
      <c r="I29" s="7">
        <v>10.510000000000003</v>
      </c>
      <c r="J29" s="533">
        <v>58.699999999999989</v>
      </c>
      <c r="N29" s="532">
        <v>-4.4202169144452646E-3</v>
      </c>
      <c r="O29" s="869">
        <v>4.2881150279077841E-3</v>
      </c>
      <c r="P29" s="827">
        <v>3.5732799984270131E-4</v>
      </c>
      <c r="Q29" s="870">
        <v>-3.5705326646536498E-3</v>
      </c>
    </row>
    <row r="30" spans="1:33" x14ac:dyDescent="0.25">
      <c r="G30" s="532">
        <v>6.3599999999999994</v>
      </c>
      <c r="H30" s="7">
        <v>10.510000000000003</v>
      </c>
      <c r="I30" s="7">
        <v>8.6899999999999977</v>
      </c>
      <c r="J30" s="533">
        <v>8.9500000000000011</v>
      </c>
      <c r="N30" s="532">
        <v>-3.4503793592739066E-3</v>
      </c>
      <c r="O30" s="532">
        <v>3.5732799984269898E-4</v>
      </c>
      <c r="P30" s="7">
        <v>4.7768906819491526E-4</v>
      </c>
      <c r="Q30" s="533">
        <v>-8.3925410652797448E-4</v>
      </c>
    </row>
    <row r="31" spans="1:33" x14ac:dyDescent="0.25">
      <c r="G31" s="409">
        <v>10.35</v>
      </c>
      <c r="H31" s="762">
        <v>58.699999999999989</v>
      </c>
      <c r="I31" s="762">
        <v>8.9500000000000011</v>
      </c>
      <c r="J31" s="417">
        <v>55.400000000000006</v>
      </c>
      <c r="N31" s="409">
        <v>-0.11399584963845305</v>
      </c>
      <c r="O31" s="409">
        <v>-3.5705326646536346E-3</v>
      </c>
      <c r="P31" s="762">
        <v>-8.3925410652796982E-4</v>
      </c>
      <c r="Q31" s="417">
        <v>9.3819503345000978E-3</v>
      </c>
    </row>
  </sheetData>
  <pageMargins left="0.7" right="0.7" top="0.75" bottom="0.75" header="0.3" footer="0.3"/>
  <pageSetup paperSize="9" orientation="portrait" verticalDpi="0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AI24"/>
  <sheetViews>
    <sheetView workbookViewId="0"/>
  </sheetViews>
  <sheetFormatPr defaultRowHeight="15" x14ac:dyDescent="0.25"/>
  <cols>
    <col min="29" max="29" width="17.140625" customWidth="1"/>
  </cols>
  <sheetData>
    <row r="1" spans="1:35" x14ac:dyDescent="0.25">
      <c r="A1" s="1" t="s">
        <v>2043</v>
      </c>
    </row>
    <row r="3" spans="1:35" x14ac:dyDescent="0.25">
      <c r="A3" s="907" t="s">
        <v>1983</v>
      </c>
      <c r="B3" s="907" t="s">
        <v>1964</v>
      </c>
      <c r="C3" s="907" t="s">
        <v>1963</v>
      </c>
      <c r="D3" s="907" t="s">
        <v>1984</v>
      </c>
      <c r="F3" t="s">
        <v>2006</v>
      </c>
      <c r="L3" s="907" t="str">
        <f>A3</f>
        <v>read</v>
      </c>
      <c r="M3" s="907" t="str">
        <f>B3</f>
        <v>science</v>
      </c>
      <c r="N3" s="907" t="str">
        <f>C3</f>
        <v>math</v>
      </c>
      <c r="O3" s="907" t="str">
        <f>D3</f>
        <v>medicine</v>
      </c>
      <c r="P3" s="907" t="s">
        <v>2040</v>
      </c>
      <c r="R3" t="s">
        <v>2037</v>
      </c>
      <c r="W3" s="907" t="s">
        <v>2028</v>
      </c>
      <c r="Y3" t="s">
        <v>2041</v>
      </c>
      <c r="AC3" t="s">
        <v>1593</v>
      </c>
    </row>
    <row r="4" spans="1:35" x14ac:dyDescent="0.25">
      <c r="A4" s="875">
        <v>12</v>
      </c>
      <c r="B4" s="881">
        <v>27</v>
      </c>
      <c r="C4" s="881">
        <v>19</v>
      </c>
      <c r="D4" s="876">
        <v>44</v>
      </c>
      <c r="L4" s="888">
        <f t="shared" ref="L4:L23" si="0">A4</f>
        <v>12</v>
      </c>
      <c r="M4" s="889">
        <f t="shared" ref="M4:M23" si="1">B4</f>
        <v>27</v>
      </c>
      <c r="N4" s="889">
        <f t="shared" ref="N4:N23" si="2">C4</f>
        <v>19</v>
      </c>
      <c r="O4" s="918">
        <f t="shared" ref="O4:O23" si="3">D4</f>
        <v>44</v>
      </c>
      <c r="P4" s="868">
        <f>[1]!LLReg(L4:O4,$R$4:$U$7,$R$10:$U$10)</f>
        <v>21.085211945748256</v>
      </c>
      <c r="R4" s="865">
        <f>W4</f>
        <v>17.089889071593699</v>
      </c>
      <c r="S4" s="798">
        <f>R5</f>
        <v>-1.6098580530537256</v>
      </c>
      <c r="T4" s="798">
        <f>R6</f>
        <v>6.3599764446213713</v>
      </c>
      <c r="U4" s="866">
        <f>R7</f>
        <v>10.349924432711751</v>
      </c>
      <c r="W4" s="868">
        <v>17.089889071593699</v>
      </c>
    </row>
    <row r="5" spans="1:35" ht="15.75" thickBot="1" x14ac:dyDescent="0.3">
      <c r="A5" s="578">
        <v>11</v>
      </c>
      <c r="B5" s="25">
        <v>30</v>
      </c>
      <c r="C5" s="25">
        <v>13</v>
      </c>
      <c r="D5" s="602">
        <v>43</v>
      </c>
      <c r="F5" t="str">
        <f t="array" ref="F5:J10">[1]!DescStats(A3:D23,TRUE,TRUE)</f>
        <v/>
      </c>
      <c r="G5" s="907" t="str">
        <v>read</v>
      </c>
      <c r="H5" s="907" t="str">
        <v>science</v>
      </c>
      <c r="I5" s="907" t="str">
        <v>math</v>
      </c>
      <c r="J5" s="907" t="str">
        <v>medicine</v>
      </c>
      <c r="L5" s="500">
        <f t="shared" si="0"/>
        <v>11</v>
      </c>
      <c r="M5" s="908">
        <f t="shared" si="1"/>
        <v>30</v>
      </c>
      <c r="N5" s="908">
        <f t="shared" si="2"/>
        <v>13</v>
      </c>
      <c r="O5" s="504">
        <f t="shared" si="3"/>
        <v>43</v>
      </c>
      <c r="P5" s="503">
        <f>[1]!LLReg(L5:O5,$R$4:$U$7,$R$10:$U$10)</f>
        <v>27.975059442381976</v>
      </c>
      <c r="R5" s="501">
        <f>W5</f>
        <v>-1.6098580530537256</v>
      </c>
      <c r="S5" s="7">
        <f>W8</f>
        <v>124.33709405134971</v>
      </c>
      <c r="T5" s="7">
        <f>S6</f>
        <v>10.509684350937441</v>
      </c>
      <c r="U5" s="57">
        <f>S7</f>
        <v>58.698291193444597</v>
      </c>
      <c r="W5" s="503">
        <v>-1.6098580530537256</v>
      </c>
      <c r="Y5" t="s">
        <v>296</v>
      </c>
      <c r="Z5" s="820">
        <f t="array" ref="Z5">-MMULT(R10:U10,Z6:Z9)</f>
        <v>21.629184964866834</v>
      </c>
      <c r="AC5" s="743" t="s">
        <v>1598</v>
      </c>
      <c r="AD5" s="743"/>
    </row>
    <row r="6" spans="1:35" ht="15.75" thickTop="1" x14ac:dyDescent="0.25">
      <c r="A6" s="578">
        <v>16</v>
      </c>
      <c r="B6" s="25">
        <v>56</v>
      </c>
      <c r="C6" s="25">
        <v>23</v>
      </c>
      <c r="D6" s="602">
        <v>60</v>
      </c>
      <c r="F6" t="str">
        <v>count</v>
      </c>
      <c r="G6" s="865">
        <v>20</v>
      </c>
      <c r="H6" s="798">
        <v>20</v>
      </c>
      <c r="I6" s="798">
        <v>20</v>
      </c>
      <c r="J6" s="866">
        <v>20</v>
      </c>
      <c r="L6" s="500">
        <f t="shared" si="0"/>
        <v>16</v>
      </c>
      <c r="M6" s="908">
        <f t="shared" si="1"/>
        <v>56</v>
      </c>
      <c r="N6" s="908">
        <f t="shared" si="2"/>
        <v>23</v>
      </c>
      <c r="O6" s="504">
        <f t="shared" si="3"/>
        <v>60</v>
      </c>
      <c r="P6" s="503">
        <f>[1]!LLReg(L6:O6,$R$4:$U$7,$R$10:$U$10)</f>
        <v>24.326247733992279</v>
      </c>
      <c r="R6" s="501">
        <f>W6</f>
        <v>6.3599764446213713</v>
      </c>
      <c r="S6" s="7">
        <f>W9</f>
        <v>10.509684350937441</v>
      </c>
      <c r="T6" s="7">
        <f>W11</f>
        <v>8.6899329067307782</v>
      </c>
      <c r="U6" s="57">
        <f>T7</f>
        <v>8.9497550915703616</v>
      </c>
      <c r="W6" s="503">
        <v>6.3599764446213713</v>
      </c>
      <c r="Y6" t="str">
        <f t="array" ref="Y6:Y8">TRANSPOSE(L3:N3)</f>
        <v>read</v>
      </c>
      <c r="Z6" s="680">
        <f t="array" ref="Z6:Z8">MMULT(MINVERSE(R4:T6),U4:U6)</f>
        <v>0.66801415090768601</v>
      </c>
      <c r="AC6" t="s">
        <v>292</v>
      </c>
      <c r="AD6">
        <f>SQRT(AD7)</f>
        <v>0.79431396979739799</v>
      </c>
    </row>
    <row r="7" spans="1:35" x14ac:dyDescent="0.25">
      <c r="A7" s="578">
        <v>15</v>
      </c>
      <c r="B7" s="25">
        <v>37</v>
      </c>
      <c r="C7" s="25">
        <v>19</v>
      </c>
      <c r="D7" s="602">
        <v>52</v>
      </c>
      <c r="F7" t="str">
        <v>mean</v>
      </c>
      <c r="G7" s="501">
        <v>15.9</v>
      </c>
      <c r="H7" s="7">
        <v>32.4</v>
      </c>
      <c r="I7" s="7">
        <v>21.1</v>
      </c>
      <c r="J7" s="57">
        <v>47</v>
      </c>
      <c r="L7" s="500">
        <f t="shared" si="0"/>
        <v>15</v>
      </c>
      <c r="M7" s="908">
        <f t="shared" si="1"/>
        <v>37</v>
      </c>
      <c r="N7" s="908">
        <f t="shared" si="2"/>
        <v>19</v>
      </c>
      <c r="O7" s="504">
        <f t="shared" si="3"/>
        <v>52</v>
      </c>
      <c r="P7" s="503">
        <f>[1]!LLReg(L7:O7,$R$4:$U$7,$R$10:$U$10)</f>
        <v>21.322568149767406</v>
      </c>
      <c r="R7" s="759">
        <f>W7</f>
        <v>10.349924432711751</v>
      </c>
      <c r="S7" s="760">
        <f>W10</f>
        <v>58.698291193444597</v>
      </c>
      <c r="T7" s="760">
        <f>W12</f>
        <v>8.9497550915703616</v>
      </c>
      <c r="U7" s="761">
        <f>W13</f>
        <v>55.398851433720949</v>
      </c>
      <c r="W7" s="420">
        <v>10.349924432711751</v>
      </c>
      <c r="Y7" t="str">
        <v>science</v>
      </c>
      <c r="Z7" s="680">
        <v>0.48454428261504684</v>
      </c>
      <c r="AC7" t="s">
        <v>285</v>
      </c>
      <c r="AD7">
        <f>SUMPRODUCT(U13:U15,Z6:Z8)/U16</f>
        <v>0.63093468261530172</v>
      </c>
    </row>
    <row r="8" spans="1:35" x14ac:dyDescent="0.25">
      <c r="A8" s="578">
        <v>10</v>
      </c>
      <c r="B8" s="25">
        <v>31</v>
      </c>
      <c r="C8" s="25">
        <v>21</v>
      </c>
      <c r="D8" s="602">
        <v>44</v>
      </c>
      <c r="F8" t="str">
        <v>stdev</v>
      </c>
      <c r="G8" s="501">
        <v>4.2413999674883929</v>
      </c>
      <c r="H8" s="7">
        <v>11.440463737380393</v>
      </c>
      <c r="I8" s="7">
        <v>3.0244616745881561</v>
      </c>
      <c r="J8" s="57">
        <v>7.6364775566804495</v>
      </c>
      <c r="L8" s="500">
        <f t="shared" si="0"/>
        <v>10</v>
      </c>
      <c r="M8" s="908">
        <f t="shared" si="1"/>
        <v>31</v>
      </c>
      <c r="N8" s="908">
        <f t="shared" si="2"/>
        <v>21</v>
      </c>
      <c r="O8" s="504">
        <f t="shared" si="3"/>
        <v>44</v>
      </c>
      <c r="P8" s="503">
        <f>[1]!LLReg(L8:O8,$R$4:$U$7,$R$10:$U$10)</f>
        <v>22.865438005937712</v>
      </c>
      <c r="W8" s="868">
        <v>124.33709405134971</v>
      </c>
      <c r="Y8" t="str">
        <v>math</v>
      </c>
      <c r="Z8" s="757">
        <v>-4.5018372570957865E-2</v>
      </c>
      <c r="AC8" t="s">
        <v>293</v>
      </c>
      <c r="AD8">
        <f>1-(1-AD7)*(AD10-1)/(AD10-AD14-1)</f>
        <v>0.56173493560567078</v>
      </c>
    </row>
    <row r="9" spans="1:35" x14ac:dyDescent="0.25">
      <c r="A9" s="578">
        <v>18</v>
      </c>
      <c r="B9" s="25">
        <v>40</v>
      </c>
      <c r="C9" s="25">
        <v>22</v>
      </c>
      <c r="D9" s="602">
        <v>43</v>
      </c>
      <c r="F9" t="str">
        <v>min</v>
      </c>
      <c r="G9" s="501">
        <v>10</v>
      </c>
      <c r="H9" s="7">
        <v>12</v>
      </c>
      <c r="I9" s="7">
        <v>13</v>
      </c>
      <c r="J9" s="57">
        <v>34</v>
      </c>
      <c r="L9" s="500">
        <f t="shared" si="0"/>
        <v>18</v>
      </c>
      <c r="M9" s="908">
        <f t="shared" si="1"/>
        <v>40</v>
      </c>
      <c r="N9" s="908">
        <f t="shared" si="2"/>
        <v>22</v>
      </c>
      <c r="O9" s="504">
        <f t="shared" si="3"/>
        <v>43</v>
      </c>
      <c r="P9" s="503">
        <f>[1]!LLReg(L9:O9,$R$4:$U$7,$R$10:$U$10)</f>
        <v>24.514647813092683</v>
      </c>
      <c r="R9" t="s">
        <v>2038</v>
      </c>
      <c r="W9" s="503">
        <v>10.509684350937441</v>
      </c>
      <c r="Z9">
        <v>-1</v>
      </c>
      <c r="AC9" t="s">
        <v>11</v>
      </c>
      <c r="AD9">
        <f>SQRT(AF15)</f>
        <v>5.0554696348499961</v>
      </c>
    </row>
    <row r="10" spans="1:35" x14ac:dyDescent="0.25">
      <c r="A10" s="578">
        <v>15</v>
      </c>
      <c r="B10" s="25">
        <v>50</v>
      </c>
      <c r="C10" s="25">
        <v>28</v>
      </c>
      <c r="D10" s="602">
        <v>56</v>
      </c>
      <c r="F10" t="str">
        <v>max</v>
      </c>
      <c r="G10" s="759">
        <v>27</v>
      </c>
      <c r="H10" s="760">
        <v>56</v>
      </c>
      <c r="I10" s="760">
        <v>28</v>
      </c>
      <c r="J10" s="761">
        <v>60</v>
      </c>
      <c r="L10" s="500">
        <f t="shared" si="0"/>
        <v>15</v>
      </c>
      <c r="M10" s="908">
        <f t="shared" si="1"/>
        <v>50</v>
      </c>
      <c r="N10" s="908">
        <f t="shared" si="2"/>
        <v>28</v>
      </c>
      <c r="O10" s="504">
        <f t="shared" si="3"/>
        <v>56</v>
      </c>
      <c r="P10" s="503">
        <f>[1]!LLReg(L10:O10,$R$4:$U$7,$R$10:$U$10)</f>
        <v>28.342777268358066</v>
      </c>
      <c r="R10" s="803">
        <f>W14</f>
        <v>15.899921366693819</v>
      </c>
      <c r="S10" s="720">
        <f>W15</f>
        <v>32.399749616392405</v>
      </c>
      <c r="T10" s="720">
        <f>W16</f>
        <v>21.099928532015614</v>
      </c>
      <c r="U10" s="804">
        <f>W17</f>
        <v>46.999786427044917</v>
      </c>
      <c r="W10" s="420">
        <v>58.698291193444597</v>
      </c>
      <c r="AC10" s="762" t="s">
        <v>81</v>
      </c>
      <c r="AD10" s="762">
        <f>COUNTA(L4:L23)</f>
        <v>20</v>
      </c>
    </row>
    <row r="11" spans="1:35" x14ac:dyDescent="0.25">
      <c r="A11" s="578">
        <v>21</v>
      </c>
      <c r="B11" s="25">
        <v>21</v>
      </c>
      <c r="C11" s="25">
        <v>23</v>
      </c>
      <c r="D11" s="602">
        <v>46</v>
      </c>
      <c r="L11" s="500">
        <f t="shared" si="0"/>
        <v>21</v>
      </c>
      <c r="M11" s="908">
        <f t="shared" si="1"/>
        <v>21</v>
      </c>
      <c r="N11" s="908">
        <f t="shared" si="2"/>
        <v>23</v>
      </c>
      <c r="O11" s="504">
        <f t="shared" si="3"/>
        <v>46</v>
      </c>
      <c r="P11" s="503">
        <f>[1]!LLReg(L11:O11,$R$4:$U$7,$R$10:$U$10)</f>
        <v>22.4354084743924</v>
      </c>
      <c r="W11" s="503">
        <v>8.6899329067307782</v>
      </c>
      <c r="Y11" t="s">
        <v>2042</v>
      </c>
    </row>
    <row r="12" spans="1:35" ht="15.75" thickBot="1" x14ac:dyDescent="0.3">
      <c r="A12" s="578">
        <v>20</v>
      </c>
      <c r="B12" s="25">
        <v>39</v>
      </c>
      <c r="C12" s="25">
        <v>25</v>
      </c>
      <c r="D12" s="602">
        <v>51</v>
      </c>
      <c r="F12" t="s">
        <v>1986</v>
      </c>
      <c r="L12" s="500">
        <f t="shared" si="0"/>
        <v>20</v>
      </c>
      <c r="M12" s="908">
        <f t="shared" si="1"/>
        <v>39</v>
      </c>
      <c r="N12" s="908">
        <f t="shared" si="2"/>
        <v>25</v>
      </c>
      <c r="O12" s="504">
        <f t="shared" si="3"/>
        <v>51</v>
      </c>
      <c r="P12" s="503">
        <f>[1]!LLReg(L12:O12,$R$4:$U$7,$R$10:$U$10)</f>
        <v>21.805377538783347</v>
      </c>
      <c r="R12" t="s">
        <v>980</v>
      </c>
      <c r="W12" s="420">
        <v>8.9497550915703616</v>
      </c>
      <c r="Y12" s="865">
        <f t="array" ref="Y12:AA14">MINVERSE(R13:T15)/(COUNTA(L4:L23)-1)</f>
        <v>4.2881150279077884E-3</v>
      </c>
      <c r="Z12" s="798">
        <v>3.5732799984270315E-4</v>
      </c>
      <c r="AA12" s="866">
        <v>-3.5705326646536793E-3</v>
      </c>
      <c r="AC12" t="s">
        <v>294</v>
      </c>
      <c r="AG12" s="907" t="s">
        <v>34</v>
      </c>
      <c r="AH12" s="907">
        <v>0.05</v>
      </c>
    </row>
    <row r="13" spans="1:35" ht="15.75" thickTop="1" x14ac:dyDescent="0.25">
      <c r="A13" s="578">
        <v>18</v>
      </c>
      <c r="B13" s="25">
        <v>36</v>
      </c>
      <c r="C13" s="25">
        <v>23</v>
      </c>
      <c r="D13" s="602">
        <v>56</v>
      </c>
      <c r="L13" s="500">
        <f t="shared" si="0"/>
        <v>18</v>
      </c>
      <c r="M13" s="908">
        <f t="shared" si="1"/>
        <v>36</v>
      </c>
      <c r="N13" s="908">
        <f t="shared" si="2"/>
        <v>23</v>
      </c>
      <c r="O13" s="504">
        <f t="shared" si="3"/>
        <v>56</v>
      </c>
      <c r="P13" s="503">
        <f>[1]!LLReg(L13:O13,$R$4:$U$7,$R$10:$U$10)</f>
        <v>21.915582664568205</v>
      </c>
      <c r="R13" s="865">
        <f t="array" ref="R13:U16">[1]!COV(L4:O23,FALSE)</f>
        <v>17.989473684210537</v>
      </c>
      <c r="S13" s="798">
        <v>-1.6947368421052631</v>
      </c>
      <c r="T13" s="798">
        <v>6.6947368421052618</v>
      </c>
      <c r="U13" s="866">
        <v>10.89473684210526</v>
      </c>
      <c r="W13" s="420">
        <v>55.398851433720949</v>
      </c>
      <c r="Y13" s="501">
        <v>3.5732799984270315E-4</v>
      </c>
      <c r="Z13" s="7">
        <v>4.7768906819491635E-4</v>
      </c>
      <c r="AA13" s="57">
        <v>-8.3925410652798543E-4</v>
      </c>
      <c r="AC13" s="826"/>
      <c r="AD13" s="826" t="s">
        <v>60</v>
      </c>
      <c r="AE13" s="826" t="s">
        <v>219</v>
      </c>
      <c r="AF13" s="826" t="s">
        <v>240</v>
      </c>
      <c r="AG13" s="826" t="s">
        <v>135</v>
      </c>
      <c r="AH13" s="826" t="s">
        <v>67</v>
      </c>
      <c r="AI13" s="826" t="s">
        <v>527</v>
      </c>
    </row>
    <row r="14" spans="1:35" x14ac:dyDescent="0.25">
      <c r="A14" s="578">
        <v>13</v>
      </c>
      <c r="B14" s="25">
        <v>27</v>
      </c>
      <c r="C14" s="25">
        <v>21</v>
      </c>
      <c r="D14" s="602">
        <v>39</v>
      </c>
      <c r="F14" t="str">
        <f t="array" ref="F14:J18">[1]!MissingPairwise(A3:D23,TRUE)</f>
        <v/>
      </c>
      <c r="G14" s="907" t="str">
        <v>read</v>
      </c>
      <c r="H14" s="907" t="str">
        <v>science</v>
      </c>
      <c r="I14" s="907" t="str">
        <v>math</v>
      </c>
      <c r="J14" s="907" t="str">
        <v>medicine</v>
      </c>
      <c r="L14" s="500">
        <f t="shared" si="0"/>
        <v>13</v>
      </c>
      <c r="M14" s="908">
        <f t="shared" si="1"/>
        <v>27</v>
      </c>
      <c r="N14" s="908">
        <f t="shared" si="2"/>
        <v>21</v>
      </c>
      <c r="O14" s="504">
        <f t="shared" si="3"/>
        <v>39</v>
      </c>
      <c r="P14" s="503">
        <f>[1]!LLReg(L14:O14,$R$4:$U$7,$R$10:$U$10)</f>
        <v>21.451137595838443</v>
      </c>
      <c r="R14" s="501">
        <v>-1.6947368421052631</v>
      </c>
      <c r="S14" s="7">
        <v>130.88421052631574</v>
      </c>
      <c r="T14" s="7">
        <v>11.063157894736843</v>
      </c>
      <c r="U14" s="57">
        <v>61.789473684210513</v>
      </c>
      <c r="W14" s="868">
        <v>15.899921366693819</v>
      </c>
      <c r="Y14" s="759">
        <v>-3.5705326646536784E-3</v>
      </c>
      <c r="Z14" s="760">
        <v>-8.3925410652798543E-4</v>
      </c>
      <c r="AA14" s="761">
        <v>9.381950334500214E-3</v>
      </c>
      <c r="AC14" t="s">
        <v>222</v>
      </c>
      <c r="AD14">
        <f>COUNT(L4:O4)-1</f>
        <v>3</v>
      </c>
      <c r="AE14">
        <f>AD7*AE16</f>
        <v>699.07562833775432</v>
      </c>
      <c r="AF14">
        <f>AE14/AD14</f>
        <v>233.02520944591811</v>
      </c>
      <c r="AG14">
        <f>AF14/AF15</f>
        <v>9.1175865502440487</v>
      </c>
      <c r="AH14">
        <f>FDIST(AG14,AD14,AD15)</f>
        <v>9.4163606299042411E-4</v>
      </c>
      <c r="AI14" s="907" t="str">
        <f>IF(AH14&lt;AH12,"yes","no")</f>
        <v>yes</v>
      </c>
    </row>
    <row r="15" spans="1:35" x14ac:dyDescent="0.25">
      <c r="A15" s="578">
        <v>14</v>
      </c>
      <c r="B15" s="25">
        <v>32</v>
      </c>
      <c r="C15" s="25">
        <v>20</v>
      </c>
      <c r="D15" s="602">
        <v>46</v>
      </c>
      <c r="F15" t="str">
        <v>read</v>
      </c>
      <c r="G15" s="909">
        <v>1</v>
      </c>
      <c r="H15" s="910">
        <v>1</v>
      </c>
      <c r="I15" s="910">
        <v>1</v>
      </c>
      <c r="J15" s="911">
        <v>1</v>
      </c>
      <c r="L15" s="500">
        <f t="shared" si="0"/>
        <v>14</v>
      </c>
      <c r="M15" s="908">
        <f t="shared" si="1"/>
        <v>32</v>
      </c>
      <c r="N15" s="908">
        <f t="shared" si="2"/>
        <v>20</v>
      </c>
      <c r="O15" s="504">
        <f t="shared" si="3"/>
        <v>46</v>
      </c>
      <c r="P15" s="503">
        <f>[1]!LLReg(L15:O15,$R$4:$U$7,$R$10:$U$10)</f>
        <v>19.946900089488359</v>
      </c>
      <c r="R15" s="501">
        <v>6.6947368421052618</v>
      </c>
      <c r="S15" s="7">
        <v>11.063157894736843</v>
      </c>
      <c r="T15" s="7">
        <v>9.1473684210525938</v>
      </c>
      <c r="U15" s="57">
        <v>9.4210526315789469</v>
      </c>
      <c r="W15" s="503">
        <v>32.399749616392405</v>
      </c>
      <c r="AC15" t="s">
        <v>295</v>
      </c>
      <c r="AD15">
        <f>AD16-AD14</f>
        <v>16</v>
      </c>
      <c r="AE15">
        <f>AE16-AE14</f>
        <v>408.92437166224568</v>
      </c>
      <c r="AF15">
        <f>AE15/AD15</f>
        <v>25.557773228890355</v>
      </c>
    </row>
    <row r="16" spans="1:35" x14ac:dyDescent="0.25">
      <c r="A16" s="578">
        <v>22</v>
      </c>
      <c r="B16" s="25">
        <v>40</v>
      </c>
      <c r="C16" s="25">
        <v>23</v>
      </c>
      <c r="D16" s="602">
        <v>49</v>
      </c>
      <c r="F16" t="str">
        <v>science</v>
      </c>
      <c r="G16" s="912" t="str">
        <v/>
      </c>
      <c r="H16" s="913">
        <v>1</v>
      </c>
      <c r="I16" s="913">
        <v>1</v>
      </c>
      <c r="J16" s="914">
        <v>1</v>
      </c>
      <c r="L16" s="500">
        <f t="shared" si="0"/>
        <v>22</v>
      </c>
      <c r="M16" s="908">
        <f t="shared" si="1"/>
        <v>40</v>
      </c>
      <c r="N16" s="908">
        <f t="shared" si="2"/>
        <v>23</v>
      </c>
      <c r="O16" s="504">
        <f t="shared" si="3"/>
        <v>49</v>
      </c>
      <c r="P16" s="503">
        <f>[1]!LLReg(L16:O16,$R$4:$U$7,$R$10:$U$10)</f>
        <v>24.219292614019061</v>
      </c>
      <c r="R16" s="759">
        <v>10.89473684210526</v>
      </c>
      <c r="S16" s="760">
        <v>61.789473684210513</v>
      </c>
      <c r="T16" s="760">
        <v>9.4210526315789469</v>
      </c>
      <c r="U16" s="761">
        <v>58.315789473684212</v>
      </c>
      <c r="W16" s="503">
        <v>21.099928532015614</v>
      </c>
      <c r="AC16" s="762" t="s">
        <v>1</v>
      </c>
      <c r="AD16" s="762">
        <f>AD10-1</f>
        <v>19</v>
      </c>
      <c r="AE16" s="762">
        <f>DEVSQ(O4:O23)</f>
        <v>1108</v>
      </c>
      <c r="AF16" s="762"/>
      <c r="AG16" s="762"/>
      <c r="AH16" s="762"/>
      <c r="AI16" s="762"/>
    </row>
    <row r="17" spans="1:35" ht="15.75" thickBot="1" x14ac:dyDescent="0.3">
      <c r="A17" s="578">
        <v>16</v>
      </c>
      <c r="B17" s="25">
        <v>31</v>
      </c>
      <c r="C17" s="25">
        <v>20</v>
      </c>
      <c r="D17" s="602">
        <v>44</v>
      </c>
      <c r="F17" t="str">
        <v>math</v>
      </c>
      <c r="G17" s="912" t="str">
        <v/>
      </c>
      <c r="H17" s="913" t="str">
        <v/>
      </c>
      <c r="I17" s="913">
        <v>1</v>
      </c>
      <c r="J17" s="914">
        <v>1</v>
      </c>
      <c r="L17" s="500">
        <f t="shared" si="0"/>
        <v>16</v>
      </c>
      <c r="M17" s="908">
        <f t="shared" si="1"/>
        <v>31</v>
      </c>
      <c r="N17" s="908">
        <f t="shared" si="2"/>
        <v>20</v>
      </c>
      <c r="O17" s="504">
        <f t="shared" si="3"/>
        <v>44</v>
      </c>
      <c r="P17" s="503">
        <f>[1]!LLReg(L17:O17,$R$4:$U$7,$R$10:$U$10)</f>
        <v>20.202104033912065</v>
      </c>
      <c r="W17" s="420">
        <v>46.999786427044917</v>
      </c>
    </row>
    <row r="18" spans="1:35" ht="15.75" thickTop="1" x14ac:dyDescent="0.25">
      <c r="A18" s="578">
        <v>13</v>
      </c>
      <c r="B18" s="25">
        <v>18</v>
      </c>
      <c r="C18" s="25">
        <v>21</v>
      </c>
      <c r="D18" s="602">
        <v>37</v>
      </c>
      <c r="F18" t="str">
        <v>medicine</v>
      </c>
      <c r="G18" s="915" t="str">
        <v/>
      </c>
      <c r="H18" s="916" t="str">
        <v/>
      </c>
      <c r="I18" s="916" t="str">
        <v/>
      </c>
      <c r="J18" s="917">
        <v>1</v>
      </c>
      <c r="L18" s="500">
        <f t="shared" si="0"/>
        <v>13</v>
      </c>
      <c r="M18" s="908">
        <f t="shared" si="1"/>
        <v>18</v>
      </c>
      <c r="N18" s="908">
        <f t="shared" si="2"/>
        <v>21</v>
      </c>
      <c r="O18" s="504">
        <f t="shared" si="3"/>
        <v>37</v>
      </c>
      <c r="P18" s="503">
        <f>[1]!LLReg(L18:O18,$R$4:$U$7,$R$10:$U$10)</f>
        <v>22.972164333496146</v>
      </c>
      <c r="R18" t="s">
        <v>2039</v>
      </c>
      <c r="AC18" s="826"/>
      <c r="AD18" s="826" t="s">
        <v>1592</v>
      </c>
      <c r="AE18" s="826" t="s">
        <v>1000</v>
      </c>
      <c r="AF18" s="826" t="s">
        <v>61</v>
      </c>
      <c r="AG18" s="826" t="s">
        <v>67</v>
      </c>
      <c r="AH18" s="826" t="s">
        <v>29</v>
      </c>
      <c r="AI18" s="826" t="s">
        <v>30</v>
      </c>
    </row>
    <row r="19" spans="1:35" x14ac:dyDescent="0.25">
      <c r="A19" s="578">
        <v>16</v>
      </c>
      <c r="B19" s="25">
        <v>23</v>
      </c>
      <c r="C19" s="25">
        <v>21</v>
      </c>
      <c r="D19" s="602">
        <v>34</v>
      </c>
      <c r="L19" s="500">
        <f t="shared" si="0"/>
        <v>16</v>
      </c>
      <c r="M19" s="908">
        <f t="shared" si="1"/>
        <v>23</v>
      </c>
      <c r="N19" s="908">
        <f t="shared" si="2"/>
        <v>21</v>
      </c>
      <c r="O19" s="504">
        <f t="shared" si="3"/>
        <v>34</v>
      </c>
      <c r="P19" s="503">
        <f>[1]!LLReg(L19:O19,$R$4:$U$7,$R$10:$U$10)</f>
        <v>24.053589696964458</v>
      </c>
      <c r="R19" s="803">
        <f>AVERAGE(L4:L23)</f>
        <v>15.9</v>
      </c>
      <c r="S19" s="720">
        <f>AVERAGE(M4:M23)</f>
        <v>32.4</v>
      </c>
      <c r="T19" s="720">
        <f>AVERAGE(N4:N23)</f>
        <v>21.1</v>
      </c>
      <c r="U19" s="804">
        <f>AVERAGE(O4:O23)</f>
        <v>47</v>
      </c>
      <c r="AC19" t="str">
        <f t="array" ref="AC19:AC22">Y5:Y8</f>
        <v>Intercept</v>
      </c>
      <c r="AD19">
        <f>Z5</f>
        <v>21.629184964866834</v>
      </c>
    </row>
    <row r="20" spans="1:35" x14ac:dyDescent="0.25">
      <c r="A20" s="578">
        <v>27</v>
      </c>
      <c r="B20" s="25">
        <v>26</v>
      </c>
      <c r="C20" s="25">
        <v>23</v>
      </c>
      <c r="D20" s="602">
        <v>59</v>
      </c>
      <c r="L20" s="500">
        <f t="shared" si="0"/>
        <v>27</v>
      </c>
      <c r="M20" s="908">
        <f t="shared" si="1"/>
        <v>26</v>
      </c>
      <c r="N20" s="908">
        <f t="shared" si="2"/>
        <v>23</v>
      </c>
      <c r="O20" s="504">
        <f t="shared" si="3"/>
        <v>59</v>
      </c>
      <c r="P20" s="503">
        <f>[1]!LLReg(L20:O20,$R$4:$U$7,$R$10:$U$10)</f>
        <v>30.673224910736472</v>
      </c>
      <c r="AC20" t="str">
        <v>read</v>
      </c>
      <c r="AD20">
        <f t="array" ref="AD20:AD22">Z6:Z8</f>
        <v>0.66801415090768601</v>
      </c>
      <c r="AE20">
        <f t="array" ref="AE20:AE22">SQRT([1]!DIAG(Y12:AA14))*AD9</f>
        <v>0.33105085932929412</v>
      </c>
      <c r="AF20">
        <f>AD20/AE20</f>
        <v>2.0178595888893818</v>
      </c>
      <c r="AG20">
        <f>TDIST(ABS(AF20),$AD$15,2)</f>
        <v>6.0698448829727719E-2</v>
      </c>
      <c r="AH20">
        <f>AD20-TINV(AH$12,$AD$15)*AE20</f>
        <v>-3.378232009623483E-2</v>
      </c>
      <c r="AI20">
        <f>AD20+TINV(AH$12,$AD$15)*AE20</f>
        <v>1.3698106219116069</v>
      </c>
    </row>
    <row r="21" spans="1:35" x14ac:dyDescent="0.25">
      <c r="A21" s="578">
        <v>17</v>
      </c>
      <c r="B21" s="25">
        <v>12</v>
      </c>
      <c r="C21" s="25">
        <v>19</v>
      </c>
      <c r="D21" s="602">
        <v>35</v>
      </c>
      <c r="L21" s="500">
        <f t="shared" si="0"/>
        <v>17</v>
      </c>
      <c r="M21" s="908">
        <f t="shared" si="1"/>
        <v>12</v>
      </c>
      <c r="N21" s="908">
        <f t="shared" si="2"/>
        <v>19</v>
      </c>
      <c r="O21" s="504">
        <f t="shared" si="3"/>
        <v>35</v>
      </c>
      <c r="P21" s="503">
        <f>[1]!LLReg(L21:O21,$R$4:$U$7,$R$10:$U$10)</f>
        <v>23.605068694140172</v>
      </c>
      <c r="AC21" t="str">
        <v>science</v>
      </c>
      <c r="AD21">
        <v>0.48454428261504684</v>
      </c>
      <c r="AE21">
        <v>0.1104928453740133</v>
      </c>
      <c r="AF21">
        <f>AD21/AE21</f>
        <v>4.3853000705601008</v>
      </c>
      <c r="AG21">
        <f>TDIST(ABS(AF21),$AD$15,2)</f>
        <v>4.6110614455880723E-4</v>
      </c>
      <c r="AH21">
        <f>AD21-TINV(AH$12,$AD$15)*AE21</f>
        <v>0.2503099141806413</v>
      </c>
      <c r="AI21">
        <f>AD21+TINV(AH$12,$AD$15)*AE21</f>
        <v>0.71877865104945238</v>
      </c>
    </row>
    <row r="22" spans="1:35" x14ac:dyDescent="0.25">
      <c r="A22" s="578">
        <v>13</v>
      </c>
      <c r="B22" s="25">
        <v>21</v>
      </c>
      <c r="C22" s="25">
        <v>20</v>
      </c>
      <c r="D22" s="602">
        <v>48</v>
      </c>
      <c r="L22" s="500">
        <f t="shared" si="0"/>
        <v>13</v>
      </c>
      <c r="M22" s="908">
        <f t="shared" si="1"/>
        <v>21</v>
      </c>
      <c r="N22" s="908">
        <f t="shared" si="2"/>
        <v>20</v>
      </c>
      <c r="O22" s="504">
        <f t="shared" si="3"/>
        <v>48</v>
      </c>
      <c r="P22" s="503">
        <f>[1]!LLReg(L22:O22,$R$4:$U$7,$R$10:$U$10)</f>
        <v>24.949179358667994</v>
      </c>
      <c r="AC22" s="762" t="str">
        <v>math</v>
      </c>
      <c r="AD22" s="762">
        <v>-4.5018372570957865E-2</v>
      </c>
      <c r="AE22" s="762">
        <v>0.48967515670479794</v>
      </c>
      <c r="AF22" s="762">
        <f>AD22/AE22</f>
        <v>-9.1935177749067065E-2</v>
      </c>
      <c r="AG22" s="762">
        <f>TDIST(ABS(AF22),$AD$15,2)</f>
        <v>0.92789077940103937</v>
      </c>
      <c r="AH22" s="762">
        <f>AD22-TINV(AH$12,$AD$15)*AE22</f>
        <v>-1.0830833321664575</v>
      </c>
      <c r="AI22" s="762">
        <f>AD22+TINV(AH$12,$AD$15)*AE22</f>
        <v>0.99304658702454174</v>
      </c>
    </row>
    <row r="23" spans="1:35" x14ac:dyDescent="0.25">
      <c r="A23" s="877">
        <v>11</v>
      </c>
      <c r="B23" s="880">
        <v>51</v>
      </c>
      <c r="C23" s="880">
        <v>18</v>
      </c>
      <c r="D23" s="878">
        <v>54</v>
      </c>
      <c r="L23" s="817">
        <f t="shared" si="0"/>
        <v>11</v>
      </c>
      <c r="M23" s="892">
        <f t="shared" si="1"/>
        <v>51</v>
      </c>
      <c r="N23" s="892">
        <f t="shared" si="2"/>
        <v>18</v>
      </c>
      <c r="O23" s="818">
        <f t="shared" si="3"/>
        <v>54</v>
      </c>
      <c r="P23" s="420">
        <f>[1]!LLReg(L23:O23,$R$4:$U$7,$R$10:$U$10)</f>
        <v>25.395466988357438</v>
      </c>
    </row>
    <row r="24" spans="1:35" x14ac:dyDescent="0.25">
      <c r="P24">
        <f>SUM(P4:P23)</f>
        <v>474.05644735264298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254</vt:i4>
      </vt:variant>
    </vt:vector>
  </HeadingPairs>
  <TitlesOfParts>
    <vt:vector size="254" baseType="lpstr">
      <vt:lpstr>TOC0</vt:lpstr>
      <vt:lpstr>TOC</vt:lpstr>
      <vt:lpstr>ANOVA 1</vt:lpstr>
      <vt:lpstr>ANOVA 2</vt:lpstr>
      <vt:lpstr>ANOVA 3</vt:lpstr>
      <vt:lpstr>ANOVA 4</vt:lpstr>
      <vt:lpstr>ANOVA 5</vt:lpstr>
      <vt:lpstr>ANOVA 6</vt:lpstr>
      <vt:lpstr>Contrast 1</vt:lpstr>
      <vt:lpstr>Contrast 2</vt:lpstr>
      <vt:lpstr>Contrast 3</vt:lpstr>
      <vt:lpstr>Tukey 1</vt:lpstr>
      <vt:lpstr>Tukey 2</vt:lpstr>
      <vt:lpstr>Tuk-Kra</vt:lpstr>
      <vt:lpstr>Gam-How</vt:lpstr>
      <vt:lpstr>REGWQ</vt:lpstr>
      <vt:lpstr>Dunnett</vt:lpstr>
      <vt:lpstr>Scheffe</vt:lpstr>
      <vt:lpstr>Levene 1</vt:lpstr>
      <vt:lpstr>Levene 2</vt:lpstr>
      <vt:lpstr>Bartlett</vt:lpstr>
      <vt:lpstr>Fligner</vt:lpstr>
      <vt:lpstr>Log Transform</vt:lpstr>
      <vt:lpstr>Outliers</vt:lpstr>
      <vt:lpstr>Kruskal</vt:lpstr>
      <vt:lpstr>Nemenyi</vt:lpstr>
      <vt:lpstr>Dunn</vt:lpstr>
      <vt:lpstr>Dunnett KW</vt:lpstr>
      <vt:lpstr>Contrast KW</vt:lpstr>
      <vt:lpstr>Brown F 1</vt:lpstr>
      <vt:lpstr>Brown F 2</vt:lpstr>
      <vt:lpstr>Welch 1</vt:lpstr>
      <vt:lpstr>Welch 1a</vt:lpstr>
      <vt:lpstr>Welch 2</vt:lpstr>
      <vt:lpstr>Power Anova</vt:lpstr>
      <vt:lpstr>Anova Resamp</vt:lpstr>
      <vt:lpstr>Anova Resamp 1</vt:lpstr>
      <vt:lpstr>Moods 2</vt:lpstr>
      <vt:lpstr>ANOVA 2.1</vt:lpstr>
      <vt:lpstr>ANOVA 2.2</vt:lpstr>
      <vt:lpstr>ANOVA 2.2A</vt:lpstr>
      <vt:lpstr>ANOVA 2.3</vt:lpstr>
      <vt:lpstr>ANOVA 2.4</vt:lpstr>
      <vt:lpstr>ANOVA 2.5</vt:lpstr>
      <vt:lpstr>ANOVA 2.6</vt:lpstr>
      <vt:lpstr>Simple Effect</vt:lpstr>
      <vt:lpstr>Contrasts 2.1</vt:lpstr>
      <vt:lpstr>Contrasts 2.2</vt:lpstr>
      <vt:lpstr>Tukey 2.1</vt:lpstr>
      <vt:lpstr>ANOVA 3.1</vt:lpstr>
      <vt:lpstr>ANOVA 3.2</vt:lpstr>
      <vt:lpstr>ANOVA 3.2a</vt:lpstr>
      <vt:lpstr>ANOVA 3.3</vt:lpstr>
      <vt:lpstr>Gage</vt:lpstr>
      <vt:lpstr>Gage 1</vt:lpstr>
      <vt:lpstr>Scheirer</vt:lpstr>
      <vt:lpstr>Reg 1</vt:lpstr>
      <vt:lpstr>Reg 2</vt:lpstr>
      <vt:lpstr>Reg 3</vt:lpstr>
      <vt:lpstr>Reg 4</vt:lpstr>
      <vt:lpstr>Reg 5</vt:lpstr>
      <vt:lpstr>Reg 6</vt:lpstr>
      <vt:lpstr>Exp Reg</vt:lpstr>
      <vt:lpstr>Exp Reg1</vt:lpstr>
      <vt:lpstr>Exp Reg2</vt:lpstr>
      <vt:lpstr>Exp Reg3</vt:lpstr>
      <vt:lpstr>Exp Reg4</vt:lpstr>
      <vt:lpstr>Exp Reg5</vt:lpstr>
      <vt:lpstr>Pow Reg</vt:lpstr>
      <vt:lpstr>Reg T 1</vt:lpstr>
      <vt:lpstr>Reg T 1A</vt:lpstr>
      <vt:lpstr>Reg T 2</vt:lpstr>
      <vt:lpstr>Reg T 2A</vt:lpstr>
      <vt:lpstr>Mult Reg 1</vt:lpstr>
      <vt:lpstr>Mult Reg 2</vt:lpstr>
      <vt:lpstr>Mult Reg 2A</vt:lpstr>
      <vt:lpstr>Mult Reg 2B</vt:lpstr>
      <vt:lpstr>Mult Reg 3</vt:lpstr>
      <vt:lpstr>Mult Reg 4</vt:lpstr>
      <vt:lpstr>Mult Reg 4A</vt:lpstr>
      <vt:lpstr>Mult Reg 5</vt:lpstr>
      <vt:lpstr>Mult Reg 5A</vt:lpstr>
      <vt:lpstr>Mult Reg 5B</vt:lpstr>
      <vt:lpstr>Mult Reg 5C</vt:lpstr>
      <vt:lpstr>Mult Reg 6</vt:lpstr>
      <vt:lpstr>Mult Reg 6A</vt:lpstr>
      <vt:lpstr>Mult Reg 6B</vt:lpstr>
      <vt:lpstr>Mult Reg 6C</vt:lpstr>
      <vt:lpstr>Mult Reg 7</vt:lpstr>
      <vt:lpstr>Mult Reg 8</vt:lpstr>
      <vt:lpstr>Mult Reg 8a</vt:lpstr>
      <vt:lpstr>MCorr</vt:lpstr>
      <vt:lpstr>Mult Reg Pow</vt:lpstr>
      <vt:lpstr>Mult Reg Pow 1</vt:lpstr>
      <vt:lpstr>Mult Reg Pow 2</vt:lpstr>
      <vt:lpstr>Poly Reg</vt:lpstr>
      <vt:lpstr>Poly Reg 1</vt:lpstr>
      <vt:lpstr>Poly Reg 2</vt:lpstr>
      <vt:lpstr>Log Reg</vt:lpstr>
      <vt:lpstr>Interaction Reg</vt:lpstr>
      <vt:lpstr>Reg Anova 1</vt:lpstr>
      <vt:lpstr>Reg Anova 2</vt:lpstr>
      <vt:lpstr>Reg Anova 3</vt:lpstr>
      <vt:lpstr>Reg Anova 4</vt:lpstr>
      <vt:lpstr>Reg Anova 5</vt:lpstr>
      <vt:lpstr>Reg An3.1</vt:lpstr>
      <vt:lpstr>Reg An3.2</vt:lpstr>
      <vt:lpstr>Res 1</vt:lpstr>
      <vt:lpstr>Res 2</vt:lpstr>
      <vt:lpstr>Res 3</vt:lpstr>
      <vt:lpstr>Cooks 1</vt:lpstr>
      <vt:lpstr>Cooks 2</vt:lpstr>
      <vt:lpstr>Cooks 3</vt:lpstr>
      <vt:lpstr>Reg No Const</vt:lpstr>
      <vt:lpstr>Reg No Const 1</vt:lpstr>
      <vt:lpstr>WReg</vt:lpstr>
      <vt:lpstr>Robust</vt:lpstr>
      <vt:lpstr>Autocorr</vt:lpstr>
      <vt:lpstr>Durbin</vt:lpstr>
      <vt:lpstr>Collinearity</vt:lpstr>
      <vt:lpstr>VIF</vt:lpstr>
      <vt:lpstr>Logit 1</vt:lpstr>
      <vt:lpstr>Logit 2</vt:lpstr>
      <vt:lpstr>Logit 3</vt:lpstr>
      <vt:lpstr>Logit 3a</vt:lpstr>
      <vt:lpstr>Logit 4</vt:lpstr>
      <vt:lpstr>Logit 4a</vt:lpstr>
      <vt:lpstr>Logit 5</vt:lpstr>
      <vt:lpstr>Logit 5a</vt:lpstr>
      <vt:lpstr>Logit 6</vt:lpstr>
      <vt:lpstr>Logit 6a</vt:lpstr>
      <vt:lpstr>Logit 7a</vt:lpstr>
      <vt:lpstr>Logit 7b</vt:lpstr>
      <vt:lpstr>Hosmer</vt:lpstr>
      <vt:lpstr>MLogit 1</vt:lpstr>
      <vt:lpstr>MLogit 2</vt:lpstr>
      <vt:lpstr>MLogit 3</vt:lpstr>
      <vt:lpstr>MLogit 3a</vt:lpstr>
      <vt:lpstr>MLogit 4</vt:lpstr>
      <vt:lpstr>MLogit 4a</vt:lpstr>
      <vt:lpstr>MLogit 5</vt:lpstr>
      <vt:lpstr>MLogit 5a</vt:lpstr>
      <vt:lpstr>MLogit 6</vt:lpstr>
      <vt:lpstr>OLogit 1</vt:lpstr>
      <vt:lpstr>OLogit 2</vt:lpstr>
      <vt:lpstr>OLogit 3</vt:lpstr>
      <vt:lpstr>Log Lin 1.1</vt:lpstr>
      <vt:lpstr>Log Lin 1.2</vt:lpstr>
      <vt:lpstr>Log Lin 1.3</vt:lpstr>
      <vt:lpstr>Log Lin 1.4</vt:lpstr>
      <vt:lpstr>Log Lin 2.1</vt:lpstr>
      <vt:lpstr>Log Lin 2.2</vt:lpstr>
      <vt:lpstr>Log Lin 2.3</vt:lpstr>
      <vt:lpstr>Log Lin 2.4</vt:lpstr>
      <vt:lpstr>Log Lin 2.5</vt:lpstr>
      <vt:lpstr>Kaplan</vt:lpstr>
      <vt:lpstr>Kaplan 1</vt:lpstr>
      <vt:lpstr>Kaplan 2</vt:lpstr>
      <vt:lpstr>Kaplan 3</vt:lpstr>
      <vt:lpstr>Kaplan 4</vt:lpstr>
      <vt:lpstr>Log-Rank</vt:lpstr>
      <vt:lpstr>Log-Rank 1</vt:lpstr>
      <vt:lpstr>Cox Reg 1</vt:lpstr>
      <vt:lpstr>Cox Reg 2</vt:lpstr>
      <vt:lpstr>Cox Reg 3</vt:lpstr>
      <vt:lpstr>Cox Reg 4</vt:lpstr>
      <vt:lpstr>Cox Reg 5</vt:lpstr>
      <vt:lpstr>Cox Reg 6</vt:lpstr>
      <vt:lpstr>Cox Reg 7</vt:lpstr>
      <vt:lpstr>Cox Reg 8</vt:lpstr>
      <vt:lpstr>Rand Anova</vt:lpstr>
      <vt:lpstr>Mixed</vt:lpstr>
      <vt:lpstr>Mixed 2</vt:lpstr>
      <vt:lpstr>Nested</vt:lpstr>
      <vt:lpstr>Nested 1 </vt:lpstr>
      <vt:lpstr>Nested 1a</vt:lpstr>
      <vt:lpstr>Nested 2</vt:lpstr>
      <vt:lpstr>ANOVA Match 1.1</vt:lpstr>
      <vt:lpstr>ANOVA Match 1.2</vt:lpstr>
      <vt:lpstr>ANOVA Match 1.3</vt:lpstr>
      <vt:lpstr>ANOVA Match 1.3a</vt:lpstr>
      <vt:lpstr>ANOVA Match 1.4</vt:lpstr>
      <vt:lpstr>ANOVA Match 1.5</vt:lpstr>
      <vt:lpstr>ANOVAMatch 1.6</vt:lpstr>
      <vt:lpstr>ANOVA Match 2.1</vt:lpstr>
      <vt:lpstr>ANOVA Match 2.2</vt:lpstr>
      <vt:lpstr>ANOVA Match 2.3</vt:lpstr>
      <vt:lpstr>ANOVA Match 2.3A</vt:lpstr>
      <vt:lpstr>ANOVA Match 2.3B</vt:lpstr>
      <vt:lpstr>ANOVA Match 2.4</vt:lpstr>
      <vt:lpstr>Friedman</vt:lpstr>
      <vt:lpstr>Cochran 1</vt:lpstr>
      <vt:lpstr>Cochran 2</vt:lpstr>
      <vt:lpstr>ANCOVA 1</vt:lpstr>
      <vt:lpstr>ANCOVA 2</vt:lpstr>
      <vt:lpstr>ANCOVA 3</vt:lpstr>
      <vt:lpstr>ANCOVA 4</vt:lpstr>
      <vt:lpstr>ANCOVA Contrasts</vt:lpstr>
      <vt:lpstr>Split-half</vt:lpstr>
      <vt:lpstr>Spli-half 1</vt:lpstr>
      <vt:lpstr>KRF20</vt:lpstr>
      <vt:lpstr>Cronbach</vt:lpstr>
      <vt:lpstr>Cronbach 1</vt:lpstr>
      <vt:lpstr>Cronbach 2</vt:lpstr>
      <vt:lpstr>Cronbach 3</vt:lpstr>
      <vt:lpstr>Cronbach 4</vt:lpstr>
      <vt:lpstr>Cronbach 5</vt:lpstr>
      <vt:lpstr>Kappa</vt:lpstr>
      <vt:lpstr>Kappa 0</vt:lpstr>
      <vt:lpstr>Kappa 1</vt:lpstr>
      <vt:lpstr>FKappa</vt:lpstr>
      <vt:lpstr>ICC1</vt:lpstr>
      <vt:lpstr>ICC1a</vt:lpstr>
      <vt:lpstr>ICC2</vt:lpstr>
      <vt:lpstr>ICC3</vt:lpstr>
      <vt:lpstr>Kendall W</vt:lpstr>
      <vt:lpstr>Kendall W 1</vt:lpstr>
      <vt:lpstr>Bland</vt:lpstr>
      <vt:lpstr>Item</vt:lpstr>
      <vt:lpstr>IPFP 2.1</vt:lpstr>
      <vt:lpstr>IPFP 2.1a</vt:lpstr>
      <vt:lpstr>IPFP 2.2 </vt:lpstr>
      <vt:lpstr>IPFP 3.1</vt:lpstr>
      <vt:lpstr>IPFP 3.2</vt:lpstr>
      <vt:lpstr>IPFP 3.2a</vt:lpstr>
      <vt:lpstr>Stud. Q Table</vt:lpstr>
      <vt:lpstr>Stud. Q Table 2</vt:lpstr>
      <vt:lpstr> Dunnett Table</vt:lpstr>
      <vt:lpstr>DW Table 1</vt:lpstr>
      <vt:lpstr>DW Table 2</vt:lpstr>
      <vt:lpstr>Miss 1</vt:lpstr>
      <vt:lpstr>Miss 2</vt:lpstr>
      <vt:lpstr>Miss 3</vt:lpstr>
      <vt:lpstr>Miss 4</vt:lpstr>
      <vt:lpstr>MI 1</vt:lpstr>
      <vt:lpstr>MI 2</vt:lpstr>
      <vt:lpstr>MI 3a</vt:lpstr>
      <vt:lpstr>MI 3</vt:lpstr>
      <vt:lpstr>MI 4</vt:lpstr>
      <vt:lpstr>MI 5</vt:lpstr>
      <vt:lpstr>MI 6</vt:lpstr>
      <vt:lpstr>MI 7</vt:lpstr>
      <vt:lpstr>MI 8</vt:lpstr>
      <vt:lpstr>MI 8a</vt:lpstr>
      <vt:lpstr>MI 9</vt:lpstr>
      <vt:lpstr>MI 9a</vt:lpstr>
      <vt:lpstr>FIML 1</vt:lpstr>
      <vt:lpstr>FIML 2</vt:lpstr>
      <vt:lpstr>FIML 2a</vt:lpstr>
      <vt:lpstr>FIML 2b</vt:lpstr>
      <vt:lpstr>FIML 2c</vt:lpstr>
      <vt:lpstr>FIML 3</vt:lpstr>
      <vt:lpstr>FIML 3a</vt:lpstr>
      <vt:lpstr>FIML 3b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 Zaiontz</cp:lastModifiedBy>
  <cp:lastPrinted>2015-05-22T15:20:10Z</cp:lastPrinted>
  <dcterms:created xsi:type="dcterms:W3CDTF">2011-12-03T11:22:59Z</dcterms:created>
  <dcterms:modified xsi:type="dcterms:W3CDTF">2016-03-31T14:02:32Z</dcterms:modified>
</cp:coreProperties>
</file>